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drawings/drawing9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1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2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3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4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6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67.xml" ContentType="application/vnd.openxmlformats-officedocument.themeOverrid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68.xml" ContentType="application/vnd.openxmlformats-officedocument.themeOverrid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69.xml" ContentType="application/vnd.openxmlformats-officedocument.themeOverrid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70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71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2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73.xml" ContentType="application/vnd.openxmlformats-officedocument.themeOverrid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theme/themeOverride74.xml" ContentType="application/vnd.openxmlformats-officedocument.themeOverrid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theme/themeOverride75.xml" ContentType="application/vnd.openxmlformats-officedocument.themeOverrid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theme/themeOverride76.xml" ContentType="application/vnd.openxmlformats-officedocument.themeOverride+xml"/>
  <Override PartName="/xl/drawings/drawing10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77.xml" ContentType="application/vnd.openxmlformats-officedocument.themeOverrid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theme/themeOverride78.xml" ContentType="application/vnd.openxmlformats-officedocument.themeOverrid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theme/themeOverride79.xml" ContentType="application/vnd.openxmlformats-officedocument.themeOverrid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theme/themeOverride80.xml" ContentType="application/vnd.openxmlformats-officedocument.themeOverrid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theme/themeOverride81.xml" ContentType="application/vnd.openxmlformats-officedocument.themeOverrid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82.xml" ContentType="application/vnd.openxmlformats-officedocument.themeOverrid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theme/themeOverride83.xml" ContentType="application/vnd.openxmlformats-officedocument.themeOverrid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theme/themeOverride84.xml" ContentType="application/vnd.openxmlformats-officedocument.themeOverrid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theme/themeOverride85.xml" ContentType="application/vnd.openxmlformats-officedocument.themeOverrid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86.xml" ContentType="application/vnd.openxmlformats-officedocument.themeOverrid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theme/themeOverride87.xml" ContentType="application/vnd.openxmlformats-officedocument.themeOverrid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theme/themeOverride88.xml" ContentType="application/vnd.openxmlformats-officedocument.themeOverrid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theme/themeOverride89.xml" ContentType="application/vnd.openxmlformats-officedocument.themeOverrid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theme/themeOverride90.xml" ContentType="application/vnd.openxmlformats-officedocument.themeOverride+xml"/>
  <Override PartName="/xl/drawings/drawing1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theme/themeOverride91.xml" ContentType="application/vnd.openxmlformats-officedocument.themeOverrid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theme/themeOverride92.xml" ContentType="application/vnd.openxmlformats-officedocument.themeOverrid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theme/themeOverride93.xml" ContentType="application/vnd.openxmlformats-officedocument.themeOverrid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theme/themeOverride94.xml" ContentType="application/vnd.openxmlformats-officedocument.themeOverrid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theme/themeOverride95.xml" ContentType="application/vnd.openxmlformats-officedocument.themeOverrid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theme/themeOverride96.xml" ContentType="application/vnd.openxmlformats-officedocument.themeOverrid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theme/themeOverride97.xml" ContentType="application/vnd.openxmlformats-officedocument.themeOverrid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theme/themeOverride98.xml" ContentType="application/vnd.openxmlformats-officedocument.themeOverrid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theme/themeOverride99.xml" ContentType="application/vnd.openxmlformats-officedocument.themeOverrid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theme/themeOverride100.xml" ContentType="application/vnd.openxmlformats-officedocument.themeOverrid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theme/themeOverride101.xml" ContentType="application/vnd.openxmlformats-officedocument.themeOverrid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theme/themeOverride102.xml" ContentType="application/vnd.openxmlformats-officedocument.themeOverrid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theme/themeOverride103.xml" ContentType="application/vnd.openxmlformats-officedocument.themeOverrid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theme/themeOverride104.xml" ContentType="application/vnd.openxmlformats-officedocument.themeOverrid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theme/themeOverride105.xml" ContentType="application/vnd.openxmlformats-officedocument.themeOverrid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theme/themeOverride106.xml" ContentType="application/vnd.openxmlformats-officedocument.themeOverride+xml"/>
  <Override PartName="/xl/drawings/drawing12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theme/themeOverride107.xml" ContentType="application/vnd.openxmlformats-officedocument.themeOverrid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theme/themeOverride108.xml" ContentType="application/vnd.openxmlformats-officedocument.themeOverrid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109.xml" ContentType="application/vnd.openxmlformats-officedocument.themeOverrid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theme/themeOverride110.xml" ContentType="application/vnd.openxmlformats-officedocument.themeOverrid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theme/themeOverride111.xml" ContentType="application/vnd.openxmlformats-officedocument.themeOverrid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theme/themeOverride112.xml" ContentType="application/vnd.openxmlformats-officedocument.themeOverrid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theme/themeOverride113.xml" ContentType="application/vnd.openxmlformats-officedocument.themeOverrid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theme/themeOverride114.xml" ContentType="application/vnd.openxmlformats-officedocument.themeOverrid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theme/themeOverride115.xml" ContentType="application/vnd.openxmlformats-officedocument.themeOverrid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theme/themeOverride116.xml" ContentType="application/vnd.openxmlformats-officedocument.themeOverrid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theme/themeOverride117.xml" ContentType="application/vnd.openxmlformats-officedocument.themeOverrid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theme/themeOverride118.xml" ContentType="application/vnd.openxmlformats-officedocument.themeOverrid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theme/themeOverride119.xml" ContentType="application/vnd.openxmlformats-officedocument.themeOverrid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heme/themeOverride120.xml" ContentType="application/vnd.openxmlformats-officedocument.themeOverrid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theme/themeOverride121.xml" ContentType="application/vnd.openxmlformats-officedocument.themeOverrid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theme/themeOverride122.xml" ContentType="application/vnd.openxmlformats-officedocument.themeOverride+xml"/>
  <Override PartName="/xl/drawings/drawing13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theme/themeOverride123.xml" ContentType="application/vnd.openxmlformats-officedocument.themeOverrid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124.xml" ContentType="application/vnd.openxmlformats-officedocument.themeOverrid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theme/themeOverride125.xml" ContentType="application/vnd.openxmlformats-officedocument.themeOverrid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theme/themeOverride126.xml" ContentType="application/vnd.openxmlformats-officedocument.themeOverrid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theme/themeOverride127.xml" ContentType="application/vnd.openxmlformats-officedocument.themeOverrid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theme/themeOverride128.xml" ContentType="application/vnd.openxmlformats-officedocument.themeOverrid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theme/themeOverride129.xml" ContentType="application/vnd.openxmlformats-officedocument.themeOverrid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theme/themeOverride130.xml" ContentType="application/vnd.openxmlformats-officedocument.themeOverrid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theme/themeOverride131.xml" ContentType="application/vnd.openxmlformats-officedocument.themeOverrid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theme/themeOverride132.xml" ContentType="application/vnd.openxmlformats-officedocument.themeOverrid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theme/themeOverride133.xml" ContentType="application/vnd.openxmlformats-officedocument.themeOverrid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theme/themeOverride134.xml" ContentType="application/vnd.openxmlformats-officedocument.themeOverride+xml"/>
  <Override PartName="/xl/drawings/drawing14.xml" ContentType="application/vnd.openxmlformats-officedocument.drawing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theme/themeOverride135.xml" ContentType="application/vnd.openxmlformats-officedocument.themeOverrid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theme/themeOverride136.xml" ContentType="application/vnd.openxmlformats-officedocument.themeOverrid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theme/themeOverride137.xml" ContentType="application/vnd.openxmlformats-officedocument.themeOverrid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theme/themeOverride138.xml" ContentType="application/vnd.openxmlformats-officedocument.themeOverrid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theme/themeOverride139.xml" ContentType="application/vnd.openxmlformats-officedocument.themeOverrid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theme/themeOverride140.xml" ContentType="application/vnd.openxmlformats-officedocument.themeOverrid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theme/themeOverride141.xml" ContentType="application/vnd.openxmlformats-officedocument.themeOverrid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theme/themeOverride142.xml" ContentType="application/vnd.openxmlformats-officedocument.themeOverrid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theme/themeOverride143.xml" ContentType="application/vnd.openxmlformats-officedocument.themeOverrid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theme/themeOverride144.xml" ContentType="application/vnd.openxmlformats-officedocument.themeOverrid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theme/themeOverride145.xml" ContentType="application/vnd.openxmlformats-officedocument.themeOverrid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theme/themeOverride146.xml" ContentType="application/vnd.openxmlformats-officedocument.themeOverride+xml"/>
  <Override PartName="/xl/drawings/drawing15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theme/themeOverride147.xml" ContentType="application/vnd.openxmlformats-officedocument.themeOverrid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theme/themeOverride148.xml" ContentType="application/vnd.openxmlformats-officedocument.themeOverrid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theme/themeOverride149.xml" ContentType="application/vnd.openxmlformats-officedocument.themeOverrid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theme/themeOverride150.xml" ContentType="application/vnd.openxmlformats-officedocument.themeOverrid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theme/themeOverride151.xml" ContentType="application/vnd.openxmlformats-officedocument.themeOverrid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theme/themeOverride152.xml" ContentType="application/vnd.openxmlformats-officedocument.themeOverrid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153.xml" ContentType="application/vnd.openxmlformats-officedocument.themeOverrid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theme/themeOverride154.xml" ContentType="application/vnd.openxmlformats-officedocument.themeOverrid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155.xml" ContentType="application/vnd.openxmlformats-officedocument.themeOverrid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theme/themeOverride156.xml" ContentType="application/vnd.openxmlformats-officedocument.themeOverrid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157.xml" ContentType="application/vnd.openxmlformats-officedocument.themeOverrid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theme/themeOverride158.xml" ContentType="application/vnd.openxmlformats-officedocument.themeOverrid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theme/themeOverride159.xml" ContentType="application/vnd.openxmlformats-officedocument.themeOverrid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theme/themeOverride160.xml" ContentType="application/vnd.openxmlformats-officedocument.themeOverride+xml"/>
  <Override PartName="/xl/drawings/drawing16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theme/themeOverride161.xml" ContentType="application/vnd.openxmlformats-officedocument.themeOverrid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theme/themeOverride162.xml" ContentType="application/vnd.openxmlformats-officedocument.themeOverrid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theme/themeOverride163.xml" ContentType="application/vnd.openxmlformats-officedocument.themeOverrid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theme/themeOverride164.xml" ContentType="application/vnd.openxmlformats-officedocument.themeOverrid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theme/themeOverride165.xml" ContentType="application/vnd.openxmlformats-officedocument.themeOverrid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theme/themeOverride166.xml" ContentType="application/vnd.openxmlformats-officedocument.themeOverrid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theme/themeOverride167.xml" ContentType="application/vnd.openxmlformats-officedocument.themeOverrid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theme/themeOverride168.xml" ContentType="application/vnd.openxmlformats-officedocument.themeOverrid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theme/themeOverride169.xml" ContentType="application/vnd.openxmlformats-officedocument.themeOverrid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theme/themeOverride170.xml" ContentType="application/vnd.openxmlformats-officedocument.themeOverrid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theme/themeOverride171.xml" ContentType="application/vnd.openxmlformats-officedocument.themeOverrid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theme/themeOverride172.xml" ContentType="application/vnd.openxmlformats-officedocument.themeOverrid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theme/themeOverride173.xml" ContentType="application/vnd.openxmlformats-officedocument.themeOverrid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theme/themeOverride174.xml" ContentType="application/vnd.openxmlformats-officedocument.themeOverrid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theme/themeOverride175.xml" ContentType="application/vnd.openxmlformats-officedocument.themeOverrid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theme/themeOverride176.xml" ContentType="application/vnd.openxmlformats-officedocument.themeOverrid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theme/themeOverride177.xml" ContentType="application/vnd.openxmlformats-officedocument.themeOverrid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theme/themeOverride178.xml" ContentType="application/vnd.openxmlformats-officedocument.themeOverride+xml"/>
  <Override PartName="/xl/drawings/drawing17.xml" ContentType="application/vnd.openxmlformats-officedocument.drawing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theme/themeOverride179.xml" ContentType="application/vnd.openxmlformats-officedocument.themeOverrid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heme/themeOverride180.xml" ContentType="application/vnd.openxmlformats-officedocument.themeOverrid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theme/themeOverride181.xml" ContentType="application/vnd.openxmlformats-officedocument.themeOverrid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theme/themeOverride182.xml" ContentType="application/vnd.openxmlformats-officedocument.themeOverrid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theme/themeOverride183.xml" ContentType="application/vnd.openxmlformats-officedocument.themeOverrid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theme/themeOverride184.xml" ContentType="application/vnd.openxmlformats-officedocument.themeOverrid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theme/themeOverride185.xml" ContentType="application/vnd.openxmlformats-officedocument.themeOverrid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theme/themeOverride186.xml" ContentType="application/vnd.openxmlformats-officedocument.themeOverrid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theme/themeOverride187.xml" ContentType="application/vnd.openxmlformats-officedocument.themeOverrid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theme/themeOverride188.xml" ContentType="application/vnd.openxmlformats-officedocument.themeOverrid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theme/themeOverride189.xml" ContentType="application/vnd.openxmlformats-officedocument.themeOverrid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theme/themeOverride190.xml" ContentType="application/vnd.openxmlformats-officedocument.themeOverrid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theme/themeOverride191.xml" ContentType="application/vnd.openxmlformats-officedocument.themeOverrid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theme/themeOverride192.xml" ContentType="application/vnd.openxmlformats-officedocument.themeOverrid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theme/themeOverride193.xml" ContentType="application/vnd.openxmlformats-officedocument.themeOverrid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theme/themeOverride194.xml" ContentType="application/vnd.openxmlformats-officedocument.themeOverrid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theme/themeOverride195.xml" ContentType="application/vnd.openxmlformats-officedocument.themeOverrid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theme/themeOverride196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 codeName="{51196F13-6AD0-C1B8-E2B4-A1F9AE17003E}"/>
  <workbookPr showInkAnnotation="0" saveExternalLinkValues="0" updateLinks="never"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R:\Resources_Projects\Codex Tool\Artifacts\"/>
    </mc:Choice>
  </mc:AlternateContent>
  <bookViews>
    <workbookView xWindow="0" yWindow="0" windowWidth="15255" windowHeight="4410" tabRatio="865" activeTab="17"/>
  </bookViews>
  <sheets>
    <sheet name="How- To Guide Codex Sheets" sheetId="48" r:id="rId1"/>
    <sheet name="History" sheetId="49" r:id="rId2"/>
    <sheet name="Release of Measurement Program" sheetId="45" r:id="rId3"/>
    <sheet name="Release of Results" sheetId="13" r:id="rId4"/>
    <sheet name="Variant 5 - WMTC" sheetId="63" state="hidden" r:id="rId5"/>
    <sheet name="Variant 5 - WMTC (Fuel2)" sheetId="64" state="hidden" r:id="rId6"/>
    <sheet name="Variant 4 - MIDC" sheetId="61" state="hidden" r:id="rId7"/>
    <sheet name="Variant 3 - JC08" sheetId="42" state="hidden" r:id="rId8"/>
    <sheet name="Variant 1 - NEDC (Fuel1)" sheetId="40" r:id="rId9"/>
    <sheet name="Variant 1 - NEDC (Fuel2)" sheetId="52" r:id="rId10"/>
    <sheet name="Variant 2a - Brazil Flex Fuel" sheetId="68" state="hidden" r:id="rId11"/>
    <sheet name="Variant 2 - FTP" sheetId="41" state="hidden" r:id="rId12"/>
    <sheet name="Variant 2 - FTP75 (Fuel2)" sheetId="59" state="hidden" r:id="rId13"/>
    <sheet name="Variant 4 - MIDC (Fuel2)" sheetId="62" state="hidden" r:id="rId14"/>
    <sheet name="Variant 3 - JC08 (Fuel2)" sheetId="60" state="hidden" r:id="rId15"/>
    <sheet name="Variant 2a - Brazil Flex Fuel2" sheetId="69" state="hidden" r:id="rId16"/>
    <sheet name="Daten Gasoline" sheetId="12" r:id="rId17"/>
    <sheet name="iCDM Upload" sheetId="70" r:id="rId18"/>
    <sheet name="Variant 6 - WLTC" sheetId="47" state="hidden" r:id="rId19"/>
    <sheet name="Variant 6 - WLTC (Fuel2)" sheetId="67" state="hidden" r:id="rId20"/>
  </sheets>
  <externalReferences>
    <externalReference r:id="rId21"/>
  </externalReferences>
  <definedNames>
    <definedName name="_xlnm._FilterDatabase" localSheetId="16" hidden="1">'Daten Gasoline'!$AG$13:$AO$13</definedName>
    <definedName name="_xlnm._FilterDatabase" localSheetId="3" hidden="1">'Release of Results'!$F$19:$L$20</definedName>
    <definedName name="_xlnm.Print_Area" localSheetId="3">'Release of Results'!$A$1:$N$70</definedName>
    <definedName name="_xlnm.Print_Area" localSheetId="8">'Variant 1 - NEDC (Fuel1)'!$A$1:$V$243</definedName>
    <definedName name="_xlnm.Print_Area" localSheetId="9">'Variant 1 - NEDC (Fuel2)'!$A$1:$V$243</definedName>
    <definedName name="_xlnm.Print_Area" localSheetId="11">'Variant 2 - FTP'!$A$1:$V$244</definedName>
    <definedName name="_xlnm.Print_Area" localSheetId="12">'Variant 2 - FTP75 (Fuel2)'!$A$1:$V$244</definedName>
    <definedName name="_xlnm.Print_Area" localSheetId="10">'Variant 2a - Brazil Flex Fuel'!$A$1:$V$215</definedName>
    <definedName name="_xlnm.Print_Area" localSheetId="15">'Variant 2a - Brazil Flex Fuel2'!$A$1:$V$215</definedName>
    <definedName name="_xlnm.Print_Area" localSheetId="7">'Variant 3 - JC08'!$A$1:$V$188</definedName>
    <definedName name="_xlnm.Print_Area" localSheetId="14">'Variant 3 - JC08 (Fuel2)'!$A$1:$V$188</definedName>
    <definedName name="_xlnm.Print_Area" localSheetId="6">'Variant 4 - MIDC'!$A$1:$V$188</definedName>
    <definedName name="_xlnm.Print_Area" localSheetId="13">'Variant 4 - MIDC (Fuel2)'!$A$1:$V$188</definedName>
    <definedName name="_xlnm.Print_Area" localSheetId="4">'Variant 5 - WMTC'!$A$1:$V$154</definedName>
    <definedName name="_xlnm.Print_Area" localSheetId="5">'Variant 5 - WMTC (Fuel2)'!$A$1:$V$154</definedName>
    <definedName name="_xlnm.Print_Area" localSheetId="18">'Variant 6 - WLTC'!$A$1:$V$156</definedName>
    <definedName name="_xlnm.Print_Area" localSheetId="19">'Variant 6 - WLTC (Fuel2)'!$A$1:$V$156</definedName>
    <definedName name="erwListe">'Daten Gasoline'!$E$2:$E$8</definedName>
    <definedName name="Print_Area" localSheetId="3">'Release of Results'!$A$2:$L$69</definedName>
    <definedName name="ReferenceProcedure" localSheetId="2">'[1]Daten Gasoline'!$B$3:$B$20</definedName>
    <definedName name="ReferenceProcedure" localSheetId="8">#REF!</definedName>
    <definedName name="ReferenceProcedure" localSheetId="9">#REF!</definedName>
    <definedName name="ReferenceProcedure" localSheetId="11">#REF!</definedName>
    <definedName name="ReferenceProcedure" localSheetId="12">#REF!</definedName>
    <definedName name="ReferenceProcedure" localSheetId="10">#REF!</definedName>
    <definedName name="ReferenceProcedure" localSheetId="15">#REF!</definedName>
    <definedName name="ReferenceProcedure" localSheetId="7">#REF!</definedName>
    <definedName name="ReferenceProcedure" localSheetId="14">#REF!</definedName>
    <definedName name="ReferenceProcedure" localSheetId="6">#REF!</definedName>
    <definedName name="ReferenceProcedure" localSheetId="13">#REF!</definedName>
    <definedName name="ReferenceProcedure" localSheetId="4">#REF!</definedName>
    <definedName name="ReferenceProcedure" localSheetId="5">#REF!</definedName>
    <definedName name="ReferenceProcedure" localSheetId="18">#REF!</definedName>
    <definedName name="ReferenceProcedure" localSheetId="19">#REF!</definedName>
    <definedName name="ReferenceProcedure">'Daten Gasoline'!$B$3:$B$21</definedName>
    <definedName name="RoMP">'Daten Gasoline'!$B$3:$B$9</definedName>
    <definedName name="Status" localSheetId="2">'[1]Daten Gasoline'!$E$2:$E$10</definedName>
    <definedName name="Status" localSheetId="8">#REF!</definedName>
    <definedName name="Status" localSheetId="9">#REF!</definedName>
    <definedName name="Status" localSheetId="11">#REF!</definedName>
    <definedName name="Status" localSheetId="12">#REF!</definedName>
    <definedName name="Status" localSheetId="10">#REF!</definedName>
    <definedName name="Status" localSheetId="15">#REF!</definedName>
    <definedName name="Status" localSheetId="7">#REF!</definedName>
    <definedName name="Status" localSheetId="14">#REF!</definedName>
    <definedName name="Status" localSheetId="6">#REF!</definedName>
    <definedName name="Status" localSheetId="13">#REF!</definedName>
    <definedName name="Status" localSheetId="4">#REF!</definedName>
    <definedName name="Status" localSheetId="5">#REF!</definedName>
    <definedName name="Status" localSheetId="18">#REF!</definedName>
    <definedName name="Status" localSheetId="19">#REF!</definedName>
    <definedName name="Status">'Daten Gasoline'!$F$2:$F$11</definedName>
    <definedName name="Status_Combo1">'Release of Results'!$F$26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13" l="1"/>
  <c r="B37" i="13" l="1"/>
  <c r="B36" i="13"/>
  <c r="B35" i="13"/>
  <c r="B34" i="13"/>
  <c r="B33" i="13"/>
  <c r="B32" i="13"/>
  <c r="F13" i="61" l="1"/>
  <c r="F5" i="61"/>
  <c r="M6" i="47" l="1"/>
  <c r="L6" i="47"/>
  <c r="K6" i="47"/>
  <c r="J6" i="47"/>
  <c r="I6" i="47"/>
  <c r="H6" i="47"/>
  <c r="G6" i="47"/>
  <c r="F6" i="47"/>
  <c r="B92" i="67" l="1"/>
  <c r="B72" i="67" l="1"/>
  <c r="B77" i="67"/>
  <c r="B82" i="67"/>
  <c r="B87" i="67"/>
  <c r="B67" i="67"/>
  <c r="B72" i="64"/>
  <c r="B77" i="64"/>
  <c r="B82" i="64"/>
  <c r="B87" i="64"/>
  <c r="B92" i="64"/>
  <c r="B67" i="64"/>
  <c r="B45" i="62"/>
  <c r="B50" i="62"/>
  <c r="B55" i="62"/>
  <c r="B60" i="62"/>
  <c r="B65" i="62"/>
  <c r="B40" i="62"/>
  <c r="B45" i="60"/>
  <c r="B50" i="60"/>
  <c r="B55" i="60"/>
  <c r="B60" i="60"/>
  <c r="B65" i="60"/>
  <c r="B40" i="60"/>
  <c r="B72" i="69"/>
  <c r="B77" i="69"/>
  <c r="B82" i="69"/>
  <c r="B87" i="69"/>
  <c r="B92" i="69"/>
  <c r="B67" i="69"/>
  <c r="B73" i="59"/>
  <c r="B78" i="59"/>
  <c r="B83" i="59"/>
  <c r="B88" i="59"/>
  <c r="B93" i="59"/>
  <c r="B68" i="59"/>
  <c r="B72" i="52"/>
  <c r="B77" i="52"/>
  <c r="B82" i="52"/>
  <c r="B87" i="52"/>
  <c r="B92" i="52"/>
  <c r="B67" i="52"/>
  <c r="A355" i="12"/>
  <c r="A354" i="12"/>
  <c r="A353" i="12"/>
  <c r="A352" i="12"/>
  <c r="A351" i="12"/>
  <c r="A350" i="12"/>
  <c r="A316" i="12"/>
  <c r="A315" i="12"/>
  <c r="A314" i="12"/>
  <c r="A313" i="12"/>
  <c r="A312" i="12"/>
  <c r="A311" i="12"/>
  <c r="A276" i="12"/>
  <c r="A275" i="12"/>
  <c r="A274" i="12"/>
  <c r="A273" i="12"/>
  <c r="A272" i="12"/>
  <c r="A271" i="12"/>
  <c r="A237" i="12"/>
  <c r="A236" i="12"/>
  <c r="A235" i="12"/>
  <c r="A234" i="12"/>
  <c r="A233" i="12"/>
  <c r="A232" i="12"/>
  <c r="A433" i="12"/>
  <c r="A432" i="12"/>
  <c r="A431" i="12"/>
  <c r="A430" i="12"/>
  <c r="A429" i="12"/>
  <c r="A428" i="12"/>
  <c r="A199" i="12"/>
  <c r="A198" i="12"/>
  <c r="A197" i="12"/>
  <c r="A196" i="12"/>
  <c r="A195" i="12"/>
  <c r="A194" i="12"/>
  <c r="A160" i="12"/>
  <c r="A159" i="12"/>
  <c r="A158" i="12"/>
  <c r="A157" i="12"/>
  <c r="A156" i="12"/>
  <c r="A155" i="12"/>
  <c r="F5" i="63"/>
  <c r="B3" i="12" l="1"/>
  <c r="M5" i="63"/>
  <c r="L5" i="63"/>
  <c r="K5" i="63"/>
  <c r="J5" i="63"/>
  <c r="I5" i="63"/>
  <c r="H5" i="63"/>
  <c r="G5" i="63"/>
  <c r="L5" i="40"/>
  <c r="M5" i="61" l="1"/>
  <c r="L5" i="61"/>
  <c r="K5" i="61"/>
  <c r="J5" i="61"/>
  <c r="I5" i="61"/>
  <c r="H5" i="61"/>
  <c r="G5" i="61"/>
  <c r="E4" i="69" l="1"/>
  <c r="M4" i="69"/>
  <c r="M157" i="69" s="1"/>
  <c r="L4" i="69"/>
  <c r="L157" i="69" s="1"/>
  <c r="M214" i="69"/>
  <c r="L214" i="69"/>
  <c r="K214" i="69"/>
  <c r="J214" i="69"/>
  <c r="I214" i="69"/>
  <c r="H214" i="69"/>
  <c r="G214" i="69"/>
  <c r="F214" i="69"/>
  <c r="M212" i="69"/>
  <c r="L212" i="69"/>
  <c r="K212" i="69"/>
  <c r="J212" i="69"/>
  <c r="I212" i="69"/>
  <c r="H212" i="69"/>
  <c r="G212" i="69"/>
  <c r="F212" i="69"/>
  <c r="M209" i="69"/>
  <c r="L209" i="69"/>
  <c r="K209" i="69"/>
  <c r="J209" i="69"/>
  <c r="I209" i="69"/>
  <c r="H209" i="69"/>
  <c r="G209" i="69"/>
  <c r="F209" i="69"/>
  <c r="BL207" i="69"/>
  <c r="BK207" i="69"/>
  <c r="BJ207" i="69"/>
  <c r="BI207" i="69"/>
  <c r="BH207" i="69"/>
  <c r="BG207" i="69"/>
  <c r="BF207" i="69"/>
  <c r="BE207" i="69"/>
  <c r="BD207" i="69"/>
  <c r="M207" i="69"/>
  <c r="L207" i="69"/>
  <c r="K207" i="69"/>
  <c r="J207" i="69"/>
  <c r="I207" i="69"/>
  <c r="H207" i="69"/>
  <c r="G207" i="69"/>
  <c r="F207" i="69"/>
  <c r="BL206" i="69"/>
  <c r="BK206" i="69"/>
  <c r="BJ206" i="69"/>
  <c r="BI206" i="69"/>
  <c r="BH206" i="69"/>
  <c r="BG206" i="69"/>
  <c r="BF206" i="69"/>
  <c r="BE206" i="69"/>
  <c r="BD206" i="69"/>
  <c r="BL205" i="69"/>
  <c r="BK205" i="69"/>
  <c r="BJ205" i="69"/>
  <c r="BI205" i="69"/>
  <c r="BH205" i="69"/>
  <c r="BG205" i="69"/>
  <c r="BF205" i="69"/>
  <c r="BE205" i="69"/>
  <c r="BD205" i="69"/>
  <c r="BL204" i="69"/>
  <c r="BK204" i="69"/>
  <c r="BJ204" i="69"/>
  <c r="BI204" i="69"/>
  <c r="BH204" i="69"/>
  <c r="BG204" i="69"/>
  <c r="BF204" i="69"/>
  <c r="BE204" i="69"/>
  <c r="BD204" i="69"/>
  <c r="M204" i="69"/>
  <c r="L204" i="69"/>
  <c r="K204" i="69"/>
  <c r="J204" i="69"/>
  <c r="I204" i="69"/>
  <c r="H204" i="69"/>
  <c r="G204" i="69"/>
  <c r="F204" i="69"/>
  <c r="BL203" i="69"/>
  <c r="BK203" i="69"/>
  <c r="BJ203" i="69"/>
  <c r="BI203" i="69"/>
  <c r="BH203" i="69"/>
  <c r="BG203" i="69"/>
  <c r="BF203" i="69"/>
  <c r="BE203" i="69"/>
  <c r="BD203" i="69"/>
  <c r="BL202" i="69"/>
  <c r="BK202" i="69"/>
  <c r="BJ202" i="69"/>
  <c r="BI202" i="69"/>
  <c r="BH202" i="69"/>
  <c r="BG202" i="69"/>
  <c r="BF202" i="69"/>
  <c r="BE202" i="69"/>
  <c r="BD202" i="69"/>
  <c r="M202" i="69"/>
  <c r="L202" i="69"/>
  <c r="K202" i="69"/>
  <c r="J202" i="69"/>
  <c r="I202" i="69"/>
  <c r="H202" i="69"/>
  <c r="G202" i="69"/>
  <c r="F202" i="69"/>
  <c r="BD201" i="69"/>
  <c r="BD200" i="69"/>
  <c r="BD199" i="69"/>
  <c r="M199" i="69"/>
  <c r="L199" i="69"/>
  <c r="K199" i="69"/>
  <c r="J199" i="69"/>
  <c r="I199" i="69"/>
  <c r="H199" i="69"/>
  <c r="G199" i="69"/>
  <c r="F199" i="69"/>
  <c r="BD198" i="69"/>
  <c r="BD197" i="69"/>
  <c r="M197" i="69"/>
  <c r="L197" i="69"/>
  <c r="K197" i="69"/>
  <c r="J197" i="69"/>
  <c r="I197" i="69"/>
  <c r="H197" i="69"/>
  <c r="G197" i="69"/>
  <c r="F197" i="69"/>
  <c r="BD196" i="69"/>
  <c r="BL195" i="69"/>
  <c r="BK195" i="69"/>
  <c r="BJ195" i="69"/>
  <c r="BI195" i="69"/>
  <c r="BH195" i="69"/>
  <c r="BG195" i="69"/>
  <c r="BF195" i="69"/>
  <c r="BE195" i="69"/>
  <c r="BD195" i="69"/>
  <c r="BL194" i="69"/>
  <c r="BK194" i="69"/>
  <c r="BJ194" i="69"/>
  <c r="BI194" i="69"/>
  <c r="BH194" i="69"/>
  <c r="BG194" i="69"/>
  <c r="BF194" i="69"/>
  <c r="BE194" i="69"/>
  <c r="BD194" i="69"/>
  <c r="M194" i="69"/>
  <c r="L194" i="69"/>
  <c r="K194" i="69"/>
  <c r="J194" i="69"/>
  <c r="I194" i="69"/>
  <c r="H194" i="69"/>
  <c r="G194" i="69"/>
  <c r="F194" i="69"/>
  <c r="BL193" i="69"/>
  <c r="BK193" i="69"/>
  <c r="BJ193" i="69"/>
  <c r="BI193" i="69"/>
  <c r="BH193" i="69"/>
  <c r="BG193" i="69"/>
  <c r="BF193" i="69"/>
  <c r="BE193" i="69"/>
  <c r="BD193" i="69"/>
  <c r="BL192" i="69"/>
  <c r="BK192" i="69"/>
  <c r="BJ192" i="69"/>
  <c r="BI192" i="69"/>
  <c r="BH192" i="69"/>
  <c r="BG192" i="69"/>
  <c r="BF192" i="69"/>
  <c r="BE192" i="69"/>
  <c r="BD192" i="69"/>
  <c r="M192" i="69"/>
  <c r="L192" i="69"/>
  <c r="K192" i="69"/>
  <c r="J192" i="69"/>
  <c r="I192" i="69"/>
  <c r="H192" i="69"/>
  <c r="G192" i="69"/>
  <c r="F192" i="69"/>
  <c r="BL191" i="69"/>
  <c r="BK191" i="69"/>
  <c r="BJ191" i="69"/>
  <c r="BI191" i="69"/>
  <c r="BH191" i="69"/>
  <c r="BG191" i="69"/>
  <c r="BF191" i="69"/>
  <c r="BE191" i="69"/>
  <c r="BD191" i="69"/>
  <c r="BL190" i="69"/>
  <c r="BK190" i="69"/>
  <c r="BJ190" i="69"/>
  <c r="BI190" i="69"/>
  <c r="BH190" i="69"/>
  <c r="BG190" i="69"/>
  <c r="BF190" i="69"/>
  <c r="BE190" i="69"/>
  <c r="BD190" i="69"/>
  <c r="BL189" i="69"/>
  <c r="BK189" i="69"/>
  <c r="BJ189" i="69"/>
  <c r="BI189" i="69"/>
  <c r="BH189" i="69"/>
  <c r="BG189" i="69"/>
  <c r="BF189" i="69"/>
  <c r="BE189" i="69"/>
  <c r="BD189" i="69"/>
  <c r="M189" i="69"/>
  <c r="L189" i="69"/>
  <c r="K189" i="69"/>
  <c r="J189" i="69"/>
  <c r="I189" i="69"/>
  <c r="H189" i="69"/>
  <c r="G189" i="69"/>
  <c r="F189" i="69"/>
  <c r="BL188" i="69"/>
  <c r="BK188" i="69"/>
  <c r="BJ188" i="69"/>
  <c r="BI188" i="69"/>
  <c r="BH188" i="69"/>
  <c r="BG188" i="69"/>
  <c r="BF188" i="69"/>
  <c r="BE188" i="69"/>
  <c r="BD188" i="69"/>
  <c r="BL187" i="69"/>
  <c r="BK187" i="69"/>
  <c r="BJ187" i="69"/>
  <c r="BI187" i="69"/>
  <c r="BH187" i="69"/>
  <c r="BG187" i="69"/>
  <c r="BF187" i="69"/>
  <c r="BE187" i="69"/>
  <c r="BD187" i="69"/>
  <c r="M187" i="69"/>
  <c r="L187" i="69"/>
  <c r="K187" i="69"/>
  <c r="J187" i="69"/>
  <c r="I187" i="69"/>
  <c r="H187" i="69"/>
  <c r="G187" i="69"/>
  <c r="F187" i="69"/>
  <c r="BL186" i="69"/>
  <c r="BK186" i="69"/>
  <c r="BJ186" i="69"/>
  <c r="BI186" i="69"/>
  <c r="BH186" i="69"/>
  <c r="BG186" i="69"/>
  <c r="BF186" i="69"/>
  <c r="BE186" i="69"/>
  <c r="BD186" i="69"/>
  <c r="BL185" i="69"/>
  <c r="BK185" i="69"/>
  <c r="BJ185" i="69"/>
  <c r="BI185" i="69"/>
  <c r="BH185" i="69"/>
  <c r="BG185" i="69"/>
  <c r="BF185" i="69"/>
  <c r="BE185" i="69"/>
  <c r="BD185" i="69"/>
  <c r="BL184" i="69"/>
  <c r="BK184" i="69"/>
  <c r="BJ184" i="69"/>
  <c r="BI184" i="69"/>
  <c r="BH184" i="69"/>
  <c r="BG184" i="69"/>
  <c r="BF184" i="69"/>
  <c r="BE184" i="69"/>
  <c r="BD184" i="69"/>
  <c r="L184" i="69"/>
  <c r="BD183" i="69"/>
  <c r="R181" i="69"/>
  <c r="BL176" i="69"/>
  <c r="BK176" i="69"/>
  <c r="BJ176" i="69"/>
  <c r="BI176" i="69"/>
  <c r="BH176" i="69"/>
  <c r="BG176" i="69"/>
  <c r="BF176" i="69"/>
  <c r="BE176" i="69"/>
  <c r="BD176" i="69"/>
  <c r="BL175" i="69"/>
  <c r="BK175" i="69"/>
  <c r="BJ175" i="69"/>
  <c r="BI175" i="69"/>
  <c r="BH175" i="69"/>
  <c r="BG175" i="69"/>
  <c r="BF175" i="69"/>
  <c r="BE175" i="69"/>
  <c r="BD175" i="69"/>
  <c r="BD170" i="69"/>
  <c r="BD169" i="69"/>
  <c r="M167" i="69"/>
  <c r="L167" i="69"/>
  <c r="K167" i="69"/>
  <c r="J167" i="69"/>
  <c r="I167" i="69"/>
  <c r="H167" i="69"/>
  <c r="G167" i="69"/>
  <c r="F167" i="69"/>
  <c r="M165" i="69"/>
  <c r="L165" i="69"/>
  <c r="K165" i="69"/>
  <c r="J165" i="69"/>
  <c r="I165" i="69"/>
  <c r="H165" i="69"/>
  <c r="G165" i="69"/>
  <c r="F165" i="69"/>
  <c r="BL164" i="69"/>
  <c r="BK164" i="69"/>
  <c r="BJ164" i="69"/>
  <c r="BI164" i="69"/>
  <c r="BH164" i="69"/>
  <c r="BG164" i="69"/>
  <c r="BF164" i="69"/>
  <c r="BE164" i="69"/>
  <c r="BD164" i="69"/>
  <c r="BL163" i="69"/>
  <c r="BK163" i="69"/>
  <c r="BJ163" i="69"/>
  <c r="BI163" i="69"/>
  <c r="BH163" i="69"/>
  <c r="BG163" i="69"/>
  <c r="BF163" i="69"/>
  <c r="BE163" i="69"/>
  <c r="BD163" i="69"/>
  <c r="M162" i="69"/>
  <c r="L162" i="69"/>
  <c r="K162" i="69"/>
  <c r="J162" i="69"/>
  <c r="I162" i="69"/>
  <c r="H162" i="69"/>
  <c r="G162" i="69"/>
  <c r="F162" i="69"/>
  <c r="M160" i="69"/>
  <c r="L160" i="69"/>
  <c r="K160" i="69"/>
  <c r="J160" i="69"/>
  <c r="I160" i="69"/>
  <c r="H160" i="69"/>
  <c r="G160" i="69"/>
  <c r="F160" i="69"/>
  <c r="BL158" i="69"/>
  <c r="BK158" i="69"/>
  <c r="BJ158" i="69"/>
  <c r="BI158" i="69"/>
  <c r="BH158" i="69"/>
  <c r="BG158" i="69"/>
  <c r="BF158" i="69"/>
  <c r="BE158" i="69"/>
  <c r="BD158" i="69"/>
  <c r="BL157" i="69"/>
  <c r="BK157" i="69"/>
  <c r="BJ157" i="69"/>
  <c r="BI157" i="69"/>
  <c r="BH157" i="69"/>
  <c r="BG157" i="69"/>
  <c r="BF157" i="69"/>
  <c r="BE157" i="69"/>
  <c r="BD157" i="69"/>
  <c r="BD156" i="69"/>
  <c r="R154" i="69"/>
  <c r="BL148" i="69"/>
  <c r="BK148" i="69"/>
  <c r="BJ148" i="69"/>
  <c r="BI148" i="69"/>
  <c r="BH148" i="69"/>
  <c r="BG148" i="69"/>
  <c r="BF148" i="69"/>
  <c r="BE148" i="69"/>
  <c r="BD148" i="69"/>
  <c r="BD144" i="69"/>
  <c r="BL140" i="69"/>
  <c r="BK140" i="69"/>
  <c r="BJ140" i="69"/>
  <c r="BI140" i="69"/>
  <c r="BH140" i="69"/>
  <c r="BG140" i="69"/>
  <c r="BF140" i="69"/>
  <c r="BE140" i="69"/>
  <c r="BD140" i="69"/>
  <c r="BL136" i="69"/>
  <c r="BK136" i="69"/>
  <c r="BJ136" i="69"/>
  <c r="BI136" i="69"/>
  <c r="BH136" i="69"/>
  <c r="BG136" i="69"/>
  <c r="BF136" i="69"/>
  <c r="BE136" i="69"/>
  <c r="BD136" i="69"/>
  <c r="BD135" i="69"/>
  <c r="M135" i="69"/>
  <c r="L135" i="69"/>
  <c r="K135" i="69"/>
  <c r="J135" i="69"/>
  <c r="I135" i="69"/>
  <c r="H135" i="69"/>
  <c r="G135" i="69"/>
  <c r="F135" i="69"/>
  <c r="M134" i="69"/>
  <c r="BL144" i="69" s="1"/>
  <c r="L134" i="69"/>
  <c r="BK144" i="69" s="1"/>
  <c r="K134" i="69"/>
  <c r="BJ144" i="69" s="1"/>
  <c r="J134" i="69"/>
  <c r="BI144" i="69" s="1"/>
  <c r="I134" i="69"/>
  <c r="BH144" i="69" s="1"/>
  <c r="H134" i="69"/>
  <c r="BG144" i="69" s="1"/>
  <c r="G134" i="69"/>
  <c r="BF144" i="69" s="1"/>
  <c r="F134" i="69"/>
  <c r="BE144" i="69" s="1"/>
  <c r="M133" i="69"/>
  <c r="L133" i="69"/>
  <c r="K133" i="69"/>
  <c r="J133" i="69"/>
  <c r="I133" i="69"/>
  <c r="H133" i="69"/>
  <c r="G133" i="69"/>
  <c r="F133" i="69"/>
  <c r="L130" i="69"/>
  <c r="R127" i="69"/>
  <c r="BL122" i="69"/>
  <c r="BK122" i="69"/>
  <c r="BJ122" i="69"/>
  <c r="BI122" i="69"/>
  <c r="BH122" i="69"/>
  <c r="BG122" i="69"/>
  <c r="BF122" i="69"/>
  <c r="BE122" i="69"/>
  <c r="BD122" i="69"/>
  <c r="BL121" i="69"/>
  <c r="BK121" i="69"/>
  <c r="BJ121" i="69"/>
  <c r="BI121" i="69"/>
  <c r="BH121" i="69"/>
  <c r="BG121" i="69"/>
  <c r="BF121" i="69"/>
  <c r="BE121" i="69"/>
  <c r="BD121" i="69"/>
  <c r="BL119" i="69"/>
  <c r="BK119" i="69"/>
  <c r="BJ119" i="69"/>
  <c r="BI119" i="69"/>
  <c r="BH119" i="69"/>
  <c r="BG119" i="69"/>
  <c r="BF119" i="69"/>
  <c r="BE119" i="69"/>
  <c r="BD119" i="69"/>
  <c r="BD118" i="69"/>
  <c r="BL115" i="69"/>
  <c r="BK115" i="69"/>
  <c r="BJ115" i="69"/>
  <c r="BI115" i="69"/>
  <c r="BH115" i="69"/>
  <c r="BG115" i="69"/>
  <c r="BF115" i="69"/>
  <c r="BE115" i="69"/>
  <c r="BD115" i="69"/>
  <c r="BC115" i="69"/>
  <c r="BL114" i="69"/>
  <c r="BK114" i="69"/>
  <c r="BJ114" i="69"/>
  <c r="BI114" i="69"/>
  <c r="BH114" i="69"/>
  <c r="BG114" i="69"/>
  <c r="BF114" i="69"/>
  <c r="BE114" i="69"/>
  <c r="BD114" i="69"/>
  <c r="BL111" i="69"/>
  <c r="BK111" i="69"/>
  <c r="BJ111" i="69"/>
  <c r="BI111" i="69"/>
  <c r="BH111" i="69"/>
  <c r="BG111" i="69"/>
  <c r="BF111" i="69"/>
  <c r="BE111" i="69"/>
  <c r="BD111" i="69"/>
  <c r="BL110" i="69"/>
  <c r="BK110" i="69"/>
  <c r="BJ110" i="69"/>
  <c r="BI110" i="69"/>
  <c r="BH110" i="69"/>
  <c r="BG110" i="69"/>
  <c r="BF110" i="69"/>
  <c r="BE110" i="69"/>
  <c r="BD110" i="69"/>
  <c r="BD109" i="69"/>
  <c r="M109" i="69"/>
  <c r="L109" i="69"/>
  <c r="K109" i="69"/>
  <c r="J109" i="69"/>
  <c r="I109" i="69"/>
  <c r="H109" i="69"/>
  <c r="G109" i="69"/>
  <c r="F109" i="69"/>
  <c r="BL108" i="69"/>
  <c r="BK108" i="69"/>
  <c r="BJ108" i="69"/>
  <c r="BI108" i="69"/>
  <c r="BH108" i="69"/>
  <c r="BG108" i="69"/>
  <c r="BF108" i="69"/>
  <c r="BE108" i="69"/>
  <c r="M107" i="69"/>
  <c r="L107" i="69"/>
  <c r="K107" i="69"/>
  <c r="J107" i="69"/>
  <c r="I107" i="69"/>
  <c r="H107" i="69"/>
  <c r="G107" i="69"/>
  <c r="F107" i="69"/>
  <c r="M103" i="69"/>
  <c r="L103" i="69"/>
  <c r="R100" i="69"/>
  <c r="M96" i="69"/>
  <c r="L96" i="69"/>
  <c r="K96" i="69"/>
  <c r="J96" i="69"/>
  <c r="I96" i="69"/>
  <c r="H96" i="69"/>
  <c r="G96" i="69"/>
  <c r="F96" i="69"/>
  <c r="M94" i="69"/>
  <c r="L94" i="69"/>
  <c r="K94" i="69"/>
  <c r="J94" i="69"/>
  <c r="I94" i="69"/>
  <c r="H94" i="69"/>
  <c r="G94" i="69"/>
  <c r="F94" i="69"/>
  <c r="M91" i="69"/>
  <c r="L91" i="69"/>
  <c r="K91" i="69"/>
  <c r="J91" i="69"/>
  <c r="I91" i="69"/>
  <c r="H91" i="69"/>
  <c r="G91" i="69"/>
  <c r="F91" i="69"/>
  <c r="BL90" i="69"/>
  <c r="BK90" i="69"/>
  <c r="BJ90" i="69"/>
  <c r="BI90" i="69"/>
  <c r="BH90" i="69"/>
  <c r="BG90" i="69"/>
  <c r="BF90" i="69"/>
  <c r="BE90" i="69"/>
  <c r="BD90" i="69"/>
  <c r="BL89" i="69"/>
  <c r="BK89" i="69"/>
  <c r="BJ89" i="69"/>
  <c r="BI89" i="69"/>
  <c r="BH89" i="69"/>
  <c r="BG89" i="69"/>
  <c r="BF89" i="69"/>
  <c r="BE89" i="69"/>
  <c r="BD89" i="69"/>
  <c r="M89" i="69"/>
  <c r="L89" i="69"/>
  <c r="K89" i="69"/>
  <c r="J89" i="69"/>
  <c r="I89" i="69"/>
  <c r="H89" i="69"/>
  <c r="G89" i="69"/>
  <c r="F89" i="69"/>
  <c r="BL88" i="69"/>
  <c r="BK88" i="69"/>
  <c r="BJ88" i="69"/>
  <c r="BI88" i="69"/>
  <c r="BH88" i="69"/>
  <c r="BG88" i="69"/>
  <c r="BF88" i="69"/>
  <c r="BE88" i="69"/>
  <c r="BD88" i="69"/>
  <c r="BL87" i="69"/>
  <c r="BK87" i="69"/>
  <c r="BJ87" i="69"/>
  <c r="BI87" i="69"/>
  <c r="BH87" i="69"/>
  <c r="BG87" i="69"/>
  <c r="BF87" i="69"/>
  <c r="BE87" i="69"/>
  <c r="BD87" i="69"/>
  <c r="BL86" i="69"/>
  <c r="BK86" i="69"/>
  <c r="BJ86" i="69"/>
  <c r="BI86" i="69"/>
  <c r="BH86" i="69"/>
  <c r="BG86" i="69"/>
  <c r="BF86" i="69"/>
  <c r="BE86" i="69"/>
  <c r="BD86" i="69"/>
  <c r="M86" i="69"/>
  <c r="L86" i="69"/>
  <c r="K86" i="69"/>
  <c r="J86" i="69"/>
  <c r="I86" i="69"/>
  <c r="H86" i="69"/>
  <c r="G86" i="69"/>
  <c r="F86" i="69"/>
  <c r="BL85" i="69"/>
  <c r="BK85" i="69"/>
  <c r="BJ85" i="69"/>
  <c r="BI85" i="69"/>
  <c r="BH85" i="69"/>
  <c r="BG85" i="69"/>
  <c r="BF85" i="69"/>
  <c r="BE85" i="69"/>
  <c r="BD85" i="69"/>
  <c r="BD84" i="69"/>
  <c r="M84" i="69"/>
  <c r="L84" i="69"/>
  <c r="K84" i="69"/>
  <c r="J84" i="69"/>
  <c r="I84" i="69"/>
  <c r="H84" i="69"/>
  <c r="G84" i="69"/>
  <c r="F84" i="69"/>
  <c r="BD83" i="69"/>
  <c r="BD82" i="69"/>
  <c r="BD81" i="69"/>
  <c r="M81" i="69"/>
  <c r="L81" i="69"/>
  <c r="K81" i="69"/>
  <c r="J81" i="69"/>
  <c r="I81" i="69"/>
  <c r="H81" i="69"/>
  <c r="G81" i="69"/>
  <c r="F81" i="69"/>
  <c r="BD80" i="69"/>
  <c r="BD79" i="69"/>
  <c r="M79" i="69"/>
  <c r="L79" i="69"/>
  <c r="K79" i="69"/>
  <c r="J79" i="69"/>
  <c r="I79" i="69"/>
  <c r="H79" i="69"/>
  <c r="G79" i="69"/>
  <c r="F79" i="69"/>
  <c r="BL78" i="69"/>
  <c r="BK78" i="69"/>
  <c r="BJ78" i="69"/>
  <c r="BI78" i="69"/>
  <c r="BH78" i="69"/>
  <c r="BG78" i="69"/>
  <c r="BF78" i="69"/>
  <c r="BE78" i="69"/>
  <c r="BD78" i="69"/>
  <c r="BL77" i="69"/>
  <c r="BK77" i="69"/>
  <c r="BJ77" i="69"/>
  <c r="BI77" i="69"/>
  <c r="BH77" i="69"/>
  <c r="BG77" i="69"/>
  <c r="BF77" i="69"/>
  <c r="BE77" i="69"/>
  <c r="BD77" i="69"/>
  <c r="BL76" i="69"/>
  <c r="BK76" i="69"/>
  <c r="BJ76" i="69"/>
  <c r="BI76" i="69"/>
  <c r="BH76" i="69"/>
  <c r="BG76" i="69"/>
  <c r="BF76" i="69"/>
  <c r="BE76" i="69"/>
  <c r="BD76" i="69"/>
  <c r="M76" i="69"/>
  <c r="L76" i="69"/>
  <c r="K76" i="69"/>
  <c r="J76" i="69"/>
  <c r="I76" i="69"/>
  <c r="H76" i="69"/>
  <c r="G76" i="69"/>
  <c r="F76" i="69"/>
  <c r="BL75" i="69"/>
  <c r="BK75" i="69"/>
  <c r="BJ75" i="69"/>
  <c r="BI75" i="69"/>
  <c r="BH75" i="69"/>
  <c r="BG75" i="69"/>
  <c r="BF75" i="69"/>
  <c r="BE75" i="69"/>
  <c r="BD75" i="69"/>
  <c r="BL74" i="69"/>
  <c r="BK74" i="69"/>
  <c r="BJ74" i="69"/>
  <c r="BI74" i="69"/>
  <c r="BH74" i="69"/>
  <c r="BG74" i="69"/>
  <c r="BF74" i="69"/>
  <c r="BE74" i="69"/>
  <c r="BD74" i="69"/>
  <c r="M74" i="69"/>
  <c r="L74" i="69"/>
  <c r="K74" i="69"/>
  <c r="J74" i="69"/>
  <c r="I74" i="69"/>
  <c r="H74" i="69"/>
  <c r="G74" i="69"/>
  <c r="F74" i="69"/>
  <c r="BL73" i="69"/>
  <c r="BK73" i="69"/>
  <c r="BJ73" i="69"/>
  <c r="BI73" i="69"/>
  <c r="BH73" i="69"/>
  <c r="BG73" i="69"/>
  <c r="BF73" i="69"/>
  <c r="BE73" i="69"/>
  <c r="BD73" i="69"/>
  <c r="BL72" i="69"/>
  <c r="BK72" i="69"/>
  <c r="BJ72" i="69"/>
  <c r="BI72" i="69"/>
  <c r="BH72" i="69"/>
  <c r="BG72" i="69"/>
  <c r="BF72" i="69"/>
  <c r="BE72" i="69"/>
  <c r="BD72" i="69"/>
  <c r="BL71" i="69"/>
  <c r="BK71" i="69"/>
  <c r="BJ71" i="69"/>
  <c r="BI71" i="69"/>
  <c r="BH71" i="69"/>
  <c r="BG71" i="69"/>
  <c r="BF71" i="69"/>
  <c r="BE71" i="69"/>
  <c r="BD71" i="69"/>
  <c r="M71" i="69"/>
  <c r="L71" i="69"/>
  <c r="K71" i="69"/>
  <c r="J71" i="69"/>
  <c r="I71" i="69"/>
  <c r="H71" i="69"/>
  <c r="G71" i="69"/>
  <c r="F71" i="69"/>
  <c r="BL70" i="69"/>
  <c r="BK70" i="69"/>
  <c r="BJ70" i="69"/>
  <c r="BI70" i="69"/>
  <c r="BH70" i="69"/>
  <c r="BG70" i="69"/>
  <c r="BF70" i="69"/>
  <c r="BE70" i="69"/>
  <c r="BD70" i="69"/>
  <c r="BL69" i="69"/>
  <c r="BK69" i="69"/>
  <c r="BJ69" i="69"/>
  <c r="BI69" i="69"/>
  <c r="BH69" i="69"/>
  <c r="BG69" i="69"/>
  <c r="BF69" i="69"/>
  <c r="BE69" i="69"/>
  <c r="BD69" i="69"/>
  <c r="M69" i="69"/>
  <c r="L69" i="69"/>
  <c r="K69" i="69"/>
  <c r="J69" i="69"/>
  <c r="I69" i="69"/>
  <c r="H69" i="69"/>
  <c r="G69" i="69"/>
  <c r="F69" i="69"/>
  <c r="BL68" i="69"/>
  <c r="BK68" i="69"/>
  <c r="BJ68" i="69"/>
  <c r="BI68" i="69"/>
  <c r="BH68" i="69"/>
  <c r="BG68" i="69"/>
  <c r="BF68" i="69"/>
  <c r="BE68" i="69"/>
  <c r="BD68" i="69"/>
  <c r="BL67" i="69"/>
  <c r="BK67" i="69"/>
  <c r="BJ67" i="69"/>
  <c r="BI67" i="69"/>
  <c r="BH67" i="69"/>
  <c r="BG67" i="69"/>
  <c r="BF67" i="69"/>
  <c r="BE67" i="69"/>
  <c r="BD67" i="69"/>
  <c r="BD66" i="69"/>
  <c r="L66" i="69"/>
  <c r="BK65" i="69"/>
  <c r="BJ65" i="69"/>
  <c r="BI65" i="69"/>
  <c r="BH65" i="69"/>
  <c r="BG65" i="69"/>
  <c r="BF65" i="69"/>
  <c r="BE65" i="69"/>
  <c r="R63" i="69"/>
  <c r="BT52" i="69"/>
  <c r="BS52" i="69"/>
  <c r="BR52" i="69"/>
  <c r="BQ52" i="69"/>
  <c r="BP52" i="69"/>
  <c r="BO52" i="69"/>
  <c r="BN52" i="69"/>
  <c r="BM52" i="69"/>
  <c r="BT44" i="69"/>
  <c r="BS44" i="69"/>
  <c r="BR44" i="69"/>
  <c r="BQ44" i="69"/>
  <c r="BP44" i="69"/>
  <c r="BO44" i="69"/>
  <c r="BN44" i="69"/>
  <c r="BM44" i="69"/>
  <c r="M44" i="69"/>
  <c r="L44" i="69"/>
  <c r="K44" i="69"/>
  <c r="J44" i="69"/>
  <c r="I44" i="69"/>
  <c r="H44" i="69"/>
  <c r="G44" i="69"/>
  <c r="F44" i="69"/>
  <c r="M42" i="69"/>
  <c r="L42" i="69"/>
  <c r="K42" i="69"/>
  <c r="J42" i="69"/>
  <c r="I42" i="69"/>
  <c r="H42" i="69"/>
  <c r="G42" i="69"/>
  <c r="F42" i="69"/>
  <c r="BT40" i="69"/>
  <c r="BS40" i="69"/>
  <c r="BR40" i="69"/>
  <c r="BQ40" i="69"/>
  <c r="BP40" i="69"/>
  <c r="BO40" i="69"/>
  <c r="BN40" i="69"/>
  <c r="BM40" i="69"/>
  <c r="L39" i="69"/>
  <c r="BT38" i="69"/>
  <c r="BS38" i="69"/>
  <c r="BR38" i="69"/>
  <c r="BQ38" i="69"/>
  <c r="BP38" i="69"/>
  <c r="BO38" i="69"/>
  <c r="BN38" i="69"/>
  <c r="BM38" i="69"/>
  <c r="R36" i="69"/>
  <c r="M32" i="69"/>
  <c r="L32" i="69"/>
  <c r="K32" i="69"/>
  <c r="J32" i="69"/>
  <c r="I32" i="69"/>
  <c r="H32" i="69"/>
  <c r="G32" i="69"/>
  <c r="F32" i="69"/>
  <c r="M30" i="69"/>
  <c r="L30" i="69"/>
  <c r="K30" i="69"/>
  <c r="J30" i="69"/>
  <c r="I30" i="69"/>
  <c r="H30" i="69"/>
  <c r="G30" i="69"/>
  <c r="F30" i="69"/>
  <c r="BL28" i="69"/>
  <c r="BK28" i="69"/>
  <c r="BJ28" i="69"/>
  <c r="BI28" i="69"/>
  <c r="BH28" i="69"/>
  <c r="BG28" i="69"/>
  <c r="BF28" i="69"/>
  <c r="BE28" i="69"/>
  <c r="BD28" i="69"/>
  <c r="BL27" i="69"/>
  <c r="BK27" i="69"/>
  <c r="BJ27" i="69"/>
  <c r="BI27" i="69"/>
  <c r="BH27" i="69"/>
  <c r="BG27" i="69"/>
  <c r="BF27" i="69"/>
  <c r="BE27" i="69"/>
  <c r="BD27" i="69"/>
  <c r="M27" i="69"/>
  <c r="L27" i="69"/>
  <c r="K27" i="69"/>
  <c r="J27" i="69"/>
  <c r="I27" i="69"/>
  <c r="H27" i="69"/>
  <c r="G27" i="69"/>
  <c r="F27" i="69"/>
  <c r="BL26" i="69"/>
  <c r="BK26" i="69"/>
  <c r="BJ26" i="69"/>
  <c r="BI26" i="69"/>
  <c r="BH26" i="69"/>
  <c r="BG26" i="69"/>
  <c r="BF26" i="69"/>
  <c r="BE26" i="69"/>
  <c r="BD26" i="69"/>
  <c r="BL25" i="69"/>
  <c r="BK25" i="69"/>
  <c r="BJ25" i="69"/>
  <c r="BI25" i="69"/>
  <c r="BH25" i="69"/>
  <c r="BG25" i="69"/>
  <c r="BF25" i="69"/>
  <c r="BE25" i="69"/>
  <c r="BD25" i="69"/>
  <c r="M25" i="69"/>
  <c r="L25" i="69"/>
  <c r="K25" i="69"/>
  <c r="J25" i="69"/>
  <c r="I25" i="69"/>
  <c r="H25" i="69"/>
  <c r="G25" i="69"/>
  <c r="F25" i="69"/>
  <c r="BD24" i="69"/>
  <c r="BD23" i="69"/>
  <c r="BD22" i="69"/>
  <c r="M22" i="69"/>
  <c r="L22" i="69"/>
  <c r="K22" i="69"/>
  <c r="J22" i="69"/>
  <c r="I22" i="69"/>
  <c r="H22" i="69"/>
  <c r="G22" i="69"/>
  <c r="F22" i="69"/>
  <c r="BD21" i="69"/>
  <c r="BL20" i="69"/>
  <c r="BK20" i="69"/>
  <c r="BJ20" i="69"/>
  <c r="BI20" i="69"/>
  <c r="BH20" i="69"/>
  <c r="BG20" i="69"/>
  <c r="BF20" i="69"/>
  <c r="BE20" i="69"/>
  <c r="BD20" i="69"/>
  <c r="M20" i="69"/>
  <c r="L20" i="69"/>
  <c r="K20" i="69"/>
  <c r="J20" i="69"/>
  <c r="I20" i="69"/>
  <c r="H20" i="69"/>
  <c r="G20" i="69"/>
  <c r="F20" i="69"/>
  <c r="BL19" i="69"/>
  <c r="BK19" i="69"/>
  <c r="BJ19" i="69"/>
  <c r="BI19" i="69"/>
  <c r="BH19" i="69"/>
  <c r="BG19" i="69"/>
  <c r="BF19" i="69"/>
  <c r="BE19" i="69"/>
  <c r="BD19" i="69"/>
  <c r="BL18" i="69"/>
  <c r="BK18" i="69"/>
  <c r="BJ18" i="69"/>
  <c r="BI18" i="69"/>
  <c r="BH18" i="69"/>
  <c r="BG18" i="69"/>
  <c r="BF18" i="69"/>
  <c r="BE18" i="69"/>
  <c r="BD18" i="69"/>
  <c r="BL17" i="69"/>
  <c r="BK17" i="69"/>
  <c r="BJ17" i="69"/>
  <c r="BI17" i="69"/>
  <c r="BH17" i="69"/>
  <c r="BG17" i="69"/>
  <c r="BF17" i="69"/>
  <c r="BE17" i="69"/>
  <c r="BD17" i="69"/>
  <c r="M17" i="69"/>
  <c r="L17" i="69"/>
  <c r="K17" i="69"/>
  <c r="J17" i="69"/>
  <c r="I17" i="69"/>
  <c r="H17" i="69"/>
  <c r="G17" i="69"/>
  <c r="F17" i="69"/>
  <c r="BL16" i="69"/>
  <c r="BK16" i="69"/>
  <c r="BJ16" i="69"/>
  <c r="BI16" i="69"/>
  <c r="BH16" i="69"/>
  <c r="BG16" i="69"/>
  <c r="BF16" i="69"/>
  <c r="BE16" i="69"/>
  <c r="BD16" i="69"/>
  <c r="M16" i="69"/>
  <c r="BL21" i="69" s="1"/>
  <c r="L16" i="69"/>
  <c r="BK21" i="69" s="1"/>
  <c r="K16" i="69"/>
  <c r="BJ21" i="69" s="1"/>
  <c r="J16" i="69"/>
  <c r="BI21" i="69" s="1"/>
  <c r="I16" i="69"/>
  <c r="BH21" i="69" s="1"/>
  <c r="H16" i="69"/>
  <c r="BG21" i="69" s="1"/>
  <c r="G16" i="69"/>
  <c r="F16" i="69"/>
  <c r="BE21" i="69" s="1"/>
  <c r="BL15" i="69"/>
  <c r="BK15" i="69"/>
  <c r="BJ15" i="69"/>
  <c r="BI15" i="69"/>
  <c r="BH15" i="69"/>
  <c r="BG15" i="69"/>
  <c r="BF15" i="69"/>
  <c r="BE15" i="69"/>
  <c r="BD15" i="69"/>
  <c r="M15" i="69"/>
  <c r="L15" i="69"/>
  <c r="K15" i="69"/>
  <c r="J15" i="69"/>
  <c r="I15" i="69"/>
  <c r="H15" i="69"/>
  <c r="G15" i="69"/>
  <c r="F15" i="69"/>
  <c r="BL14" i="69"/>
  <c r="BK14" i="69"/>
  <c r="BJ14" i="69"/>
  <c r="BI14" i="69"/>
  <c r="BH14" i="69"/>
  <c r="BG14" i="69"/>
  <c r="BF14" i="69"/>
  <c r="BE14" i="69"/>
  <c r="BD14" i="69"/>
  <c r="BL13" i="69"/>
  <c r="BK13" i="69"/>
  <c r="BJ13" i="69"/>
  <c r="BI13" i="69"/>
  <c r="BH13" i="69"/>
  <c r="BG13" i="69"/>
  <c r="BF13" i="69"/>
  <c r="BE13" i="69"/>
  <c r="BD13" i="69"/>
  <c r="BD12" i="69"/>
  <c r="BK11" i="69"/>
  <c r="BJ11" i="69"/>
  <c r="BI11" i="69"/>
  <c r="BH11" i="69"/>
  <c r="BG11" i="69"/>
  <c r="BF11" i="69"/>
  <c r="BE11" i="69"/>
  <c r="L11" i="69"/>
  <c r="R8" i="69"/>
  <c r="M5" i="68"/>
  <c r="L5" i="68"/>
  <c r="K5" i="68"/>
  <c r="J5" i="68"/>
  <c r="J5" i="69" s="1"/>
  <c r="J198" i="69" s="1"/>
  <c r="BI198" i="69" s="1"/>
  <c r="I5" i="68"/>
  <c r="I5" i="69" s="1"/>
  <c r="I208" i="69" s="1"/>
  <c r="BH200" i="69" s="1"/>
  <c r="H5" i="68"/>
  <c r="H5" i="69" s="1"/>
  <c r="G5" i="68"/>
  <c r="G5" i="69" s="1"/>
  <c r="F5" i="68"/>
  <c r="F5" i="69" s="1"/>
  <c r="M214" i="68"/>
  <c r="L214" i="68"/>
  <c r="K214" i="68"/>
  <c r="J214" i="68"/>
  <c r="I214" i="68"/>
  <c r="H214" i="68"/>
  <c r="G214" i="68"/>
  <c r="F214" i="68"/>
  <c r="M212" i="68"/>
  <c r="L212" i="68"/>
  <c r="K212" i="68"/>
  <c r="J212" i="68"/>
  <c r="I212" i="68"/>
  <c r="H212" i="68"/>
  <c r="G212" i="68"/>
  <c r="F212" i="68"/>
  <c r="M209" i="68"/>
  <c r="L209" i="68"/>
  <c r="K209" i="68"/>
  <c r="J209" i="68"/>
  <c r="I209" i="68"/>
  <c r="H209" i="68"/>
  <c r="G209" i="68"/>
  <c r="F209" i="68"/>
  <c r="BL207" i="68"/>
  <c r="BK207" i="68"/>
  <c r="BJ207" i="68"/>
  <c r="BI207" i="68"/>
  <c r="BH207" i="68"/>
  <c r="BG207" i="68"/>
  <c r="BF207" i="68"/>
  <c r="BE207" i="68"/>
  <c r="BD207" i="68"/>
  <c r="M207" i="68"/>
  <c r="L207" i="68"/>
  <c r="K207" i="68"/>
  <c r="J207" i="68"/>
  <c r="I207" i="68"/>
  <c r="H207" i="68"/>
  <c r="G207" i="68"/>
  <c r="F207" i="68"/>
  <c r="BL206" i="68"/>
  <c r="BK206" i="68"/>
  <c r="BJ206" i="68"/>
  <c r="BI206" i="68"/>
  <c r="BH206" i="68"/>
  <c r="BG206" i="68"/>
  <c r="BF206" i="68"/>
  <c r="BE206" i="68"/>
  <c r="BD206" i="68"/>
  <c r="BL205" i="68"/>
  <c r="BK205" i="68"/>
  <c r="BJ205" i="68"/>
  <c r="BI205" i="68"/>
  <c r="BH205" i="68"/>
  <c r="BG205" i="68"/>
  <c r="BF205" i="68"/>
  <c r="BE205" i="68"/>
  <c r="BD205" i="68"/>
  <c r="BL204" i="68"/>
  <c r="BK204" i="68"/>
  <c r="BJ204" i="68"/>
  <c r="BI204" i="68"/>
  <c r="BH204" i="68"/>
  <c r="BG204" i="68"/>
  <c r="BF204" i="68"/>
  <c r="BE204" i="68"/>
  <c r="BD204" i="68"/>
  <c r="M204" i="68"/>
  <c r="L204" i="68"/>
  <c r="K204" i="68"/>
  <c r="J204" i="68"/>
  <c r="I204" i="68"/>
  <c r="H204" i="68"/>
  <c r="G204" i="68"/>
  <c r="F204" i="68"/>
  <c r="BL203" i="68"/>
  <c r="BK203" i="68"/>
  <c r="BJ203" i="68"/>
  <c r="BI203" i="68"/>
  <c r="BH203" i="68"/>
  <c r="BG203" i="68"/>
  <c r="BF203" i="68"/>
  <c r="BE203" i="68"/>
  <c r="BD203" i="68"/>
  <c r="BL202" i="68"/>
  <c r="BK202" i="68"/>
  <c r="BJ202" i="68"/>
  <c r="BI202" i="68"/>
  <c r="BH202" i="68"/>
  <c r="BG202" i="68"/>
  <c r="BF202" i="68"/>
  <c r="BE202" i="68"/>
  <c r="BD202" i="68"/>
  <c r="M202" i="68"/>
  <c r="L202" i="68"/>
  <c r="K202" i="68"/>
  <c r="J202" i="68"/>
  <c r="I202" i="68"/>
  <c r="H202" i="68"/>
  <c r="G202" i="68"/>
  <c r="F202" i="68"/>
  <c r="BD201" i="68"/>
  <c r="BD200" i="68"/>
  <c r="BD199" i="68"/>
  <c r="M199" i="68"/>
  <c r="L199" i="68"/>
  <c r="K199" i="68"/>
  <c r="J199" i="68"/>
  <c r="I199" i="68"/>
  <c r="H199" i="68"/>
  <c r="G199" i="68"/>
  <c r="F199" i="68"/>
  <c r="BD198" i="68"/>
  <c r="BD197" i="68"/>
  <c r="M197" i="68"/>
  <c r="L197" i="68"/>
  <c r="K197" i="68"/>
  <c r="J197" i="68"/>
  <c r="I197" i="68"/>
  <c r="H197" i="68"/>
  <c r="G197" i="68"/>
  <c r="F197" i="68"/>
  <c r="BD196" i="68"/>
  <c r="BL195" i="68"/>
  <c r="BK195" i="68"/>
  <c r="BJ195" i="68"/>
  <c r="BI195" i="68"/>
  <c r="BH195" i="68"/>
  <c r="BG195" i="68"/>
  <c r="BF195" i="68"/>
  <c r="BE195" i="68"/>
  <c r="BD195" i="68"/>
  <c r="BL194" i="68"/>
  <c r="BK194" i="68"/>
  <c r="BJ194" i="68"/>
  <c r="BI194" i="68"/>
  <c r="BH194" i="68"/>
  <c r="BG194" i="68"/>
  <c r="BF194" i="68"/>
  <c r="BE194" i="68"/>
  <c r="BD194" i="68"/>
  <c r="M194" i="68"/>
  <c r="L194" i="68"/>
  <c r="K194" i="68"/>
  <c r="J194" i="68"/>
  <c r="I194" i="68"/>
  <c r="H194" i="68"/>
  <c r="G194" i="68"/>
  <c r="F194" i="68"/>
  <c r="BL193" i="68"/>
  <c r="BK193" i="68"/>
  <c r="BJ193" i="68"/>
  <c r="BI193" i="68"/>
  <c r="BH193" i="68"/>
  <c r="BG193" i="68"/>
  <c r="BF193" i="68"/>
  <c r="BE193" i="68"/>
  <c r="BD193" i="68"/>
  <c r="BL192" i="68"/>
  <c r="BK192" i="68"/>
  <c r="BJ192" i="68"/>
  <c r="BI192" i="68"/>
  <c r="BH192" i="68"/>
  <c r="BG192" i="68"/>
  <c r="BF192" i="68"/>
  <c r="BE192" i="68"/>
  <c r="BD192" i="68"/>
  <c r="M192" i="68"/>
  <c r="L192" i="68"/>
  <c r="K192" i="68"/>
  <c r="J192" i="68"/>
  <c r="I192" i="68"/>
  <c r="H192" i="68"/>
  <c r="G192" i="68"/>
  <c r="F192" i="68"/>
  <c r="BL191" i="68"/>
  <c r="BK191" i="68"/>
  <c r="BJ191" i="68"/>
  <c r="BI191" i="68"/>
  <c r="BH191" i="68"/>
  <c r="BG191" i="68"/>
  <c r="BF191" i="68"/>
  <c r="BE191" i="68"/>
  <c r="BD191" i="68"/>
  <c r="BL190" i="68"/>
  <c r="BK190" i="68"/>
  <c r="BJ190" i="68"/>
  <c r="BI190" i="68"/>
  <c r="BH190" i="68"/>
  <c r="BG190" i="68"/>
  <c r="BF190" i="68"/>
  <c r="BE190" i="68"/>
  <c r="BD190" i="68"/>
  <c r="BL189" i="68"/>
  <c r="BK189" i="68"/>
  <c r="BJ189" i="68"/>
  <c r="BI189" i="68"/>
  <c r="BH189" i="68"/>
  <c r="BG189" i="68"/>
  <c r="BF189" i="68"/>
  <c r="BE189" i="68"/>
  <c r="BD189" i="68"/>
  <c r="M189" i="68"/>
  <c r="L189" i="68"/>
  <c r="K189" i="68"/>
  <c r="J189" i="68"/>
  <c r="I189" i="68"/>
  <c r="H189" i="68"/>
  <c r="G189" i="68"/>
  <c r="F189" i="68"/>
  <c r="BL188" i="68"/>
  <c r="BK188" i="68"/>
  <c r="BJ188" i="68"/>
  <c r="BI188" i="68"/>
  <c r="BH188" i="68"/>
  <c r="BG188" i="68"/>
  <c r="BF188" i="68"/>
  <c r="BE188" i="68"/>
  <c r="BD188" i="68"/>
  <c r="BL187" i="68"/>
  <c r="BK187" i="68"/>
  <c r="BJ187" i="68"/>
  <c r="BI187" i="68"/>
  <c r="BH187" i="68"/>
  <c r="BG187" i="68"/>
  <c r="BF187" i="68"/>
  <c r="BE187" i="68"/>
  <c r="BD187" i="68"/>
  <c r="M187" i="68"/>
  <c r="L187" i="68"/>
  <c r="K187" i="68"/>
  <c r="J187" i="68"/>
  <c r="I187" i="68"/>
  <c r="H187" i="68"/>
  <c r="G187" i="68"/>
  <c r="F187" i="68"/>
  <c r="BL186" i="68"/>
  <c r="BK186" i="68"/>
  <c r="BJ186" i="68"/>
  <c r="BI186" i="68"/>
  <c r="BH186" i="68"/>
  <c r="BG186" i="68"/>
  <c r="BF186" i="68"/>
  <c r="BE186" i="68"/>
  <c r="BD186" i="68"/>
  <c r="BL185" i="68"/>
  <c r="BK185" i="68"/>
  <c r="BJ185" i="68"/>
  <c r="BI185" i="68"/>
  <c r="BH185" i="68"/>
  <c r="BG185" i="68"/>
  <c r="BF185" i="68"/>
  <c r="BE185" i="68"/>
  <c r="BD185" i="68"/>
  <c r="BL184" i="68"/>
  <c r="BK184" i="68"/>
  <c r="BJ184" i="68"/>
  <c r="BI184" i="68"/>
  <c r="BH184" i="68"/>
  <c r="BG184" i="68"/>
  <c r="BF184" i="68"/>
  <c r="BE184" i="68"/>
  <c r="BD184" i="68"/>
  <c r="M184" i="68"/>
  <c r="L184" i="68"/>
  <c r="BD183" i="68"/>
  <c r="R181" i="68"/>
  <c r="BL176" i="68"/>
  <c r="BK176" i="68"/>
  <c r="BJ176" i="68"/>
  <c r="BI176" i="68"/>
  <c r="BH176" i="68"/>
  <c r="BG176" i="68"/>
  <c r="BF176" i="68"/>
  <c r="BE176" i="68"/>
  <c r="BD176" i="68"/>
  <c r="BL175" i="68"/>
  <c r="BK175" i="68"/>
  <c r="BJ175" i="68"/>
  <c r="BI175" i="68"/>
  <c r="BH175" i="68"/>
  <c r="BG175" i="68"/>
  <c r="BF175" i="68"/>
  <c r="BE175" i="68"/>
  <c r="BD175" i="68"/>
  <c r="BD170" i="68"/>
  <c r="BD169" i="68"/>
  <c r="M167" i="68"/>
  <c r="L167" i="68"/>
  <c r="K167" i="68"/>
  <c r="J167" i="68"/>
  <c r="I167" i="68"/>
  <c r="H167" i="68"/>
  <c r="G167" i="68"/>
  <c r="F167" i="68"/>
  <c r="M165" i="68"/>
  <c r="L165" i="68"/>
  <c r="K165" i="68"/>
  <c r="J165" i="68"/>
  <c r="I165" i="68"/>
  <c r="H165" i="68"/>
  <c r="G165" i="68"/>
  <c r="F165" i="68"/>
  <c r="BL164" i="68"/>
  <c r="BK164" i="68"/>
  <c r="BJ164" i="68"/>
  <c r="BI164" i="68"/>
  <c r="BH164" i="68"/>
  <c r="BG164" i="68"/>
  <c r="BF164" i="68"/>
  <c r="BE164" i="68"/>
  <c r="BD164" i="68"/>
  <c r="BL163" i="68"/>
  <c r="BK163" i="68"/>
  <c r="BJ163" i="68"/>
  <c r="BI163" i="68"/>
  <c r="BH163" i="68"/>
  <c r="BG163" i="68"/>
  <c r="BF163" i="68"/>
  <c r="BE163" i="68"/>
  <c r="BD163" i="68"/>
  <c r="M162" i="68"/>
  <c r="L162" i="68"/>
  <c r="K162" i="68"/>
  <c r="J162" i="68"/>
  <c r="I162" i="68"/>
  <c r="H162" i="68"/>
  <c r="G162" i="68"/>
  <c r="F162" i="68"/>
  <c r="M160" i="68"/>
  <c r="L160" i="68"/>
  <c r="K160" i="68"/>
  <c r="J160" i="68"/>
  <c r="I160" i="68"/>
  <c r="H160" i="68"/>
  <c r="G160" i="68"/>
  <c r="F160" i="68"/>
  <c r="BL158" i="68"/>
  <c r="BK158" i="68"/>
  <c r="BJ158" i="68"/>
  <c r="BI158" i="68"/>
  <c r="BH158" i="68"/>
  <c r="BG158" i="68"/>
  <c r="BF158" i="68"/>
  <c r="BE158" i="68"/>
  <c r="BD158" i="68"/>
  <c r="BL157" i="68"/>
  <c r="BK157" i="68"/>
  <c r="BJ157" i="68"/>
  <c r="BI157" i="68"/>
  <c r="BH157" i="68"/>
  <c r="BG157" i="68"/>
  <c r="BF157" i="68"/>
  <c r="BE157" i="68"/>
  <c r="BD157" i="68"/>
  <c r="M157" i="68"/>
  <c r="L157" i="68"/>
  <c r="BD156" i="68"/>
  <c r="R154" i="68"/>
  <c r="BL148" i="68"/>
  <c r="BK148" i="68"/>
  <c r="BJ148" i="68"/>
  <c r="BI148" i="68"/>
  <c r="BH148" i="68"/>
  <c r="BG148" i="68"/>
  <c r="BF148" i="68"/>
  <c r="BE148" i="68"/>
  <c r="BD148" i="68"/>
  <c r="BD144" i="68"/>
  <c r="BL140" i="68"/>
  <c r="BK140" i="68"/>
  <c r="BJ140" i="68"/>
  <c r="BI140" i="68"/>
  <c r="BH140" i="68"/>
  <c r="BG140" i="68"/>
  <c r="BF140" i="68"/>
  <c r="BE140" i="68"/>
  <c r="BD140" i="68"/>
  <c r="BL136" i="68"/>
  <c r="BK136" i="68"/>
  <c r="BJ136" i="68"/>
  <c r="BI136" i="68"/>
  <c r="BH136" i="68"/>
  <c r="BG136" i="68"/>
  <c r="BF136" i="68"/>
  <c r="BE136" i="68"/>
  <c r="BD136" i="68"/>
  <c r="BD135" i="68"/>
  <c r="M135" i="68"/>
  <c r="L135" i="68"/>
  <c r="K135" i="68"/>
  <c r="J135" i="68"/>
  <c r="I135" i="68"/>
  <c r="H135" i="68"/>
  <c r="G135" i="68"/>
  <c r="F135" i="68"/>
  <c r="M134" i="68"/>
  <c r="BL144" i="68" s="1"/>
  <c r="L134" i="68"/>
  <c r="BK144" i="68" s="1"/>
  <c r="K134" i="68"/>
  <c r="BJ144" i="68" s="1"/>
  <c r="J134" i="68"/>
  <c r="BI144" i="68" s="1"/>
  <c r="I134" i="68"/>
  <c r="BH144" i="68" s="1"/>
  <c r="H134" i="68"/>
  <c r="BG144" i="68" s="1"/>
  <c r="G134" i="68"/>
  <c r="BF144" i="68" s="1"/>
  <c r="F134" i="68"/>
  <c r="BE144" i="68" s="1"/>
  <c r="M133" i="68"/>
  <c r="L133" i="68"/>
  <c r="K133" i="68"/>
  <c r="J133" i="68"/>
  <c r="I133" i="68"/>
  <c r="H133" i="68"/>
  <c r="G133" i="68"/>
  <c r="F133" i="68"/>
  <c r="M130" i="68"/>
  <c r="L130" i="68"/>
  <c r="R127" i="68"/>
  <c r="BL122" i="68"/>
  <c r="BK122" i="68"/>
  <c r="BJ122" i="68"/>
  <c r="BI122" i="68"/>
  <c r="BH122" i="68"/>
  <c r="BG122" i="68"/>
  <c r="BF122" i="68"/>
  <c r="BE122" i="68"/>
  <c r="BD122" i="68"/>
  <c r="BL121" i="68"/>
  <c r="BK121" i="68"/>
  <c r="BJ121" i="68"/>
  <c r="BI121" i="68"/>
  <c r="BH121" i="68"/>
  <c r="BG121" i="68"/>
  <c r="BF121" i="68"/>
  <c r="BE121" i="68"/>
  <c r="BD121" i="68"/>
  <c r="BE119" i="68"/>
  <c r="BD119" i="68"/>
  <c r="BD118" i="68"/>
  <c r="BL115" i="68"/>
  <c r="BK115" i="68"/>
  <c r="BJ115" i="68"/>
  <c r="BI115" i="68"/>
  <c r="BH115" i="68"/>
  <c r="BG115" i="68"/>
  <c r="BF115" i="68"/>
  <c r="BE115" i="68"/>
  <c r="BD115" i="68"/>
  <c r="BL114" i="68"/>
  <c r="BK114" i="68"/>
  <c r="BJ114" i="68"/>
  <c r="BI114" i="68"/>
  <c r="BH114" i="68"/>
  <c r="BG114" i="68"/>
  <c r="BF114" i="68"/>
  <c r="BE114" i="68"/>
  <c r="BD114" i="68"/>
  <c r="BJ119" i="68"/>
  <c r="BL119" i="68"/>
  <c r="BK119" i="68"/>
  <c r="BI119" i="68"/>
  <c r="BH119" i="68"/>
  <c r="BG119" i="68"/>
  <c r="BF119" i="68"/>
  <c r="BL111" i="68"/>
  <c r="BK111" i="68"/>
  <c r="BJ111" i="68"/>
  <c r="BI111" i="68"/>
  <c r="BH111" i="68"/>
  <c r="BG111" i="68"/>
  <c r="BF111" i="68"/>
  <c r="BE111" i="68"/>
  <c r="BD111" i="68"/>
  <c r="BL110" i="68"/>
  <c r="BK110" i="68"/>
  <c r="BJ110" i="68"/>
  <c r="BI110" i="68"/>
  <c r="BH110" i="68"/>
  <c r="BG110" i="68"/>
  <c r="BF110" i="68"/>
  <c r="BE110" i="68"/>
  <c r="BD110" i="68"/>
  <c r="BD109" i="68"/>
  <c r="M109" i="68"/>
  <c r="L109" i="68"/>
  <c r="K109" i="68"/>
  <c r="J109" i="68"/>
  <c r="I109" i="68"/>
  <c r="H109" i="68"/>
  <c r="G109" i="68"/>
  <c r="F109" i="68"/>
  <c r="BL108" i="68"/>
  <c r="BK108" i="68"/>
  <c r="BJ108" i="68"/>
  <c r="BI108" i="68"/>
  <c r="BH108" i="68"/>
  <c r="BG108" i="68"/>
  <c r="BF108" i="68"/>
  <c r="BE108" i="68"/>
  <c r="M107" i="68"/>
  <c r="L107" i="68"/>
  <c r="K107" i="68"/>
  <c r="J107" i="68"/>
  <c r="I107" i="68"/>
  <c r="H107" i="68"/>
  <c r="G107" i="68"/>
  <c r="F107" i="68"/>
  <c r="M103" i="68"/>
  <c r="L103" i="68"/>
  <c r="R100" i="68"/>
  <c r="M96" i="68"/>
  <c r="L96" i="68"/>
  <c r="K96" i="68"/>
  <c r="J96" i="68"/>
  <c r="I96" i="68"/>
  <c r="H96" i="68"/>
  <c r="G96" i="68"/>
  <c r="F96" i="68"/>
  <c r="M94" i="68"/>
  <c r="L94" i="68"/>
  <c r="K94" i="68"/>
  <c r="J94" i="68"/>
  <c r="I94" i="68"/>
  <c r="H94" i="68"/>
  <c r="G94" i="68"/>
  <c r="F94" i="68"/>
  <c r="M91" i="68"/>
  <c r="L91" i="68"/>
  <c r="K91" i="68"/>
  <c r="J91" i="68"/>
  <c r="I91" i="68"/>
  <c r="H91" i="68"/>
  <c r="G91" i="68"/>
  <c r="F91" i="68"/>
  <c r="BL90" i="68"/>
  <c r="BK90" i="68"/>
  <c r="BJ90" i="68"/>
  <c r="BI90" i="68"/>
  <c r="BH90" i="68"/>
  <c r="BG90" i="68"/>
  <c r="BF90" i="68"/>
  <c r="BE90" i="68"/>
  <c r="BD90" i="68"/>
  <c r="BL89" i="68"/>
  <c r="BK89" i="68"/>
  <c r="BJ89" i="68"/>
  <c r="BI89" i="68"/>
  <c r="BH89" i="68"/>
  <c r="BG89" i="68"/>
  <c r="BF89" i="68"/>
  <c r="BE89" i="68"/>
  <c r="BD89" i="68"/>
  <c r="M89" i="68"/>
  <c r="L89" i="68"/>
  <c r="K89" i="68"/>
  <c r="J89" i="68"/>
  <c r="I89" i="68"/>
  <c r="H89" i="68"/>
  <c r="G89" i="68"/>
  <c r="F89" i="68"/>
  <c r="BL88" i="68"/>
  <c r="BK88" i="68"/>
  <c r="BJ88" i="68"/>
  <c r="BI88" i="68"/>
  <c r="BH88" i="68"/>
  <c r="BG88" i="68"/>
  <c r="BF88" i="68"/>
  <c r="BE88" i="68"/>
  <c r="BD88" i="68"/>
  <c r="BL87" i="68"/>
  <c r="BK87" i="68"/>
  <c r="BJ87" i="68"/>
  <c r="BI87" i="68"/>
  <c r="BH87" i="68"/>
  <c r="BG87" i="68"/>
  <c r="BF87" i="68"/>
  <c r="BE87" i="68"/>
  <c r="BD87" i="68"/>
  <c r="BL86" i="68"/>
  <c r="BK86" i="68"/>
  <c r="BJ86" i="68"/>
  <c r="BI86" i="68"/>
  <c r="BH86" i="68"/>
  <c r="BG86" i="68"/>
  <c r="BF86" i="68"/>
  <c r="BE86" i="68"/>
  <c r="BD86" i="68"/>
  <c r="M86" i="68"/>
  <c r="L86" i="68"/>
  <c r="K86" i="68"/>
  <c r="J86" i="68"/>
  <c r="I86" i="68"/>
  <c r="H86" i="68"/>
  <c r="G86" i="68"/>
  <c r="F86" i="68"/>
  <c r="BL85" i="68"/>
  <c r="BK85" i="68"/>
  <c r="BJ85" i="68"/>
  <c r="BI85" i="68"/>
  <c r="BH85" i="68"/>
  <c r="BG85" i="68"/>
  <c r="BF85" i="68"/>
  <c r="BE85" i="68"/>
  <c r="BD85" i="68"/>
  <c r="BD84" i="68"/>
  <c r="M84" i="68"/>
  <c r="L84" i="68"/>
  <c r="K84" i="68"/>
  <c r="J84" i="68"/>
  <c r="I84" i="68"/>
  <c r="H84" i="68"/>
  <c r="G84" i="68"/>
  <c r="F84" i="68"/>
  <c r="BD83" i="68"/>
  <c r="BD82" i="68"/>
  <c r="BD81" i="68"/>
  <c r="M81" i="68"/>
  <c r="L81" i="68"/>
  <c r="K81" i="68"/>
  <c r="J81" i="68"/>
  <c r="I81" i="68"/>
  <c r="H81" i="68"/>
  <c r="G81" i="68"/>
  <c r="F81" i="68"/>
  <c r="BD80" i="68"/>
  <c r="BD79" i="68"/>
  <c r="M79" i="68"/>
  <c r="M80" i="68" s="1"/>
  <c r="BL81" i="68" s="1"/>
  <c r="L79" i="68"/>
  <c r="K79" i="68"/>
  <c r="J79" i="68"/>
  <c r="I79" i="68"/>
  <c r="H79" i="68"/>
  <c r="G79" i="68"/>
  <c r="F79" i="68"/>
  <c r="F80" i="68" s="1"/>
  <c r="BE81" i="68" s="1"/>
  <c r="BL78" i="68"/>
  <c r="BK78" i="68"/>
  <c r="BJ78" i="68"/>
  <c r="BI78" i="68"/>
  <c r="BH78" i="68"/>
  <c r="BG78" i="68"/>
  <c r="BF78" i="68"/>
  <c r="BE78" i="68"/>
  <c r="BD78" i="68"/>
  <c r="BL77" i="68"/>
  <c r="BK77" i="68"/>
  <c r="BJ77" i="68"/>
  <c r="BI77" i="68"/>
  <c r="BH77" i="68"/>
  <c r="BG77" i="68"/>
  <c r="BF77" i="68"/>
  <c r="BE77" i="68"/>
  <c r="BD77" i="68"/>
  <c r="BL76" i="68"/>
  <c r="BK76" i="68"/>
  <c r="BJ76" i="68"/>
  <c r="BI76" i="68"/>
  <c r="BH76" i="68"/>
  <c r="BG76" i="68"/>
  <c r="BF76" i="68"/>
  <c r="BE76" i="68"/>
  <c r="BD76" i="68"/>
  <c r="M76" i="68"/>
  <c r="L76" i="68"/>
  <c r="K76" i="68"/>
  <c r="J76" i="68"/>
  <c r="I76" i="68"/>
  <c r="H76" i="68"/>
  <c r="G76" i="68"/>
  <c r="F76" i="68"/>
  <c r="BL75" i="68"/>
  <c r="BK75" i="68"/>
  <c r="BJ75" i="68"/>
  <c r="BI75" i="68"/>
  <c r="BH75" i="68"/>
  <c r="BG75" i="68"/>
  <c r="BF75" i="68"/>
  <c r="BE75" i="68"/>
  <c r="BD75" i="68"/>
  <c r="BL74" i="68"/>
  <c r="BK74" i="68"/>
  <c r="BJ74" i="68"/>
  <c r="BI74" i="68"/>
  <c r="BH74" i="68"/>
  <c r="BG74" i="68"/>
  <c r="BF74" i="68"/>
  <c r="BE74" i="68"/>
  <c r="BD74" i="68"/>
  <c r="M74" i="68"/>
  <c r="L74" i="68"/>
  <c r="K74" i="68"/>
  <c r="J74" i="68"/>
  <c r="I74" i="68"/>
  <c r="H74" i="68"/>
  <c r="G74" i="68"/>
  <c r="F74" i="68"/>
  <c r="BL73" i="68"/>
  <c r="BK73" i="68"/>
  <c r="BJ73" i="68"/>
  <c r="BI73" i="68"/>
  <c r="BH73" i="68"/>
  <c r="BG73" i="68"/>
  <c r="BF73" i="68"/>
  <c r="BE73" i="68"/>
  <c r="BD73" i="68"/>
  <c r="BL72" i="68"/>
  <c r="BK72" i="68"/>
  <c r="BJ72" i="68"/>
  <c r="BI72" i="68"/>
  <c r="BH72" i="68"/>
  <c r="BG72" i="68"/>
  <c r="BF72" i="68"/>
  <c r="BE72" i="68"/>
  <c r="BD72" i="68"/>
  <c r="BL71" i="68"/>
  <c r="BK71" i="68"/>
  <c r="BJ71" i="68"/>
  <c r="BI71" i="68"/>
  <c r="BH71" i="68"/>
  <c r="BG71" i="68"/>
  <c r="BF71" i="68"/>
  <c r="BE71" i="68"/>
  <c r="BD71" i="68"/>
  <c r="M71" i="68"/>
  <c r="L71" i="68"/>
  <c r="K71" i="68"/>
  <c r="J71" i="68"/>
  <c r="I71" i="68"/>
  <c r="H71" i="68"/>
  <c r="G71" i="68"/>
  <c r="F71" i="68"/>
  <c r="BL70" i="68"/>
  <c r="BK70" i="68"/>
  <c r="BJ70" i="68"/>
  <c r="BI70" i="68"/>
  <c r="BH70" i="68"/>
  <c r="BG70" i="68"/>
  <c r="BF70" i="68"/>
  <c r="BE70" i="68"/>
  <c r="BD70" i="68"/>
  <c r="BL69" i="68"/>
  <c r="BK69" i="68"/>
  <c r="BJ69" i="68"/>
  <c r="BI69" i="68"/>
  <c r="BH69" i="68"/>
  <c r="BG69" i="68"/>
  <c r="BF69" i="68"/>
  <c r="BE69" i="68"/>
  <c r="BD69" i="68"/>
  <c r="M69" i="68"/>
  <c r="L69" i="68"/>
  <c r="K69" i="68"/>
  <c r="J69" i="68"/>
  <c r="I69" i="68"/>
  <c r="H69" i="68"/>
  <c r="G69" i="68"/>
  <c r="F69" i="68"/>
  <c r="BL68" i="68"/>
  <c r="BK68" i="68"/>
  <c r="BJ68" i="68"/>
  <c r="BI68" i="68"/>
  <c r="BH68" i="68"/>
  <c r="BG68" i="68"/>
  <c r="BF68" i="68"/>
  <c r="BE68" i="68"/>
  <c r="BD68" i="68"/>
  <c r="BL67" i="68"/>
  <c r="BK67" i="68"/>
  <c r="BJ67" i="68"/>
  <c r="BI67" i="68"/>
  <c r="BH67" i="68"/>
  <c r="BG67" i="68"/>
  <c r="BF67" i="68"/>
  <c r="BE67" i="68"/>
  <c r="BD67" i="68"/>
  <c r="BD66" i="68"/>
  <c r="M66" i="68"/>
  <c r="L66" i="68"/>
  <c r="BL65" i="68"/>
  <c r="BK65" i="68"/>
  <c r="BJ65" i="68"/>
  <c r="BI65" i="68"/>
  <c r="BH65" i="68"/>
  <c r="BG65" i="68"/>
  <c r="BF65" i="68"/>
  <c r="BE65" i="68"/>
  <c r="R63" i="68"/>
  <c r="BT52" i="68"/>
  <c r="BS52" i="68"/>
  <c r="BR52" i="68"/>
  <c r="BQ52" i="68"/>
  <c r="BP52" i="68"/>
  <c r="BO52" i="68"/>
  <c r="BN52" i="68"/>
  <c r="BM52" i="68"/>
  <c r="BT44" i="68"/>
  <c r="BS44" i="68"/>
  <c r="BR44" i="68"/>
  <c r="BQ44" i="68"/>
  <c r="BP44" i="68"/>
  <c r="BO44" i="68"/>
  <c r="BN44" i="68"/>
  <c r="BM44" i="68"/>
  <c r="M44" i="68"/>
  <c r="L44" i="68"/>
  <c r="K44" i="68"/>
  <c r="J44" i="68"/>
  <c r="I44" i="68"/>
  <c r="H44" i="68"/>
  <c r="G44" i="68"/>
  <c r="F44" i="68"/>
  <c r="M42" i="68"/>
  <c r="M43" i="68" s="1"/>
  <c r="BT48" i="68" s="1"/>
  <c r="L42" i="68"/>
  <c r="K42" i="68"/>
  <c r="J42" i="68"/>
  <c r="I42" i="68"/>
  <c r="H42" i="68"/>
  <c r="G42" i="68"/>
  <c r="F42" i="68"/>
  <c r="BT40" i="68"/>
  <c r="BS40" i="68"/>
  <c r="BR40" i="68"/>
  <c r="BQ40" i="68"/>
  <c r="BP40" i="68"/>
  <c r="BO40" i="68"/>
  <c r="BN40" i="68"/>
  <c r="BM40" i="68"/>
  <c r="M39" i="68"/>
  <c r="L39" i="68"/>
  <c r="BT38" i="68"/>
  <c r="BS38" i="68"/>
  <c r="BR38" i="68"/>
  <c r="BQ38" i="68"/>
  <c r="BP38" i="68"/>
  <c r="BO38" i="68"/>
  <c r="BN38" i="68"/>
  <c r="BM38" i="68"/>
  <c r="R36" i="68"/>
  <c r="M32" i="68"/>
  <c r="L32" i="68"/>
  <c r="K32" i="68"/>
  <c r="J32" i="68"/>
  <c r="I32" i="68"/>
  <c r="H32" i="68"/>
  <c r="G32" i="68"/>
  <c r="F32" i="68"/>
  <c r="M30" i="68"/>
  <c r="L30" i="68"/>
  <c r="K30" i="68"/>
  <c r="J30" i="68"/>
  <c r="I30" i="68"/>
  <c r="H30" i="68"/>
  <c r="G30" i="68"/>
  <c r="F30" i="68"/>
  <c r="BL28" i="68"/>
  <c r="BK28" i="68"/>
  <c r="BJ28" i="68"/>
  <c r="BI28" i="68"/>
  <c r="BH28" i="68"/>
  <c r="BG28" i="68"/>
  <c r="BF28" i="68"/>
  <c r="BE28" i="68"/>
  <c r="BD28" i="68"/>
  <c r="BL27" i="68"/>
  <c r="BK27" i="68"/>
  <c r="BJ27" i="68"/>
  <c r="BI27" i="68"/>
  <c r="BH27" i="68"/>
  <c r="BG27" i="68"/>
  <c r="BF27" i="68"/>
  <c r="BE27" i="68"/>
  <c r="BD27" i="68"/>
  <c r="M27" i="68"/>
  <c r="L27" i="68"/>
  <c r="K27" i="68"/>
  <c r="J27" i="68"/>
  <c r="I27" i="68"/>
  <c r="H27" i="68"/>
  <c r="G27" i="68"/>
  <c r="F27" i="68"/>
  <c r="BL26" i="68"/>
  <c r="BK26" i="68"/>
  <c r="BJ26" i="68"/>
  <c r="BI26" i="68"/>
  <c r="BH26" i="68"/>
  <c r="BG26" i="68"/>
  <c r="BF26" i="68"/>
  <c r="BE26" i="68"/>
  <c r="BD26" i="68"/>
  <c r="BL25" i="68"/>
  <c r="BK25" i="68"/>
  <c r="BJ25" i="68"/>
  <c r="BI25" i="68"/>
  <c r="BH25" i="68"/>
  <c r="BG25" i="68"/>
  <c r="BF25" i="68"/>
  <c r="BE25" i="68"/>
  <c r="BD25" i="68"/>
  <c r="M25" i="68"/>
  <c r="L25" i="68"/>
  <c r="K25" i="68"/>
  <c r="J25" i="68"/>
  <c r="I25" i="68"/>
  <c r="H25" i="68"/>
  <c r="G25" i="68"/>
  <c r="F25" i="68"/>
  <c r="BD24" i="68"/>
  <c r="BD23" i="68"/>
  <c r="BD22" i="68"/>
  <c r="M22" i="68"/>
  <c r="L22" i="68"/>
  <c r="K22" i="68"/>
  <c r="J22" i="68"/>
  <c r="I22" i="68"/>
  <c r="H22" i="68"/>
  <c r="G22" i="68"/>
  <c r="F22" i="68"/>
  <c r="BD21" i="68"/>
  <c r="BL20" i="68"/>
  <c r="BK20" i="68"/>
  <c r="BJ20" i="68"/>
  <c r="BI20" i="68"/>
  <c r="BH20" i="68"/>
  <c r="BG20" i="68"/>
  <c r="BF20" i="68"/>
  <c r="BE20" i="68"/>
  <c r="BD20" i="68"/>
  <c r="M20" i="68"/>
  <c r="L20" i="68"/>
  <c r="K20" i="68"/>
  <c r="J20" i="68"/>
  <c r="I20" i="68"/>
  <c r="H20" i="68"/>
  <c r="G20" i="68"/>
  <c r="F20" i="68"/>
  <c r="BL19" i="68"/>
  <c r="BK19" i="68"/>
  <c r="BJ19" i="68"/>
  <c r="BI19" i="68"/>
  <c r="BH19" i="68"/>
  <c r="BG19" i="68"/>
  <c r="BF19" i="68"/>
  <c r="BE19" i="68"/>
  <c r="BD19" i="68"/>
  <c r="BL18" i="68"/>
  <c r="BK18" i="68"/>
  <c r="BJ18" i="68"/>
  <c r="BI18" i="68"/>
  <c r="BH18" i="68"/>
  <c r="BG18" i="68"/>
  <c r="BF18" i="68"/>
  <c r="BE18" i="68"/>
  <c r="BD18" i="68"/>
  <c r="BL17" i="68"/>
  <c r="BK17" i="68"/>
  <c r="BJ17" i="68"/>
  <c r="BI17" i="68"/>
  <c r="BH17" i="68"/>
  <c r="BG17" i="68"/>
  <c r="BF17" i="68"/>
  <c r="BE17" i="68"/>
  <c r="BD17" i="68"/>
  <c r="M17" i="68"/>
  <c r="L17" i="68"/>
  <c r="K17" i="68"/>
  <c r="J17" i="68"/>
  <c r="I17" i="68"/>
  <c r="H17" i="68"/>
  <c r="G17" i="68"/>
  <c r="F17" i="68"/>
  <c r="BL16" i="68"/>
  <c r="BK16" i="68"/>
  <c r="BJ16" i="68"/>
  <c r="BI16" i="68"/>
  <c r="BH16" i="68"/>
  <c r="BG16" i="68"/>
  <c r="BF16" i="68"/>
  <c r="BE16" i="68"/>
  <c r="BD16" i="68"/>
  <c r="M16" i="68"/>
  <c r="BL21" i="68" s="1"/>
  <c r="L16" i="68"/>
  <c r="BK21" i="68" s="1"/>
  <c r="K16" i="68"/>
  <c r="BJ21" i="68" s="1"/>
  <c r="J16" i="68"/>
  <c r="BI21" i="68" s="1"/>
  <c r="I16" i="68"/>
  <c r="BH21" i="68" s="1"/>
  <c r="H16" i="68"/>
  <c r="BG21" i="68" s="1"/>
  <c r="G16" i="68"/>
  <c r="BF21" i="68" s="1"/>
  <c r="F16" i="68"/>
  <c r="BE21" i="68" s="1"/>
  <c r="BL15" i="68"/>
  <c r="BK15" i="68"/>
  <c r="BJ15" i="68"/>
  <c r="BI15" i="68"/>
  <c r="BH15" i="68"/>
  <c r="BG15" i="68"/>
  <c r="BF15" i="68"/>
  <c r="BE15" i="68"/>
  <c r="BD15" i="68"/>
  <c r="M15" i="68"/>
  <c r="L15" i="68"/>
  <c r="K15" i="68"/>
  <c r="J15" i="68"/>
  <c r="I15" i="68"/>
  <c r="H15" i="68"/>
  <c r="G15" i="68"/>
  <c r="F15" i="68"/>
  <c r="BL14" i="68"/>
  <c r="BK14" i="68"/>
  <c r="BJ14" i="68"/>
  <c r="BI14" i="68"/>
  <c r="BH14" i="68"/>
  <c r="BG14" i="68"/>
  <c r="BF14" i="68"/>
  <c r="BE14" i="68"/>
  <c r="BD14" i="68"/>
  <c r="BL13" i="68"/>
  <c r="BK13" i="68"/>
  <c r="BJ13" i="68"/>
  <c r="BI13" i="68"/>
  <c r="BH13" i="68"/>
  <c r="BG13" i="68"/>
  <c r="BF13" i="68"/>
  <c r="BE13" i="68"/>
  <c r="BD13" i="68"/>
  <c r="BD12" i="68"/>
  <c r="BL11" i="68"/>
  <c r="BK11" i="68"/>
  <c r="BJ11" i="68"/>
  <c r="BI11" i="68"/>
  <c r="BH11" i="68"/>
  <c r="BG11" i="68"/>
  <c r="BF11" i="68"/>
  <c r="BE11" i="68"/>
  <c r="M11" i="68"/>
  <c r="L11" i="68"/>
  <c r="R8" i="68"/>
  <c r="K1" i="68"/>
  <c r="K1" i="69" s="1"/>
  <c r="M5" i="40"/>
  <c r="J5" i="47"/>
  <c r="J5" i="67" s="1"/>
  <c r="M4" i="67"/>
  <c r="BU108" i="67" s="1"/>
  <c r="L4" i="67"/>
  <c r="N6" i="67"/>
  <c r="N5" i="67"/>
  <c r="E4" i="67"/>
  <c r="BC230" i="67"/>
  <c r="BC229" i="67"/>
  <c r="BC228" i="67"/>
  <c r="BC227" i="67"/>
  <c r="BC226" i="67"/>
  <c r="BC225" i="67"/>
  <c r="BC224" i="67"/>
  <c r="BC223" i="67"/>
  <c r="BC222" i="67"/>
  <c r="BC221" i="67"/>
  <c r="N220" i="67"/>
  <c r="M220" i="67"/>
  <c r="L220" i="67"/>
  <c r="K220" i="67"/>
  <c r="J220" i="67"/>
  <c r="I220" i="67"/>
  <c r="H220" i="67"/>
  <c r="G220" i="67"/>
  <c r="F220" i="67"/>
  <c r="N219" i="67"/>
  <c r="M219" i="67"/>
  <c r="BL206" i="67" s="1"/>
  <c r="L219" i="67"/>
  <c r="BK206" i="67" s="1"/>
  <c r="K219" i="67"/>
  <c r="BJ206" i="67" s="1"/>
  <c r="J219" i="67"/>
  <c r="BI206" i="67" s="1"/>
  <c r="I219" i="67"/>
  <c r="BH206" i="67" s="1"/>
  <c r="H219" i="67"/>
  <c r="G219" i="67"/>
  <c r="BF206" i="67" s="1"/>
  <c r="F219" i="67"/>
  <c r="BE206" i="67" s="1"/>
  <c r="N218" i="67"/>
  <c r="M218" i="67"/>
  <c r="L218" i="67"/>
  <c r="K218" i="67"/>
  <c r="J218" i="67"/>
  <c r="I218" i="67"/>
  <c r="H218" i="67"/>
  <c r="G218" i="67"/>
  <c r="F218" i="67"/>
  <c r="BC217" i="67"/>
  <c r="BC216" i="67"/>
  <c r="N215" i="67"/>
  <c r="M215" i="67"/>
  <c r="L215" i="67"/>
  <c r="K215" i="67"/>
  <c r="J215" i="67"/>
  <c r="I215" i="67"/>
  <c r="H215" i="67"/>
  <c r="G215" i="67"/>
  <c r="F215" i="67"/>
  <c r="N214" i="67"/>
  <c r="M214" i="67"/>
  <c r="BL205" i="67" s="1"/>
  <c r="L214" i="67"/>
  <c r="BK205" i="67" s="1"/>
  <c r="K214" i="67"/>
  <c r="BJ205" i="67" s="1"/>
  <c r="J214" i="67"/>
  <c r="BI205" i="67" s="1"/>
  <c r="I214" i="67"/>
  <c r="BH205" i="67" s="1"/>
  <c r="H214" i="67"/>
  <c r="BG205" i="67" s="1"/>
  <c r="G214" i="67"/>
  <c r="BF205" i="67" s="1"/>
  <c r="F214" i="67"/>
  <c r="BE205" i="67" s="1"/>
  <c r="N213" i="67"/>
  <c r="M213" i="67"/>
  <c r="L213" i="67"/>
  <c r="K213" i="67"/>
  <c r="J213" i="67"/>
  <c r="I213" i="67"/>
  <c r="H213" i="67"/>
  <c r="G213" i="67"/>
  <c r="F213" i="67"/>
  <c r="BL212" i="67"/>
  <c r="BK212" i="67"/>
  <c r="BJ212" i="67"/>
  <c r="BI212" i="67"/>
  <c r="BH212" i="67"/>
  <c r="BG212" i="67"/>
  <c r="BF212" i="67"/>
  <c r="BE212" i="67"/>
  <c r="BD212" i="67"/>
  <c r="BC212" i="67"/>
  <c r="BL211" i="67"/>
  <c r="BK211" i="67"/>
  <c r="BJ211" i="67"/>
  <c r="BI211" i="67"/>
  <c r="BH211" i="67"/>
  <c r="BG211" i="67"/>
  <c r="BF211" i="67"/>
  <c r="BE211" i="67"/>
  <c r="BD211" i="67"/>
  <c r="BC211" i="67"/>
  <c r="BL210" i="67"/>
  <c r="BK210" i="67"/>
  <c r="BJ210" i="67"/>
  <c r="BI210" i="67"/>
  <c r="BH210" i="67"/>
  <c r="BG210" i="67"/>
  <c r="BF210" i="67"/>
  <c r="BE210" i="67"/>
  <c r="BD210" i="67"/>
  <c r="N210" i="67"/>
  <c r="M210" i="67"/>
  <c r="L210" i="67"/>
  <c r="K210" i="67"/>
  <c r="J210" i="67"/>
  <c r="I210" i="67"/>
  <c r="H210" i="67"/>
  <c r="G210" i="67"/>
  <c r="F210" i="67"/>
  <c r="BL209" i="67"/>
  <c r="BK209" i="67"/>
  <c r="BJ209" i="67"/>
  <c r="BI209" i="67"/>
  <c r="BH209" i="67"/>
  <c r="BG209" i="67"/>
  <c r="BF209" i="67"/>
  <c r="BE209" i="67"/>
  <c r="BD209" i="67"/>
  <c r="N209" i="67"/>
  <c r="M209" i="67"/>
  <c r="L209" i="67"/>
  <c r="K209" i="67"/>
  <c r="J209" i="67"/>
  <c r="I209" i="67"/>
  <c r="H209" i="67"/>
  <c r="G209" i="67"/>
  <c r="F209" i="67"/>
  <c r="BL208" i="67"/>
  <c r="BK208" i="67"/>
  <c r="BJ208" i="67"/>
  <c r="BI208" i="67"/>
  <c r="BH208" i="67"/>
  <c r="BG208" i="67"/>
  <c r="BF208" i="67"/>
  <c r="BE208" i="67"/>
  <c r="BD208" i="67"/>
  <c r="N208" i="67"/>
  <c r="M208" i="67"/>
  <c r="L208" i="67"/>
  <c r="K208" i="67"/>
  <c r="J208" i="67"/>
  <c r="I208" i="67"/>
  <c r="H208" i="67"/>
  <c r="G208" i="67"/>
  <c r="F208" i="67"/>
  <c r="BL207" i="67"/>
  <c r="BK207" i="67"/>
  <c r="BJ207" i="67"/>
  <c r="BI207" i="67"/>
  <c r="BH207" i="67"/>
  <c r="BG207" i="67"/>
  <c r="BF207" i="67"/>
  <c r="BE207" i="67"/>
  <c r="BD207" i="67"/>
  <c r="BC207" i="67"/>
  <c r="BD206" i="67"/>
  <c r="BC206" i="67"/>
  <c r="BD205" i="67"/>
  <c r="N205" i="67"/>
  <c r="M205" i="67"/>
  <c r="L205" i="67"/>
  <c r="K205" i="67"/>
  <c r="J205" i="67"/>
  <c r="I205" i="67"/>
  <c r="H205" i="67"/>
  <c r="G205" i="67"/>
  <c r="F205" i="67"/>
  <c r="BK204" i="67"/>
  <c r="BD204" i="67"/>
  <c r="N204" i="67"/>
  <c r="M204" i="67"/>
  <c r="BL203" i="67" s="1"/>
  <c r="L204" i="67"/>
  <c r="BK203" i="67" s="1"/>
  <c r="K204" i="67"/>
  <c r="BJ203" i="67" s="1"/>
  <c r="J204" i="67"/>
  <c r="BI203" i="67" s="1"/>
  <c r="I204" i="67"/>
  <c r="BH203" i="67" s="1"/>
  <c r="H204" i="67"/>
  <c r="BG203" i="67" s="1"/>
  <c r="G204" i="67"/>
  <c r="BF203" i="67" s="1"/>
  <c r="F204" i="67"/>
  <c r="BE203" i="67" s="1"/>
  <c r="BD203" i="67"/>
  <c r="N203" i="67"/>
  <c r="M203" i="67"/>
  <c r="L203" i="67"/>
  <c r="K203" i="67"/>
  <c r="J203" i="67"/>
  <c r="I203" i="67"/>
  <c r="H203" i="67"/>
  <c r="G203" i="67"/>
  <c r="F203" i="67"/>
  <c r="BD202" i="67"/>
  <c r="BC202" i="67"/>
  <c r="BD201" i="67"/>
  <c r="BC201" i="67"/>
  <c r="BL200" i="67"/>
  <c r="BK200" i="67"/>
  <c r="BJ200" i="67"/>
  <c r="BI200" i="67"/>
  <c r="BH200" i="67"/>
  <c r="BG200" i="67"/>
  <c r="BF200" i="67"/>
  <c r="BE200" i="67"/>
  <c r="BD200" i="67"/>
  <c r="N200" i="67"/>
  <c r="M200" i="67"/>
  <c r="L200" i="67"/>
  <c r="K200" i="67"/>
  <c r="J200" i="67"/>
  <c r="I200" i="67"/>
  <c r="H200" i="67"/>
  <c r="G200" i="67"/>
  <c r="F200" i="67"/>
  <c r="BL199" i="67"/>
  <c r="BK199" i="67"/>
  <c r="BJ199" i="67"/>
  <c r="BI199" i="67"/>
  <c r="BH199" i="67"/>
  <c r="BG199" i="67"/>
  <c r="BF199" i="67"/>
  <c r="BE199" i="67"/>
  <c r="BD199" i="67"/>
  <c r="N199" i="67"/>
  <c r="M199" i="67"/>
  <c r="BL202" i="67" s="1"/>
  <c r="L199" i="67"/>
  <c r="BK202" i="67" s="1"/>
  <c r="K199" i="67"/>
  <c r="BJ202" i="67" s="1"/>
  <c r="J199" i="67"/>
  <c r="BI202" i="67" s="1"/>
  <c r="I199" i="67"/>
  <c r="BH202" i="67" s="1"/>
  <c r="H199" i="67"/>
  <c r="BG202" i="67" s="1"/>
  <c r="G199" i="67"/>
  <c r="BF202" i="67" s="1"/>
  <c r="F199" i="67"/>
  <c r="BE202" i="67" s="1"/>
  <c r="BL198" i="67"/>
  <c r="BK198" i="67"/>
  <c r="BJ198" i="67"/>
  <c r="BI198" i="67"/>
  <c r="BH198" i="67"/>
  <c r="BG198" i="67"/>
  <c r="BF198" i="67"/>
  <c r="BE198" i="67"/>
  <c r="BD198" i="67"/>
  <c r="N198" i="67"/>
  <c r="M198" i="67"/>
  <c r="L198" i="67"/>
  <c r="K198" i="67"/>
  <c r="J198" i="67"/>
  <c r="I198" i="67"/>
  <c r="H198" i="67"/>
  <c r="G198" i="67"/>
  <c r="F198" i="67"/>
  <c r="BL197" i="67"/>
  <c r="BK197" i="67"/>
  <c r="BJ197" i="67"/>
  <c r="BI197" i="67"/>
  <c r="BH197" i="67"/>
  <c r="BG197" i="67"/>
  <c r="BF197" i="67"/>
  <c r="BE197" i="67"/>
  <c r="BD197" i="67"/>
  <c r="BC197" i="67"/>
  <c r="BL196" i="67"/>
  <c r="BK196" i="67"/>
  <c r="BJ196" i="67"/>
  <c r="BI196" i="67"/>
  <c r="BH196" i="67"/>
  <c r="BG196" i="67"/>
  <c r="BF196" i="67"/>
  <c r="BE196" i="67"/>
  <c r="BD196" i="67"/>
  <c r="BC196" i="67"/>
  <c r="BL195" i="67"/>
  <c r="BK195" i="67"/>
  <c r="BJ195" i="67"/>
  <c r="BI195" i="67"/>
  <c r="BH195" i="67"/>
  <c r="BG195" i="67"/>
  <c r="BF195" i="67"/>
  <c r="BE195" i="67"/>
  <c r="BD195" i="67"/>
  <c r="N195" i="67"/>
  <c r="M195" i="67"/>
  <c r="L195" i="67"/>
  <c r="K195" i="67"/>
  <c r="J195" i="67"/>
  <c r="I195" i="67"/>
  <c r="H195" i="67"/>
  <c r="G195" i="67"/>
  <c r="F195" i="67"/>
  <c r="BL194" i="67"/>
  <c r="BK194" i="67"/>
  <c r="BJ194" i="67"/>
  <c r="BI194" i="67"/>
  <c r="BH194" i="67"/>
  <c r="BG194" i="67"/>
  <c r="BF194" i="67"/>
  <c r="BE194" i="67"/>
  <c r="BD194" i="67"/>
  <c r="N194" i="67"/>
  <c r="M194" i="67"/>
  <c r="BL201" i="67" s="1"/>
  <c r="L194" i="67"/>
  <c r="BK201" i="67" s="1"/>
  <c r="K194" i="67"/>
  <c r="BJ201" i="67" s="1"/>
  <c r="J194" i="67"/>
  <c r="BI201" i="67" s="1"/>
  <c r="I194" i="67"/>
  <c r="BH201" i="67" s="1"/>
  <c r="H194" i="67"/>
  <c r="BG201" i="67" s="1"/>
  <c r="G194" i="67"/>
  <c r="BF201" i="67" s="1"/>
  <c r="F194" i="67"/>
  <c r="BE201" i="67" s="1"/>
  <c r="BL193" i="67"/>
  <c r="BK193" i="67"/>
  <c r="BJ193" i="67"/>
  <c r="BI193" i="67"/>
  <c r="BH193" i="67"/>
  <c r="BG193" i="67"/>
  <c r="BF193" i="67"/>
  <c r="BE193" i="67"/>
  <c r="BD193" i="67"/>
  <c r="N193" i="67"/>
  <c r="M193" i="67"/>
  <c r="L193" i="67"/>
  <c r="K193" i="67"/>
  <c r="J193" i="67"/>
  <c r="I193" i="67"/>
  <c r="H193" i="67"/>
  <c r="G193" i="67"/>
  <c r="F193" i="67"/>
  <c r="BL192" i="67"/>
  <c r="BK192" i="67"/>
  <c r="BJ192" i="67"/>
  <c r="BI192" i="67"/>
  <c r="BH192" i="67"/>
  <c r="BG192" i="67"/>
  <c r="BF192" i="67"/>
  <c r="BE192" i="67"/>
  <c r="BD192" i="67"/>
  <c r="BC192" i="67"/>
  <c r="BL191" i="67"/>
  <c r="BK191" i="67"/>
  <c r="BJ191" i="67"/>
  <c r="BI191" i="67"/>
  <c r="BH191" i="67"/>
  <c r="BG191" i="67"/>
  <c r="BF191" i="67"/>
  <c r="BE191" i="67"/>
  <c r="BD191" i="67"/>
  <c r="BC191" i="67"/>
  <c r="BL190" i="67"/>
  <c r="BK190" i="67"/>
  <c r="BJ190" i="67"/>
  <c r="BI190" i="67"/>
  <c r="BH190" i="67"/>
  <c r="BG190" i="67"/>
  <c r="BF190" i="67"/>
  <c r="BE190" i="67"/>
  <c r="BD190" i="67"/>
  <c r="BC190" i="67"/>
  <c r="BL189" i="67"/>
  <c r="BK189" i="67"/>
  <c r="BJ189" i="67"/>
  <c r="BI189" i="67"/>
  <c r="BH189" i="67"/>
  <c r="BG189" i="67"/>
  <c r="BF189" i="67"/>
  <c r="BE189" i="67"/>
  <c r="BD189" i="67"/>
  <c r="N189" i="67"/>
  <c r="K189" i="67"/>
  <c r="J189" i="67"/>
  <c r="I189" i="67"/>
  <c r="H189" i="67"/>
  <c r="G189" i="67"/>
  <c r="F189" i="67"/>
  <c r="BC188" i="67"/>
  <c r="BJ187" i="67"/>
  <c r="BI187" i="67"/>
  <c r="BH187" i="67"/>
  <c r="BG187" i="67"/>
  <c r="BF187" i="67"/>
  <c r="BE187" i="67"/>
  <c r="BC187" i="67"/>
  <c r="BC186" i="67"/>
  <c r="R186" i="67"/>
  <c r="BC158" i="67"/>
  <c r="BC157" i="67"/>
  <c r="BC156" i="67"/>
  <c r="BL146" i="67"/>
  <c r="BK146" i="67"/>
  <c r="BJ146" i="67"/>
  <c r="BI146" i="67"/>
  <c r="BH146" i="67"/>
  <c r="BG146" i="67"/>
  <c r="BF146" i="67"/>
  <c r="BL152" i="67"/>
  <c r="BK152" i="67"/>
  <c r="BJ152" i="67"/>
  <c r="BI152" i="67"/>
  <c r="BH152" i="67"/>
  <c r="BG152" i="67"/>
  <c r="BF152" i="67"/>
  <c r="BE152" i="67"/>
  <c r="BD152" i="67"/>
  <c r="BC152" i="67"/>
  <c r="BL151" i="67"/>
  <c r="BK151" i="67"/>
  <c r="BJ151" i="67"/>
  <c r="BI151" i="67"/>
  <c r="BH151" i="67"/>
  <c r="BG151" i="67"/>
  <c r="BF151" i="67"/>
  <c r="BE151" i="67"/>
  <c r="BD151" i="67"/>
  <c r="BC151" i="67"/>
  <c r="BL150" i="67"/>
  <c r="BK150" i="67"/>
  <c r="BJ150" i="67"/>
  <c r="BI150" i="67"/>
  <c r="BH150" i="67"/>
  <c r="BG150" i="67"/>
  <c r="BF150" i="67"/>
  <c r="BE150" i="67"/>
  <c r="BD150" i="67"/>
  <c r="BC150" i="67"/>
  <c r="BL149" i="67"/>
  <c r="BK149" i="67"/>
  <c r="BJ149" i="67"/>
  <c r="BI149" i="67"/>
  <c r="BH149" i="67"/>
  <c r="BG149" i="67"/>
  <c r="BF149" i="67"/>
  <c r="BE149" i="67"/>
  <c r="BD149" i="67"/>
  <c r="N149" i="67"/>
  <c r="M149" i="67"/>
  <c r="L149" i="67"/>
  <c r="K149" i="67"/>
  <c r="J149" i="67"/>
  <c r="I149" i="67"/>
  <c r="H149" i="67"/>
  <c r="G149" i="67"/>
  <c r="F149" i="67"/>
  <c r="N148" i="67"/>
  <c r="M148" i="67"/>
  <c r="BL145" i="67" s="1"/>
  <c r="L148" i="67"/>
  <c r="BK145" i="67" s="1"/>
  <c r="K148" i="67"/>
  <c r="BJ145" i="67" s="1"/>
  <c r="J148" i="67"/>
  <c r="BI145" i="67" s="1"/>
  <c r="I148" i="67"/>
  <c r="BH145" i="67" s="1"/>
  <c r="H148" i="67"/>
  <c r="G148" i="67"/>
  <c r="BF145" i="67" s="1"/>
  <c r="F148" i="67"/>
  <c r="BE145" i="67" s="1"/>
  <c r="N147" i="67"/>
  <c r="M147" i="67"/>
  <c r="L147" i="67"/>
  <c r="K147" i="67"/>
  <c r="J147" i="67"/>
  <c r="I147" i="67"/>
  <c r="H147" i="67"/>
  <c r="G147" i="67"/>
  <c r="F147" i="67"/>
  <c r="BD146" i="67"/>
  <c r="BC146" i="67"/>
  <c r="BD145" i="67"/>
  <c r="BC145" i="67"/>
  <c r="BD144" i="67"/>
  <c r="BC144" i="67"/>
  <c r="BD143" i="67"/>
  <c r="N143" i="67"/>
  <c r="M143" i="67"/>
  <c r="L143" i="67"/>
  <c r="K143" i="67"/>
  <c r="J143" i="67"/>
  <c r="I143" i="67"/>
  <c r="H143" i="67"/>
  <c r="G143" i="67"/>
  <c r="F143" i="67"/>
  <c r="N142" i="67"/>
  <c r="M142" i="67"/>
  <c r="BL144" i="67" s="1"/>
  <c r="L142" i="67"/>
  <c r="BK144" i="67" s="1"/>
  <c r="K142" i="67"/>
  <c r="BJ144" i="67" s="1"/>
  <c r="J142" i="67"/>
  <c r="BI144" i="67" s="1"/>
  <c r="I142" i="67"/>
  <c r="BH144" i="67" s="1"/>
  <c r="H142" i="67"/>
  <c r="BG144" i="67" s="1"/>
  <c r="G142" i="67"/>
  <c r="BF144" i="67" s="1"/>
  <c r="F142" i="67"/>
  <c r="N141" i="67"/>
  <c r="M141" i="67"/>
  <c r="L141" i="67"/>
  <c r="K141" i="67"/>
  <c r="J141" i="67"/>
  <c r="I141" i="67"/>
  <c r="H141" i="67"/>
  <c r="G141" i="67"/>
  <c r="F141" i="67"/>
  <c r="BL140" i="67"/>
  <c r="BK140" i="67"/>
  <c r="BJ140" i="67"/>
  <c r="BI140" i="67"/>
  <c r="BH140" i="67"/>
  <c r="BG140" i="67"/>
  <c r="BF140" i="67"/>
  <c r="BE140" i="67"/>
  <c r="BD140" i="67"/>
  <c r="BC140" i="67"/>
  <c r="BL139" i="67"/>
  <c r="BK139" i="67"/>
  <c r="BJ139" i="67"/>
  <c r="BI139" i="67"/>
  <c r="BH139" i="67"/>
  <c r="BG139" i="67"/>
  <c r="BF139" i="67"/>
  <c r="BE139" i="67"/>
  <c r="BD139" i="67"/>
  <c r="BC139" i="67"/>
  <c r="BL138" i="67"/>
  <c r="BK138" i="67"/>
  <c r="BJ138" i="67"/>
  <c r="BI138" i="67"/>
  <c r="BH138" i="67"/>
  <c r="BG138" i="67"/>
  <c r="BF138" i="67"/>
  <c r="BE138" i="67"/>
  <c r="BD138" i="67"/>
  <c r="BC138" i="67"/>
  <c r="BL137" i="67"/>
  <c r="BK137" i="67"/>
  <c r="BJ137" i="67"/>
  <c r="BI137" i="67"/>
  <c r="BH137" i="67"/>
  <c r="BG137" i="67"/>
  <c r="BF137" i="67"/>
  <c r="BE137" i="67"/>
  <c r="BD137" i="67"/>
  <c r="N137" i="67"/>
  <c r="M137" i="67"/>
  <c r="L137" i="67"/>
  <c r="K137" i="67"/>
  <c r="J137" i="67"/>
  <c r="I137" i="67"/>
  <c r="H137" i="67"/>
  <c r="G137" i="67"/>
  <c r="F137" i="67"/>
  <c r="N136" i="67"/>
  <c r="M136" i="67"/>
  <c r="BL143" i="67" s="1"/>
  <c r="L136" i="67"/>
  <c r="BK143" i="67" s="1"/>
  <c r="K136" i="67"/>
  <c r="BJ143" i="67" s="1"/>
  <c r="J136" i="67"/>
  <c r="BI143" i="67" s="1"/>
  <c r="I136" i="67"/>
  <c r="BH143" i="67" s="1"/>
  <c r="H136" i="67"/>
  <c r="BG143" i="67" s="1"/>
  <c r="G136" i="67"/>
  <c r="BF143" i="67" s="1"/>
  <c r="F136" i="67"/>
  <c r="N135" i="67"/>
  <c r="M135" i="67"/>
  <c r="L135" i="67"/>
  <c r="K135" i="67"/>
  <c r="J135" i="67"/>
  <c r="I135" i="67"/>
  <c r="H135" i="67"/>
  <c r="G135" i="67"/>
  <c r="F135" i="67"/>
  <c r="BL134" i="67"/>
  <c r="BK134" i="67"/>
  <c r="BJ134" i="67"/>
  <c r="BI134" i="67"/>
  <c r="BH134" i="67"/>
  <c r="BG134" i="67"/>
  <c r="BF134" i="67"/>
  <c r="BE134" i="67"/>
  <c r="BD134" i="67"/>
  <c r="BC134" i="67"/>
  <c r="BL133" i="67"/>
  <c r="BK133" i="67"/>
  <c r="BJ133" i="67"/>
  <c r="BI133" i="67"/>
  <c r="BH133" i="67"/>
  <c r="BG133" i="67"/>
  <c r="BF133" i="67"/>
  <c r="BE133" i="67"/>
  <c r="BD133" i="67"/>
  <c r="BC133" i="67"/>
  <c r="BL132" i="67"/>
  <c r="BK132" i="67"/>
  <c r="BJ132" i="67"/>
  <c r="BI132" i="67"/>
  <c r="BH132" i="67"/>
  <c r="BG132" i="67"/>
  <c r="BF132" i="67"/>
  <c r="BE132" i="67"/>
  <c r="BD132" i="67"/>
  <c r="BC132" i="67"/>
  <c r="BL131" i="67"/>
  <c r="BK131" i="67"/>
  <c r="BJ131" i="67"/>
  <c r="BI131" i="67"/>
  <c r="BH131" i="67"/>
  <c r="BG131" i="67"/>
  <c r="BF131" i="67"/>
  <c r="BE131" i="67"/>
  <c r="BD131" i="67"/>
  <c r="N131" i="67"/>
  <c r="K131" i="67"/>
  <c r="J131" i="67"/>
  <c r="I131" i="67"/>
  <c r="H131" i="67"/>
  <c r="G131" i="67"/>
  <c r="F131" i="67"/>
  <c r="BC130" i="67"/>
  <c r="BJ129" i="67"/>
  <c r="BI129" i="67"/>
  <c r="BH129" i="67"/>
  <c r="BG129" i="67"/>
  <c r="BF129" i="67"/>
  <c r="BE129" i="67"/>
  <c r="BC129" i="67"/>
  <c r="BC128" i="67"/>
  <c r="R128" i="67"/>
  <c r="BC185" i="67"/>
  <c r="BC184" i="67"/>
  <c r="BC183" i="67"/>
  <c r="BC182" i="67"/>
  <c r="BC181" i="67"/>
  <c r="BL180" i="67"/>
  <c r="BK180" i="67"/>
  <c r="BJ180" i="67"/>
  <c r="BI180" i="67"/>
  <c r="BH180" i="67"/>
  <c r="BG180" i="67"/>
  <c r="BF180" i="67"/>
  <c r="BE180" i="67"/>
  <c r="BD180" i="67"/>
  <c r="BC180" i="67"/>
  <c r="BC179" i="67"/>
  <c r="BC178" i="67"/>
  <c r="BC177" i="67"/>
  <c r="BD176" i="67"/>
  <c r="BC176" i="67"/>
  <c r="BC175" i="67"/>
  <c r="BC174" i="67"/>
  <c r="BC173" i="67"/>
  <c r="BL172" i="67"/>
  <c r="BK172" i="67"/>
  <c r="BJ172" i="67"/>
  <c r="BI172" i="67"/>
  <c r="BH172" i="67"/>
  <c r="BG172" i="67"/>
  <c r="BF172" i="67"/>
  <c r="BE172" i="67"/>
  <c r="BD172" i="67"/>
  <c r="BC172" i="67"/>
  <c r="BC171" i="67"/>
  <c r="BC170" i="67"/>
  <c r="BC169" i="67"/>
  <c r="BL168" i="67"/>
  <c r="BK168" i="67"/>
  <c r="BJ168" i="67"/>
  <c r="BI168" i="67"/>
  <c r="BH168" i="67"/>
  <c r="BG168" i="67"/>
  <c r="BF168" i="67"/>
  <c r="BE168" i="67"/>
  <c r="BD168" i="67"/>
  <c r="BC168" i="67"/>
  <c r="N167" i="67"/>
  <c r="M167" i="67"/>
  <c r="L167" i="67"/>
  <c r="K167" i="67"/>
  <c r="J167" i="67"/>
  <c r="I167" i="67"/>
  <c r="H167" i="67"/>
  <c r="G167" i="67"/>
  <c r="F167" i="67"/>
  <c r="BJ166" i="67"/>
  <c r="BI166" i="67"/>
  <c r="BH166" i="67"/>
  <c r="BG166" i="67"/>
  <c r="BF166" i="67"/>
  <c r="BE166" i="67"/>
  <c r="N166" i="67"/>
  <c r="M166" i="67"/>
  <c r="BL176" i="67" s="1"/>
  <c r="L166" i="67"/>
  <c r="BK176" i="67" s="1"/>
  <c r="K166" i="67"/>
  <c r="BJ176" i="67" s="1"/>
  <c r="J166" i="67"/>
  <c r="BI176" i="67" s="1"/>
  <c r="I166" i="67"/>
  <c r="H166" i="67"/>
  <c r="BG176" i="67" s="1"/>
  <c r="G166" i="67"/>
  <c r="BF176" i="67" s="1"/>
  <c r="F166" i="67"/>
  <c r="BE176" i="67" s="1"/>
  <c r="N165" i="67"/>
  <c r="M165" i="67"/>
  <c r="L165" i="67"/>
  <c r="K165" i="67"/>
  <c r="J165" i="67"/>
  <c r="I165" i="67"/>
  <c r="H165" i="67"/>
  <c r="G165" i="67"/>
  <c r="F165" i="67"/>
  <c r="BC164" i="67"/>
  <c r="BC163" i="67"/>
  <c r="N162" i="67"/>
  <c r="K162" i="67"/>
  <c r="J162" i="67"/>
  <c r="I162" i="67"/>
  <c r="H162" i="67"/>
  <c r="G162" i="67"/>
  <c r="F162" i="67"/>
  <c r="BC161" i="67"/>
  <c r="BC160" i="67"/>
  <c r="BC159" i="67"/>
  <c r="R159" i="67"/>
  <c r="BC62" i="67"/>
  <c r="BC61" i="67"/>
  <c r="BC60" i="67"/>
  <c r="BC59" i="67"/>
  <c r="BC58" i="67"/>
  <c r="BL57" i="67"/>
  <c r="BK57" i="67"/>
  <c r="BJ57" i="67"/>
  <c r="BI57" i="67"/>
  <c r="BH57" i="67"/>
  <c r="BG57" i="67"/>
  <c r="BF57" i="67"/>
  <c r="BE57" i="67"/>
  <c r="BD57" i="67"/>
  <c r="BC57" i="67"/>
  <c r="BC56" i="67"/>
  <c r="BC55" i="67"/>
  <c r="BD54" i="67"/>
  <c r="BC54" i="67"/>
  <c r="BC53" i="67"/>
  <c r="BC52" i="67"/>
  <c r="BC51" i="67"/>
  <c r="BL50" i="67"/>
  <c r="BK50" i="67"/>
  <c r="BJ50" i="67"/>
  <c r="BI50" i="67"/>
  <c r="BH50" i="67"/>
  <c r="BG50" i="67"/>
  <c r="BF50" i="67"/>
  <c r="BE50" i="67"/>
  <c r="BD50" i="67"/>
  <c r="BC50" i="67"/>
  <c r="BC49" i="67"/>
  <c r="BC48" i="67"/>
  <c r="BC47" i="67"/>
  <c r="BL46" i="67"/>
  <c r="BK46" i="67"/>
  <c r="BJ46" i="67"/>
  <c r="BI46" i="67"/>
  <c r="BH46" i="67"/>
  <c r="BG46" i="67"/>
  <c r="BF46" i="67"/>
  <c r="BE46" i="67"/>
  <c r="BD46" i="67"/>
  <c r="BC46" i="67"/>
  <c r="N45" i="67"/>
  <c r="M45" i="67"/>
  <c r="L45" i="67"/>
  <c r="K45" i="67"/>
  <c r="J45" i="67"/>
  <c r="I45" i="67"/>
  <c r="H45" i="67"/>
  <c r="G45" i="67"/>
  <c r="F45" i="67"/>
  <c r="BJ44" i="67"/>
  <c r="BI44" i="67"/>
  <c r="BH44" i="67"/>
  <c r="BG44" i="67"/>
  <c r="BF44" i="67"/>
  <c r="BE44" i="67"/>
  <c r="N44" i="67"/>
  <c r="M44" i="67"/>
  <c r="BL54" i="67" s="1"/>
  <c r="L44" i="67"/>
  <c r="BK54" i="67" s="1"/>
  <c r="K44" i="67"/>
  <c r="BJ54" i="67" s="1"/>
  <c r="J44" i="67"/>
  <c r="BI54" i="67" s="1"/>
  <c r="I44" i="67"/>
  <c r="BH54" i="67" s="1"/>
  <c r="H44" i="67"/>
  <c r="BG54" i="67" s="1"/>
  <c r="G44" i="67"/>
  <c r="BF54" i="67" s="1"/>
  <c r="F44" i="67"/>
  <c r="BE54" i="67" s="1"/>
  <c r="N43" i="67"/>
  <c r="M43" i="67"/>
  <c r="L43" i="67"/>
  <c r="K43" i="67"/>
  <c r="J43" i="67"/>
  <c r="I43" i="67"/>
  <c r="H43" i="67"/>
  <c r="G43" i="67"/>
  <c r="F43" i="67"/>
  <c r="BC42" i="67"/>
  <c r="BC41" i="67"/>
  <c r="BC40" i="67"/>
  <c r="N39" i="67"/>
  <c r="K39" i="67"/>
  <c r="J39" i="67"/>
  <c r="I39" i="67"/>
  <c r="H39" i="67"/>
  <c r="G39" i="67"/>
  <c r="F39" i="67"/>
  <c r="BC38" i="67"/>
  <c r="BC37" i="67"/>
  <c r="BC36" i="67"/>
  <c r="R36" i="67"/>
  <c r="BC127" i="67"/>
  <c r="BC126" i="67"/>
  <c r="BC125" i="67"/>
  <c r="BC124" i="67"/>
  <c r="BC123" i="67"/>
  <c r="BU122" i="67"/>
  <c r="BT122" i="67"/>
  <c r="BS122" i="67"/>
  <c r="BR122" i="67"/>
  <c r="BQ122" i="67"/>
  <c r="BP122" i="67"/>
  <c r="BO122" i="67"/>
  <c r="BN122" i="67"/>
  <c r="BM122" i="67"/>
  <c r="BC122" i="67"/>
  <c r="BC121" i="67"/>
  <c r="BC120" i="67"/>
  <c r="BC119" i="67"/>
  <c r="BM118" i="67"/>
  <c r="BC118" i="67"/>
  <c r="BC117" i="67"/>
  <c r="BC116" i="67"/>
  <c r="BC115" i="67"/>
  <c r="BU114" i="67"/>
  <c r="BT114" i="67"/>
  <c r="BS114" i="67"/>
  <c r="BR114" i="67"/>
  <c r="BQ114" i="67"/>
  <c r="BP114" i="67"/>
  <c r="BO114" i="67"/>
  <c r="BN114" i="67"/>
  <c r="BM114" i="67"/>
  <c r="BC114" i="67"/>
  <c r="BC113" i="67"/>
  <c r="BC112" i="67"/>
  <c r="BC111" i="67"/>
  <c r="BU110" i="67"/>
  <c r="BT110" i="67"/>
  <c r="BS110" i="67"/>
  <c r="BR110" i="67"/>
  <c r="BQ110" i="67"/>
  <c r="BP110" i="67"/>
  <c r="BO110" i="67"/>
  <c r="BN110" i="67"/>
  <c r="BM110" i="67"/>
  <c r="BC110" i="67"/>
  <c r="N109" i="67"/>
  <c r="M109" i="67"/>
  <c r="L109" i="67"/>
  <c r="K109" i="67"/>
  <c r="J109" i="67"/>
  <c r="I109" i="67"/>
  <c r="H109" i="67"/>
  <c r="G109" i="67"/>
  <c r="F109" i="67"/>
  <c r="BS108" i="67"/>
  <c r="BR108" i="67"/>
  <c r="BQ108" i="67"/>
  <c r="BP108" i="67"/>
  <c r="BO108" i="67"/>
  <c r="BN108" i="67"/>
  <c r="N107" i="67"/>
  <c r="M107" i="67"/>
  <c r="L107" i="67"/>
  <c r="K107" i="67"/>
  <c r="J107" i="67"/>
  <c r="I107" i="67"/>
  <c r="H107" i="67"/>
  <c r="G107" i="67"/>
  <c r="F107" i="67"/>
  <c r="BC106" i="67"/>
  <c r="BC105" i="67"/>
  <c r="BC104" i="67"/>
  <c r="N103" i="67"/>
  <c r="K103" i="67"/>
  <c r="J103" i="67"/>
  <c r="I103" i="67"/>
  <c r="H103" i="67"/>
  <c r="G103" i="67"/>
  <c r="F103" i="67"/>
  <c r="BC102" i="67"/>
  <c r="BC101" i="67"/>
  <c r="BC100" i="67"/>
  <c r="R100" i="67"/>
  <c r="BC99" i="67"/>
  <c r="BC98" i="67"/>
  <c r="BC97" i="67"/>
  <c r="N96" i="67"/>
  <c r="M96" i="67"/>
  <c r="L96" i="67"/>
  <c r="K96" i="67"/>
  <c r="J96" i="67"/>
  <c r="I96" i="67"/>
  <c r="H96" i="67"/>
  <c r="G96" i="67"/>
  <c r="F96" i="67"/>
  <c r="N94" i="67"/>
  <c r="N95" i="67" s="1"/>
  <c r="BL84" i="67" s="1"/>
  <c r="M94" i="67"/>
  <c r="L94" i="67"/>
  <c r="K94" i="67"/>
  <c r="J94" i="67"/>
  <c r="I94" i="67"/>
  <c r="H94" i="67"/>
  <c r="G94" i="67"/>
  <c r="F94" i="67"/>
  <c r="BC93" i="67"/>
  <c r="BC92" i="67"/>
  <c r="N91" i="67"/>
  <c r="M91" i="67"/>
  <c r="L91" i="67"/>
  <c r="K91" i="67"/>
  <c r="J91" i="67"/>
  <c r="I91" i="67"/>
  <c r="H91" i="67"/>
  <c r="G91" i="67"/>
  <c r="F91" i="67"/>
  <c r="BL90" i="67"/>
  <c r="BK90" i="67"/>
  <c r="BJ90" i="67"/>
  <c r="BI90" i="67"/>
  <c r="BH90" i="67"/>
  <c r="BG90" i="67"/>
  <c r="BF90" i="67"/>
  <c r="BE90" i="67"/>
  <c r="BD90" i="67"/>
  <c r="BL89" i="67"/>
  <c r="BK89" i="67"/>
  <c r="BJ89" i="67"/>
  <c r="BI89" i="67"/>
  <c r="BH89" i="67"/>
  <c r="BG89" i="67"/>
  <c r="BF89" i="67"/>
  <c r="BE89" i="67"/>
  <c r="BD89" i="67"/>
  <c r="N89" i="67"/>
  <c r="M89" i="67"/>
  <c r="L89" i="67"/>
  <c r="K89" i="67"/>
  <c r="J89" i="67"/>
  <c r="I89" i="67"/>
  <c r="H89" i="67"/>
  <c r="G89" i="67"/>
  <c r="F89" i="67"/>
  <c r="BL88" i="67"/>
  <c r="BK88" i="67"/>
  <c r="BJ88" i="67"/>
  <c r="BI88" i="67"/>
  <c r="BH88" i="67"/>
  <c r="BG88" i="67"/>
  <c r="BF88" i="67"/>
  <c r="BE88" i="67"/>
  <c r="BD88" i="67"/>
  <c r="BC88" i="67"/>
  <c r="BL87" i="67"/>
  <c r="BK87" i="67"/>
  <c r="BJ87" i="67"/>
  <c r="BI87" i="67"/>
  <c r="BH87" i="67"/>
  <c r="BG87" i="67"/>
  <c r="BF87" i="67"/>
  <c r="BE87" i="67"/>
  <c r="BD87" i="67"/>
  <c r="BC87" i="67"/>
  <c r="BL86" i="67"/>
  <c r="BK86" i="67"/>
  <c r="BJ86" i="67"/>
  <c r="BI86" i="67"/>
  <c r="BH86" i="67"/>
  <c r="BG86" i="67"/>
  <c r="BF86" i="67"/>
  <c r="BE86" i="67"/>
  <c r="BD86" i="67"/>
  <c r="N86" i="67"/>
  <c r="M86" i="67"/>
  <c r="L86" i="67"/>
  <c r="K86" i="67"/>
  <c r="J86" i="67"/>
  <c r="I86" i="67"/>
  <c r="H86" i="67"/>
  <c r="G86" i="67"/>
  <c r="F86" i="67"/>
  <c r="BL85" i="67"/>
  <c r="BK85" i="67"/>
  <c r="BJ85" i="67"/>
  <c r="BI85" i="67"/>
  <c r="BH85" i="67"/>
  <c r="BG85" i="67"/>
  <c r="BF85" i="67"/>
  <c r="BE85" i="67"/>
  <c r="BD85" i="67"/>
  <c r="BD84" i="67"/>
  <c r="N84" i="67"/>
  <c r="M84" i="67"/>
  <c r="L84" i="67"/>
  <c r="K84" i="67"/>
  <c r="J84" i="67"/>
  <c r="I84" i="67"/>
  <c r="H84" i="67"/>
  <c r="G84" i="67"/>
  <c r="F84" i="67"/>
  <c r="BD83" i="67"/>
  <c r="BC83" i="67"/>
  <c r="BD82" i="67"/>
  <c r="BC82" i="67"/>
  <c r="BD81" i="67"/>
  <c r="N81" i="67"/>
  <c r="M81" i="67"/>
  <c r="L81" i="67"/>
  <c r="K81" i="67"/>
  <c r="J81" i="67"/>
  <c r="I81" i="67"/>
  <c r="H81" i="67"/>
  <c r="G81" i="67"/>
  <c r="F81" i="67"/>
  <c r="BD80" i="67"/>
  <c r="BD79" i="67"/>
  <c r="N79" i="67"/>
  <c r="M79" i="67"/>
  <c r="L79" i="67"/>
  <c r="K79" i="67"/>
  <c r="J79" i="67"/>
  <c r="I79" i="67"/>
  <c r="H79" i="67"/>
  <c r="G79" i="67"/>
  <c r="F79" i="67"/>
  <c r="BL78" i="67"/>
  <c r="BK78" i="67"/>
  <c r="BJ78" i="67"/>
  <c r="BI78" i="67"/>
  <c r="BH78" i="67"/>
  <c r="BG78" i="67"/>
  <c r="BF78" i="67"/>
  <c r="BE78" i="67"/>
  <c r="BD78" i="67"/>
  <c r="BC78" i="67"/>
  <c r="BL77" i="67"/>
  <c r="BK77" i="67"/>
  <c r="BJ77" i="67"/>
  <c r="BI77" i="67"/>
  <c r="BH77" i="67"/>
  <c r="BG77" i="67"/>
  <c r="BF77" i="67"/>
  <c r="BE77" i="67"/>
  <c r="BD77" i="67"/>
  <c r="BC77" i="67"/>
  <c r="BL76" i="67"/>
  <c r="BK76" i="67"/>
  <c r="BJ76" i="67"/>
  <c r="BI76" i="67"/>
  <c r="BH76" i="67"/>
  <c r="BG76" i="67"/>
  <c r="BF76" i="67"/>
  <c r="BE76" i="67"/>
  <c r="BD76" i="67"/>
  <c r="N76" i="67"/>
  <c r="M76" i="67"/>
  <c r="L76" i="67"/>
  <c r="K76" i="67"/>
  <c r="J76" i="67"/>
  <c r="I76" i="67"/>
  <c r="H76" i="67"/>
  <c r="G76" i="67"/>
  <c r="F76" i="67"/>
  <c r="BL75" i="67"/>
  <c r="BK75" i="67"/>
  <c r="BJ75" i="67"/>
  <c r="BI75" i="67"/>
  <c r="BH75" i="67"/>
  <c r="BG75" i="67"/>
  <c r="BF75" i="67"/>
  <c r="BE75" i="67"/>
  <c r="BD75" i="67"/>
  <c r="BL74" i="67"/>
  <c r="BK74" i="67"/>
  <c r="BJ74" i="67"/>
  <c r="BI74" i="67"/>
  <c r="BH74" i="67"/>
  <c r="BG74" i="67"/>
  <c r="BF74" i="67"/>
  <c r="BE74" i="67"/>
  <c r="BD74" i="67"/>
  <c r="N74" i="67"/>
  <c r="M74" i="67"/>
  <c r="L74" i="67"/>
  <c r="K74" i="67"/>
  <c r="J74" i="67"/>
  <c r="I74" i="67"/>
  <c r="H74" i="67"/>
  <c r="G74" i="67"/>
  <c r="F74" i="67"/>
  <c r="BL73" i="67"/>
  <c r="BK73" i="67"/>
  <c r="BJ73" i="67"/>
  <c r="BI73" i="67"/>
  <c r="BH73" i="67"/>
  <c r="BG73" i="67"/>
  <c r="BF73" i="67"/>
  <c r="BE73" i="67"/>
  <c r="BD73" i="67"/>
  <c r="BC73" i="67"/>
  <c r="BL72" i="67"/>
  <c r="BK72" i="67"/>
  <c r="BJ72" i="67"/>
  <c r="BI72" i="67"/>
  <c r="BH72" i="67"/>
  <c r="BG72" i="67"/>
  <c r="BF72" i="67"/>
  <c r="BE72" i="67"/>
  <c r="BD72" i="67"/>
  <c r="BC72" i="67"/>
  <c r="BL71" i="67"/>
  <c r="BK71" i="67"/>
  <c r="BJ71" i="67"/>
  <c r="BI71" i="67"/>
  <c r="BH71" i="67"/>
  <c r="BG71" i="67"/>
  <c r="BF71" i="67"/>
  <c r="BE71" i="67"/>
  <c r="BD71" i="67"/>
  <c r="N71" i="67"/>
  <c r="M71" i="67"/>
  <c r="L71" i="67"/>
  <c r="K71" i="67"/>
  <c r="J71" i="67"/>
  <c r="I71" i="67"/>
  <c r="H71" i="67"/>
  <c r="G71" i="67"/>
  <c r="F71" i="67"/>
  <c r="BL70" i="67"/>
  <c r="BK70" i="67"/>
  <c r="BJ70" i="67"/>
  <c r="BI70" i="67"/>
  <c r="BH70" i="67"/>
  <c r="BG70" i="67"/>
  <c r="BF70" i="67"/>
  <c r="BE70" i="67"/>
  <c r="BD70" i="67"/>
  <c r="BL69" i="67"/>
  <c r="BK69" i="67"/>
  <c r="BJ69" i="67"/>
  <c r="BI69" i="67"/>
  <c r="BH69" i="67"/>
  <c r="BG69" i="67"/>
  <c r="BF69" i="67"/>
  <c r="BE69" i="67"/>
  <c r="BD69" i="67"/>
  <c r="N69" i="67"/>
  <c r="M69" i="67"/>
  <c r="L69" i="67"/>
  <c r="K69" i="67"/>
  <c r="J69" i="67"/>
  <c r="I69" i="67"/>
  <c r="H69" i="67"/>
  <c r="G69" i="67"/>
  <c r="F69" i="67"/>
  <c r="BL68" i="67"/>
  <c r="BK68" i="67"/>
  <c r="BJ68" i="67"/>
  <c r="BI68" i="67"/>
  <c r="BH68" i="67"/>
  <c r="BG68" i="67"/>
  <c r="BF68" i="67"/>
  <c r="BE68" i="67"/>
  <c r="BD68" i="67"/>
  <c r="BC68" i="67"/>
  <c r="BL67" i="67"/>
  <c r="BK67" i="67"/>
  <c r="BJ67" i="67"/>
  <c r="BI67" i="67"/>
  <c r="BH67" i="67"/>
  <c r="BG67" i="67"/>
  <c r="BF67" i="67"/>
  <c r="BE67" i="67"/>
  <c r="BD67" i="67"/>
  <c r="BC67" i="67"/>
  <c r="N66" i="67"/>
  <c r="K66" i="67"/>
  <c r="J66" i="67"/>
  <c r="I66" i="67"/>
  <c r="H66" i="67"/>
  <c r="G66" i="67"/>
  <c r="F66" i="67"/>
  <c r="BJ65" i="67"/>
  <c r="BI65" i="67"/>
  <c r="BH65" i="67"/>
  <c r="BG65" i="67"/>
  <c r="BF65" i="67"/>
  <c r="BE65" i="67"/>
  <c r="BC65" i="67"/>
  <c r="BC64" i="67"/>
  <c r="BC63" i="67"/>
  <c r="R63" i="67"/>
  <c r="BC35" i="67"/>
  <c r="BC34" i="67"/>
  <c r="BC33" i="67"/>
  <c r="N32" i="67"/>
  <c r="M32" i="67"/>
  <c r="L32" i="67"/>
  <c r="K32" i="67"/>
  <c r="J32" i="67"/>
  <c r="I32" i="67"/>
  <c r="H32" i="67"/>
  <c r="G32" i="67"/>
  <c r="F32" i="67"/>
  <c r="N30" i="67"/>
  <c r="M30" i="67"/>
  <c r="L30" i="67"/>
  <c r="K30" i="67"/>
  <c r="J30" i="67"/>
  <c r="I30" i="67"/>
  <c r="H30" i="67"/>
  <c r="G30" i="67"/>
  <c r="F30" i="67"/>
  <c r="BC29" i="67"/>
  <c r="BL28" i="67"/>
  <c r="BK28" i="67"/>
  <c r="BJ28" i="67"/>
  <c r="BI28" i="67"/>
  <c r="BH28" i="67"/>
  <c r="BG28" i="67"/>
  <c r="BF28" i="67"/>
  <c r="BE28" i="67"/>
  <c r="BD28" i="67"/>
  <c r="BC28" i="67"/>
  <c r="BL27" i="67"/>
  <c r="BK27" i="67"/>
  <c r="BJ27" i="67"/>
  <c r="BI27" i="67"/>
  <c r="BH27" i="67"/>
  <c r="BG27" i="67"/>
  <c r="BF27" i="67"/>
  <c r="BE27" i="67"/>
  <c r="BD27" i="67"/>
  <c r="N27" i="67"/>
  <c r="M27" i="67"/>
  <c r="L27" i="67"/>
  <c r="K27" i="67"/>
  <c r="J27" i="67"/>
  <c r="I27" i="67"/>
  <c r="H27" i="67"/>
  <c r="G27" i="67"/>
  <c r="F27" i="67"/>
  <c r="BL26" i="67"/>
  <c r="BK26" i="67"/>
  <c r="BJ26" i="67"/>
  <c r="BI26" i="67"/>
  <c r="BH26" i="67"/>
  <c r="BG26" i="67"/>
  <c r="BF26" i="67"/>
  <c r="BE26" i="67"/>
  <c r="BD26" i="67"/>
  <c r="BL25" i="67"/>
  <c r="BK25" i="67"/>
  <c r="BJ25" i="67"/>
  <c r="BI25" i="67"/>
  <c r="BH25" i="67"/>
  <c r="BG25" i="67"/>
  <c r="BF25" i="67"/>
  <c r="BE25" i="67"/>
  <c r="BD25" i="67"/>
  <c r="N25" i="67"/>
  <c r="N26" i="67" s="1"/>
  <c r="M25" i="67"/>
  <c r="L25" i="67"/>
  <c r="K25" i="67"/>
  <c r="J25" i="67"/>
  <c r="I25" i="67"/>
  <c r="H25" i="67"/>
  <c r="G25" i="67"/>
  <c r="F25" i="67"/>
  <c r="BD24" i="67"/>
  <c r="BC24" i="67"/>
  <c r="BD23" i="67"/>
  <c r="BC23" i="67"/>
  <c r="BD22" i="67"/>
  <c r="N22" i="67"/>
  <c r="M22" i="67"/>
  <c r="L22" i="67"/>
  <c r="K22" i="67"/>
  <c r="J22" i="67"/>
  <c r="I22" i="67"/>
  <c r="H22" i="67"/>
  <c r="G22" i="67"/>
  <c r="F22" i="67"/>
  <c r="BD21" i="67"/>
  <c r="BL20" i="67"/>
  <c r="BK20" i="67"/>
  <c r="BJ20" i="67"/>
  <c r="BI20" i="67"/>
  <c r="BH20" i="67"/>
  <c r="BG20" i="67"/>
  <c r="BF20" i="67"/>
  <c r="BE20" i="67"/>
  <c r="BD20" i="67"/>
  <c r="N20" i="67"/>
  <c r="N21" i="67" s="1"/>
  <c r="M20" i="67"/>
  <c r="L20" i="67"/>
  <c r="K20" i="67"/>
  <c r="J20" i="67"/>
  <c r="I20" i="67"/>
  <c r="H20" i="67"/>
  <c r="G20" i="67"/>
  <c r="F20" i="67"/>
  <c r="BL19" i="67"/>
  <c r="BK19" i="67"/>
  <c r="BJ19" i="67"/>
  <c r="BI19" i="67"/>
  <c r="BH19" i="67"/>
  <c r="BG19" i="67"/>
  <c r="BF19" i="67"/>
  <c r="BE19" i="67"/>
  <c r="BD19" i="67"/>
  <c r="BC19" i="67"/>
  <c r="BL18" i="67"/>
  <c r="BK18" i="67"/>
  <c r="BJ18" i="67"/>
  <c r="BI18" i="67"/>
  <c r="BH18" i="67"/>
  <c r="BG18" i="67"/>
  <c r="BF18" i="67"/>
  <c r="BE18" i="67"/>
  <c r="BD18" i="67"/>
  <c r="BC18" i="67"/>
  <c r="BL17" i="67"/>
  <c r="BK17" i="67"/>
  <c r="BJ17" i="67"/>
  <c r="BI17" i="67"/>
  <c r="BH17" i="67"/>
  <c r="BG17" i="67"/>
  <c r="BF17" i="67"/>
  <c r="BE17" i="67"/>
  <c r="BD17" i="67"/>
  <c r="N17" i="67"/>
  <c r="M17" i="67"/>
  <c r="L17" i="67"/>
  <c r="K17" i="67"/>
  <c r="J17" i="67"/>
  <c r="I17" i="67"/>
  <c r="H17" i="67"/>
  <c r="G17" i="67"/>
  <c r="F17" i="67"/>
  <c r="BL16" i="67"/>
  <c r="BK16" i="67"/>
  <c r="BJ16" i="67"/>
  <c r="BI16" i="67"/>
  <c r="BH16" i="67"/>
  <c r="BG16" i="67"/>
  <c r="BF16" i="67"/>
  <c r="BE16" i="67"/>
  <c r="BD16" i="67"/>
  <c r="N16" i="67"/>
  <c r="M16" i="67"/>
  <c r="BL21" i="67" s="1"/>
  <c r="L16" i="67"/>
  <c r="BK21" i="67" s="1"/>
  <c r="K16" i="67"/>
  <c r="BJ21" i="67" s="1"/>
  <c r="J16" i="67"/>
  <c r="BI21" i="67" s="1"/>
  <c r="I16" i="67"/>
  <c r="BH21" i="67" s="1"/>
  <c r="H16" i="67"/>
  <c r="BG21" i="67" s="1"/>
  <c r="G16" i="67"/>
  <c r="BF21" i="67" s="1"/>
  <c r="F16" i="67"/>
  <c r="BE21" i="67" s="1"/>
  <c r="BL15" i="67"/>
  <c r="BK15" i="67"/>
  <c r="BJ15" i="67"/>
  <c r="BI15" i="67"/>
  <c r="BH15" i="67"/>
  <c r="BG15" i="67"/>
  <c r="BF15" i="67"/>
  <c r="BE15" i="67"/>
  <c r="BD15" i="67"/>
  <c r="N15" i="67"/>
  <c r="M15" i="67"/>
  <c r="L15" i="67"/>
  <c r="K15" i="67"/>
  <c r="J15" i="67"/>
  <c r="I15" i="67"/>
  <c r="H15" i="67"/>
  <c r="G15" i="67"/>
  <c r="F15" i="67"/>
  <c r="BL14" i="67"/>
  <c r="BK14" i="67"/>
  <c r="BJ14" i="67"/>
  <c r="BI14" i="67"/>
  <c r="BH14" i="67"/>
  <c r="BG14" i="67"/>
  <c r="BF14" i="67"/>
  <c r="BE14" i="67"/>
  <c r="BD14" i="67"/>
  <c r="BL13" i="67"/>
  <c r="BK13" i="67"/>
  <c r="BJ13" i="67"/>
  <c r="BI13" i="67"/>
  <c r="BH13" i="67"/>
  <c r="BG13" i="67"/>
  <c r="BF13" i="67"/>
  <c r="BE13" i="67"/>
  <c r="BD13" i="67"/>
  <c r="BJ11" i="67"/>
  <c r="BI11" i="67"/>
  <c r="BH11" i="67"/>
  <c r="BG11" i="67"/>
  <c r="BF11" i="67"/>
  <c r="BE11" i="67"/>
  <c r="N11" i="67"/>
  <c r="K11" i="67"/>
  <c r="J11" i="67"/>
  <c r="I11" i="67"/>
  <c r="H11" i="67"/>
  <c r="G11" i="67"/>
  <c r="F11" i="67"/>
  <c r="R8" i="67"/>
  <c r="M5" i="47"/>
  <c r="L5" i="47"/>
  <c r="K5" i="47"/>
  <c r="K5" i="67" s="1"/>
  <c r="I5" i="47"/>
  <c r="I5" i="67" s="1"/>
  <c r="H5" i="47"/>
  <c r="H5" i="67" s="1"/>
  <c r="G5" i="47"/>
  <c r="G5" i="67" s="1"/>
  <c r="F5" i="47"/>
  <c r="F5" i="67" s="1"/>
  <c r="K1" i="47"/>
  <c r="K1" i="67" s="1"/>
  <c r="BF65" i="47"/>
  <c r="BG65" i="47"/>
  <c r="BH65" i="47"/>
  <c r="BI65" i="47"/>
  <c r="BJ65" i="47"/>
  <c r="BK65" i="47"/>
  <c r="BL65" i="47"/>
  <c r="BE65" i="47"/>
  <c r="BF168" i="47"/>
  <c r="BG168" i="47"/>
  <c r="BH168" i="47"/>
  <c r="BI168" i="47"/>
  <c r="BJ168" i="47"/>
  <c r="BK168" i="47"/>
  <c r="BL168" i="47"/>
  <c r="BF172" i="47"/>
  <c r="BG172" i="47"/>
  <c r="BH172" i="47"/>
  <c r="BI172" i="47"/>
  <c r="BJ172" i="47"/>
  <c r="BK172" i="47"/>
  <c r="BL172" i="47"/>
  <c r="BF180" i="47"/>
  <c r="BG180" i="47"/>
  <c r="BH180" i="47"/>
  <c r="BI180" i="47"/>
  <c r="BJ180" i="47"/>
  <c r="BK180" i="47"/>
  <c r="BL180" i="47"/>
  <c r="BF131" i="47"/>
  <c r="BG131" i="47"/>
  <c r="BH131" i="47"/>
  <c r="BI131" i="47"/>
  <c r="BJ131" i="47"/>
  <c r="BK131" i="47"/>
  <c r="BL131" i="47"/>
  <c r="BF132" i="47"/>
  <c r="BG132" i="47"/>
  <c r="BH132" i="47"/>
  <c r="BI132" i="47"/>
  <c r="BJ132" i="47"/>
  <c r="BK132" i="47"/>
  <c r="BL132" i="47"/>
  <c r="BF133" i="47"/>
  <c r="BG133" i="47"/>
  <c r="BH133" i="47"/>
  <c r="BI133" i="47"/>
  <c r="BJ133" i="47"/>
  <c r="BK133" i="47"/>
  <c r="BL133" i="47"/>
  <c r="BF134" i="47"/>
  <c r="BG134" i="47"/>
  <c r="BH134" i="47"/>
  <c r="BI134" i="47"/>
  <c r="BJ134" i="47"/>
  <c r="BK134" i="47"/>
  <c r="BL134" i="47"/>
  <c r="BF137" i="47"/>
  <c r="BG137" i="47"/>
  <c r="BH137" i="47"/>
  <c r="BI137" i="47"/>
  <c r="BJ137" i="47"/>
  <c r="BK137" i="47"/>
  <c r="BL137" i="47"/>
  <c r="BF138" i="47"/>
  <c r="BG138" i="47"/>
  <c r="BH138" i="47"/>
  <c r="BI138" i="47"/>
  <c r="BJ138" i="47"/>
  <c r="BK138" i="47"/>
  <c r="BL138" i="47"/>
  <c r="BF139" i="47"/>
  <c r="BG139" i="47"/>
  <c r="BH139" i="47"/>
  <c r="BI139" i="47"/>
  <c r="BJ139" i="47"/>
  <c r="BK139" i="47"/>
  <c r="BL139" i="47"/>
  <c r="BF140" i="47"/>
  <c r="BG140" i="47"/>
  <c r="BH140" i="47"/>
  <c r="BI140" i="47"/>
  <c r="BJ140" i="47"/>
  <c r="BK140" i="47"/>
  <c r="BL140" i="47"/>
  <c r="BF149" i="47"/>
  <c r="BG149" i="47"/>
  <c r="BH149" i="47"/>
  <c r="BI149" i="47"/>
  <c r="BJ149" i="47"/>
  <c r="BK149" i="47"/>
  <c r="BL149" i="47"/>
  <c r="BF150" i="47"/>
  <c r="BG150" i="47"/>
  <c r="BH150" i="47"/>
  <c r="BI150" i="47"/>
  <c r="BJ150" i="47"/>
  <c r="BK150" i="47"/>
  <c r="BL150" i="47"/>
  <c r="BF151" i="47"/>
  <c r="BG151" i="47"/>
  <c r="BH151" i="47"/>
  <c r="BI151" i="47"/>
  <c r="BJ151" i="47"/>
  <c r="BK151" i="47"/>
  <c r="BL151" i="47"/>
  <c r="BF152" i="47"/>
  <c r="BG152" i="47"/>
  <c r="BH152" i="47"/>
  <c r="BI152" i="47"/>
  <c r="BJ152" i="47"/>
  <c r="BK152" i="47"/>
  <c r="BL152" i="47"/>
  <c r="BF189" i="47"/>
  <c r="BG189" i="47"/>
  <c r="BH189" i="47"/>
  <c r="BI189" i="47"/>
  <c r="BJ189" i="47"/>
  <c r="BK189" i="47"/>
  <c r="BL189" i="47"/>
  <c r="BF190" i="47"/>
  <c r="BG190" i="47"/>
  <c r="BH190" i="47"/>
  <c r="BI190" i="47"/>
  <c r="BJ190" i="47"/>
  <c r="BK190" i="47"/>
  <c r="BL190" i="47"/>
  <c r="BF191" i="47"/>
  <c r="BG191" i="47"/>
  <c r="BH191" i="47"/>
  <c r="BI191" i="47"/>
  <c r="BJ191" i="47"/>
  <c r="BK191" i="47"/>
  <c r="BL191" i="47"/>
  <c r="BF192" i="47"/>
  <c r="BG192" i="47"/>
  <c r="BH192" i="47"/>
  <c r="BI192" i="47"/>
  <c r="BJ192" i="47"/>
  <c r="BK192" i="47"/>
  <c r="BL192" i="47"/>
  <c r="BF193" i="47"/>
  <c r="BG193" i="47"/>
  <c r="BH193" i="47"/>
  <c r="BI193" i="47"/>
  <c r="BJ193" i="47"/>
  <c r="BK193" i="47"/>
  <c r="BL193" i="47"/>
  <c r="BF194" i="47"/>
  <c r="BG194" i="47"/>
  <c r="BH194" i="47"/>
  <c r="BI194" i="47"/>
  <c r="BJ194" i="47"/>
  <c r="BK194" i="47"/>
  <c r="BL194" i="47"/>
  <c r="BF195" i="47"/>
  <c r="BG195" i="47"/>
  <c r="BH195" i="47"/>
  <c r="BI195" i="47"/>
  <c r="BJ195" i="47"/>
  <c r="BK195" i="47"/>
  <c r="BL195" i="47"/>
  <c r="BF196" i="47"/>
  <c r="BG196" i="47"/>
  <c r="BH196" i="47"/>
  <c r="BI196" i="47"/>
  <c r="BJ196" i="47"/>
  <c r="BK196" i="47"/>
  <c r="BL196" i="47"/>
  <c r="BF197" i="47"/>
  <c r="BG197" i="47"/>
  <c r="BH197" i="47"/>
  <c r="BI197" i="47"/>
  <c r="BJ197" i="47"/>
  <c r="BK197" i="47"/>
  <c r="BL197" i="47"/>
  <c r="BF198" i="47"/>
  <c r="BG198" i="47"/>
  <c r="BH198" i="47"/>
  <c r="BI198" i="47"/>
  <c r="BJ198" i="47"/>
  <c r="BK198" i="47"/>
  <c r="BL198" i="47"/>
  <c r="BF199" i="47"/>
  <c r="BG199" i="47"/>
  <c r="BH199" i="47"/>
  <c r="BI199" i="47"/>
  <c r="BJ199" i="47"/>
  <c r="BK199" i="47"/>
  <c r="BL199" i="47"/>
  <c r="BF200" i="47"/>
  <c r="BG200" i="47"/>
  <c r="BH200" i="47"/>
  <c r="BI200" i="47"/>
  <c r="BJ200" i="47"/>
  <c r="BK200" i="47"/>
  <c r="BL200" i="47"/>
  <c r="BF207" i="47"/>
  <c r="BG207" i="47"/>
  <c r="BH207" i="47"/>
  <c r="BI207" i="47"/>
  <c r="BJ207" i="47"/>
  <c r="BK207" i="47"/>
  <c r="BL207" i="47"/>
  <c r="BF208" i="47"/>
  <c r="BG208" i="47"/>
  <c r="BH208" i="47"/>
  <c r="BI208" i="47"/>
  <c r="BJ208" i="47"/>
  <c r="BK208" i="47"/>
  <c r="BL208" i="47"/>
  <c r="BF209" i="47"/>
  <c r="BG209" i="47"/>
  <c r="BH209" i="47"/>
  <c r="BI209" i="47"/>
  <c r="BJ209" i="47"/>
  <c r="BK209" i="47"/>
  <c r="BL209" i="47"/>
  <c r="BF210" i="47"/>
  <c r="BG210" i="47"/>
  <c r="BH210" i="47"/>
  <c r="BI210" i="47"/>
  <c r="BJ210" i="47"/>
  <c r="BK210" i="47"/>
  <c r="BL210" i="47"/>
  <c r="BF211" i="47"/>
  <c r="BG211" i="47"/>
  <c r="BH211" i="47"/>
  <c r="BI211" i="47"/>
  <c r="BJ211" i="47"/>
  <c r="BK211" i="47"/>
  <c r="BL211" i="47"/>
  <c r="BF212" i="47"/>
  <c r="BG212" i="47"/>
  <c r="BH212" i="47"/>
  <c r="BI212" i="47"/>
  <c r="BJ212" i="47"/>
  <c r="BK212" i="47"/>
  <c r="BL212" i="47"/>
  <c r="BL187" i="47"/>
  <c r="BK187" i="47"/>
  <c r="BJ187" i="47"/>
  <c r="BI187" i="47"/>
  <c r="BH187" i="47"/>
  <c r="BG187" i="47"/>
  <c r="BF187" i="47"/>
  <c r="BE187" i="47"/>
  <c r="BL129" i="47"/>
  <c r="BK129" i="47"/>
  <c r="BJ129" i="47"/>
  <c r="BI129" i="47"/>
  <c r="BH129" i="47"/>
  <c r="BG129" i="47"/>
  <c r="BF129" i="47"/>
  <c r="BE129" i="47"/>
  <c r="BL166" i="47"/>
  <c r="BK166" i="47"/>
  <c r="BJ166" i="47"/>
  <c r="BI166" i="47"/>
  <c r="BH166" i="47"/>
  <c r="BG166" i="47"/>
  <c r="BF166" i="47"/>
  <c r="BE166" i="47"/>
  <c r="BF44" i="47"/>
  <c r="BG44" i="47"/>
  <c r="BH44" i="47"/>
  <c r="BI44" i="47"/>
  <c r="BJ44" i="47"/>
  <c r="BK44" i="47"/>
  <c r="BL44" i="47"/>
  <c r="BE44" i="47"/>
  <c r="BF46" i="47"/>
  <c r="BG46" i="47"/>
  <c r="BH46" i="47"/>
  <c r="BI46" i="47"/>
  <c r="BJ46" i="47"/>
  <c r="BK46" i="47"/>
  <c r="BL46" i="47"/>
  <c r="BF50" i="47"/>
  <c r="BG50" i="47"/>
  <c r="BH50" i="47"/>
  <c r="BI50" i="47"/>
  <c r="BJ50" i="47"/>
  <c r="BK50" i="47"/>
  <c r="BL50" i="47"/>
  <c r="BF57" i="47"/>
  <c r="BG57" i="47"/>
  <c r="BH57" i="47"/>
  <c r="BI57" i="47"/>
  <c r="BJ57" i="47"/>
  <c r="BK57" i="47"/>
  <c r="BL57" i="47"/>
  <c r="BT110" i="47"/>
  <c r="BU110" i="47"/>
  <c r="BT114" i="47"/>
  <c r="BU114" i="47"/>
  <c r="BT122" i="47"/>
  <c r="BU122" i="47"/>
  <c r="BK67" i="47"/>
  <c r="BK68" i="47"/>
  <c r="BK69" i="47"/>
  <c r="BK70" i="47"/>
  <c r="BK71" i="47"/>
  <c r="BK72" i="47"/>
  <c r="BK73" i="47"/>
  <c r="BK74" i="47"/>
  <c r="BK75" i="47"/>
  <c r="BK76" i="47"/>
  <c r="BK77" i="47"/>
  <c r="BK78" i="47"/>
  <c r="BK85" i="47"/>
  <c r="BK86" i="47"/>
  <c r="BK87" i="47"/>
  <c r="BK88" i="47"/>
  <c r="BK89" i="47"/>
  <c r="BK90" i="47"/>
  <c r="BT108" i="47"/>
  <c r="BU108" i="47"/>
  <c r="BO108" i="47"/>
  <c r="BP108" i="47"/>
  <c r="BQ108" i="47"/>
  <c r="BR108" i="47"/>
  <c r="BS108" i="47"/>
  <c r="BN108" i="47"/>
  <c r="BF13" i="47"/>
  <c r="BG13" i="47"/>
  <c r="BH13" i="47"/>
  <c r="BI13" i="47"/>
  <c r="BJ13" i="47"/>
  <c r="BK13" i="47"/>
  <c r="BL13" i="47"/>
  <c r="BF14" i="47"/>
  <c r="BG14" i="47"/>
  <c r="BH14" i="47"/>
  <c r="BI14" i="47"/>
  <c r="BJ14" i="47"/>
  <c r="BK14" i="47"/>
  <c r="BL14" i="47"/>
  <c r="BF15" i="47"/>
  <c r="BG15" i="47"/>
  <c r="BH15" i="47"/>
  <c r="BI15" i="47"/>
  <c r="BJ15" i="47"/>
  <c r="BK15" i="47"/>
  <c r="BL15" i="47"/>
  <c r="BF16" i="47"/>
  <c r="BG16" i="47"/>
  <c r="BH16" i="47"/>
  <c r="BI16" i="47"/>
  <c r="BJ16" i="47"/>
  <c r="BK16" i="47"/>
  <c r="BL16" i="47"/>
  <c r="BF17" i="47"/>
  <c r="BG17" i="47"/>
  <c r="BH17" i="47"/>
  <c r="BI17" i="47"/>
  <c r="BJ17" i="47"/>
  <c r="BK17" i="47"/>
  <c r="BL17" i="47"/>
  <c r="BF18" i="47"/>
  <c r="BG18" i="47"/>
  <c r="BH18" i="47"/>
  <c r="BI18" i="47"/>
  <c r="BJ18" i="47"/>
  <c r="BK18" i="47"/>
  <c r="BL18" i="47"/>
  <c r="BF19" i="47"/>
  <c r="BG19" i="47"/>
  <c r="BH19" i="47"/>
  <c r="BI19" i="47"/>
  <c r="BJ19" i="47"/>
  <c r="BK19" i="47"/>
  <c r="BL19" i="47"/>
  <c r="BF20" i="47"/>
  <c r="BG20" i="47"/>
  <c r="BH20" i="47"/>
  <c r="BI20" i="47"/>
  <c r="BJ20" i="47"/>
  <c r="BK20" i="47"/>
  <c r="BL20" i="47"/>
  <c r="BF25" i="47"/>
  <c r="BG25" i="47"/>
  <c r="BH25" i="47"/>
  <c r="BI25" i="47"/>
  <c r="BJ25" i="47"/>
  <c r="BK25" i="47"/>
  <c r="BL25" i="47"/>
  <c r="BF26" i="47"/>
  <c r="BG26" i="47"/>
  <c r="BH26" i="47"/>
  <c r="BI26" i="47"/>
  <c r="BJ26" i="47"/>
  <c r="BK26" i="47"/>
  <c r="BL26" i="47"/>
  <c r="BF27" i="47"/>
  <c r="BG27" i="47"/>
  <c r="BH27" i="47"/>
  <c r="BI27" i="47"/>
  <c r="BJ27" i="47"/>
  <c r="BK27" i="47"/>
  <c r="BL27" i="47"/>
  <c r="BF28" i="47"/>
  <c r="BG28" i="47"/>
  <c r="BH28" i="47"/>
  <c r="BI28" i="47"/>
  <c r="BJ28" i="47"/>
  <c r="BK28" i="47"/>
  <c r="BL28" i="47"/>
  <c r="BF11" i="47"/>
  <c r="BG11" i="47"/>
  <c r="BH11" i="47"/>
  <c r="BI11" i="47"/>
  <c r="BJ11" i="47"/>
  <c r="BK11" i="47"/>
  <c r="BL11" i="47"/>
  <c r="BE11" i="47"/>
  <c r="BC18" i="47"/>
  <c r="BC19" i="47"/>
  <c r="BC23" i="47"/>
  <c r="BC24" i="47"/>
  <c r="BC28" i="47"/>
  <c r="BC29" i="47"/>
  <c r="BC33" i="47"/>
  <c r="BC34" i="47"/>
  <c r="BC35" i="47"/>
  <c r="BC63" i="47"/>
  <c r="BC64" i="47"/>
  <c r="BC65" i="47"/>
  <c r="BC67" i="47"/>
  <c r="BC68" i="47"/>
  <c r="BC72" i="47"/>
  <c r="BC73" i="47"/>
  <c r="BC77" i="47"/>
  <c r="BC78" i="47"/>
  <c r="BC82" i="47"/>
  <c r="BC83" i="47"/>
  <c r="BC87" i="47"/>
  <c r="BC88" i="47"/>
  <c r="BC92" i="47"/>
  <c r="BC93" i="47"/>
  <c r="BC97" i="47"/>
  <c r="BC98" i="47"/>
  <c r="BC99" i="47"/>
  <c r="BC100" i="47"/>
  <c r="BC101" i="47"/>
  <c r="BC102" i="47"/>
  <c r="BC104" i="47"/>
  <c r="BC105" i="47"/>
  <c r="BC106" i="47"/>
  <c r="BC110" i="47"/>
  <c r="BC111" i="47"/>
  <c r="BC112" i="47"/>
  <c r="BC113" i="47"/>
  <c r="BC114" i="47"/>
  <c r="BC115" i="47"/>
  <c r="BC116" i="47"/>
  <c r="BC117" i="47"/>
  <c r="BC118" i="47"/>
  <c r="BC119" i="47"/>
  <c r="BC120" i="47"/>
  <c r="BC121" i="47"/>
  <c r="BC122" i="47"/>
  <c r="BC123" i="47"/>
  <c r="BC124" i="47"/>
  <c r="BC125" i="47"/>
  <c r="BC126" i="47"/>
  <c r="BC127" i="47"/>
  <c r="BC36" i="47"/>
  <c r="BC37" i="47"/>
  <c r="BC38" i="47"/>
  <c r="BC40" i="47"/>
  <c r="BC41" i="47"/>
  <c r="BC42" i="47"/>
  <c r="BC46" i="47"/>
  <c r="BC47" i="47"/>
  <c r="BC48" i="47"/>
  <c r="BC49" i="47"/>
  <c r="BC50" i="47"/>
  <c r="BC51" i="47"/>
  <c r="BC52" i="47"/>
  <c r="BC53" i="47"/>
  <c r="BC54" i="47"/>
  <c r="BC55" i="47"/>
  <c r="BC56" i="47"/>
  <c r="BC57" i="47"/>
  <c r="BC58" i="47"/>
  <c r="BC59" i="47"/>
  <c r="BC60" i="47"/>
  <c r="BC61" i="47"/>
  <c r="BC62" i="47"/>
  <c r="BC159" i="47"/>
  <c r="BC160" i="47"/>
  <c r="BC161" i="47"/>
  <c r="BC163" i="47"/>
  <c r="BC164" i="47"/>
  <c r="BC168" i="47"/>
  <c r="BC169" i="47"/>
  <c r="BC170" i="47"/>
  <c r="BC171" i="47"/>
  <c r="BC172" i="47"/>
  <c r="BC173" i="47"/>
  <c r="BC174" i="47"/>
  <c r="BC175" i="47"/>
  <c r="BC176" i="47"/>
  <c r="BC177" i="47"/>
  <c r="BC178" i="47"/>
  <c r="BC179" i="47"/>
  <c r="BC180" i="47"/>
  <c r="BC181" i="47"/>
  <c r="BC182" i="47"/>
  <c r="BC183" i="47"/>
  <c r="BC184" i="47"/>
  <c r="BC185" i="47"/>
  <c r="BC128" i="47"/>
  <c r="BC129" i="47"/>
  <c r="BC130" i="47"/>
  <c r="BC132" i="47"/>
  <c r="BC133" i="47"/>
  <c r="BC134" i="47"/>
  <c r="BC138" i="47"/>
  <c r="BC139" i="47"/>
  <c r="BC140" i="47"/>
  <c r="BC144" i="47"/>
  <c r="BC145" i="47"/>
  <c r="BC146" i="47"/>
  <c r="BC150" i="47"/>
  <c r="BC151" i="47"/>
  <c r="BC152" i="47"/>
  <c r="BC156" i="47"/>
  <c r="BC157" i="47"/>
  <c r="BC158" i="47"/>
  <c r="BC186" i="47"/>
  <c r="BC187" i="47"/>
  <c r="BC188" i="47"/>
  <c r="BC190" i="47"/>
  <c r="BC191" i="47"/>
  <c r="BC192" i="47"/>
  <c r="BC196" i="47"/>
  <c r="BC197" i="47"/>
  <c r="BC201" i="47"/>
  <c r="BC202" i="47"/>
  <c r="BC206" i="47"/>
  <c r="BC207" i="47"/>
  <c r="BC211" i="47"/>
  <c r="BC212" i="47"/>
  <c r="BC216" i="47"/>
  <c r="BC217" i="47"/>
  <c r="BC221" i="47"/>
  <c r="BC222" i="47"/>
  <c r="BC223" i="47"/>
  <c r="BC224" i="47"/>
  <c r="BC225" i="47"/>
  <c r="BC226" i="47"/>
  <c r="BC227" i="47"/>
  <c r="BC228" i="47"/>
  <c r="BC229" i="47"/>
  <c r="BC230" i="47"/>
  <c r="R186" i="47"/>
  <c r="R128" i="47"/>
  <c r="R36" i="47"/>
  <c r="R100" i="47"/>
  <c r="R63" i="47"/>
  <c r="R8" i="47"/>
  <c r="L193" i="47"/>
  <c r="M193" i="47"/>
  <c r="L194" i="47"/>
  <c r="BK201" i="47" s="1"/>
  <c r="M194" i="47"/>
  <c r="BL201" i="47" s="1"/>
  <c r="L195" i="47"/>
  <c r="M195" i="47"/>
  <c r="L198" i="47"/>
  <c r="M198" i="47"/>
  <c r="L199" i="47"/>
  <c r="BK202" i="47" s="1"/>
  <c r="M199" i="47"/>
  <c r="BL202" i="47" s="1"/>
  <c r="L200" i="47"/>
  <c r="M200" i="47"/>
  <c r="L203" i="47"/>
  <c r="M203" i="47"/>
  <c r="L204" i="47"/>
  <c r="BK203" i="47" s="1"/>
  <c r="M204" i="47"/>
  <c r="BL203" i="47" s="1"/>
  <c r="L205" i="47"/>
  <c r="M205" i="47"/>
  <c r="L208" i="47"/>
  <c r="M208" i="47"/>
  <c r="L209" i="47"/>
  <c r="M209" i="47"/>
  <c r="L210" i="47"/>
  <c r="M210" i="47"/>
  <c r="L213" i="47"/>
  <c r="M213" i="47"/>
  <c r="L214" i="47"/>
  <c r="BK204" i="47" s="1"/>
  <c r="M214" i="47"/>
  <c r="BL205" i="47" s="1"/>
  <c r="L215" i="47"/>
  <c r="M215" i="47"/>
  <c r="L218" i="47"/>
  <c r="M218" i="47"/>
  <c r="L219" i="47"/>
  <c r="BK206" i="47" s="1"/>
  <c r="M219" i="47"/>
  <c r="BL206" i="47" s="1"/>
  <c r="L220" i="47"/>
  <c r="M220" i="47"/>
  <c r="L135" i="47"/>
  <c r="M135" i="47"/>
  <c r="L136" i="47"/>
  <c r="BK143" i="47" s="1"/>
  <c r="M136" i="47"/>
  <c r="BL143" i="47" s="1"/>
  <c r="L137" i="47"/>
  <c r="M137" i="47"/>
  <c r="L141" i="47"/>
  <c r="M141" i="47"/>
  <c r="L142" i="47"/>
  <c r="BK144" i="47" s="1"/>
  <c r="M142" i="47"/>
  <c r="BL144" i="47" s="1"/>
  <c r="L143" i="47"/>
  <c r="M143" i="47"/>
  <c r="L147" i="47"/>
  <c r="M147" i="47"/>
  <c r="L148" i="47"/>
  <c r="BK145" i="47" s="1"/>
  <c r="M148" i="47"/>
  <c r="BL145" i="47" s="1"/>
  <c r="L149" i="47"/>
  <c r="M149" i="47"/>
  <c r="BK146" i="47"/>
  <c r="BL146" i="47"/>
  <c r="L165" i="47"/>
  <c r="M165" i="47"/>
  <c r="L166" i="47"/>
  <c r="BK176" i="47" s="1"/>
  <c r="M166" i="47"/>
  <c r="BL176" i="47" s="1"/>
  <c r="L167" i="47"/>
  <c r="M167" i="47"/>
  <c r="L43" i="47"/>
  <c r="M43" i="47"/>
  <c r="L44" i="47"/>
  <c r="BK54" i="47" s="1"/>
  <c r="M44" i="47"/>
  <c r="BL54" i="47" s="1"/>
  <c r="L45" i="47"/>
  <c r="M45" i="47"/>
  <c r="L107" i="47"/>
  <c r="M107" i="47"/>
  <c r="L109" i="47"/>
  <c r="M109" i="47"/>
  <c r="L69" i="47"/>
  <c r="M69" i="47"/>
  <c r="L71" i="47"/>
  <c r="M71" i="47"/>
  <c r="L74" i="47"/>
  <c r="M74" i="47"/>
  <c r="L76" i="47"/>
  <c r="M76" i="47"/>
  <c r="L79" i="47"/>
  <c r="M79" i="47"/>
  <c r="L81" i="47"/>
  <c r="M81" i="47"/>
  <c r="L84" i="47"/>
  <c r="M84" i="47"/>
  <c r="L86" i="47"/>
  <c r="M86" i="47"/>
  <c r="L89" i="47"/>
  <c r="M89" i="47"/>
  <c r="L91" i="47"/>
  <c r="M91" i="47"/>
  <c r="L94" i="47"/>
  <c r="M94" i="47"/>
  <c r="L96" i="47"/>
  <c r="M96" i="47"/>
  <c r="L15" i="47"/>
  <c r="M15" i="47"/>
  <c r="L16" i="47"/>
  <c r="BK21" i="47" s="1"/>
  <c r="M16" i="47"/>
  <c r="BL21" i="47" s="1"/>
  <c r="L17" i="47"/>
  <c r="M17" i="47"/>
  <c r="L20" i="47"/>
  <c r="M20" i="47"/>
  <c r="L22" i="47"/>
  <c r="M22" i="47"/>
  <c r="L25" i="47"/>
  <c r="M25" i="47"/>
  <c r="L27" i="47"/>
  <c r="M27" i="47"/>
  <c r="L30" i="47"/>
  <c r="M30" i="47"/>
  <c r="L32" i="47"/>
  <c r="M32" i="47"/>
  <c r="N189" i="47"/>
  <c r="M189" i="47"/>
  <c r="L189" i="47"/>
  <c r="K189" i="47"/>
  <c r="J189" i="47"/>
  <c r="I189" i="47"/>
  <c r="H189" i="47"/>
  <c r="G189" i="47"/>
  <c r="F189" i="47"/>
  <c r="N131" i="47"/>
  <c r="M131" i="47"/>
  <c r="L131" i="47"/>
  <c r="K131" i="47"/>
  <c r="J131" i="47"/>
  <c r="I131" i="47"/>
  <c r="H131" i="47"/>
  <c r="G131" i="47"/>
  <c r="F131" i="47"/>
  <c r="N162" i="47"/>
  <c r="M162" i="47"/>
  <c r="L162" i="47"/>
  <c r="K162" i="47"/>
  <c r="J162" i="47"/>
  <c r="I162" i="47"/>
  <c r="H162" i="47"/>
  <c r="G162" i="47"/>
  <c r="F162" i="47"/>
  <c r="N39" i="47"/>
  <c r="M39" i="47"/>
  <c r="L39" i="47"/>
  <c r="K39" i="47"/>
  <c r="J39" i="47"/>
  <c r="I39" i="47"/>
  <c r="H39" i="47"/>
  <c r="G39" i="47"/>
  <c r="F39" i="47"/>
  <c r="N103" i="47"/>
  <c r="M103" i="47"/>
  <c r="L103" i="47"/>
  <c r="K103" i="47"/>
  <c r="J103" i="47"/>
  <c r="I103" i="47"/>
  <c r="H103" i="47"/>
  <c r="G103" i="47"/>
  <c r="F103" i="47"/>
  <c r="N66" i="47"/>
  <c r="M66" i="47"/>
  <c r="L66" i="47"/>
  <c r="K66" i="47"/>
  <c r="J66" i="47"/>
  <c r="I66" i="47"/>
  <c r="H66" i="47"/>
  <c r="G66" i="47"/>
  <c r="F66" i="47"/>
  <c r="G11" i="47"/>
  <c r="H11" i="47"/>
  <c r="I11" i="47"/>
  <c r="J11" i="47"/>
  <c r="K11" i="47"/>
  <c r="L11" i="47"/>
  <c r="M11" i="47"/>
  <c r="N11" i="47"/>
  <c r="F11" i="47"/>
  <c r="M4" i="62"/>
  <c r="L4" i="62"/>
  <c r="M4" i="64"/>
  <c r="M130" i="64" s="1"/>
  <c r="L4" i="64"/>
  <c r="N5" i="64"/>
  <c r="E4" i="64"/>
  <c r="BD108" i="64" s="1"/>
  <c r="BC153" i="64"/>
  <c r="BC152" i="64"/>
  <c r="BC151" i="64"/>
  <c r="BC150" i="64"/>
  <c r="BL149" i="64"/>
  <c r="BK149" i="64"/>
  <c r="BJ149" i="64"/>
  <c r="BI149" i="64"/>
  <c r="BH149" i="64"/>
  <c r="BG149" i="64"/>
  <c r="BF149" i="64"/>
  <c r="BE149" i="64"/>
  <c r="BD149" i="64"/>
  <c r="BC149" i="64"/>
  <c r="BL148" i="64"/>
  <c r="BK148" i="64"/>
  <c r="BJ148" i="64"/>
  <c r="BI148" i="64"/>
  <c r="BH148" i="64"/>
  <c r="BG148" i="64"/>
  <c r="BF148" i="64"/>
  <c r="BE148" i="64"/>
  <c r="BD148" i="64"/>
  <c r="BC148" i="64"/>
  <c r="BC147" i="64"/>
  <c r="BC146" i="64"/>
  <c r="BC145" i="64"/>
  <c r="BC144" i="64"/>
  <c r="BL143" i="64"/>
  <c r="BK143" i="64"/>
  <c r="BJ143" i="64"/>
  <c r="BI143" i="64"/>
  <c r="BH143" i="64"/>
  <c r="BG143" i="64"/>
  <c r="BF143" i="64"/>
  <c r="BE143" i="64"/>
  <c r="BD143" i="64"/>
  <c r="BC143" i="64"/>
  <c r="BD142" i="64"/>
  <c r="BC142" i="64"/>
  <c r="BC141" i="64"/>
  <c r="BC140" i="64"/>
  <c r="BC139" i="64"/>
  <c r="BC138" i="64"/>
  <c r="BL137" i="64"/>
  <c r="BK137" i="64"/>
  <c r="BJ137" i="64"/>
  <c r="BI137" i="64"/>
  <c r="BH137" i="64"/>
  <c r="BG137" i="64"/>
  <c r="BF137" i="64"/>
  <c r="BE137" i="64"/>
  <c r="BD137" i="64"/>
  <c r="BC137" i="64"/>
  <c r="BL136" i="64"/>
  <c r="BK136" i="64"/>
  <c r="BJ136" i="64"/>
  <c r="BI136" i="64"/>
  <c r="BH136" i="64"/>
  <c r="BG136" i="64"/>
  <c r="BF136" i="64"/>
  <c r="BE136" i="64"/>
  <c r="BD136" i="64"/>
  <c r="BC136" i="64"/>
  <c r="N135" i="64"/>
  <c r="M135" i="64"/>
  <c r="L135" i="64"/>
  <c r="K135" i="64"/>
  <c r="J135" i="64"/>
  <c r="I135" i="64"/>
  <c r="H135" i="64"/>
  <c r="G135" i="64"/>
  <c r="F135" i="64"/>
  <c r="N133" i="64"/>
  <c r="M133" i="64"/>
  <c r="L133" i="64"/>
  <c r="K133" i="64"/>
  <c r="J133" i="64"/>
  <c r="I133" i="64"/>
  <c r="H133" i="64"/>
  <c r="G133" i="64"/>
  <c r="F133" i="64"/>
  <c r="BC132" i="64"/>
  <c r="BL131" i="64"/>
  <c r="BK131" i="64"/>
  <c r="BJ131" i="64"/>
  <c r="BI131" i="64"/>
  <c r="BH131" i="64"/>
  <c r="BG131" i="64"/>
  <c r="BF131" i="64"/>
  <c r="BE131" i="64"/>
  <c r="BD131" i="64"/>
  <c r="BC131" i="64"/>
  <c r="BL130" i="64"/>
  <c r="BK130" i="64"/>
  <c r="BJ130" i="64"/>
  <c r="BI130" i="64"/>
  <c r="BH130" i="64"/>
  <c r="BG130" i="64"/>
  <c r="BF130" i="64"/>
  <c r="BE130" i="64"/>
  <c r="BD130" i="64"/>
  <c r="N130" i="64"/>
  <c r="L130" i="64"/>
  <c r="K130" i="64"/>
  <c r="J130" i="64"/>
  <c r="I130" i="64"/>
  <c r="H130" i="64"/>
  <c r="G130" i="64"/>
  <c r="F130" i="64"/>
  <c r="BC129" i="64"/>
  <c r="BL128" i="64"/>
  <c r="BK128" i="64"/>
  <c r="BJ128" i="64"/>
  <c r="BI128" i="64"/>
  <c r="BH128" i="64"/>
  <c r="BG128" i="64"/>
  <c r="BF128" i="64"/>
  <c r="BE128" i="64"/>
  <c r="BC128" i="64"/>
  <c r="BC127" i="64"/>
  <c r="R127" i="64"/>
  <c r="BC126" i="64"/>
  <c r="BC125" i="64"/>
  <c r="BC124" i="64"/>
  <c r="BC123" i="64"/>
  <c r="BC122" i="64"/>
  <c r="BL121" i="64"/>
  <c r="BK121" i="64"/>
  <c r="BJ121" i="64"/>
  <c r="BI121" i="64"/>
  <c r="BH121" i="64"/>
  <c r="BG121" i="64"/>
  <c r="BF121" i="64"/>
  <c r="BE121" i="64"/>
  <c r="BD121" i="64"/>
  <c r="BC121" i="64"/>
  <c r="BC120" i="64"/>
  <c r="BC119" i="64"/>
  <c r="BC118" i="64"/>
  <c r="BD117" i="64"/>
  <c r="BC117" i="64"/>
  <c r="BC116" i="64"/>
  <c r="BC115" i="64"/>
  <c r="BC114" i="64"/>
  <c r="BL113" i="64"/>
  <c r="BK113" i="64"/>
  <c r="BJ113" i="64"/>
  <c r="BI113" i="64"/>
  <c r="BH113" i="64"/>
  <c r="BG113" i="64"/>
  <c r="BF113" i="64"/>
  <c r="BE113" i="64"/>
  <c r="BD113" i="64"/>
  <c r="BC113" i="64"/>
  <c r="BC112" i="64"/>
  <c r="BC111" i="64"/>
  <c r="BC110" i="64"/>
  <c r="BL109" i="64"/>
  <c r="BK109" i="64"/>
  <c r="BJ109" i="64"/>
  <c r="BI109" i="64"/>
  <c r="BH109" i="64"/>
  <c r="BG109" i="64"/>
  <c r="BF109" i="64"/>
  <c r="BE109" i="64"/>
  <c r="BD109" i="64"/>
  <c r="BC109" i="64"/>
  <c r="N108" i="64"/>
  <c r="M108" i="64"/>
  <c r="L108" i="64"/>
  <c r="K108" i="64"/>
  <c r="J108" i="64"/>
  <c r="I108" i="64"/>
  <c r="H108" i="64"/>
  <c r="G108" i="64"/>
  <c r="F108" i="64"/>
  <c r="BL107" i="64"/>
  <c r="BK107" i="64"/>
  <c r="BJ107" i="64"/>
  <c r="BI107" i="64"/>
  <c r="BH107" i="64"/>
  <c r="BG107" i="64"/>
  <c r="BF107" i="64"/>
  <c r="BE107" i="64"/>
  <c r="N107" i="64"/>
  <c r="M107" i="64"/>
  <c r="BL117" i="64" s="1"/>
  <c r="L107" i="64"/>
  <c r="BK117" i="64" s="1"/>
  <c r="K107" i="64"/>
  <c r="BJ117" i="64" s="1"/>
  <c r="J107" i="64"/>
  <c r="BI117" i="64" s="1"/>
  <c r="I107" i="64"/>
  <c r="BH117" i="64" s="1"/>
  <c r="H107" i="64"/>
  <c r="BG117" i="64" s="1"/>
  <c r="G107" i="64"/>
  <c r="BF117" i="64" s="1"/>
  <c r="F107" i="64"/>
  <c r="N106" i="64"/>
  <c r="M106" i="64"/>
  <c r="L106" i="64"/>
  <c r="K106" i="64"/>
  <c r="J106" i="64"/>
  <c r="I106" i="64"/>
  <c r="H106" i="64"/>
  <c r="G106" i="64"/>
  <c r="F106" i="64"/>
  <c r="BC105" i="64"/>
  <c r="BC104" i="64"/>
  <c r="N103" i="64"/>
  <c r="M103" i="64"/>
  <c r="L103" i="64"/>
  <c r="K103" i="64"/>
  <c r="J103" i="64"/>
  <c r="I103" i="64"/>
  <c r="H103" i="64"/>
  <c r="G103" i="64"/>
  <c r="F103" i="64"/>
  <c r="BC102" i="64"/>
  <c r="BC101" i="64"/>
  <c r="BC100" i="64"/>
  <c r="R100" i="64"/>
  <c r="BC99" i="64"/>
  <c r="BC98" i="64"/>
  <c r="BC97" i="64"/>
  <c r="N96" i="64"/>
  <c r="M96" i="64"/>
  <c r="L96" i="64"/>
  <c r="K96" i="64"/>
  <c r="J96" i="64"/>
  <c r="I96" i="64"/>
  <c r="H96" i="64"/>
  <c r="G96" i="64"/>
  <c r="F96" i="64"/>
  <c r="N94" i="64"/>
  <c r="M94" i="64"/>
  <c r="L94" i="64"/>
  <c r="K94" i="64"/>
  <c r="J94" i="64"/>
  <c r="I94" i="64"/>
  <c r="H94" i="64"/>
  <c r="G94" i="64"/>
  <c r="F94" i="64"/>
  <c r="BC93" i="64"/>
  <c r="BC92" i="64"/>
  <c r="N91" i="64"/>
  <c r="M91" i="64"/>
  <c r="L91" i="64"/>
  <c r="K91" i="64"/>
  <c r="J91" i="64"/>
  <c r="I91" i="64"/>
  <c r="H91" i="64"/>
  <c r="G91" i="64"/>
  <c r="F91" i="64"/>
  <c r="BL90" i="64"/>
  <c r="BK90" i="64"/>
  <c r="BJ90" i="64"/>
  <c r="BI90" i="64"/>
  <c r="BH90" i="64"/>
  <c r="BG90" i="64"/>
  <c r="BF90" i="64"/>
  <c r="BE90" i="64"/>
  <c r="BD90" i="64"/>
  <c r="BL89" i="64"/>
  <c r="BK89" i="64"/>
  <c r="BJ89" i="64"/>
  <c r="BI89" i="64"/>
  <c r="BH89" i="64"/>
  <c r="BG89" i="64"/>
  <c r="BF89" i="64"/>
  <c r="BE89" i="64"/>
  <c r="BD89" i="64"/>
  <c r="N89" i="64"/>
  <c r="M89" i="64"/>
  <c r="L89" i="64"/>
  <c r="K89" i="64"/>
  <c r="J89" i="64"/>
  <c r="I89" i="64"/>
  <c r="H89" i="64"/>
  <c r="G89" i="64"/>
  <c r="F89" i="64"/>
  <c r="BL88" i="64"/>
  <c r="BK88" i="64"/>
  <c r="BJ88" i="64"/>
  <c r="BI88" i="64"/>
  <c r="BH88" i="64"/>
  <c r="BG88" i="64"/>
  <c r="BF88" i="64"/>
  <c r="BE88" i="64"/>
  <c r="BD88" i="64"/>
  <c r="BC88" i="64"/>
  <c r="BL87" i="64"/>
  <c r="BK87" i="64"/>
  <c r="BJ87" i="64"/>
  <c r="BI87" i="64"/>
  <c r="BH87" i="64"/>
  <c r="BG87" i="64"/>
  <c r="BF87" i="64"/>
  <c r="BE87" i="64"/>
  <c r="BD87" i="64"/>
  <c r="BC87" i="64"/>
  <c r="BL86" i="64"/>
  <c r="BK86" i="64"/>
  <c r="BJ86" i="64"/>
  <c r="BI86" i="64"/>
  <c r="BH86" i="64"/>
  <c r="BG86" i="64"/>
  <c r="BF86" i="64"/>
  <c r="BE86" i="64"/>
  <c r="BD86" i="64"/>
  <c r="N86" i="64"/>
  <c r="M86" i="64"/>
  <c r="L86" i="64"/>
  <c r="K86" i="64"/>
  <c r="J86" i="64"/>
  <c r="I86" i="64"/>
  <c r="H86" i="64"/>
  <c r="G86" i="64"/>
  <c r="F86" i="64"/>
  <c r="BL85" i="64"/>
  <c r="BK85" i="64"/>
  <c r="BJ85" i="64"/>
  <c r="BI85" i="64"/>
  <c r="BH85" i="64"/>
  <c r="BG85" i="64"/>
  <c r="BF85" i="64"/>
  <c r="BE85" i="64"/>
  <c r="BD85" i="64"/>
  <c r="BD84" i="64"/>
  <c r="N84" i="64"/>
  <c r="M84" i="64"/>
  <c r="L84" i="64"/>
  <c r="K84" i="64"/>
  <c r="J84" i="64"/>
  <c r="I84" i="64"/>
  <c r="H84" i="64"/>
  <c r="G84" i="64"/>
  <c r="F84" i="64"/>
  <c r="BD83" i="64"/>
  <c r="BC83" i="64"/>
  <c r="BD82" i="64"/>
  <c r="BC82" i="64"/>
  <c r="BD81" i="64"/>
  <c r="M81" i="64"/>
  <c r="L81" i="64"/>
  <c r="K81" i="64"/>
  <c r="J81" i="64"/>
  <c r="I81" i="64"/>
  <c r="H81" i="64"/>
  <c r="G81" i="64"/>
  <c r="F81" i="64"/>
  <c r="BD80" i="64"/>
  <c r="BD79" i="64"/>
  <c r="M79" i="64"/>
  <c r="L79" i="64"/>
  <c r="K79" i="64"/>
  <c r="J79" i="64"/>
  <c r="I79" i="64"/>
  <c r="H79" i="64"/>
  <c r="G79" i="64"/>
  <c r="F79" i="64"/>
  <c r="BL78" i="64"/>
  <c r="BK78" i="64"/>
  <c r="BJ78" i="64"/>
  <c r="BI78" i="64"/>
  <c r="BH78" i="64"/>
  <c r="BG78" i="64"/>
  <c r="BF78" i="64"/>
  <c r="BE78" i="64"/>
  <c r="BD78" i="64"/>
  <c r="BC78" i="64"/>
  <c r="BL77" i="64"/>
  <c r="BK77" i="64"/>
  <c r="BJ77" i="64"/>
  <c r="BI77" i="64"/>
  <c r="BH77" i="64"/>
  <c r="BG77" i="64"/>
  <c r="BF77" i="64"/>
  <c r="BE77" i="64"/>
  <c r="BD77" i="64"/>
  <c r="BC77" i="64"/>
  <c r="BL76" i="64"/>
  <c r="BK76" i="64"/>
  <c r="BJ76" i="64"/>
  <c r="BI76" i="64"/>
  <c r="BH76" i="64"/>
  <c r="BG76" i="64"/>
  <c r="BF76" i="64"/>
  <c r="BE76" i="64"/>
  <c r="BD76" i="64"/>
  <c r="M76" i="64"/>
  <c r="L76" i="64"/>
  <c r="K76" i="64"/>
  <c r="J76" i="64"/>
  <c r="I76" i="64"/>
  <c r="H76" i="64"/>
  <c r="G76" i="64"/>
  <c r="F76" i="64"/>
  <c r="BL75" i="64"/>
  <c r="BK75" i="64"/>
  <c r="BJ75" i="64"/>
  <c r="BI75" i="64"/>
  <c r="BH75" i="64"/>
  <c r="BG75" i="64"/>
  <c r="BF75" i="64"/>
  <c r="BE75" i="64"/>
  <c r="BD75" i="64"/>
  <c r="BL74" i="64"/>
  <c r="BK74" i="64"/>
  <c r="BJ74" i="64"/>
  <c r="BI74" i="64"/>
  <c r="BH74" i="64"/>
  <c r="BG74" i="64"/>
  <c r="BF74" i="64"/>
  <c r="BE74" i="64"/>
  <c r="BD74" i="64"/>
  <c r="M74" i="64"/>
  <c r="L74" i="64"/>
  <c r="K74" i="64"/>
  <c r="J74" i="64"/>
  <c r="I74" i="64"/>
  <c r="H74" i="64"/>
  <c r="G74" i="64"/>
  <c r="F74" i="64"/>
  <c r="BL73" i="64"/>
  <c r="BK73" i="64"/>
  <c r="BJ73" i="64"/>
  <c r="BI73" i="64"/>
  <c r="BH73" i="64"/>
  <c r="BG73" i="64"/>
  <c r="BF73" i="64"/>
  <c r="BE73" i="64"/>
  <c r="BD73" i="64"/>
  <c r="BC73" i="64"/>
  <c r="BL72" i="64"/>
  <c r="BK72" i="64"/>
  <c r="BJ72" i="64"/>
  <c r="BI72" i="64"/>
  <c r="BH72" i="64"/>
  <c r="BG72" i="64"/>
  <c r="BF72" i="64"/>
  <c r="BE72" i="64"/>
  <c r="BD72" i="64"/>
  <c r="BC72" i="64"/>
  <c r="BL71" i="64"/>
  <c r="BK71" i="64"/>
  <c r="BJ71" i="64"/>
  <c r="BI71" i="64"/>
  <c r="BH71" i="64"/>
  <c r="BG71" i="64"/>
  <c r="BF71" i="64"/>
  <c r="BE71" i="64"/>
  <c r="BD71" i="64"/>
  <c r="M71" i="64"/>
  <c r="L71" i="64"/>
  <c r="K71" i="64"/>
  <c r="J71" i="64"/>
  <c r="I71" i="64"/>
  <c r="H71" i="64"/>
  <c r="G71" i="64"/>
  <c r="F71" i="64"/>
  <c r="BL70" i="64"/>
  <c r="BK70" i="64"/>
  <c r="BJ70" i="64"/>
  <c r="BI70" i="64"/>
  <c r="BH70" i="64"/>
  <c r="BG70" i="64"/>
  <c r="BF70" i="64"/>
  <c r="BE70" i="64"/>
  <c r="BD70" i="64"/>
  <c r="BL69" i="64"/>
  <c r="BK69" i="64"/>
  <c r="BJ69" i="64"/>
  <c r="BI69" i="64"/>
  <c r="BH69" i="64"/>
  <c r="BG69" i="64"/>
  <c r="BF69" i="64"/>
  <c r="BE69" i="64"/>
  <c r="BD69" i="64"/>
  <c r="M69" i="64"/>
  <c r="L69" i="64"/>
  <c r="K69" i="64"/>
  <c r="J69" i="64"/>
  <c r="I69" i="64"/>
  <c r="H69" i="64"/>
  <c r="G69" i="64"/>
  <c r="F69" i="64"/>
  <c r="BL68" i="64"/>
  <c r="BK68" i="64"/>
  <c r="BJ68" i="64"/>
  <c r="BI68" i="64"/>
  <c r="BH68" i="64"/>
  <c r="BG68" i="64"/>
  <c r="BF68" i="64"/>
  <c r="BE68" i="64"/>
  <c r="BD68" i="64"/>
  <c r="BC68" i="64"/>
  <c r="BL67" i="64"/>
  <c r="BK67" i="64"/>
  <c r="BJ67" i="64"/>
  <c r="BI67" i="64"/>
  <c r="BH67" i="64"/>
  <c r="BG67" i="64"/>
  <c r="BF67" i="64"/>
  <c r="BE67" i="64"/>
  <c r="BD67" i="64"/>
  <c r="BC67" i="64"/>
  <c r="N66" i="64"/>
  <c r="M66" i="64"/>
  <c r="L66" i="64"/>
  <c r="K66" i="64"/>
  <c r="J66" i="64"/>
  <c r="I66" i="64"/>
  <c r="H66" i="64"/>
  <c r="G66" i="64"/>
  <c r="F66" i="64"/>
  <c r="BL65" i="64"/>
  <c r="BK65" i="64"/>
  <c r="BJ65" i="64"/>
  <c r="BI65" i="64"/>
  <c r="BH65" i="64"/>
  <c r="BG65" i="64"/>
  <c r="BF65" i="64"/>
  <c r="BE65" i="64"/>
  <c r="BC65" i="64"/>
  <c r="BC64" i="64"/>
  <c r="BC63" i="64"/>
  <c r="R63" i="64"/>
  <c r="BC62" i="64"/>
  <c r="BC61" i="64"/>
  <c r="BC59" i="64"/>
  <c r="BL58" i="64"/>
  <c r="BK58" i="64"/>
  <c r="BJ58" i="64"/>
  <c r="BI58" i="64"/>
  <c r="BH58" i="64"/>
  <c r="BG58" i="64"/>
  <c r="BF58" i="64"/>
  <c r="BE58" i="64"/>
  <c r="BD58" i="64"/>
  <c r="BC58" i="64"/>
  <c r="BC57" i="64"/>
  <c r="BC56" i="64"/>
  <c r="BC55" i="64"/>
  <c r="BD54" i="64"/>
  <c r="BC54" i="64"/>
  <c r="BC53" i="64"/>
  <c r="BC52" i="64"/>
  <c r="BC51" i="64"/>
  <c r="BL50" i="64"/>
  <c r="BK50" i="64"/>
  <c r="BJ50" i="64"/>
  <c r="BI50" i="64"/>
  <c r="BH50" i="64"/>
  <c r="BG50" i="64"/>
  <c r="BF50" i="64"/>
  <c r="BE50" i="64"/>
  <c r="BD50" i="64"/>
  <c r="BC50" i="64"/>
  <c r="BC49" i="64"/>
  <c r="BC48" i="64"/>
  <c r="BC47" i="64"/>
  <c r="BL46" i="64"/>
  <c r="BK46" i="64"/>
  <c r="BJ46" i="64"/>
  <c r="BI46" i="64"/>
  <c r="BH46" i="64"/>
  <c r="BG46" i="64"/>
  <c r="BF46" i="64"/>
  <c r="BE46" i="64"/>
  <c r="BD46" i="64"/>
  <c r="BC46" i="64"/>
  <c r="BC45" i="64"/>
  <c r="BL44" i="64"/>
  <c r="BK44" i="64"/>
  <c r="BJ44" i="64"/>
  <c r="BI44" i="64"/>
  <c r="BH44" i="64"/>
  <c r="BG44" i="64"/>
  <c r="BF44" i="64"/>
  <c r="BE44" i="64"/>
  <c r="N44" i="64"/>
  <c r="M44" i="64"/>
  <c r="L44" i="64"/>
  <c r="K44" i="64"/>
  <c r="J44" i="64"/>
  <c r="I44" i="64"/>
  <c r="H44" i="64"/>
  <c r="G44" i="64"/>
  <c r="F44" i="64"/>
  <c r="N42" i="64"/>
  <c r="M42" i="64"/>
  <c r="L42" i="64"/>
  <c r="K42" i="64"/>
  <c r="J42" i="64"/>
  <c r="I42" i="64"/>
  <c r="H42" i="64"/>
  <c r="G42" i="64"/>
  <c r="F42" i="64"/>
  <c r="BC41" i="64"/>
  <c r="BC40" i="64"/>
  <c r="N39" i="64"/>
  <c r="M39" i="64"/>
  <c r="L39" i="64"/>
  <c r="K39" i="64"/>
  <c r="J39" i="64"/>
  <c r="I39" i="64"/>
  <c r="H39" i="64"/>
  <c r="G39" i="64"/>
  <c r="F39" i="64"/>
  <c r="BC38" i="64"/>
  <c r="BC37" i="64"/>
  <c r="BC36" i="64"/>
  <c r="R36" i="64"/>
  <c r="BC33" i="64"/>
  <c r="M32" i="64"/>
  <c r="L32" i="64"/>
  <c r="K32" i="64"/>
  <c r="J32" i="64"/>
  <c r="I32" i="64"/>
  <c r="H32" i="64"/>
  <c r="G32" i="64"/>
  <c r="F32" i="64"/>
  <c r="M30" i="64"/>
  <c r="L30" i="64"/>
  <c r="K30" i="64"/>
  <c r="J30" i="64"/>
  <c r="I30" i="64"/>
  <c r="H30" i="64"/>
  <c r="G30" i="64"/>
  <c r="F30" i="64"/>
  <c r="BC29" i="64"/>
  <c r="BL28" i="64"/>
  <c r="BK28" i="64"/>
  <c r="BJ28" i="64"/>
  <c r="BI28" i="64"/>
  <c r="BH28" i="64"/>
  <c r="BG28" i="64"/>
  <c r="BF28" i="64"/>
  <c r="BE28" i="64"/>
  <c r="BD28" i="64"/>
  <c r="BC28" i="64"/>
  <c r="BL27" i="64"/>
  <c r="BK27" i="64"/>
  <c r="BJ27" i="64"/>
  <c r="BI27" i="64"/>
  <c r="BH27" i="64"/>
  <c r="BG27" i="64"/>
  <c r="BF27" i="64"/>
  <c r="BE27" i="64"/>
  <c r="BD27" i="64"/>
  <c r="M27" i="64"/>
  <c r="L27" i="64"/>
  <c r="K27" i="64"/>
  <c r="J27" i="64"/>
  <c r="I27" i="64"/>
  <c r="H27" i="64"/>
  <c r="G27" i="64"/>
  <c r="F27" i="64"/>
  <c r="BL26" i="64"/>
  <c r="BK26" i="64"/>
  <c r="BJ26" i="64"/>
  <c r="BI26" i="64"/>
  <c r="BH26" i="64"/>
  <c r="BG26" i="64"/>
  <c r="BF26" i="64"/>
  <c r="BE26" i="64"/>
  <c r="BD26" i="64"/>
  <c r="BL25" i="64"/>
  <c r="BK25" i="64"/>
  <c r="BJ25" i="64"/>
  <c r="BI25" i="64"/>
  <c r="BH25" i="64"/>
  <c r="BG25" i="64"/>
  <c r="BF25" i="64"/>
  <c r="BE25" i="64"/>
  <c r="BD25" i="64"/>
  <c r="M25" i="64"/>
  <c r="L25" i="64"/>
  <c r="K25" i="64"/>
  <c r="J25" i="64"/>
  <c r="I25" i="64"/>
  <c r="H25" i="64"/>
  <c r="G25" i="64"/>
  <c r="F25" i="64"/>
  <c r="BD24" i="64"/>
  <c r="BC24" i="64"/>
  <c r="BD23" i="64"/>
  <c r="BC23" i="64"/>
  <c r="BD22" i="64"/>
  <c r="M22" i="64"/>
  <c r="L22" i="64"/>
  <c r="K22" i="64"/>
  <c r="J22" i="64"/>
  <c r="I22" i="64"/>
  <c r="H22" i="64"/>
  <c r="G22" i="64"/>
  <c r="F22" i="64"/>
  <c r="BD21" i="64"/>
  <c r="BL20" i="64"/>
  <c r="BK20" i="64"/>
  <c r="BJ20" i="64"/>
  <c r="BI20" i="64"/>
  <c r="BH20" i="64"/>
  <c r="BG20" i="64"/>
  <c r="BF20" i="64"/>
  <c r="BE20" i="64"/>
  <c r="BD20" i="64"/>
  <c r="M20" i="64"/>
  <c r="L20" i="64"/>
  <c r="K20" i="64"/>
  <c r="J20" i="64"/>
  <c r="I20" i="64"/>
  <c r="H20" i="64"/>
  <c r="G20" i="64"/>
  <c r="F20" i="64"/>
  <c r="BC20" i="64" s="1"/>
  <c r="BL19" i="64"/>
  <c r="BK19" i="64"/>
  <c r="BJ19" i="64"/>
  <c r="BI19" i="64"/>
  <c r="BH19" i="64"/>
  <c r="BG19" i="64"/>
  <c r="BF19" i="64"/>
  <c r="BE19" i="64"/>
  <c r="BD19" i="64"/>
  <c r="BC19" i="64"/>
  <c r="BL18" i="64"/>
  <c r="BK18" i="64"/>
  <c r="BJ18" i="64"/>
  <c r="BI18" i="64"/>
  <c r="BH18" i="64"/>
  <c r="BG18" i="64"/>
  <c r="BF18" i="64"/>
  <c r="BE18" i="64"/>
  <c r="BD18" i="64"/>
  <c r="BC18" i="64"/>
  <c r="BL17" i="64"/>
  <c r="BK17" i="64"/>
  <c r="BJ17" i="64"/>
  <c r="BI17" i="64"/>
  <c r="BH17" i="64"/>
  <c r="BG17" i="64"/>
  <c r="BF17" i="64"/>
  <c r="BE17" i="64"/>
  <c r="BD17" i="64"/>
  <c r="M17" i="64"/>
  <c r="L17" i="64"/>
  <c r="K17" i="64"/>
  <c r="J17" i="64"/>
  <c r="I17" i="64"/>
  <c r="H17" i="64"/>
  <c r="G17" i="64"/>
  <c r="F17" i="64"/>
  <c r="BL16" i="64"/>
  <c r="BK16" i="64"/>
  <c r="BJ16" i="64"/>
  <c r="BI16" i="64"/>
  <c r="BH16" i="64"/>
  <c r="BG16" i="64"/>
  <c r="BF16" i="64"/>
  <c r="BE16" i="64"/>
  <c r="BD16" i="64"/>
  <c r="M16" i="64"/>
  <c r="BL21" i="64" s="1"/>
  <c r="L16" i="64"/>
  <c r="BK21" i="64" s="1"/>
  <c r="K16" i="64"/>
  <c r="BJ21" i="64" s="1"/>
  <c r="J16" i="64"/>
  <c r="BI21" i="64" s="1"/>
  <c r="I16" i="64"/>
  <c r="BH21" i="64" s="1"/>
  <c r="H16" i="64"/>
  <c r="BG21" i="64" s="1"/>
  <c r="G16" i="64"/>
  <c r="BF21" i="64" s="1"/>
  <c r="F16" i="64"/>
  <c r="BL15" i="64"/>
  <c r="BK15" i="64"/>
  <c r="BJ15" i="64"/>
  <c r="BI15" i="64"/>
  <c r="BH15" i="64"/>
  <c r="BG15" i="64"/>
  <c r="BF15" i="64"/>
  <c r="BE15" i="64"/>
  <c r="BD15" i="64"/>
  <c r="M15" i="64"/>
  <c r="L15" i="64"/>
  <c r="K15" i="64"/>
  <c r="J15" i="64"/>
  <c r="I15" i="64"/>
  <c r="H15" i="64"/>
  <c r="G15" i="64"/>
  <c r="F15" i="64"/>
  <c r="BL14" i="64"/>
  <c r="BK14" i="64"/>
  <c r="BJ14" i="64"/>
  <c r="BI14" i="64"/>
  <c r="BH14" i="64"/>
  <c r="BG14" i="64"/>
  <c r="BF14" i="64"/>
  <c r="BE14" i="64"/>
  <c r="BD14" i="64"/>
  <c r="BL13" i="64"/>
  <c r="BK13" i="64"/>
  <c r="BJ13" i="64"/>
  <c r="BI13" i="64"/>
  <c r="BH13" i="64"/>
  <c r="BG13" i="64"/>
  <c r="BF13" i="64"/>
  <c r="BE13" i="64"/>
  <c r="BD13" i="64"/>
  <c r="BL11" i="64"/>
  <c r="BK11" i="64"/>
  <c r="BJ11" i="64"/>
  <c r="BI11" i="64"/>
  <c r="BH11" i="64"/>
  <c r="BG11" i="64"/>
  <c r="BF11" i="64"/>
  <c r="BE11" i="64"/>
  <c r="N11" i="64"/>
  <c r="M11" i="64"/>
  <c r="L11" i="64"/>
  <c r="K11" i="64"/>
  <c r="J11" i="64"/>
  <c r="I11" i="64"/>
  <c r="H11" i="64"/>
  <c r="G11" i="64"/>
  <c r="F11" i="64"/>
  <c r="R8" i="64"/>
  <c r="BC133" i="64" l="1"/>
  <c r="BC25" i="64"/>
  <c r="D42" i="69"/>
  <c r="D207" i="69"/>
  <c r="K108" i="68"/>
  <c r="BJ118" i="68" s="1"/>
  <c r="D133" i="69"/>
  <c r="N85" i="64"/>
  <c r="L188" i="68"/>
  <c r="BK196" i="68" s="1"/>
  <c r="D197" i="69"/>
  <c r="BC94" i="64"/>
  <c r="M193" i="68"/>
  <c r="BL197" i="68" s="1"/>
  <c r="D94" i="69"/>
  <c r="BC79" i="64"/>
  <c r="BC84" i="64"/>
  <c r="BC74" i="64"/>
  <c r="D69" i="69"/>
  <c r="D84" i="69"/>
  <c r="BC42" i="64"/>
  <c r="BC106" i="64"/>
  <c r="D30" i="69"/>
  <c r="BC66" i="64"/>
  <c r="BC39" i="64"/>
  <c r="BC189" i="47"/>
  <c r="BC162" i="47"/>
  <c r="BC131" i="47"/>
  <c r="BC103" i="47"/>
  <c r="BC66" i="47"/>
  <c r="BC39" i="47"/>
  <c r="BL44" i="67"/>
  <c r="BL166" i="67"/>
  <c r="BC89" i="67"/>
  <c r="I75" i="67"/>
  <c r="BH80" i="67" s="1"/>
  <c r="BT108" i="67"/>
  <c r="BC198" i="67"/>
  <c r="BC165" i="67"/>
  <c r="BK166" i="67"/>
  <c r="BK187" i="67"/>
  <c r="BC203" i="67"/>
  <c r="M11" i="67"/>
  <c r="BK11" i="67"/>
  <c r="BL65" i="67"/>
  <c r="M66" i="67"/>
  <c r="BC74" i="67"/>
  <c r="M103" i="67"/>
  <c r="M39" i="67"/>
  <c r="L162" i="67"/>
  <c r="BL129" i="67"/>
  <c r="L131" i="67"/>
  <c r="BC153" i="67"/>
  <c r="BL187" i="67"/>
  <c r="L189" i="67"/>
  <c r="N70" i="67"/>
  <c r="BL79" i="67" s="1"/>
  <c r="BC43" i="67"/>
  <c r="BK44" i="67"/>
  <c r="L11" i="67"/>
  <c r="BK65" i="67"/>
  <c r="L66" i="67"/>
  <c r="BC69" i="67"/>
  <c r="L103" i="67"/>
  <c r="L39" i="67"/>
  <c r="BK129" i="67"/>
  <c r="F21" i="67"/>
  <c r="BE22" i="67" s="1"/>
  <c r="BL11" i="67"/>
  <c r="M162" i="67"/>
  <c r="M131" i="67"/>
  <c r="M189" i="67"/>
  <c r="M39" i="69"/>
  <c r="M184" i="69"/>
  <c r="BL65" i="69"/>
  <c r="M66" i="69"/>
  <c r="M11" i="69"/>
  <c r="BL11" i="69"/>
  <c r="M130" i="69"/>
  <c r="BD12" i="64"/>
  <c r="K5" i="69"/>
  <c r="K161" i="69" s="1"/>
  <c r="BJ169" i="69" s="1"/>
  <c r="K95" i="68"/>
  <c r="BJ84" i="68" s="1"/>
  <c r="I166" i="69"/>
  <c r="BH170" i="69" s="1"/>
  <c r="K208" i="68"/>
  <c r="BJ200" i="68" s="1"/>
  <c r="J80" i="69"/>
  <c r="BI81" i="69" s="1"/>
  <c r="H43" i="69"/>
  <c r="BO48" i="69" s="1"/>
  <c r="H21" i="69"/>
  <c r="BG22" i="69" s="1"/>
  <c r="H80" i="69"/>
  <c r="BG81" i="69" s="1"/>
  <c r="H193" i="69"/>
  <c r="BG197" i="69" s="1"/>
  <c r="H166" i="69"/>
  <c r="BG170" i="69" s="1"/>
  <c r="I43" i="69"/>
  <c r="BP48" i="69" s="1"/>
  <c r="J213" i="69"/>
  <c r="BI201" i="69" s="1"/>
  <c r="I75" i="69"/>
  <c r="BH80" i="69" s="1"/>
  <c r="I26" i="69"/>
  <c r="BH23" i="69" s="1"/>
  <c r="I198" i="69"/>
  <c r="BH198" i="69" s="1"/>
  <c r="H188" i="69"/>
  <c r="BG196" i="69" s="1"/>
  <c r="H26" i="69"/>
  <c r="BG23" i="69" s="1"/>
  <c r="I70" i="69"/>
  <c r="BH79" i="69" s="1"/>
  <c r="H108" i="69"/>
  <c r="BG118" i="69" s="1"/>
  <c r="F193" i="69"/>
  <c r="BE197" i="69" s="1"/>
  <c r="F80" i="69"/>
  <c r="BE81" i="69" s="1"/>
  <c r="F70" i="69"/>
  <c r="BE79" i="69" s="1"/>
  <c r="G166" i="69"/>
  <c r="BF170" i="69" s="1"/>
  <c r="G95" i="69"/>
  <c r="BF84" i="69" s="1"/>
  <c r="G198" i="69"/>
  <c r="BF198" i="69" s="1"/>
  <c r="G75" i="69"/>
  <c r="BF80" i="69" s="1"/>
  <c r="G85" i="69"/>
  <c r="BF82" i="69" s="1"/>
  <c r="G188" i="69"/>
  <c r="BF196" i="69" s="1"/>
  <c r="I21" i="69"/>
  <c r="BH22" i="69" s="1"/>
  <c r="J70" i="69"/>
  <c r="BI79" i="69" s="1"/>
  <c r="F85" i="69"/>
  <c r="BE82" i="69" s="1"/>
  <c r="F90" i="69"/>
  <c r="BE83" i="69" s="1"/>
  <c r="F108" i="69"/>
  <c r="BE118" i="69" s="1"/>
  <c r="L21" i="68"/>
  <c r="BK22" i="68" s="1"/>
  <c r="G90" i="69"/>
  <c r="BF83" i="69" s="1"/>
  <c r="G108" i="69"/>
  <c r="BF118" i="69" s="1"/>
  <c r="F161" i="69"/>
  <c r="BE169" i="69" s="1"/>
  <c r="I193" i="69"/>
  <c r="BH197" i="69" s="1"/>
  <c r="F208" i="69"/>
  <c r="BE200" i="69" s="1"/>
  <c r="F21" i="69"/>
  <c r="BE22" i="69" s="1"/>
  <c r="G26" i="69"/>
  <c r="BF23" i="69" s="1"/>
  <c r="F198" i="69"/>
  <c r="BE198" i="69" s="1"/>
  <c r="G203" i="69"/>
  <c r="BF199" i="69" s="1"/>
  <c r="G21" i="69"/>
  <c r="BF22" i="69" s="1"/>
  <c r="G193" i="69"/>
  <c r="BF197" i="69" s="1"/>
  <c r="G31" i="69"/>
  <c r="BF24" i="69" s="1"/>
  <c r="G80" i="69"/>
  <c r="BF81" i="69" s="1"/>
  <c r="BC214" i="69"/>
  <c r="H31" i="69"/>
  <c r="BG24" i="69" s="1"/>
  <c r="I85" i="69"/>
  <c r="BH82" i="69" s="1"/>
  <c r="I90" i="69"/>
  <c r="BH83" i="69" s="1"/>
  <c r="H95" i="69"/>
  <c r="BG84" i="69" s="1"/>
  <c r="I188" i="69"/>
  <c r="BH196" i="69" s="1"/>
  <c r="G213" i="69"/>
  <c r="BF201" i="69" s="1"/>
  <c r="M5" i="69"/>
  <c r="M208" i="69" s="1"/>
  <c r="BL200" i="69" s="1"/>
  <c r="G43" i="69"/>
  <c r="BN48" i="69" s="1"/>
  <c r="F95" i="69"/>
  <c r="BE84" i="69" s="1"/>
  <c r="G161" i="69"/>
  <c r="BF169" i="69" s="1"/>
  <c r="G208" i="69"/>
  <c r="BF200" i="69" s="1"/>
  <c r="F213" i="69"/>
  <c r="BE201" i="69" s="1"/>
  <c r="F26" i="69"/>
  <c r="BE23" i="69" s="1"/>
  <c r="I31" i="69"/>
  <c r="BH24" i="69" s="1"/>
  <c r="H75" i="69"/>
  <c r="BG80" i="69" s="1"/>
  <c r="I80" i="69"/>
  <c r="BH81" i="69" s="1"/>
  <c r="I95" i="69"/>
  <c r="BH84" i="69" s="1"/>
  <c r="I161" i="69"/>
  <c r="BH169" i="69" s="1"/>
  <c r="F166" i="69"/>
  <c r="BE170" i="69" s="1"/>
  <c r="F203" i="69"/>
  <c r="BE199" i="69" s="1"/>
  <c r="H213" i="69"/>
  <c r="BG201" i="69" s="1"/>
  <c r="L5" i="69"/>
  <c r="L161" i="69" s="1"/>
  <c r="BK169" i="69" s="1"/>
  <c r="BC71" i="69"/>
  <c r="I213" i="69"/>
  <c r="BH201" i="69" s="1"/>
  <c r="BC86" i="69"/>
  <c r="BC199" i="69"/>
  <c r="I203" i="69"/>
  <c r="BH199" i="69" s="1"/>
  <c r="BC32" i="69"/>
  <c r="BC135" i="69"/>
  <c r="BC91" i="69"/>
  <c r="BC76" i="69"/>
  <c r="BC17" i="69"/>
  <c r="I108" i="69"/>
  <c r="BH118" i="69" s="1"/>
  <c r="P36" i="69"/>
  <c r="P127" i="69"/>
  <c r="J75" i="69"/>
  <c r="BI80" i="69" s="1"/>
  <c r="J108" i="69"/>
  <c r="BI118" i="69" s="1"/>
  <c r="BC189" i="69"/>
  <c r="J193" i="69"/>
  <c r="BI197" i="69" s="1"/>
  <c r="BC22" i="69"/>
  <c r="BC44" i="69"/>
  <c r="BC81" i="69"/>
  <c r="D89" i="69"/>
  <c r="BC109" i="69"/>
  <c r="H161" i="69"/>
  <c r="BG169" i="69" s="1"/>
  <c r="BC162" i="69"/>
  <c r="BC194" i="69"/>
  <c r="J203" i="69"/>
  <c r="BI199" i="69" s="1"/>
  <c r="D20" i="69"/>
  <c r="J43" i="69"/>
  <c r="BQ48" i="69" s="1"/>
  <c r="J188" i="69"/>
  <c r="BI196" i="69" s="1"/>
  <c r="J21" i="69"/>
  <c r="BI22" i="69" s="1"/>
  <c r="J26" i="69"/>
  <c r="BI23" i="69" s="1"/>
  <c r="J31" i="69"/>
  <c r="BI24" i="69" s="1"/>
  <c r="BC96" i="69"/>
  <c r="F31" i="69"/>
  <c r="BE24" i="69" s="1"/>
  <c r="J166" i="69"/>
  <c r="BI170" i="69" s="1"/>
  <c r="D74" i="69"/>
  <c r="J85" i="69"/>
  <c r="BI82" i="69" s="1"/>
  <c r="J90" i="69"/>
  <c r="BI83" i="69" s="1"/>
  <c r="J95" i="69"/>
  <c r="BI84" i="69" s="1"/>
  <c r="J161" i="69"/>
  <c r="BI169" i="69" s="1"/>
  <c r="BC27" i="69"/>
  <c r="G70" i="69"/>
  <c r="BF79" i="69" s="1"/>
  <c r="D160" i="69"/>
  <c r="D165" i="69"/>
  <c r="D187" i="69"/>
  <c r="D192" i="69"/>
  <c r="BC204" i="69"/>
  <c r="J208" i="69"/>
  <c r="BI200" i="69" s="1"/>
  <c r="BC209" i="69"/>
  <c r="D15" i="69"/>
  <c r="BF21" i="69"/>
  <c r="H208" i="69"/>
  <c r="BG200" i="69" s="1"/>
  <c r="H203" i="69"/>
  <c r="BG199" i="69" s="1"/>
  <c r="H90" i="69"/>
  <c r="BG83" i="69" s="1"/>
  <c r="D25" i="69"/>
  <c r="H70" i="69"/>
  <c r="BG79" i="69" s="1"/>
  <c r="D79" i="69"/>
  <c r="BC167" i="69"/>
  <c r="D202" i="69"/>
  <c r="F43" i="69"/>
  <c r="BM48" i="69" s="1"/>
  <c r="F75" i="69"/>
  <c r="BE80" i="69" s="1"/>
  <c r="H85" i="69"/>
  <c r="BG82" i="69" s="1"/>
  <c r="F188" i="69"/>
  <c r="BE196" i="69" s="1"/>
  <c r="H198" i="69"/>
  <c r="BG198" i="69" s="1"/>
  <c r="D107" i="69"/>
  <c r="D212" i="69"/>
  <c r="L70" i="68"/>
  <c r="BK79" i="68" s="1"/>
  <c r="F75" i="68"/>
  <c r="BE80" i="68" s="1"/>
  <c r="M198" i="68"/>
  <c r="BL198" i="68" s="1"/>
  <c r="H203" i="68"/>
  <c r="BG199" i="68" s="1"/>
  <c r="M75" i="68"/>
  <c r="BL80" i="68" s="1"/>
  <c r="M70" i="68"/>
  <c r="BL79" i="68" s="1"/>
  <c r="I161" i="68"/>
  <c r="BH169" i="68" s="1"/>
  <c r="F31" i="68"/>
  <c r="BE24" i="68" s="1"/>
  <c r="F85" i="68"/>
  <c r="BE82" i="68" s="1"/>
  <c r="I208" i="68"/>
  <c r="BH200" i="68" s="1"/>
  <c r="H198" i="68"/>
  <c r="BG198" i="68" s="1"/>
  <c r="BC22" i="68"/>
  <c r="L166" i="68"/>
  <c r="BK170" i="68" s="1"/>
  <c r="F70" i="68"/>
  <c r="BE79" i="68" s="1"/>
  <c r="F108" i="68"/>
  <c r="BE118" i="68" s="1"/>
  <c r="M166" i="68"/>
  <c r="BL170" i="68" s="1"/>
  <c r="L198" i="68"/>
  <c r="BK198" i="68" s="1"/>
  <c r="L75" i="68"/>
  <c r="BK80" i="68" s="1"/>
  <c r="L90" i="68"/>
  <c r="BK83" i="68" s="1"/>
  <c r="BC204" i="68"/>
  <c r="M21" i="68"/>
  <c r="BL22" i="68" s="1"/>
  <c r="L208" i="68"/>
  <c r="BK200" i="68" s="1"/>
  <c r="M31" i="68"/>
  <c r="BL24" i="68" s="1"/>
  <c r="M85" i="68"/>
  <c r="BL82" i="68" s="1"/>
  <c r="M188" i="68"/>
  <c r="BL196" i="68" s="1"/>
  <c r="I193" i="68"/>
  <c r="BH197" i="68" s="1"/>
  <c r="L203" i="68"/>
  <c r="BK199" i="68" s="1"/>
  <c r="BC214" i="68"/>
  <c r="L108" i="68"/>
  <c r="BK118" i="68" s="1"/>
  <c r="M108" i="68"/>
  <c r="BL118" i="68" s="1"/>
  <c r="G203" i="68"/>
  <c r="BF199" i="68" s="1"/>
  <c r="F166" i="68"/>
  <c r="BE170" i="68" s="1"/>
  <c r="M90" i="68"/>
  <c r="BL83" i="68" s="1"/>
  <c r="I75" i="68"/>
  <c r="BH80" i="68" s="1"/>
  <c r="F21" i="68"/>
  <c r="BE22" i="68" s="1"/>
  <c r="K31" i="68"/>
  <c r="BJ24" i="68" s="1"/>
  <c r="F90" i="68"/>
  <c r="BE83" i="68" s="1"/>
  <c r="J161" i="68"/>
  <c r="BI169" i="68" s="1"/>
  <c r="M208" i="68"/>
  <c r="BL200" i="68" s="1"/>
  <c r="L213" i="68"/>
  <c r="BK201" i="68" s="1"/>
  <c r="F198" i="68"/>
  <c r="BE198" i="68" s="1"/>
  <c r="L193" i="68"/>
  <c r="BK197" i="68" s="1"/>
  <c r="F43" i="68"/>
  <c r="BM48" i="68" s="1"/>
  <c r="J208" i="68"/>
  <c r="BI200" i="68" s="1"/>
  <c r="G21" i="68"/>
  <c r="BF22" i="68" s="1"/>
  <c r="L85" i="68"/>
  <c r="BK82" i="68" s="1"/>
  <c r="G90" i="68"/>
  <c r="BF83" i="68" s="1"/>
  <c r="J108" i="68"/>
  <c r="BI118" i="68" s="1"/>
  <c r="K161" i="68"/>
  <c r="BJ169" i="68" s="1"/>
  <c r="H193" i="68"/>
  <c r="BG197" i="68" s="1"/>
  <c r="F208" i="68"/>
  <c r="BE200" i="68" s="1"/>
  <c r="G26" i="68"/>
  <c r="BF23" i="68" s="1"/>
  <c r="G80" i="68"/>
  <c r="BF81" i="68" s="1"/>
  <c r="H213" i="68"/>
  <c r="BG201" i="68" s="1"/>
  <c r="H75" i="68"/>
  <c r="BG80" i="68" s="1"/>
  <c r="BC194" i="68"/>
  <c r="I26" i="68"/>
  <c r="BH23" i="68" s="1"/>
  <c r="I43" i="68"/>
  <c r="BP48" i="68" s="1"/>
  <c r="I70" i="68"/>
  <c r="BH79" i="68" s="1"/>
  <c r="I108" i="68"/>
  <c r="BH118" i="68" s="1"/>
  <c r="G166" i="68"/>
  <c r="BF170" i="68" s="1"/>
  <c r="BC199" i="68"/>
  <c r="I21" i="68"/>
  <c r="BH22" i="68" s="1"/>
  <c r="G31" i="68"/>
  <c r="BF24" i="68" s="1"/>
  <c r="G85" i="68"/>
  <c r="BF82" i="68" s="1"/>
  <c r="D89" i="68"/>
  <c r="L95" i="68"/>
  <c r="BK84" i="68" s="1"/>
  <c r="L161" i="68"/>
  <c r="BK169" i="68" s="1"/>
  <c r="H166" i="68"/>
  <c r="BG170" i="68" s="1"/>
  <c r="F203" i="68"/>
  <c r="BE199" i="68" s="1"/>
  <c r="G208" i="68"/>
  <c r="BF200" i="68" s="1"/>
  <c r="G188" i="68"/>
  <c r="BF196" i="68" s="1"/>
  <c r="D30" i="68"/>
  <c r="D165" i="68"/>
  <c r="D20" i="68"/>
  <c r="J21" i="68"/>
  <c r="BI22" i="68" s="1"/>
  <c r="L26" i="68"/>
  <c r="BK23" i="68" s="1"/>
  <c r="H31" i="68"/>
  <c r="BG24" i="68" s="1"/>
  <c r="BC32" i="68"/>
  <c r="L80" i="68"/>
  <c r="BK81" i="68" s="1"/>
  <c r="H85" i="68"/>
  <c r="BG82" i="68" s="1"/>
  <c r="I90" i="68"/>
  <c r="BH83" i="68" s="1"/>
  <c r="M95" i="68"/>
  <c r="BL84" i="68" s="1"/>
  <c r="M161" i="68"/>
  <c r="BL169" i="68" s="1"/>
  <c r="I166" i="68"/>
  <c r="BH170" i="68" s="1"/>
  <c r="D192" i="68"/>
  <c r="M213" i="68"/>
  <c r="BL201" i="68" s="1"/>
  <c r="G75" i="68"/>
  <c r="BF80" i="68" s="1"/>
  <c r="G43" i="68"/>
  <c r="BN48" i="68" s="1"/>
  <c r="I80" i="68"/>
  <c r="BH81" i="68" s="1"/>
  <c r="BC167" i="68"/>
  <c r="BC17" i="68"/>
  <c r="I31" i="68"/>
  <c r="BH24" i="68" s="1"/>
  <c r="L43" i="68"/>
  <c r="BS48" i="68" s="1"/>
  <c r="D69" i="68"/>
  <c r="I85" i="68"/>
  <c r="BH82" i="68" s="1"/>
  <c r="BC91" i="68"/>
  <c r="F95" i="68"/>
  <c r="BE84" i="68" s="1"/>
  <c r="BC96" i="68"/>
  <c r="F161" i="68"/>
  <c r="BE169" i="68" s="1"/>
  <c r="G193" i="68"/>
  <c r="BF197" i="68" s="1"/>
  <c r="F193" i="68"/>
  <c r="BE197" i="68" s="1"/>
  <c r="G198" i="68"/>
  <c r="BF198" i="68" s="1"/>
  <c r="I203" i="68"/>
  <c r="BH199" i="68" s="1"/>
  <c r="F213" i="68"/>
  <c r="BE201" i="68" s="1"/>
  <c r="G213" i="68"/>
  <c r="BF201" i="68" s="1"/>
  <c r="G70" i="68"/>
  <c r="BF79" i="68" s="1"/>
  <c r="H80" i="68"/>
  <c r="BG81" i="68" s="1"/>
  <c r="H188" i="68"/>
  <c r="BG196" i="68" s="1"/>
  <c r="H43" i="68"/>
  <c r="BO48" i="68" s="1"/>
  <c r="G108" i="68"/>
  <c r="BF118" i="68" s="1"/>
  <c r="P127" i="68"/>
  <c r="L31" i="68"/>
  <c r="BK24" i="68" s="1"/>
  <c r="H108" i="68"/>
  <c r="BG118" i="68" s="1"/>
  <c r="F26" i="68"/>
  <c r="BE23" i="68" s="1"/>
  <c r="BC81" i="68"/>
  <c r="BC86" i="68"/>
  <c r="K90" i="68"/>
  <c r="BJ83" i="68" s="1"/>
  <c r="G95" i="68"/>
  <c r="BF84" i="68" s="1"/>
  <c r="G161" i="68"/>
  <c r="BF169" i="68" s="1"/>
  <c r="D187" i="68"/>
  <c r="I198" i="68"/>
  <c r="BH198" i="68" s="1"/>
  <c r="BC109" i="68"/>
  <c r="F188" i="68"/>
  <c r="BE196" i="68" s="1"/>
  <c r="J31" i="68"/>
  <c r="BI24" i="68" s="1"/>
  <c r="P36" i="68"/>
  <c r="BC44" i="68"/>
  <c r="J70" i="68"/>
  <c r="BI79" i="68" s="1"/>
  <c r="D94" i="68"/>
  <c r="D107" i="68"/>
  <c r="BC115" i="68"/>
  <c r="BC162" i="68"/>
  <c r="K198" i="68"/>
  <c r="BJ198" i="68" s="1"/>
  <c r="J203" i="68"/>
  <c r="BI199" i="68" s="1"/>
  <c r="BC27" i="68"/>
  <c r="J43" i="68"/>
  <c r="BQ48" i="68" s="1"/>
  <c r="BC71" i="68"/>
  <c r="J75" i="68"/>
  <c r="BI80" i="68" s="1"/>
  <c r="J85" i="68"/>
  <c r="BI82" i="68" s="1"/>
  <c r="I188" i="68"/>
  <c r="BH196" i="68" s="1"/>
  <c r="D207" i="68"/>
  <c r="K43" i="68"/>
  <c r="BR48" i="68" s="1"/>
  <c r="K75" i="68"/>
  <c r="BJ80" i="68" s="1"/>
  <c r="K203" i="68"/>
  <c r="BJ199" i="68" s="1"/>
  <c r="H90" i="68"/>
  <c r="BG83" i="68" s="1"/>
  <c r="H95" i="68"/>
  <c r="BG84" i="68" s="1"/>
  <c r="D133" i="68"/>
  <c r="BC135" i="68"/>
  <c r="K188" i="68"/>
  <c r="BJ196" i="68" s="1"/>
  <c r="BC189" i="68"/>
  <c r="J193" i="68"/>
  <c r="BI197" i="68" s="1"/>
  <c r="J80" i="68"/>
  <c r="BI81" i="68" s="1"/>
  <c r="J188" i="68"/>
  <c r="BI196" i="68" s="1"/>
  <c r="K80" i="68"/>
  <c r="BJ81" i="68" s="1"/>
  <c r="BC209" i="68"/>
  <c r="H208" i="68"/>
  <c r="BG200" i="68" s="1"/>
  <c r="H70" i="68"/>
  <c r="BG79" i="68" s="1"/>
  <c r="H26" i="68"/>
  <c r="BG23" i="68" s="1"/>
  <c r="D42" i="68"/>
  <c r="D74" i="68"/>
  <c r="I95" i="68"/>
  <c r="BH84" i="68" s="1"/>
  <c r="H161" i="68"/>
  <c r="BG169" i="68" s="1"/>
  <c r="J166" i="68"/>
  <c r="BI170" i="68" s="1"/>
  <c r="I213" i="68"/>
  <c r="BH201" i="68" s="1"/>
  <c r="J26" i="68"/>
  <c r="BI23" i="68" s="1"/>
  <c r="J213" i="68"/>
  <c r="BI201" i="68" s="1"/>
  <c r="K193" i="68"/>
  <c r="BJ197" i="68" s="1"/>
  <c r="K85" i="68"/>
  <c r="BJ82" i="68" s="1"/>
  <c r="K26" i="68"/>
  <c r="BJ23" i="68" s="1"/>
  <c r="J198" i="68"/>
  <c r="BI198" i="68" s="1"/>
  <c r="K213" i="68"/>
  <c r="BJ201" i="68" s="1"/>
  <c r="D15" i="68"/>
  <c r="H21" i="68"/>
  <c r="BG22" i="68" s="1"/>
  <c r="BC76" i="68"/>
  <c r="K21" i="68"/>
  <c r="BJ22" i="68" s="1"/>
  <c r="K70" i="68"/>
  <c r="BJ79" i="68" s="1"/>
  <c r="D79" i="68"/>
  <c r="D84" i="68"/>
  <c r="J90" i="68"/>
  <c r="BI83" i="68" s="1"/>
  <c r="J95" i="68"/>
  <c r="BI84" i="68" s="1"/>
  <c r="K166" i="68"/>
  <c r="BJ170" i="68" s="1"/>
  <c r="D197" i="68"/>
  <c r="D25" i="68"/>
  <c r="D160" i="68"/>
  <c r="D202" i="68"/>
  <c r="M203" i="68"/>
  <c r="BL199" i="68" s="1"/>
  <c r="D212" i="68"/>
  <c r="M26" i="68"/>
  <c r="BL23" i="68" s="1"/>
  <c r="J6" i="67"/>
  <c r="J108" i="67" s="1"/>
  <c r="BR118" i="67" s="1"/>
  <c r="J80" i="67"/>
  <c r="BI81" i="67" s="1"/>
  <c r="M6" i="67"/>
  <c r="M108" i="67" s="1"/>
  <c r="BU118" i="67" s="1"/>
  <c r="L108" i="47"/>
  <c r="BT118" i="47" s="1"/>
  <c r="K6" i="67"/>
  <c r="K108" i="67" s="1"/>
  <c r="BS118" i="67" s="1"/>
  <c r="F6" i="67"/>
  <c r="F108" i="67" s="1"/>
  <c r="I6" i="67"/>
  <c r="I108" i="67" s="1"/>
  <c r="BQ118" i="67" s="1"/>
  <c r="H6" i="67"/>
  <c r="H108" i="67" s="1"/>
  <c r="BP118" i="67" s="1"/>
  <c r="G6" i="67"/>
  <c r="G108" i="67" s="1"/>
  <c r="BO118" i="67" s="1"/>
  <c r="BF204" i="67"/>
  <c r="K95" i="67"/>
  <c r="BJ84" i="67" s="1"/>
  <c r="K80" i="67"/>
  <c r="BJ81" i="67" s="1"/>
  <c r="M5" i="67"/>
  <c r="M70" i="67" s="1"/>
  <c r="K70" i="67"/>
  <c r="BJ79" i="67" s="1"/>
  <c r="F31" i="67"/>
  <c r="BE24" i="67" s="1"/>
  <c r="BE204" i="67"/>
  <c r="H26" i="67"/>
  <c r="BG23" i="67" s="1"/>
  <c r="H75" i="67"/>
  <c r="BG80" i="67" s="1"/>
  <c r="H80" i="67"/>
  <c r="BG81" i="67" s="1"/>
  <c r="G75" i="67"/>
  <c r="BF80" i="67" s="1"/>
  <c r="G26" i="67"/>
  <c r="BF23" i="67" s="1"/>
  <c r="G90" i="67"/>
  <c r="BF83" i="67" s="1"/>
  <c r="BD12" i="67"/>
  <c r="I80" i="67"/>
  <c r="BH81" i="67" s="1"/>
  <c r="BD188" i="67"/>
  <c r="I26" i="67"/>
  <c r="BH23" i="67" s="1"/>
  <c r="H70" i="67"/>
  <c r="BG79" i="67" s="1"/>
  <c r="BD66" i="67"/>
  <c r="I70" i="67"/>
  <c r="BH79" i="67" s="1"/>
  <c r="G85" i="67"/>
  <c r="BF82" i="67" s="1"/>
  <c r="BG204" i="67"/>
  <c r="H85" i="67"/>
  <c r="BG82" i="67" s="1"/>
  <c r="BH204" i="67"/>
  <c r="BM109" i="67"/>
  <c r="BD130" i="67"/>
  <c r="I85" i="67"/>
  <c r="BH82" i="67" s="1"/>
  <c r="BD45" i="67"/>
  <c r="BD167" i="67"/>
  <c r="L5" i="67"/>
  <c r="L90" i="67" s="1"/>
  <c r="BK83" i="67" s="1"/>
  <c r="N108" i="67"/>
  <c r="N75" i="67"/>
  <c r="BL80" i="67" s="1"/>
  <c r="N31" i="67"/>
  <c r="N90" i="67"/>
  <c r="BL83" i="67" s="1"/>
  <c r="I95" i="67"/>
  <c r="BH84" i="67" s="1"/>
  <c r="I31" i="67"/>
  <c r="BH24" i="67" s="1"/>
  <c r="BC167" i="67"/>
  <c r="BC154" i="67"/>
  <c r="BC215" i="67"/>
  <c r="N80" i="67"/>
  <c r="BL81" i="67" s="1"/>
  <c r="N85" i="67"/>
  <c r="BL82" i="67" s="1"/>
  <c r="BI204" i="67"/>
  <c r="P36" i="67"/>
  <c r="D15" i="67"/>
  <c r="K21" i="67"/>
  <c r="BJ22" i="67" s="1"/>
  <c r="P128" i="67"/>
  <c r="J75" i="67"/>
  <c r="BI80" i="67" s="1"/>
  <c r="BC109" i="67"/>
  <c r="BC200" i="67"/>
  <c r="K26" i="67"/>
  <c r="BJ23" i="67" s="1"/>
  <c r="J26" i="67"/>
  <c r="BI23" i="67" s="1"/>
  <c r="G31" i="67"/>
  <c r="BF24" i="67" s="1"/>
  <c r="K31" i="67"/>
  <c r="BJ24" i="67" s="1"/>
  <c r="K75" i="67"/>
  <c r="BJ80" i="67" s="1"/>
  <c r="BC81" i="67"/>
  <c r="BC91" i="67"/>
  <c r="D165" i="67"/>
  <c r="H31" i="67"/>
  <c r="BG24" i="67" s="1"/>
  <c r="G80" i="67"/>
  <c r="BF81" i="67" s="1"/>
  <c r="BC142" i="67"/>
  <c r="D198" i="67"/>
  <c r="BL204" i="67"/>
  <c r="D213" i="67"/>
  <c r="BC220" i="67"/>
  <c r="J21" i="67"/>
  <c r="BI22" i="67" s="1"/>
  <c r="J90" i="67"/>
  <c r="BI83" i="67" s="1"/>
  <c r="BC27" i="67"/>
  <c r="BC76" i="67"/>
  <c r="BC205" i="67"/>
  <c r="BC209" i="67"/>
  <c r="H21" i="67"/>
  <c r="BG22" i="67" s="1"/>
  <c r="G21" i="67"/>
  <c r="BF22" i="67" s="1"/>
  <c r="BC32" i="67"/>
  <c r="H90" i="67"/>
  <c r="BG83" i="67" s="1"/>
  <c r="G95" i="67"/>
  <c r="BF84" i="67" s="1"/>
  <c r="J95" i="67"/>
  <c r="BI84" i="67" s="1"/>
  <c r="BE146" i="67"/>
  <c r="BC195" i="67"/>
  <c r="I21" i="67"/>
  <c r="BH22" i="67" s="1"/>
  <c r="BC86" i="67"/>
  <c r="I90" i="67"/>
  <c r="BH83" i="67" s="1"/>
  <c r="H95" i="67"/>
  <c r="BG84" i="67" s="1"/>
  <c r="BC45" i="67"/>
  <c r="BC149" i="67"/>
  <c r="F26" i="67"/>
  <c r="BC30" i="67"/>
  <c r="F75" i="67"/>
  <c r="BC96" i="67"/>
  <c r="BC213" i="67"/>
  <c r="BC219" i="67"/>
  <c r="BC20" i="67"/>
  <c r="F70" i="67"/>
  <c r="BC71" i="67"/>
  <c r="F85" i="67"/>
  <c r="K85" i="67"/>
  <c r="BJ82" i="67" s="1"/>
  <c r="K90" i="67"/>
  <c r="BJ83" i="67" s="1"/>
  <c r="D43" i="67"/>
  <c r="BC44" i="67"/>
  <c r="BH176" i="67"/>
  <c r="BC143" i="67"/>
  <c r="BC155" i="67"/>
  <c r="P186" i="67"/>
  <c r="BC210" i="67"/>
  <c r="BC214" i="67"/>
  <c r="BG206" i="67"/>
  <c r="D218" i="67"/>
  <c r="BE144" i="67"/>
  <c r="D141" i="67"/>
  <c r="G70" i="67"/>
  <c r="BF79" i="67" s="1"/>
  <c r="F95" i="67"/>
  <c r="BC94" i="67"/>
  <c r="BC107" i="67"/>
  <c r="BC147" i="67"/>
  <c r="D193" i="67"/>
  <c r="BC135" i="67"/>
  <c r="BC148" i="67"/>
  <c r="BC193" i="67"/>
  <c r="BJ204" i="67"/>
  <c r="BC208" i="67"/>
  <c r="F90" i="67"/>
  <c r="BC22" i="67"/>
  <c r="D135" i="67"/>
  <c r="BC136" i="67"/>
  <c r="BE143" i="67"/>
  <c r="D203" i="67"/>
  <c r="BC204" i="67"/>
  <c r="BC84" i="67"/>
  <c r="BC17" i="67"/>
  <c r="F80" i="67"/>
  <c r="BC79" i="67"/>
  <c r="P159" i="67"/>
  <c r="BC137" i="67"/>
  <c r="BC141" i="67"/>
  <c r="D147" i="67"/>
  <c r="BG145" i="67"/>
  <c r="BC194" i="67"/>
  <c r="D208" i="67"/>
  <c r="BC218" i="67"/>
  <c r="BC25" i="67"/>
  <c r="BC199" i="67"/>
  <c r="BC166" i="67"/>
  <c r="BL204" i="47"/>
  <c r="BK205" i="47"/>
  <c r="M31" i="47"/>
  <c r="BL24" i="47" s="1"/>
  <c r="L31" i="47"/>
  <c r="BK24" i="47" s="1"/>
  <c r="L80" i="47"/>
  <c r="BK81" i="47" s="1"/>
  <c r="L70" i="47"/>
  <c r="BK79" i="47" s="1"/>
  <c r="L26" i="47"/>
  <c r="BK23" i="47" s="1"/>
  <c r="M85" i="47"/>
  <c r="L85" i="47"/>
  <c r="BK82" i="47" s="1"/>
  <c r="L90" i="47"/>
  <c r="BK83" i="47" s="1"/>
  <c r="M90" i="47"/>
  <c r="L75" i="47"/>
  <c r="BK80" i="47" s="1"/>
  <c r="L21" i="47"/>
  <c r="BK22" i="47" s="1"/>
  <c r="M95" i="47"/>
  <c r="M80" i="47"/>
  <c r="M26" i="47"/>
  <c r="BL23" i="47" s="1"/>
  <c r="L95" i="47"/>
  <c r="BK84" i="47" s="1"/>
  <c r="M21" i="47"/>
  <c r="BL22" i="47" s="1"/>
  <c r="M75" i="47"/>
  <c r="M70" i="47"/>
  <c r="BD129" i="64"/>
  <c r="BD66" i="64"/>
  <c r="BD45" i="64"/>
  <c r="BC130" i="64"/>
  <c r="BC103" i="64"/>
  <c r="N95" i="64"/>
  <c r="N90" i="64"/>
  <c r="BC96" i="64"/>
  <c r="N134" i="64"/>
  <c r="N43" i="64"/>
  <c r="D15" i="64"/>
  <c r="BC71" i="64"/>
  <c r="BC76" i="64"/>
  <c r="P127" i="64"/>
  <c r="BC81" i="64"/>
  <c r="BC44" i="64"/>
  <c r="BC86" i="64"/>
  <c r="BE21" i="64"/>
  <c r="BC27" i="64"/>
  <c r="P100" i="64"/>
  <c r="BC91" i="64"/>
  <c r="BC22" i="64"/>
  <c r="BC32" i="64"/>
  <c r="P36" i="64"/>
  <c r="D106" i="64"/>
  <c r="BC135" i="64"/>
  <c r="BC108" i="64"/>
  <c r="BC17" i="64"/>
  <c r="BC69" i="64"/>
  <c r="BC89" i="64"/>
  <c r="BC30" i="64"/>
  <c r="BC107" i="64"/>
  <c r="BE117" i="64"/>
  <c r="M5" i="64"/>
  <c r="M75" i="64" s="1"/>
  <c r="BL80" i="64" s="1"/>
  <c r="L5" i="64"/>
  <c r="L21" i="64" s="1"/>
  <c r="BK22" i="64" s="1"/>
  <c r="J5" i="64"/>
  <c r="J80" i="64" s="1"/>
  <c r="BI81" i="64" s="1"/>
  <c r="K5" i="64"/>
  <c r="K90" i="64" s="1"/>
  <c r="BJ83" i="64" s="1"/>
  <c r="H5" i="64"/>
  <c r="H85" i="64" s="1"/>
  <c r="BG82" i="64" s="1"/>
  <c r="G5" i="64"/>
  <c r="G70" i="64" s="1"/>
  <c r="BF79" i="64" s="1"/>
  <c r="F5" i="64"/>
  <c r="F85" i="64" s="1"/>
  <c r="BE82" i="64" s="1"/>
  <c r="BC59" i="63"/>
  <c r="BL58" i="63"/>
  <c r="BK58" i="63"/>
  <c r="BJ58" i="63"/>
  <c r="BI58" i="63"/>
  <c r="BH58" i="63"/>
  <c r="BG58" i="63"/>
  <c r="BF58" i="63"/>
  <c r="BE58" i="63"/>
  <c r="BD58" i="63"/>
  <c r="BC58" i="63"/>
  <c r="BC57" i="63"/>
  <c r="BC56" i="63"/>
  <c r="BC55" i="63"/>
  <c r="BD54" i="63"/>
  <c r="BC54" i="63"/>
  <c r="BC53" i="63"/>
  <c r="BC52" i="63"/>
  <c r="BC51" i="63"/>
  <c r="BL50" i="63"/>
  <c r="BK50" i="63"/>
  <c r="BJ50" i="63"/>
  <c r="BI50" i="63"/>
  <c r="BH50" i="63"/>
  <c r="BG50" i="63"/>
  <c r="BF50" i="63"/>
  <c r="BE50" i="63"/>
  <c r="BD50" i="63"/>
  <c r="BC50" i="63"/>
  <c r="BC49" i="63"/>
  <c r="BC48" i="63"/>
  <c r="BC47" i="63"/>
  <c r="BL46" i="63"/>
  <c r="BK46" i="63"/>
  <c r="BJ46" i="63"/>
  <c r="BI46" i="63"/>
  <c r="BH46" i="63"/>
  <c r="BG46" i="63"/>
  <c r="BF46" i="63"/>
  <c r="BE46" i="63"/>
  <c r="BD46" i="63"/>
  <c r="BC46" i="63"/>
  <c r="BD45" i="63"/>
  <c r="BC45" i="63"/>
  <c r="BL44" i="63"/>
  <c r="BK44" i="63"/>
  <c r="BJ44" i="63"/>
  <c r="BI44" i="63"/>
  <c r="BH44" i="63"/>
  <c r="BG44" i="63"/>
  <c r="BF44" i="63"/>
  <c r="BE44" i="63"/>
  <c r="N44" i="63"/>
  <c r="M44" i="63"/>
  <c r="L44" i="63"/>
  <c r="K44" i="63"/>
  <c r="J44" i="63"/>
  <c r="I44" i="63"/>
  <c r="H44" i="63"/>
  <c r="G44" i="63"/>
  <c r="F44" i="63"/>
  <c r="N42" i="63"/>
  <c r="N43" i="63" s="1"/>
  <c r="M42" i="63"/>
  <c r="L42" i="63"/>
  <c r="K42" i="63"/>
  <c r="J42" i="63"/>
  <c r="I42" i="63"/>
  <c r="H42" i="63"/>
  <c r="G42" i="63"/>
  <c r="F42" i="63"/>
  <c r="BC41" i="63"/>
  <c r="BC40" i="63"/>
  <c r="N39" i="63"/>
  <c r="M39" i="63"/>
  <c r="L39" i="63"/>
  <c r="K39" i="63"/>
  <c r="J39" i="63"/>
  <c r="I39" i="63"/>
  <c r="H39" i="63"/>
  <c r="G39" i="63"/>
  <c r="F39" i="63"/>
  <c r="BC38" i="63"/>
  <c r="BC37" i="63"/>
  <c r="BC36" i="63"/>
  <c r="R36" i="63"/>
  <c r="BC153" i="63"/>
  <c r="BC152" i="63"/>
  <c r="BC151" i="63"/>
  <c r="BC150" i="63"/>
  <c r="BL149" i="63"/>
  <c r="BK149" i="63"/>
  <c r="BJ149" i="63"/>
  <c r="BI149" i="63"/>
  <c r="BH149" i="63"/>
  <c r="BG149" i="63"/>
  <c r="BF149" i="63"/>
  <c r="BE149" i="63"/>
  <c r="BD149" i="63"/>
  <c r="BC149" i="63"/>
  <c r="BL148" i="63"/>
  <c r="BK148" i="63"/>
  <c r="BJ148" i="63"/>
  <c r="BI148" i="63"/>
  <c r="BH148" i="63"/>
  <c r="BG148" i="63"/>
  <c r="BF148" i="63"/>
  <c r="BE148" i="63"/>
  <c r="BD148" i="63"/>
  <c r="BC148" i="63"/>
  <c r="BC147" i="63"/>
  <c r="BC146" i="63"/>
  <c r="BC145" i="63"/>
  <c r="BC144" i="63"/>
  <c r="BD143" i="63"/>
  <c r="BC143" i="63"/>
  <c r="BD142" i="63"/>
  <c r="BC142" i="63"/>
  <c r="BC141" i="63"/>
  <c r="BL137" i="63"/>
  <c r="BK137" i="63"/>
  <c r="BJ137" i="63"/>
  <c r="BI137" i="63"/>
  <c r="BH137" i="63"/>
  <c r="BG137" i="63"/>
  <c r="BF137" i="63"/>
  <c r="BE137" i="63"/>
  <c r="BD137" i="63"/>
  <c r="BC137" i="63"/>
  <c r="BL136" i="63"/>
  <c r="BK136" i="63"/>
  <c r="BJ136" i="63"/>
  <c r="BI136" i="63"/>
  <c r="BH136" i="63"/>
  <c r="BG136" i="63"/>
  <c r="BF136" i="63"/>
  <c r="BE136" i="63"/>
  <c r="BD136" i="63"/>
  <c r="BC136" i="63"/>
  <c r="N135" i="63"/>
  <c r="M135" i="63"/>
  <c r="L135" i="63"/>
  <c r="K135" i="63"/>
  <c r="J135" i="63"/>
  <c r="I135" i="63"/>
  <c r="H135" i="63"/>
  <c r="G135" i="63"/>
  <c r="F135" i="63"/>
  <c r="N133" i="63"/>
  <c r="N134" i="63" s="1"/>
  <c r="M133" i="63"/>
  <c r="L133" i="63"/>
  <c r="K133" i="63"/>
  <c r="J133" i="63"/>
  <c r="I133" i="63"/>
  <c r="H133" i="63"/>
  <c r="G133" i="63"/>
  <c r="F133" i="63"/>
  <c r="BC132" i="63"/>
  <c r="BL131" i="63"/>
  <c r="BK131" i="63"/>
  <c r="BJ131" i="63"/>
  <c r="BI131" i="63"/>
  <c r="BH131" i="63"/>
  <c r="BG131" i="63"/>
  <c r="BF131" i="63"/>
  <c r="BE131" i="63"/>
  <c r="BD131" i="63"/>
  <c r="BC131" i="63"/>
  <c r="BL130" i="63"/>
  <c r="BK130" i="63"/>
  <c r="BJ130" i="63"/>
  <c r="BI130" i="63"/>
  <c r="BH130" i="63"/>
  <c r="BG130" i="63"/>
  <c r="BF130" i="63"/>
  <c r="BE130" i="63"/>
  <c r="BD130" i="63"/>
  <c r="N130" i="63"/>
  <c r="M130" i="63"/>
  <c r="L130" i="63"/>
  <c r="K130" i="63"/>
  <c r="J130" i="63"/>
  <c r="I130" i="63"/>
  <c r="H130" i="63"/>
  <c r="G130" i="63"/>
  <c r="F130" i="63"/>
  <c r="BD129" i="63"/>
  <c r="BC129" i="63"/>
  <c r="BL128" i="63"/>
  <c r="BK128" i="63"/>
  <c r="BJ128" i="63"/>
  <c r="BI128" i="63"/>
  <c r="BH128" i="63"/>
  <c r="BG128" i="63"/>
  <c r="BF128" i="63"/>
  <c r="BE128" i="63"/>
  <c r="BC128" i="63"/>
  <c r="BC127" i="63"/>
  <c r="R127" i="63"/>
  <c r="BC126" i="63"/>
  <c r="BC125" i="63"/>
  <c r="BC124" i="63"/>
  <c r="BC123" i="63"/>
  <c r="BC122" i="63"/>
  <c r="BL121" i="63"/>
  <c r="BK121" i="63"/>
  <c r="BJ121" i="63"/>
  <c r="BI121" i="63"/>
  <c r="BH121" i="63"/>
  <c r="BG121" i="63"/>
  <c r="BF121" i="63"/>
  <c r="BE121" i="63"/>
  <c r="BD121" i="63"/>
  <c r="BC121" i="63"/>
  <c r="BC120" i="63"/>
  <c r="BC119" i="63"/>
  <c r="BC118" i="63"/>
  <c r="BD117" i="63"/>
  <c r="BC117" i="63"/>
  <c r="BC116" i="63"/>
  <c r="BC115" i="63"/>
  <c r="BC114" i="63"/>
  <c r="BL113" i="63"/>
  <c r="BK113" i="63"/>
  <c r="BJ113" i="63"/>
  <c r="BI113" i="63"/>
  <c r="BH113" i="63"/>
  <c r="BG113" i="63"/>
  <c r="BF113" i="63"/>
  <c r="BE113" i="63"/>
  <c r="BD113" i="63"/>
  <c r="BC113" i="63"/>
  <c r="BC112" i="63"/>
  <c r="BC111" i="63"/>
  <c r="BC110" i="63"/>
  <c r="BL109" i="63"/>
  <c r="BK109" i="63"/>
  <c r="BJ109" i="63"/>
  <c r="BI109" i="63"/>
  <c r="BH109" i="63"/>
  <c r="BG109" i="63"/>
  <c r="BF109" i="63"/>
  <c r="BE109" i="63"/>
  <c r="BD109" i="63"/>
  <c r="BC109" i="63"/>
  <c r="BD108" i="63"/>
  <c r="N108" i="63"/>
  <c r="M108" i="63"/>
  <c r="L108" i="63"/>
  <c r="K108" i="63"/>
  <c r="J108" i="63"/>
  <c r="I108" i="63"/>
  <c r="H108" i="63"/>
  <c r="G108" i="63"/>
  <c r="F108" i="63"/>
  <c r="BL107" i="63"/>
  <c r="BK107" i="63"/>
  <c r="BJ107" i="63"/>
  <c r="BI107" i="63"/>
  <c r="BH107" i="63"/>
  <c r="BG107" i="63"/>
  <c r="BF107" i="63"/>
  <c r="BE107" i="63"/>
  <c r="N107" i="63"/>
  <c r="M107" i="63"/>
  <c r="BL117" i="63" s="1"/>
  <c r="L107" i="63"/>
  <c r="BK117" i="63" s="1"/>
  <c r="K107" i="63"/>
  <c r="BJ117" i="63" s="1"/>
  <c r="J107" i="63"/>
  <c r="BI117" i="63" s="1"/>
  <c r="I107" i="63"/>
  <c r="BH117" i="63" s="1"/>
  <c r="H107" i="63"/>
  <c r="BG117" i="63" s="1"/>
  <c r="G107" i="63"/>
  <c r="BF117" i="63" s="1"/>
  <c r="F107" i="63"/>
  <c r="BE117" i="63" s="1"/>
  <c r="N106" i="63"/>
  <c r="M106" i="63"/>
  <c r="L106" i="63"/>
  <c r="K106" i="63"/>
  <c r="J106" i="63"/>
  <c r="I106" i="63"/>
  <c r="H106" i="63"/>
  <c r="G106" i="63"/>
  <c r="F106" i="63"/>
  <c r="BC105" i="63"/>
  <c r="BC104" i="63"/>
  <c r="N103" i="63"/>
  <c r="M103" i="63"/>
  <c r="L103" i="63"/>
  <c r="K103" i="63"/>
  <c r="J103" i="63"/>
  <c r="I103" i="63"/>
  <c r="H103" i="63"/>
  <c r="G103" i="63"/>
  <c r="F103" i="63"/>
  <c r="BC102" i="63"/>
  <c r="BC101" i="63"/>
  <c r="BC100" i="63"/>
  <c r="R100" i="63"/>
  <c r="BC99" i="63"/>
  <c r="BC98" i="63"/>
  <c r="BC97" i="63"/>
  <c r="N96" i="63"/>
  <c r="M96" i="63"/>
  <c r="L96" i="63"/>
  <c r="K96" i="63"/>
  <c r="J96" i="63"/>
  <c r="I96" i="63"/>
  <c r="H96" i="63"/>
  <c r="G96" i="63"/>
  <c r="F96" i="63"/>
  <c r="N94" i="63"/>
  <c r="N95" i="63" s="1"/>
  <c r="M94" i="63"/>
  <c r="L94" i="63"/>
  <c r="K94" i="63"/>
  <c r="J94" i="63"/>
  <c r="I94" i="63"/>
  <c r="H94" i="63"/>
  <c r="G94" i="63"/>
  <c r="F94" i="63"/>
  <c r="BC93" i="63"/>
  <c r="BC92" i="63"/>
  <c r="N91" i="63"/>
  <c r="M91" i="63"/>
  <c r="L91" i="63"/>
  <c r="K91" i="63"/>
  <c r="J91" i="63"/>
  <c r="I91" i="63"/>
  <c r="H91" i="63"/>
  <c r="G91" i="63"/>
  <c r="F91" i="63"/>
  <c r="BL90" i="63"/>
  <c r="BK90" i="63"/>
  <c r="BJ90" i="63"/>
  <c r="BI90" i="63"/>
  <c r="BH90" i="63"/>
  <c r="BG90" i="63"/>
  <c r="BF90" i="63"/>
  <c r="BE90" i="63"/>
  <c r="BD90" i="63"/>
  <c r="BL89" i="63"/>
  <c r="BK89" i="63"/>
  <c r="BJ89" i="63"/>
  <c r="BI89" i="63"/>
  <c r="BH89" i="63"/>
  <c r="BG89" i="63"/>
  <c r="BF89" i="63"/>
  <c r="BE89" i="63"/>
  <c r="BD89" i="63"/>
  <c r="N89" i="63"/>
  <c r="N90" i="63" s="1"/>
  <c r="M89" i="63"/>
  <c r="L89" i="63"/>
  <c r="K89" i="63"/>
  <c r="J89" i="63"/>
  <c r="I89" i="63"/>
  <c r="H89" i="63"/>
  <c r="G89" i="63"/>
  <c r="F89" i="63"/>
  <c r="BL88" i="63"/>
  <c r="BK88" i="63"/>
  <c r="BJ88" i="63"/>
  <c r="BI88" i="63"/>
  <c r="BH88" i="63"/>
  <c r="BG88" i="63"/>
  <c r="BF88" i="63"/>
  <c r="BE88" i="63"/>
  <c r="BD88" i="63"/>
  <c r="BC88" i="63"/>
  <c r="BL87" i="63"/>
  <c r="BK87" i="63"/>
  <c r="BJ87" i="63"/>
  <c r="BI87" i="63"/>
  <c r="BH87" i="63"/>
  <c r="BG87" i="63"/>
  <c r="BF87" i="63"/>
  <c r="BE87" i="63"/>
  <c r="BD87" i="63"/>
  <c r="BC87" i="63"/>
  <c r="BL86" i="63"/>
  <c r="BK86" i="63"/>
  <c r="BJ86" i="63"/>
  <c r="BI86" i="63"/>
  <c r="BH86" i="63"/>
  <c r="BG86" i="63"/>
  <c r="BF86" i="63"/>
  <c r="BE86" i="63"/>
  <c r="BD86" i="63"/>
  <c r="N86" i="63"/>
  <c r="M86" i="63"/>
  <c r="L86" i="63"/>
  <c r="K86" i="63"/>
  <c r="J86" i="63"/>
  <c r="I86" i="63"/>
  <c r="H86" i="63"/>
  <c r="G86" i="63"/>
  <c r="F86" i="63"/>
  <c r="BL85" i="63"/>
  <c r="BK85" i="63"/>
  <c r="BJ85" i="63"/>
  <c r="BI85" i="63"/>
  <c r="BH85" i="63"/>
  <c r="BG85" i="63"/>
  <c r="BF85" i="63"/>
  <c r="BE85" i="63"/>
  <c r="BD85" i="63"/>
  <c r="BD84" i="63"/>
  <c r="N84" i="63"/>
  <c r="N85" i="63" s="1"/>
  <c r="M84" i="63"/>
  <c r="L84" i="63"/>
  <c r="K84" i="63"/>
  <c r="J84" i="63"/>
  <c r="I84" i="63"/>
  <c r="H84" i="63"/>
  <c r="G84" i="63"/>
  <c r="F84" i="63"/>
  <c r="BD83" i="63"/>
  <c r="BC83" i="63"/>
  <c r="BD82" i="63"/>
  <c r="BC82" i="63"/>
  <c r="BD81" i="63"/>
  <c r="M81" i="63"/>
  <c r="L81" i="63"/>
  <c r="K81" i="63"/>
  <c r="J81" i="63"/>
  <c r="I81" i="63"/>
  <c r="H81" i="63"/>
  <c r="G81" i="63"/>
  <c r="F81" i="63"/>
  <c r="BD80" i="63"/>
  <c r="BD79" i="63"/>
  <c r="M79" i="63"/>
  <c r="L79" i="63"/>
  <c r="K79" i="63"/>
  <c r="J79" i="63"/>
  <c r="I79" i="63"/>
  <c r="H79" i="63"/>
  <c r="G79" i="63"/>
  <c r="F79" i="63"/>
  <c r="BL78" i="63"/>
  <c r="BK78" i="63"/>
  <c r="BJ78" i="63"/>
  <c r="BI78" i="63"/>
  <c r="BH78" i="63"/>
  <c r="BG78" i="63"/>
  <c r="BF78" i="63"/>
  <c r="BE78" i="63"/>
  <c r="BD78" i="63"/>
  <c r="BC78" i="63"/>
  <c r="BL77" i="63"/>
  <c r="BK77" i="63"/>
  <c r="BJ77" i="63"/>
  <c r="BI77" i="63"/>
  <c r="BH77" i="63"/>
  <c r="BG77" i="63"/>
  <c r="BF77" i="63"/>
  <c r="BE77" i="63"/>
  <c r="BD77" i="63"/>
  <c r="BC77" i="63"/>
  <c r="BL76" i="63"/>
  <c r="BK76" i="63"/>
  <c r="BJ76" i="63"/>
  <c r="BI76" i="63"/>
  <c r="BH76" i="63"/>
  <c r="BG76" i="63"/>
  <c r="BF76" i="63"/>
  <c r="BE76" i="63"/>
  <c r="BD76" i="63"/>
  <c r="M76" i="63"/>
  <c r="L76" i="63"/>
  <c r="K76" i="63"/>
  <c r="J76" i="63"/>
  <c r="I76" i="63"/>
  <c r="H76" i="63"/>
  <c r="G76" i="63"/>
  <c r="F76" i="63"/>
  <c r="BL75" i="63"/>
  <c r="BK75" i="63"/>
  <c r="BJ75" i="63"/>
  <c r="BI75" i="63"/>
  <c r="BH75" i="63"/>
  <c r="BG75" i="63"/>
  <c r="BF75" i="63"/>
  <c r="BE75" i="63"/>
  <c r="BD75" i="63"/>
  <c r="BL74" i="63"/>
  <c r="BK74" i="63"/>
  <c r="BJ74" i="63"/>
  <c r="BI74" i="63"/>
  <c r="BH74" i="63"/>
  <c r="BG74" i="63"/>
  <c r="BF74" i="63"/>
  <c r="BE74" i="63"/>
  <c r="BD74" i="63"/>
  <c r="M74" i="63"/>
  <c r="L74" i="63"/>
  <c r="K74" i="63"/>
  <c r="J74" i="63"/>
  <c r="I74" i="63"/>
  <c r="H74" i="63"/>
  <c r="G74" i="63"/>
  <c r="F74" i="63"/>
  <c r="BL73" i="63"/>
  <c r="BK73" i="63"/>
  <c r="BJ73" i="63"/>
  <c r="BI73" i="63"/>
  <c r="BH73" i="63"/>
  <c r="BG73" i="63"/>
  <c r="BF73" i="63"/>
  <c r="BE73" i="63"/>
  <c r="BD73" i="63"/>
  <c r="BC73" i="63"/>
  <c r="BL72" i="63"/>
  <c r="BK72" i="63"/>
  <c r="BJ72" i="63"/>
  <c r="BI72" i="63"/>
  <c r="BH72" i="63"/>
  <c r="BG72" i="63"/>
  <c r="BF72" i="63"/>
  <c r="BE72" i="63"/>
  <c r="BD72" i="63"/>
  <c r="BC72" i="63"/>
  <c r="BL71" i="63"/>
  <c r="BK71" i="63"/>
  <c r="BJ71" i="63"/>
  <c r="BI71" i="63"/>
  <c r="BH71" i="63"/>
  <c r="BG71" i="63"/>
  <c r="BF71" i="63"/>
  <c r="BE71" i="63"/>
  <c r="BD71" i="63"/>
  <c r="M71" i="63"/>
  <c r="L71" i="63"/>
  <c r="K71" i="63"/>
  <c r="J71" i="63"/>
  <c r="I71" i="63"/>
  <c r="H71" i="63"/>
  <c r="G71" i="63"/>
  <c r="F71" i="63"/>
  <c r="BL70" i="63"/>
  <c r="BK70" i="63"/>
  <c r="BJ70" i="63"/>
  <c r="BI70" i="63"/>
  <c r="BH70" i="63"/>
  <c r="BG70" i="63"/>
  <c r="BF70" i="63"/>
  <c r="BE70" i="63"/>
  <c r="BD70" i="63"/>
  <c r="BL69" i="63"/>
  <c r="BK69" i="63"/>
  <c r="BJ69" i="63"/>
  <c r="BI69" i="63"/>
  <c r="BH69" i="63"/>
  <c r="BG69" i="63"/>
  <c r="BF69" i="63"/>
  <c r="BE69" i="63"/>
  <c r="BD69" i="63"/>
  <c r="M69" i="63"/>
  <c r="L69" i="63"/>
  <c r="K69" i="63"/>
  <c r="J69" i="63"/>
  <c r="I69" i="63"/>
  <c r="H69" i="63"/>
  <c r="G69" i="63"/>
  <c r="F69" i="63"/>
  <c r="BL68" i="63"/>
  <c r="BK68" i="63"/>
  <c r="BJ68" i="63"/>
  <c r="BI68" i="63"/>
  <c r="BH68" i="63"/>
  <c r="BG68" i="63"/>
  <c r="BF68" i="63"/>
  <c r="BE68" i="63"/>
  <c r="BD68" i="63"/>
  <c r="BC68" i="63"/>
  <c r="BL67" i="63"/>
  <c r="BK67" i="63"/>
  <c r="BJ67" i="63"/>
  <c r="BI67" i="63"/>
  <c r="BH67" i="63"/>
  <c r="BG67" i="63"/>
  <c r="BF67" i="63"/>
  <c r="BE67" i="63"/>
  <c r="BD67" i="63"/>
  <c r="BC67" i="63"/>
  <c r="BD66" i="63"/>
  <c r="N66" i="63"/>
  <c r="M66" i="63"/>
  <c r="L66" i="63"/>
  <c r="K66" i="63"/>
  <c r="J66" i="63"/>
  <c r="I66" i="63"/>
  <c r="H66" i="63"/>
  <c r="G66" i="63"/>
  <c r="F66" i="63"/>
  <c r="BL65" i="63"/>
  <c r="BK65" i="63"/>
  <c r="BJ65" i="63"/>
  <c r="BI65" i="63"/>
  <c r="BH65" i="63"/>
  <c r="BG65" i="63"/>
  <c r="BF65" i="63"/>
  <c r="BE65" i="63"/>
  <c r="BC65" i="63"/>
  <c r="BC64" i="63"/>
  <c r="BC63" i="63"/>
  <c r="R63" i="63"/>
  <c r="BC62" i="63"/>
  <c r="BC61" i="63"/>
  <c r="BC33" i="63"/>
  <c r="M32" i="63"/>
  <c r="L32" i="63"/>
  <c r="K32" i="63"/>
  <c r="J32" i="63"/>
  <c r="I32" i="63"/>
  <c r="H32" i="63"/>
  <c r="G32" i="63"/>
  <c r="F32" i="63"/>
  <c r="M30" i="63"/>
  <c r="L30" i="63"/>
  <c r="K30" i="63"/>
  <c r="J30" i="63"/>
  <c r="I30" i="63"/>
  <c r="H30" i="63"/>
  <c r="G30" i="63"/>
  <c r="F30" i="63"/>
  <c r="BC29" i="63"/>
  <c r="BL28" i="63"/>
  <c r="BK28" i="63"/>
  <c r="BJ28" i="63"/>
  <c r="BI28" i="63"/>
  <c r="BH28" i="63"/>
  <c r="BG28" i="63"/>
  <c r="BF28" i="63"/>
  <c r="BE28" i="63"/>
  <c r="BD28" i="63"/>
  <c r="BC28" i="63"/>
  <c r="BL27" i="63"/>
  <c r="BK27" i="63"/>
  <c r="BJ27" i="63"/>
  <c r="BI27" i="63"/>
  <c r="BH27" i="63"/>
  <c r="BG27" i="63"/>
  <c r="BF27" i="63"/>
  <c r="BE27" i="63"/>
  <c r="BD27" i="63"/>
  <c r="M27" i="63"/>
  <c r="L27" i="63"/>
  <c r="K27" i="63"/>
  <c r="J27" i="63"/>
  <c r="I27" i="63"/>
  <c r="H27" i="63"/>
  <c r="G27" i="63"/>
  <c r="F27" i="63"/>
  <c r="BL26" i="63"/>
  <c r="BK26" i="63"/>
  <c r="BJ26" i="63"/>
  <c r="BI26" i="63"/>
  <c r="BH26" i="63"/>
  <c r="BG26" i="63"/>
  <c r="BF26" i="63"/>
  <c r="BE26" i="63"/>
  <c r="BD26" i="63"/>
  <c r="BL25" i="63"/>
  <c r="BK25" i="63"/>
  <c r="BJ25" i="63"/>
  <c r="BI25" i="63"/>
  <c r="BH25" i="63"/>
  <c r="BG25" i="63"/>
  <c r="BF25" i="63"/>
  <c r="BE25" i="63"/>
  <c r="BD25" i="63"/>
  <c r="M25" i="63"/>
  <c r="L25" i="63"/>
  <c r="K25" i="63"/>
  <c r="J25" i="63"/>
  <c r="I25" i="63"/>
  <c r="H25" i="63"/>
  <c r="G25" i="63"/>
  <c r="F25" i="63"/>
  <c r="BD24" i="63"/>
  <c r="BC24" i="63"/>
  <c r="BD23" i="63"/>
  <c r="BC23" i="63"/>
  <c r="BD22" i="63"/>
  <c r="M22" i="63"/>
  <c r="L22" i="63"/>
  <c r="K22" i="63"/>
  <c r="J22" i="63"/>
  <c r="I22" i="63"/>
  <c r="H22" i="63"/>
  <c r="G22" i="63"/>
  <c r="F22" i="63"/>
  <c r="BD21" i="63"/>
  <c r="BL20" i="63"/>
  <c r="BK20" i="63"/>
  <c r="BJ20" i="63"/>
  <c r="BI20" i="63"/>
  <c r="BH20" i="63"/>
  <c r="BG20" i="63"/>
  <c r="BF20" i="63"/>
  <c r="BE20" i="63"/>
  <c r="BD20" i="63"/>
  <c r="M20" i="63"/>
  <c r="L20" i="63"/>
  <c r="K20" i="63"/>
  <c r="J20" i="63"/>
  <c r="I20" i="63"/>
  <c r="H20" i="63"/>
  <c r="G20" i="63"/>
  <c r="F20" i="63"/>
  <c r="BL19" i="63"/>
  <c r="BK19" i="63"/>
  <c r="BJ19" i="63"/>
  <c r="BI19" i="63"/>
  <c r="BH19" i="63"/>
  <c r="BG19" i="63"/>
  <c r="BF19" i="63"/>
  <c r="BE19" i="63"/>
  <c r="BD19" i="63"/>
  <c r="BC19" i="63"/>
  <c r="BL18" i="63"/>
  <c r="BK18" i="63"/>
  <c r="BJ18" i="63"/>
  <c r="BI18" i="63"/>
  <c r="BH18" i="63"/>
  <c r="BG18" i="63"/>
  <c r="BF18" i="63"/>
  <c r="BE18" i="63"/>
  <c r="BD18" i="63"/>
  <c r="BC18" i="63"/>
  <c r="BL17" i="63"/>
  <c r="BK17" i="63"/>
  <c r="BJ17" i="63"/>
  <c r="BI17" i="63"/>
  <c r="BH17" i="63"/>
  <c r="BG17" i="63"/>
  <c r="BF17" i="63"/>
  <c r="BE17" i="63"/>
  <c r="BD17" i="63"/>
  <c r="M17" i="63"/>
  <c r="L17" i="63"/>
  <c r="K17" i="63"/>
  <c r="J17" i="63"/>
  <c r="I17" i="63"/>
  <c r="H17" i="63"/>
  <c r="G17" i="63"/>
  <c r="F17" i="63"/>
  <c r="BL16" i="63"/>
  <c r="BK16" i="63"/>
  <c r="BJ16" i="63"/>
  <c r="BI16" i="63"/>
  <c r="BH16" i="63"/>
  <c r="BG16" i="63"/>
  <c r="BF16" i="63"/>
  <c r="BE16" i="63"/>
  <c r="BD16" i="63"/>
  <c r="M16" i="63"/>
  <c r="BL21" i="63" s="1"/>
  <c r="L16" i="63"/>
  <c r="BK21" i="63" s="1"/>
  <c r="K16" i="63"/>
  <c r="BJ21" i="63" s="1"/>
  <c r="J16" i="63"/>
  <c r="BI21" i="63" s="1"/>
  <c r="I16" i="63"/>
  <c r="BH21" i="63" s="1"/>
  <c r="H16" i="63"/>
  <c r="BG21" i="63" s="1"/>
  <c r="G16" i="63"/>
  <c r="BF21" i="63" s="1"/>
  <c r="F16" i="63"/>
  <c r="BL15" i="63"/>
  <c r="BK15" i="63"/>
  <c r="BJ15" i="63"/>
  <c r="BI15" i="63"/>
  <c r="BH15" i="63"/>
  <c r="BG15" i="63"/>
  <c r="BF15" i="63"/>
  <c r="BE15" i="63"/>
  <c r="BD15" i="63"/>
  <c r="M15" i="63"/>
  <c r="L15" i="63"/>
  <c r="K15" i="63"/>
  <c r="J15" i="63"/>
  <c r="I15" i="63"/>
  <c r="H15" i="63"/>
  <c r="G15" i="63"/>
  <c r="F15" i="63"/>
  <c r="BL14" i="63"/>
  <c r="BK14" i="63"/>
  <c r="BJ14" i="63"/>
  <c r="BI14" i="63"/>
  <c r="BH14" i="63"/>
  <c r="BG14" i="63"/>
  <c r="BF14" i="63"/>
  <c r="BE14" i="63"/>
  <c r="BD14" i="63"/>
  <c r="BL13" i="63"/>
  <c r="BK13" i="63"/>
  <c r="BJ13" i="63"/>
  <c r="BI13" i="63"/>
  <c r="BH13" i="63"/>
  <c r="BG13" i="63"/>
  <c r="BF13" i="63"/>
  <c r="BE13" i="63"/>
  <c r="BD13" i="63"/>
  <c r="BD12" i="63"/>
  <c r="BL11" i="63"/>
  <c r="BK11" i="63"/>
  <c r="BJ11" i="63"/>
  <c r="BI11" i="63"/>
  <c r="BH11" i="63"/>
  <c r="BG11" i="63"/>
  <c r="BF11" i="63"/>
  <c r="BE11" i="63"/>
  <c r="N11" i="63"/>
  <c r="M11" i="63"/>
  <c r="L11" i="63"/>
  <c r="K11" i="63"/>
  <c r="J11" i="63"/>
  <c r="I11" i="63"/>
  <c r="H11" i="63"/>
  <c r="G11" i="63"/>
  <c r="F11" i="63"/>
  <c r="R8" i="63"/>
  <c r="BL143" i="63"/>
  <c r="K1" i="63"/>
  <c r="K1" i="64" s="1"/>
  <c r="N5" i="62"/>
  <c r="E4" i="62"/>
  <c r="N187" i="62"/>
  <c r="M187" i="62"/>
  <c r="L187" i="62"/>
  <c r="K187" i="62"/>
  <c r="J187" i="62"/>
  <c r="I187" i="62"/>
  <c r="H187" i="62"/>
  <c r="G187" i="62"/>
  <c r="F187" i="62"/>
  <c r="N185" i="62"/>
  <c r="M185" i="62"/>
  <c r="L185" i="62"/>
  <c r="K185" i="62"/>
  <c r="J185" i="62"/>
  <c r="I185" i="62"/>
  <c r="H185" i="62"/>
  <c r="G185" i="62"/>
  <c r="F185" i="62"/>
  <c r="BC184" i="62"/>
  <c r="BC183" i="62"/>
  <c r="N182" i="62"/>
  <c r="M182" i="62"/>
  <c r="L182" i="62"/>
  <c r="K182" i="62"/>
  <c r="J182" i="62"/>
  <c r="I182" i="62"/>
  <c r="H182" i="62"/>
  <c r="G182" i="62"/>
  <c r="F182" i="62"/>
  <c r="BL180" i="62"/>
  <c r="BK180" i="62"/>
  <c r="BJ180" i="62"/>
  <c r="BI180" i="62"/>
  <c r="BH180" i="62"/>
  <c r="BG180" i="62"/>
  <c r="BF180" i="62"/>
  <c r="BE180" i="62"/>
  <c r="BD180" i="62"/>
  <c r="N180" i="62"/>
  <c r="M180" i="62"/>
  <c r="L180" i="62"/>
  <c r="K180" i="62"/>
  <c r="J180" i="62"/>
  <c r="I180" i="62"/>
  <c r="H180" i="62"/>
  <c r="G180" i="62"/>
  <c r="F180" i="62"/>
  <c r="BL179" i="62"/>
  <c r="BK179" i="62"/>
  <c r="BJ179" i="62"/>
  <c r="BI179" i="62"/>
  <c r="BH179" i="62"/>
  <c r="BG179" i="62"/>
  <c r="BF179" i="62"/>
  <c r="BE179" i="62"/>
  <c r="BD179" i="62"/>
  <c r="BC179" i="62"/>
  <c r="BL178" i="62"/>
  <c r="BK178" i="62"/>
  <c r="BJ178" i="62"/>
  <c r="BI178" i="62"/>
  <c r="BH178" i="62"/>
  <c r="BG178" i="62"/>
  <c r="BF178" i="62"/>
  <c r="BE178" i="62"/>
  <c r="BD178" i="62"/>
  <c r="BC178" i="62"/>
  <c r="BL177" i="62"/>
  <c r="BK177" i="62"/>
  <c r="BJ177" i="62"/>
  <c r="BI177" i="62"/>
  <c r="BH177" i="62"/>
  <c r="BG177" i="62"/>
  <c r="BF177" i="62"/>
  <c r="BE177" i="62"/>
  <c r="BD177" i="62"/>
  <c r="N177" i="62"/>
  <c r="M177" i="62"/>
  <c r="L177" i="62"/>
  <c r="K177" i="62"/>
  <c r="J177" i="62"/>
  <c r="I177" i="62"/>
  <c r="H177" i="62"/>
  <c r="G177" i="62"/>
  <c r="F177" i="62"/>
  <c r="BL176" i="62"/>
  <c r="BK176" i="62"/>
  <c r="BJ176" i="62"/>
  <c r="BI176" i="62"/>
  <c r="BH176" i="62"/>
  <c r="BG176" i="62"/>
  <c r="BF176" i="62"/>
  <c r="BE176" i="62"/>
  <c r="BD176" i="62"/>
  <c r="BL175" i="62"/>
  <c r="BK175" i="62"/>
  <c r="BJ175" i="62"/>
  <c r="BI175" i="62"/>
  <c r="BH175" i="62"/>
  <c r="BG175" i="62"/>
  <c r="BF175" i="62"/>
  <c r="BE175" i="62"/>
  <c r="BD175" i="62"/>
  <c r="N175" i="62"/>
  <c r="M175" i="62"/>
  <c r="L175" i="62"/>
  <c r="K175" i="62"/>
  <c r="J175" i="62"/>
  <c r="I175" i="62"/>
  <c r="H175" i="62"/>
  <c r="G175" i="62"/>
  <c r="F175" i="62"/>
  <c r="BD174" i="62"/>
  <c r="BC174" i="62"/>
  <c r="BD173" i="62"/>
  <c r="BC173" i="62"/>
  <c r="BD172" i="62"/>
  <c r="N172" i="62"/>
  <c r="M172" i="62"/>
  <c r="L172" i="62"/>
  <c r="K172" i="62"/>
  <c r="J172" i="62"/>
  <c r="I172" i="62"/>
  <c r="H172" i="62"/>
  <c r="G172" i="62"/>
  <c r="F172" i="62"/>
  <c r="BD171" i="62"/>
  <c r="BD170" i="62"/>
  <c r="N170" i="62"/>
  <c r="M170" i="62"/>
  <c r="L170" i="62"/>
  <c r="K170" i="62"/>
  <c r="J170" i="62"/>
  <c r="I170" i="62"/>
  <c r="H170" i="62"/>
  <c r="G170" i="62"/>
  <c r="F170" i="62"/>
  <c r="BD169" i="62"/>
  <c r="BC169" i="62"/>
  <c r="BL168" i="62"/>
  <c r="BK168" i="62"/>
  <c r="BJ168" i="62"/>
  <c r="BI168" i="62"/>
  <c r="BH168" i="62"/>
  <c r="BG168" i="62"/>
  <c r="BF168" i="62"/>
  <c r="BE168" i="62"/>
  <c r="BD168" i="62"/>
  <c r="BC168" i="62"/>
  <c r="BL167" i="62"/>
  <c r="BK167" i="62"/>
  <c r="BJ167" i="62"/>
  <c r="BI167" i="62"/>
  <c r="BH167" i="62"/>
  <c r="BG167" i="62"/>
  <c r="BF167" i="62"/>
  <c r="BE167" i="62"/>
  <c r="BD167" i="62"/>
  <c r="N167" i="62"/>
  <c r="M167" i="62"/>
  <c r="L167" i="62"/>
  <c r="K167" i="62"/>
  <c r="J167" i="62"/>
  <c r="I167" i="62"/>
  <c r="H167" i="62"/>
  <c r="G167" i="62"/>
  <c r="F167" i="62"/>
  <c r="BL166" i="62"/>
  <c r="BK166" i="62"/>
  <c r="BJ166" i="62"/>
  <c r="BI166" i="62"/>
  <c r="BH166" i="62"/>
  <c r="BG166" i="62"/>
  <c r="BF166" i="62"/>
  <c r="BE166" i="62"/>
  <c r="BD166" i="62"/>
  <c r="BL165" i="62"/>
  <c r="BK165" i="62"/>
  <c r="BJ165" i="62"/>
  <c r="BI165" i="62"/>
  <c r="BH165" i="62"/>
  <c r="BG165" i="62"/>
  <c r="BF165" i="62"/>
  <c r="BE165" i="62"/>
  <c r="BD165" i="62"/>
  <c r="N165" i="62"/>
  <c r="M165" i="62"/>
  <c r="L165" i="62"/>
  <c r="K165" i="62"/>
  <c r="J165" i="62"/>
  <c r="I165" i="62"/>
  <c r="H165" i="62"/>
  <c r="G165" i="62"/>
  <c r="F165" i="62"/>
  <c r="BL164" i="62"/>
  <c r="BK164" i="62"/>
  <c r="BJ164" i="62"/>
  <c r="BI164" i="62"/>
  <c r="BH164" i="62"/>
  <c r="BG164" i="62"/>
  <c r="BF164" i="62"/>
  <c r="BE164" i="62"/>
  <c r="BD164" i="62"/>
  <c r="BC164" i="62"/>
  <c r="BL163" i="62"/>
  <c r="BK163" i="62"/>
  <c r="BJ163" i="62"/>
  <c r="BI163" i="62"/>
  <c r="BH163" i="62"/>
  <c r="BG163" i="62"/>
  <c r="BF163" i="62"/>
  <c r="BE163" i="62"/>
  <c r="BD163" i="62"/>
  <c r="BC163" i="62"/>
  <c r="BL162" i="62"/>
  <c r="BK162" i="62"/>
  <c r="BJ162" i="62"/>
  <c r="BI162" i="62"/>
  <c r="BH162" i="62"/>
  <c r="BG162" i="62"/>
  <c r="BF162" i="62"/>
  <c r="BE162" i="62"/>
  <c r="BD162" i="62"/>
  <c r="N162" i="62"/>
  <c r="M162" i="62"/>
  <c r="L162" i="62"/>
  <c r="K162" i="62"/>
  <c r="J162" i="62"/>
  <c r="I162" i="62"/>
  <c r="H162" i="62"/>
  <c r="G162" i="62"/>
  <c r="F162" i="62"/>
  <c r="BL161" i="62"/>
  <c r="BK161" i="62"/>
  <c r="BJ161" i="62"/>
  <c r="BI161" i="62"/>
  <c r="BH161" i="62"/>
  <c r="BG161" i="62"/>
  <c r="BF161" i="62"/>
  <c r="BE161" i="62"/>
  <c r="BD161" i="62"/>
  <c r="BL160" i="62"/>
  <c r="BK160" i="62"/>
  <c r="BJ160" i="62"/>
  <c r="BI160" i="62"/>
  <c r="BH160" i="62"/>
  <c r="BG160" i="62"/>
  <c r="BF160" i="62"/>
  <c r="BE160" i="62"/>
  <c r="BD160" i="62"/>
  <c r="N160" i="62"/>
  <c r="M160" i="62"/>
  <c r="L160" i="62"/>
  <c r="K160" i="62"/>
  <c r="J160" i="62"/>
  <c r="I160" i="62"/>
  <c r="H160" i="62"/>
  <c r="G160" i="62"/>
  <c r="F160" i="62"/>
  <c r="BL159" i="62"/>
  <c r="BK159" i="62"/>
  <c r="BJ159" i="62"/>
  <c r="BI159" i="62"/>
  <c r="BH159" i="62"/>
  <c r="BG159" i="62"/>
  <c r="BF159" i="62"/>
  <c r="BE159" i="62"/>
  <c r="BD159" i="62"/>
  <c r="BC159" i="62"/>
  <c r="BL158" i="62"/>
  <c r="BK158" i="62"/>
  <c r="BJ158" i="62"/>
  <c r="BI158" i="62"/>
  <c r="BH158" i="62"/>
  <c r="BG158" i="62"/>
  <c r="BF158" i="62"/>
  <c r="BE158" i="62"/>
  <c r="BD158" i="62"/>
  <c r="BC158" i="62"/>
  <c r="BL157" i="62"/>
  <c r="BK157" i="62"/>
  <c r="BJ157" i="62"/>
  <c r="BI157" i="62"/>
  <c r="BH157" i="62"/>
  <c r="BG157" i="62"/>
  <c r="BF157" i="62"/>
  <c r="BE157" i="62"/>
  <c r="BD157" i="62"/>
  <c r="N157" i="62"/>
  <c r="M157" i="62"/>
  <c r="L157" i="62"/>
  <c r="K157" i="62"/>
  <c r="J157" i="62"/>
  <c r="I157" i="62"/>
  <c r="H157" i="62"/>
  <c r="G157" i="62"/>
  <c r="F157" i="62"/>
  <c r="BC156" i="62"/>
  <c r="BL155" i="62"/>
  <c r="BK155" i="62"/>
  <c r="BJ155" i="62"/>
  <c r="BI155" i="62"/>
  <c r="BH155" i="62"/>
  <c r="BG155" i="62"/>
  <c r="BF155" i="62"/>
  <c r="BE155" i="62"/>
  <c r="BC155" i="62"/>
  <c r="BC154" i="62"/>
  <c r="R154" i="62"/>
  <c r="BC153" i="62"/>
  <c r="BC152" i="62"/>
  <c r="BC151" i="62"/>
  <c r="BC150" i="62"/>
  <c r="BL149" i="62"/>
  <c r="BK149" i="62"/>
  <c r="BJ149" i="62"/>
  <c r="BI149" i="62"/>
  <c r="BH149" i="62"/>
  <c r="BG149" i="62"/>
  <c r="BF149" i="62"/>
  <c r="BE149" i="62"/>
  <c r="BD149" i="62"/>
  <c r="BC149" i="62"/>
  <c r="BL148" i="62"/>
  <c r="BK148" i="62"/>
  <c r="BJ148" i="62"/>
  <c r="BI148" i="62"/>
  <c r="BH148" i="62"/>
  <c r="BG148" i="62"/>
  <c r="BF148" i="62"/>
  <c r="BE148" i="62"/>
  <c r="BD148" i="62"/>
  <c r="BC148" i="62"/>
  <c r="BC147" i="62"/>
  <c r="BC146" i="62"/>
  <c r="BC145" i="62"/>
  <c r="BC144" i="62"/>
  <c r="BD143" i="62"/>
  <c r="BC143" i="62"/>
  <c r="BD142" i="62"/>
  <c r="BC142" i="62"/>
  <c r="BC141" i="62"/>
  <c r="N140" i="62"/>
  <c r="M140" i="62"/>
  <c r="L140" i="62"/>
  <c r="K140" i="62"/>
  <c r="J140" i="62"/>
  <c r="I140" i="62"/>
  <c r="H140" i="62"/>
  <c r="G140" i="62"/>
  <c r="F140" i="62"/>
  <c r="N138" i="62"/>
  <c r="M138" i="62"/>
  <c r="L138" i="62"/>
  <c r="K138" i="62"/>
  <c r="J138" i="62"/>
  <c r="I138" i="62"/>
  <c r="H138" i="62"/>
  <c r="G138" i="62"/>
  <c r="F138" i="62"/>
  <c r="BL137" i="62"/>
  <c r="BK137" i="62"/>
  <c r="BJ137" i="62"/>
  <c r="BI137" i="62"/>
  <c r="BH137" i="62"/>
  <c r="BG137" i="62"/>
  <c r="BF137" i="62"/>
  <c r="BE137" i="62"/>
  <c r="BD137" i="62"/>
  <c r="BC137" i="62"/>
  <c r="BL136" i="62"/>
  <c r="BK136" i="62"/>
  <c r="BJ136" i="62"/>
  <c r="BI136" i="62"/>
  <c r="BH136" i="62"/>
  <c r="BG136" i="62"/>
  <c r="BF136" i="62"/>
  <c r="BE136" i="62"/>
  <c r="BD136" i="62"/>
  <c r="BC136" i="62"/>
  <c r="N135" i="62"/>
  <c r="M135" i="62"/>
  <c r="L135" i="62"/>
  <c r="K135" i="62"/>
  <c r="J135" i="62"/>
  <c r="I135" i="62"/>
  <c r="H135" i="62"/>
  <c r="G135" i="62"/>
  <c r="F135" i="62"/>
  <c r="N133" i="62"/>
  <c r="M133" i="62"/>
  <c r="L133" i="62"/>
  <c r="K133" i="62"/>
  <c r="J133" i="62"/>
  <c r="I133" i="62"/>
  <c r="H133" i="62"/>
  <c r="G133" i="62"/>
  <c r="F133" i="62"/>
  <c r="BC132" i="62"/>
  <c r="BL131" i="62"/>
  <c r="BK131" i="62"/>
  <c r="BJ131" i="62"/>
  <c r="BI131" i="62"/>
  <c r="BH131" i="62"/>
  <c r="BG131" i="62"/>
  <c r="BF131" i="62"/>
  <c r="BE131" i="62"/>
  <c r="BD131" i="62"/>
  <c r="BC131" i="62"/>
  <c r="BL130" i="62"/>
  <c r="BK130" i="62"/>
  <c r="BJ130" i="62"/>
  <c r="BI130" i="62"/>
  <c r="BH130" i="62"/>
  <c r="BG130" i="62"/>
  <c r="BF130" i="62"/>
  <c r="BE130" i="62"/>
  <c r="BD130" i="62"/>
  <c r="N130" i="62"/>
  <c r="M130" i="62"/>
  <c r="L130" i="62"/>
  <c r="K130" i="62"/>
  <c r="J130" i="62"/>
  <c r="I130" i="62"/>
  <c r="H130" i="62"/>
  <c r="G130" i="62"/>
  <c r="F130" i="62"/>
  <c r="BC129" i="62"/>
  <c r="BL128" i="62"/>
  <c r="BK128" i="62"/>
  <c r="BJ128" i="62"/>
  <c r="BI128" i="62"/>
  <c r="BH128" i="62"/>
  <c r="BG128" i="62"/>
  <c r="BF128" i="62"/>
  <c r="BE128" i="62"/>
  <c r="BC128" i="62"/>
  <c r="BC127" i="62"/>
  <c r="R127" i="62"/>
  <c r="BC126" i="62"/>
  <c r="BC125" i="62"/>
  <c r="BC124" i="62"/>
  <c r="BC123" i="62"/>
  <c r="BC122" i="62"/>
  <c r="BL121" i="62"/>
  <c r="BK121" i="62"/>
  <c r="BJ121" i="62"/>
  <c r="BI121" i="62"/>
  <c r="BH121" i="62"/>
  <c r="BG121" i="62"/>
  <c r="BF121" i="62"/>
  <c r="BE121" i="62"/>
  <c r="BD121" i="62"/>
  <c r="BC121" i="62"/>
  <c r="BC120" i="62"/>
  <c r="BC119" i="62"/>
  <c r="BC118" i="62"/>
  <c r="BD117" i="62"/>
  <c r="BC117" i="62"/>
  <c r="BC116" i="62"/>
  <c r="BC115" i="62"/>
  <c r="BC114" i="62"/>
  <c r="BL113" i="62"/>
  <c r="BK113" i="62"/>
  <c r="BJ113" i="62"/>
  <c r="BI113" i="62"/>
  <c r="BH113" i="62"/>
  <c r="BG113" i="62"/>
  <c r="BF113" i="62"/>
  <c r="BE113" i="62"/>
  <c r="BD113" i="62"/>
  <c r="BC113" i="62"/>
  <c r="BC112" i="62"/>
  <c r="BC111" i="62"/>
  <c r="BC110" i="62"/>
  <c r="BL109" i="62"/>
  <c r="BK109" i="62"/>
  <c r="BJ109" i="62"/>
  <c r="BI109" i="62"/>
  <c r="BH109" i="62"/>
  <c r="BG109" i="62"/>
  <c r="BF109" i="62"/>
  <c r="BE109" i="62"/>
  <c r="BD109" i="62"/>
  <c r="BC109" i="62"/>
  <c r="N108" i="62"/>
  <c r="M108" i="62"/>
  <c r="L108" i="62"/>
  <c r="K108" i="62"/>
  <c r="J108" i="62"/>
  <c r="I108" i="62"/>
  <c r="H108" i="62"/>
  <c r="G108" i="62"/>
  <c r="F108" i="62"/>
  <c r="BL107" i="62"/>
  <c r="BK107" i="62"/>
  <c r="BJ107" i="62"/>
  <c r="BI107" i="62"/>
  <c r="BH107" i="62"/>
  <c r="BG107" i="62"/>
  <c r="BF107" i="62"/>
  <c r="BE107" i="62"/>
  <c r="N107" i="62"/>
  <c r="M107" i="62"/>
  <c r="BL117" i="62" s="1"/>
  <c r="L107" i="62"/>
  <c r="BK117" i="62" s="1"/>
  <c r="K107" i="62"/>
  <c r="BJ117" i="62" s="1"/>
  <c r="J107" i="62"/>
  <c r="BI117" i="62" s="1"/>
  <c r="I107" i="62"/>
  <c r="BH117" i="62" s="1"/>
  <c r="H107" i="62"/>
  <c r="BG117" i="62" s="1"/>
  <c r="G107" i="62"/>
  <c r="BF117" i="62" s="1"/>
  <c r="F107" i="62"/>
  <c r="BE117" i="62" s="1"/>
  <c r="N106" i="62"/>
  <c r="M106" i="62"/>
  <c r="L106" i="62"/>
  <c r="K106" i="62"/>
  <c r="J106" i="62"/>
  <c r="I106" i="62"/>
  <c r="H106" i="62"/>
  <c r="G106" i="62"/>
  <c r="F106" i="62"/>
  <c r="BC105" i="62"/>
  <c r="BC104" i="62"/>
  <c r="N103" i="62"/>
  <c r="M103" i="62"/>
  <c r="L103" i="62"/>
  <c r="K103" i="62"/>
  <c r="J103" i="62"/>
  <c r="I103" i="62"/>
  <c r="H103" i="62"/>
  <c r="G103" i="62"/>
  <c r="F103" i="62"/>
  <c r="BC102" i="62"/>
  <c r="BC101" i="62"/>
  <c r="BC100" i="62"/>
  <c r="R100" i="62"/>
  <c r="BC99" i="62"/>
  <c r="BC98" i="62"/>
  <c r="BC97" i="62"/>
  <c r="BC96" i="62"/>
  <c r="BL95" i="62"/>
  <c r="BK95" i="62"/>
  <c r="BJ95" i="62"/>
  <c r="BI95" i="62"/>
  <c r="BH95" i="62"/>
  <c r="BG95" i="62"/>
  <c r="BF95" i="62"/>
  <c r="BE95" i="62"/>
  <c r="BD95" i="62"/>
  <c r="BC95" i="62"/>
  <c r="BC94" i="62"/>
  <c r="BC93" i="62"/>
  <c r="BC92" i="62"/>
  <c r="BD91" i="62"/>
  <c r="BC91" i="62"/>
  <c r="BC90" i="62"/>
  <c r="BC89" i="62"/>
  <c r="BC88" i="62"/>
  <c r="BL87" i="62"/>
  <c r="BK87" i="62"/>
  <c r="BJ87" i="62"/>
  <c r="BI87" i="62"/>
  <c r="BH87" i="62"/>
  <c r="BG87" i="62"/>
  <c r="BF87" i="62"/>
  <c r="BE87" i="62"/>
  <c r="BD87" i="62"/>
  <c r="BC87" i="62"/>
  <c r="BC86" i="62"/>
  <c r="BC85" i="62"/>
  <c r="BC84" i="62"/>
  <c r="BL83" i="62"/>
  <c r="BK83" i="62"/>
  <c r="BJ83" i="62"/>
  <c r="BI83" i="62"/>
  <c r="BH83" i="62"/>
  <c r="BG83" i="62"/>
  <c r="BF83" i="62"/>
  <c r="BE83" i="62"/>
  <c r="BD83" i="62"/>
  <c r="BC83" i="62"/>
  <c r="BC82" i="62"/>
  <c r="BL81" i="62"/>
  <c r="BK81" i="62"/>
  <c r="BJ81" i="62"/>
  <c r="BI81" i="62"/>
  <c r="BH81" i="62"/>
  <c r="BG81" i="62"/>
  <c r="BF81" i="62"/>
  <c r="BE81" i="62"/>
  <c r="N81" i="62"/>
  <c r="M81" i="62"/>
  <c r="L81" i="62"/>
  <c r="K81" i="62"/>
  <c r="J81" i="62"/>
  <c r="I81" i="62"/>
  <c r="H81" i="62"/>
  <c r="G81" i="62"/>
  <c r="F81" i="62"/>
  <c r="N79" i="62"/>
  <c r="M79" i="62"/>
  <c r="L79" i="62"/>
  <c r="K79" i="62"/>
  <c r="J79" i="62"/>
  <c r="I79" i="62"/>
  <c r="H79" i="62"/>
  <c r="G79" i="62"/>
  <c r="F79" i="62"/>
  <c r="BC78" i="62"/>
  <c r="BC77" i="62"/>
  <c r="N76" i="62"/>
  <c r="M76" i="62"/>
  <c r="L76" i="62"/>
  <c r="K76" i="62"/>
  <c r="J76" i="62"/>
  <c r="I76" i="62"/>
  <c r="H76" i="62"/>
  <c r="G76" i="62"/>
  <c r="F76" i="62"/>
  <c r="BC75" i="62"/>
  <c r="BC74" i="62"/>
  <c r="BC73" i="62"/>
  <c r="R73" i="62"/>
  <c r="BC72" i="62"/>
  <c r="BC71" i="62"/>
  <c r="BC70" i="62"/>
  <c r="N69" i="62"/>
  <c r="M69" i="62"/>
  <c r="L69" i="62"/>
  <c r="K69" i="62"/>
  <c r="J69" i="62"/>
  <c r="I69" i="62"/>
  <c r="H69" i="62"/>
  <c r="G69" i="62"/>
  <c r="F69" i="62"/>
  <c r="N67" i="62"/>
  <c r="M67" i="62"/>
  <c r="L67" i="62"/>
  <c r="K67" i="62"/>
  <c r="J67" i="62"/>
  <c r="I67" i="62"/>
  <c r="H67" i="62"/>
  <c r="G67" i="62"/>
  <c r="F67" i="62"/>
  <c r="BC66" i="62"/>
  <c r="BC65" i="62"/>
  <c r="N64" i="62"/>
  <c r="M64" i="62"/>
  <c r="L64" i="62"/>
  <c r="K64" i="62"/>
  <c r="J64" i="62"/>
  <c r="I64" i="62"/>
  <c r="H64" i="62"/>
  <c r="G64" i="62"/>
  <c r="F64" i="62"/>
  <c r="BL63" i="62"/>
  <c r="BK63" i="62"/>
  <c r="BJ63" i="62"/>
  <c r="BI63" i="62"/>
  <c r="BH63" i="62"/>
  <c r="BG63" i="62"/>
  <c r="BF63" i="62"/>
  <c r="BE63" i="62"/>
  <c r="BD63" i="62"/>
  <c r="BL62" i="62"/>
  <c r="BK62" i="62"/>
  <c r="BJ62" i="62"/>
  <c r="BI62" i="62"/>
  <c r="BH62" i="62"/>
  <c r="BG62" i="62"/>
  <c r="BF62" i="62"/>
  <c r="BE62" i="62"/>
  <c r="BD62" i="62"/>
  <c r="N62" i="62"/>
  <c r="M62" i="62"/>
  <c r="L62" i="62"/>
  <c r="K62" i="62"/>
  <c r="J62" i="62"/>
  <c r="I62" i="62"/>
  <c r="H62" i="62"/>
  <c r="G62" i="62"/>
  <c r="F62" i="62"/>
  <c r="BL61" i="62"/>
  <c r="BK61" i="62"/>
  <c r="BJ61" i="62"/>
  <c r="BI61" i="62"/>
  <c r="BH61" i="62"/>
  <c r="BG61" i="62"/>
  <c r="BF61" i="62"/>
  <c r="BE61" i="62"/>
  <c r="BD61" i="62"/>
  <c r="BC61" i="62"/>
  <c r="BL60" i="62"/>
  <c r="BK60" i="62"/>
  <c r="BJ60" i="62"/>
  <c r="BI60" i="62"/>
  <c r="BH60" i="62"/>
  <c r="BG60" i="62"/>
  <c r="BF60" i="62"/>
  <c r="BE60" i="62"/>
  <c r="BD60" i="62"/>
  <c r="BC60" i="62"/>
  <c r="BL59" i="62"/>
  <c r="BK59" i="62"/>
  <c r="BJ59" i="62"/>
  <c r="BI59" i="62"/>
  <c r="BH59" i="62"/>
  <c r="BG59" i="62"/>
  <c r="BF59" i="62"/>
  <c r="BE59" i="62"/>
  <c r="BD59" i="62"/>
  <c r="N59" i="62"/>
  <c r="M59" i="62"/>
  <c r="L59" i="62"/>
  <c r="K59" i="62"/>
  <c r="J59" i="62"/>
  <c r="I59" i="62"/>
  <c r="H59" i="62"/>
  <c r="G59" i="62"/>
  <c r="F59" i="62"/>
  <c r="BL58" i="62"/>
  <c r="BK58" i="62"/>
  <c r="BJ58" i="62"/>
  <c r="BI58" i="62"/>
  <c r="BH58" i="62"/>
  <c r="BG58" i="62"/>
  <c r="BF58" i="62"/>
  <c r="BE58" i="62"/>
  <c r="BD58" i="62"/>
  <c r="BD57" i="62"/>
  <c r="N57" i="62"/>
  <c r="M57" i="62"/>
  <c r="L57" i="62"/>
  <c r="K57" i="62"/>
  <c r="J57" i="62"/>
  <c r="I57" i="62"/>
  <c r="H57" i="62"/>
  <c r="G57" i="62"/>
  <c r="F57" i="62"/>
  <c r="BD56" i="62"/>
  <c r="BC56" i="62"/>
  <c r="BD55" i="62"/>
  <c r="BC55" i="62"/>
  <c r="BD54" i="62"/>
  <c r="M54" i="62"/>
  <c r="L54" i="62"/>
  <c r="K54" i="62"/>
  <c r="J54" i="62"/>
  <c r="I54" i="62"/>
  <c r="H54" i="62"/>
  <c r="G54" i="62"/>
  <c r="F54" i="62"/>
  <c r="BD53" i="62"/>
  <c r="BD52" i="62"/>
  <c r="M52" i="62"/>
  <c r="L52" i="62"/>
  <c r="K52" i="62"/>
  <c r="J52" i="62"/>
  <c r="I52" i="62"/>
  <c r="H52" i="62"/>
  <c r="G52" i="62"/>
  <c r="F52" i="62"/>
  <c r="BL51" i="62"/>
  <c r="BK51" i="62"/>
  <c r="BJ51" i="62"/>
  <c r="BI51" i="62"/>
  <c r="BH51" i="62"/>
  <c r="BG51" i="62"/>
  <c r="BF51" i="62"/>
  <c r="BE51" i="62"/>
  <c r="BD51" i="62"/>
  <c r="BC51" i="62"/>
  <c r="BL50" i="62"/>
  <c r="BK50" i="62"/>
  <c r="BJ50" i="62"/>
  <c r="BI50" i="62"/>
  <c r="BH50" i="62"/>
  <c r="BG50" i="62"/>
  <c r="BF50" i="62"/>
  <c r="BE50" i="62"/>
  <c r="BD50" i="62"/>
  <c r="BC50" i="62"/>
  <c r="BL49" i="62"/>
  <c r="BK49" i="62"/>
  <c r="BJ49" i="62"/>
  <c r="BI49" i="62"/>
  <c r="BH49" i="62"/>
  <c r="BG49" i="62"/>
  <c r="BF49" i="62"/>
  <c r="BE49" i="62"/>
  <c r="BD49" i="62"/>
  <c r="M49" i="62"/>
  <c r="L49" i="62"/>
  <c r="K49" i="62"/>
  <c r="J49" i="62"/>
  <c r="I49" i="62"/>
  <c r="H49" i="62"/>
  <c r="G49" i="62"/>
  <c r="F49" i="62"/>
  <c r="BL48" i="62"/>
  <c r="BK48" i="62"/>
  <c r="BJ48" i="62"/>
  <c r="BI48" i="62"/>
  <c r="BH48" i="62"/>
  <c r="BG48" i="62"/>
  <c r="BF48" i="62"/>
  <c r="BE48" i="62"/>
  <c r="BD48" i="62"/>
  <c r="BL47" i="62"/>
  <c r="BK47" i="62"/>
  <c r="BJ47" i="62"/>
  <c r="BI47" i="62"/>
  <c r="BH47" i="62"/>
  <c r="BG47" i="62"/>
  <c r="BF47" i="62"/>
  <c r="BE47" i="62"/>
  <c r="BD47" i="62"/>
  <c r="M47" i="62"/>
  <c r="L47" i="62"/>
  <c r="K47" i="62"/>
  <c r="J47" i="62"/>
  <c r="I47" i="62"/>
  <c r="H47" i="62"/>
  <c r="G47" i="62"/>
  <c r="F47" i="62"/>
  <c r="BL46" i="62"/>
  <c r="BK46" i="62"/>
  <c r="BJ46" i="62"/>
  <c r="BI46" i="62"/>
  <c r="BH46" i="62"/>
  <c r="BG46" i="62"/>
  <c r="BF46" i="62"/>
  <c r="BE46" i="62"/>
  <c r="BD46" i="62"/>
  <c r="BC46" i="62"/>
  <c r="BL45" i="62"/>
  <c r="BK45" i="62"/>
  <c r="BJ45" i="62"/>
  <c r="BI45" i="62"/>
  <c r="BH45" i="62"/>
  <c r="BG45" i="62"/>
  <c r="BF45" i="62"/>
  <c r="BE45" i="62"/>
  <c r="BD45" i="62"/>
  <c r="BC45" i="62"/>
  <c r="BL44" i="62"/>
  <c r="BK44" i="62"/>
  <c r="BJ44" i="62"/>
  <c r="BI44" i="62"/>
  <c r="BH44" i="62"/>
  <c r="BG44" i="62"/>
  <c r="BF44" i="62"/>
  <c r="BE44" i="62"/>
  <c r="BD44" i="62"/>
  <c r="M44" i="62"/>
  <c r="L44" i="62"/>
  <c r="K44" i="62"/>
  <c r="J44" i="62"/>
  <c r="I44" i="62"/>
  <c r="H44" i="62"/>
  <c r="G44" i="62"/>
  <c r="F44" i="62"/>
  <c r="BL43" i="62"/>
  <c r="BK43" i="62"/>
  <c r="BJ43" i="62"/>
  <c r="BI43" i="62"/>
  <c r="BH43" i="62"/>
  <c r="BG43" i="62"/>
  <c r="BF43" i="62"/>
  <c r="BE43" i="62"/>
  <c r="BD43" i="62"/>
  <c r="BL42" i="62"/>
  <c r="BK42" i="62"/>
  <c r="BJ42" i="62"/>
  <c r="BI42" i="62"/>
  <c r="BH42" i="62"/>
  <c r="BG42" i="62"/>
  <c r="BF42" i="62"/>
  <c r="BE42" i="62"/>
  <c r="BD42" i="62"/>
  <c r="M42" i="62"/>
  <c r="L42" i="62"/>
  <c r="K42" i="62"/>
  <c r="J42" i="62"/>
  <c r="I42" i="62"/>
  <c r="H42" i="62"/>
  <c r="G42" i="62"/>
  <c r="F42" i="62"/>
  <c r="BL41" i="62"/>
  <c r="BK41" i="62"/>
  <c r="BJ41" i="62"/>
  <c r="BI41" i="62"/>
  <c r="BH41" i="62"/>
  <c r="BG41" i="62"/>
  <c r="BF41" i="62"/>
  <c r="BE41" i="62"/>
  <c r="BD41" i="62"/>
  <c r="BC41" i="62"/>
  <c r="BL40" i="62"/>
  <c r="BK40" i="62"/>
  <c r="BJ40" i="62"/>
  <c r="BI40" i="62"/>
  <c r="BH40" i="62"/>
  <c r="BG40" i="62"/>
  <c r="BF40" i="62"/>
  <c r="BE40" i="62"/>
  <c r="BD40" i="62"/>
  <c r="BC40" i="62"/>
  <c r="N39" i="62"/>
  <c r="M39" i="62"/>
  <c r="L39" i="62"/>
  <c r="K39" i="62"/>
  <c r="J39" i="62"/>
  <c r="I39" i="62"/>
  <c r="H39" i="62"/>
  <c r="G39" i="62"/>
  <c r="F39" i="62"/>
  <c r="BL38" i="62"/>
  <c r="BK38" i="62"/>
  <c r="BJ38" i="62"/>
  <c r="BI38" i="62"/>
  <c r="BH38" i="62"/>
  <c r="BG38" i="62"/>
  <c r="BF38" i="62"/>
  <c r="BE38" i="62"/>
  <c r="BC38" i="62"/>
  <c r="BC37" i="62"/>
  <c r="BC36" i="62"/>
  <c r="R36" i="62"/>
  <c r="BC35" i="62"/>
  <c r="BC34" i="62"/>
  <c r="BC33" i="62"/>
  <c r="M32" i="62"/>
  <c r="L32" i="62"/>
  <c r="K32" i="62"/>
  <c r="J32" i="62"/>
  <c r="I32" i="62"/>
  <c r="H32" i="62"/>
  <c r="G32" i="62"/>
  <c r="F32" i="62"/>
  <c r="M30" i="62"/>
  <c r="L30" i="62"/>
  <c r="K30" i="62"/>
  <c r="J30" i="62"/>
  <c r="I30" i="62"/>
  <c r="H30" i="62"/>
  <c r="G30" i="62"/>
  <c r="F30" i="62"/>
  <c r="BC29" i="62"/>
  <c r="BL28" i="62"/>
  <c r="BK28" i="62"/>
  <c r="BJ28" i="62"/>
  <c r="BI28" i="62"/>
  <c r="BH28" i="62"/>
  <c r="BG28" i="62"/>
  <c r="BF28" i="62"/>
  <c r="BE28" i="62"/>
  <c r="BD28" i="62"/>
  <c r="BC28" i="62"/>
  <c r="BL27" i="62"/>
  <c r="BK27" i="62"/>
  <c r="BJ27" i="62"/>
  <c r="BI27" i="62"/>
  <c r="BH27" i="62"/>
  <c r="BG27" i="62"/>
  <c r="BF27" i="62"/>
  <c r="BE27" i="62"/>
  <c r="BD27" i="62"/>
  <c r="M27" i="62"/>
  <c r="L27" i="62"/>
  <c r="K27" i="62"/>
  <c r="J27" i="62"/>
  <c r="I27" i="62"/>
  <c r="H27" i="62"/>
  <c r="G27" i="62"/>
  <c r="F27" i="62"/>
  <c r="BL26" i="62"/>
  <c r="BK26" i="62"/>
  <c r="BJ26" i="62"/>
  <c r="BI26" i="62"/>
  <c r="BH26" i="62"/>
  <c r="BG26" i="62"/>
  <c r="BF26" i="62"/>
  <c r="BE26" i="62"/>
  <c r="BD26" i="62"/>
  <c r="BL25" i="62"/>
  <c r="BK25" i="62"/>
  <c r="BJ25" i="62"/>
  <c r="BI25" i="62"/>
  <c r="BH25" i="62"/>
  <c r="BG25" i="62"/>
  <c r="BF25" i="62"/>
  <c r="BE25" i="62"/>
  <c r="BD25" i="62"/>
  <c r="M25" i="62"/>
  <c r="L25" i="62"/>
  <c r="K25" i="62"/>
  <c r="J25" i="62"/>
  <c r="I25" i="62"/>
  <c r="H25" i="62"/>
  <c r="G25" i="62"/>
  <c r="F25" i="62"/>
  <c r="BD24" i="62"/>
  <c r="BC24" i="62"/>
  <c r="BD23" i="62"/>
  <c r="BC23" i="62"/>
  <c r="BD22" i="62"/>
  <c r="M22" i="62"/>
  <c r="L22" i="62"/>
  <c r="K22" i="62"/>
  <c r="J22" i="62"/>
  <c r="I22" i="62"/>
  <c r="H22" i="62"/>
  <c r="G22" i="62"/>
  <c r="F22" i="62"/>
  <c r="BD21" i="62"/>
  <c r="BL20" i="62"/>
  <c r="BK20" i="62"/>
  <c r="BJ20" i="62"/>
  <c r="BI20" i="62"/>
  <c r="BH20" i="62"/>
  <c r="BG20" i="62"/>
  <c r="BF20" i="62"/>
  <c r="BE20" i="62"/>
  <c r="BD20" i="62"/>
  <c r="M20" i="62"/>
  <c r="L20" i="62"/>
  <c r="K20" i="62"/>
  <c r="J20" i="62"/>
  <c r="I20" i="62"/>
  <c r="H20" i="62"/>
  <c r="G20" i="62"/>
  <c r="F20" i="62"/>
  <c r="BL19" i="62"/>
  <c r="BK19" i="62"/>
  <c r="BJ19" i="62"/>
  <c r="BI19" i="62"/>
  <c r="BH19" i="62"/>
  <c r="BG19" i="62"/>
  <c r="BF19" i="62"/>
  <c r="BE19" i="62"/>
  <c r="BD19" i="62"/>
  <c r="BC19" i="62"/>
  <c r="BL18" i="62"/>
  <c r="BK18" i="62"/>
  <c r="BJ18" i="62"/>
  <c r="BI18" i="62"/>
  <c r="BH18" i="62"/>
  <c r="BG18" i="62"/>
  <c r="BF18" i="62"/>
  <c r="BE18" i="62"/>
  <c r="BD18" i="62"/>
  <c r="BC18" i="62"/>
  <c r="BL17" i="62"/>
  <c r="BK17" i="62"/>
  <c r="BJ17" i="62"/>
  <c r="BI17" i="62"/>
  <c r="BH17" i="62"/>
  <c r="BG17" i="62"/>
  <c r="BF17" i="62"/>
  <c r="BE17" i="62"/>
  <c r="BD17" i="62"/>
  <c r="M17" i="62"/>
  <c r="L17" i="62"/>
  <c r="K17" i="62"/>
  <c r="J17" i="62"/>
  <c r="I17" i="62"/>
  <c r="H17" i="62"/>
  <c r="G17" i="62"/>
  <c r="F17" i="62"/>
  <c r="BL16" i="62"/>
  <c r="BK16" i="62"/>
  <c r="BJ16" i="62"/>
  <c r="BI16" i="62"/>
  <c r="BH16" i="62"/>
  <c r="BG16" i="62"/>
  <c r="BF16" i="62"/>
  <c r="BE16" i="62"/>
  <c r="BD16" i="62"/>
  <c r="M16" i="62"/>
  <c r="BL21" i="62" s="1"/>
  <c r="L16" i="62"/>
  <c r="BK21" i="62" s="1"/>
  <c r="K16" i="62"/>
  <c r="BJ21" i="62" s="1"/>
  <c r="J16" i="62"/>
  <c r="BI21" i="62" s="1"/>
  <c r="I16" i="62"/>
  <c r="BH21" i="62" s="1"/>
  <c r="H16" i="62"/>
  <c r="BG21" i="62" s="1"/>
  <c r="G16" i="62"/>
  <c r="BF21" i="62" s="1"/>
  <c r="F16" i="62"/>
  <c r="BE21" i="62" s="1"/>
  <c r="BL15" i="62"/>
  <c r="BK15" i="62"/>
  <c r="BJ15" i="62"/>
  <c r="BI15" i="62"/>
  <c r="BH15" i="62"/>
  <c r="BG15" i="62"/>
  <c r="BF15" i="62"/>
  <c r="BE15" i="62"/>
  <c r="BD15" i="62"/>
  <c r="M15" i="62"/>
  <c r="L15" i="62"/>
  <c r="K15" i="62"/>
  <c r="J15" i="62"/>
  <c r="I15" i="62"/>
  <c r="H15" i="62"/>
  <c r="G15" i="62"/>
  <c r="F15" i="62"/>
  <c r="BL14" i="62"/>
  <c r="BK14" i="62"/>
  <c r="BJ14" i="62"/>
  <c r="BI14" i="62"/>
  <c r="BH14" i="62"/>
  <c r="BG14" i="62"/>
  <c r="BF14" i="62"/>
  <c r="BE14" i="62"/>
  <c r="BD14" i="62"/>
  <c r="BL13" i="62"/>
  <c r="BK13" i="62"/>
  <c r="BJ13" i="62"/>
  <c r="BI13" i="62"/>
  <c r="BH13" i="62"/>
  <c r="BG13" i="62"/>
  <c r="BF13" i="62"/>
  <c r="BE13" i="62"/>
  <c r="BD13" i="62"/>
  <c r="BL11" i="62"/>
  <c r="BK11" i="62"/>
  <c r="BJ11" i="62"/>
  <c r="BI11" i="62"/>
  <c r="BH11" i="62"/>
  <c r="BG11" i="62"/>
  <c r="BF11" i="62"/>
  <c r="BE11" i="62"/>
  <c r="N11" i="62"/>
  <c r="M11" i="62"/>
  <c r="L11" i="62"/>
  <c r="K11" i="62"/>
  <c r="J11" i="62"/>
  <c r="I11" i="62"/>
  <c r="H11" i="62"/>
  <c r="G11" i="62"/>
  <c r="F11" i="62"/>
  <c r="R8" i="62"/>
  <c r="BC52" i="62" l="1"/>
  <c r="BC165" i="62"/>
  <c r="BC185" i="62"/>
  <c r="BC106" i="62"/>
  <c r="BC138" i="62"/>
  <c r="BC79" i="62"/>
  <c r="N176" i="62"/>
  <c r="BC39" i="67"/>
  <c r="BC189" i="67"/>
  <c r="BC162" i="67"/>
  <c r="BC131" i="67"/>
  <c r="BC66" i="67"/>
  <c r="BC103" i="67"/>
  <c r="K31" i="69"/>
  <c r="BJ24" i="69" s="1"/>
  <c r="K203" i="69"/>
  <c r="BJ199" i="69" s="1"/>
  <c r="K213" i="69"/>
  <c r="BJ201" i="69" s="1"/>
  <c r="K198" i="69"/>
  <c r="BJ198" i="69" s="1"/>
  <c r="K108" i="69"/>
  <c r="BJ118" i="69" s="1"/>
  <c r="K188" i="69"/>
  <c r="BJ196" i="69" s="1"/>
  <c r="K208" i="69"/>
  <c r="BJ200" i="69" s="1"/>
  <c r="K75" i="69"/>
  <c r="BJ80" i="69" s="1"/>
  <c r="K90" i="69"/>
  <c r="BJ83" i="69" s="1"/>
  <c r="K43" i="69"/>
  <c r="BR48" i="69" s="1"/>
  <c r="K166" i="69"/>
  <c r="BJ170" i="69" s="1"/>
  <c r="K70" i="69"/>
  <c r="BJ79" i="69" s="1"/>
  <c r="K193" i="69"/>
  <c r="BJ197" i="69" s="1"/>
  <c r="K21" i="69"/>
  <c r="BJ22" i="69" s="1"/>
  <c r="K80" i="69"/>
  <c r="BJ81" i="69" s="1"/>
  <c r="K26" i="69"/>
  <c r="BJ23" i="69" s="1"/>
  <c r="K85" i="69"/>
  <c r="BJ82" i="69" s="1"/>
  <c r="K95" i="69"/>
  <c r="BJ84" i="69" s="1"/>
  <c r="L203" i="69"/>
  <c r="BK199" i="69" s="1"/>
  <c r="M213" i="69"/>
  <c r="BL201" i="69" s="1"/>
  <c r="L208" i="69"/>
  <c r="BK200" i="69" s="1"/>
  <c r="M90" i="69"/>
  <c r="BL83" i="69" s="1"/>
  <c r="L90" i="69"/>
  <c r="BK83" i="69" s="1"/>
  <c r="M188" i="69"/>
  <c r="BL196" i="69" s="1"/>
  <c r="M75" i="69"/>
  <c r="BL80" i="69" s="1"/>
  <c r="M161" i="69"/>
  <c r="BL169" i="69" s="1"/>
  <c r="M193" i="69"/>
  <c r="BL197" i="69" s="1"/>
  <c r="L21" i="69"/>
  <c r="BK22" i="69" s="1"/>
  <c r="M203" i="69"/>
  <c r="BL199" i="69" s="1"/>
  <c r="M166" i="69"/>
  <c r="BL170" i="69" s="1"/>
  <c r="M85" i="69"/>
  <c r="BL82" i="69" s="1"/>
  <c r="L108" i="69"/>
  <c r="BK118" i="69" s="1"/>
  <c r="L193" i="69"/>
  <c r="BK197" i="69" s="1"/>
  <c r="L198" i="69"/>
  <c r="BK198" i="69" s="1"/>
  <c r="L43" i="69"/>
  <c r="BS48" i="69" s="1"/>
  <c r="L188" i="69"/>
  <c r="BK196" i="69" s="1"/>
  <c r="L166" i="69"/>
  <c r="BK170" i="69" s="1"/>
  <c r="M43" i="69"/>
  <c r="BT48" i="69" s="1"/>
  <c r="L85" i="69"/>
  <c r="BK82" i="69" s="1"/>
  <c r="M31" i="69"/>
  <c r="BL24" i="69" s="1"/>
  <c r="M95" i="69"/>
  <c r="BL84" i="69" s="1"/>
  <c r="L213" i="69"/>
  <c r="BK201" i="69" s="1"/>
  <c r="L26" i="69"/>
  <c r="BK23" i="69" s="1"/>
  <c r="M70" i="69"/>
  <c r="BL79" i="69" s="1"/>
  <c r="M80" i="69"/>
  <c r="BL81" i="69" s="1"/>
  <c r="L31" i="69"/>
  <c r="BK24" i="69" s="1"/>
  <c r="L70" i="69"/>
  <c r="BK79" i="69" s="1"/>
  <c r="M26" i="69"/>
  <c r="BL23" i="69" s="1"/>
  <c r="M198" i="69"/>
  <c r="BL198" i="69" s="1"/>
  <c r="L95" i="69"/>
  <c r="BK84" i="69" s="1"/>
  <c r="L75" i="69"/>
  <c r="BK80" i="69" s="1"/>
  <c r="M21" i="69"/>
  <c r="BL22" i="69" s="1"/>
  <c r="M108" i="69"/>
  <c r="BL118" i="69" s="1"/>
  <c r="L80" i="69"/>
  <c r="BK81" i="69" s="1"/>
  <c r="S181" i="69"/>
  <c r="P100" i="68"/>
  <c r="S181" i="68"/>
  <c r="P154" i="68"/>
  <c r="P8" i="68"/>
  <c r="P181" i="68"/>
  <c r="P63" i="68"/>
  <c r="K85" i="64"/>
  <c r="BJ82" i="64" s="1"/>
  <c r="N68" i="62"/>
  <c r="N139" i="62"/>
  <c r="N166" i="62"/>
  <c r="K26" i="64"/>
  <c r="BJ23" i="64" s="1"/>
  <c r="J31" i="64"/>
  <c r="BI24" i="64" s="1"/>
  <c r="J70" i="67"/>
  <c r="BI79" i="67" s="1"/>
  <c r="J31" i="67"/>
  <c r="BI24" i="67" s="1"/>
  <c r="J85" i="67"/>
  <c r="BI82" i="67" s="1"/>
  <c r="L6" i="67"/>
  <c r="L108" i="67" s="1"/>
  <c r="BT118" i="67" s="1"/>
  <c r="M108" i="47"/>
  <c r="BU118" i="47" s="1"/>
  <c r="L95" i="67"/>
  <c r="BK84" i="67" s="1"/>
  <c r="M21" i="67"/>
  <c r="BL22" i="67" s="1"/>
  <c r="M31" i="67"/>
  <c r="BL24" i="67" s="1"/>
  <c r="M80" i="67"/>
  <c r="M75" i="67"/>
  <c r="M95" i="67"/>
  <c r="M90" i="67"/>
  <c r="BC90" i="67" s="1"/>
  <c r="M85" i="67"/>
  <c r="L80" i="67"/>
  <c r="BK81" i="67" s="1"/>
  <c r="L85" i="67"/>
  <c r="BK82" i="67" s="1"/>
  <c r="L26" i="67"/>
  <c r="BK23" i="67" s="1"/>
  <c r="L75" i="67"/>
  <c r="BK80" i="67" s="1"/>
  <c r="L21" i="67"/>
  <c r="BK22" i="67" s="1"/>
  <c r="L31" i="67"/>
  <c r="BK24" i="67" s="1"/>
  <c r="L70" i="67"/>
  <c r="BK79" i="67" s="1"/>
  <c r="M26" i="67"/>
  <c r="BL23" i="67" s="1"/>
  <c r="BE82" i="67"/>
  <c r="BE81" i="67"/>
  <c r="BE84" i="67"/>
  <c r="BE80" i="67"/>
  <c r="BE79" i="67"/>
  <c r="D89" i="67"/>
  <c r="BE83" i="67"/>
  <c r="BN118" i="67"/>
  <c r="BE23" i="67"/>
  <c r="J134" i="64"/>
  <c r="BI142" i="64" s="1"/>
  <c r="H31" i="64"/>
  <c r="BG24" i="64" s="1"/>
  <c r="K75" i="64"/>
  <c r="BJ80" i="64" s="1"/>
  <c r="F21" i="64"/>
  <c r="BE22" i="64" s="1"/>
  <c r="F43" i="64"/>
  <c r="BE54" i="64" s="1"/>
  <c r="F26" i="64"/>
  <c r="BE23" i="64" s="1"/>
  <c r="J70" i="64"/>
  <c r="BI79" i="64" s="1"/>
  <c r="F95" i="64"/>
  <c r="BE84" i="64" s="1"/>
  <c r="G43" i="63"/>
  <c r="BF54" i="63" s="1"/>
  <c r="G85" i="64"/>
  <c r="BF82" i="64" s="1"/>
  <c r="H26" i="64"/>
  <c r="BG23" i="64" s="1"/>
  <c r="G75" i="64"/>
  <c r="BF80" i="64" s="1"/>
  <c r="G21" i="64"/>
  <c r="BF22" i="64" s="1"/>
  <c r="G134" i="64"/>
  <c r="BF142" i="64" s="1"/>
  <c r="G80" i="64"/>
  <c r="BF81" i="64" s="1"/>
  <c r="K43" i="64"/>
  <c r="BJ54" i="64" s="1"/>
  <c r="K21" i="64"/>
  <c r="BJ22" i="64" s="1"/>
  <c r="H90" i="64"/>
  <c r="BG83" i="64" s="1"/>
  <c r="H70" i="64"/>
  <c r="BG79" i="64" s="1"/>
  <c r="G95" i="64"/>
  <c r="BF84" i="64" s="1"/>
  <c r="G90" i="64"/>
  <c r="BF83" i="64" s="1"/>
  <c r="J43" i="64"/>
  <c r="BI54" i="64" s="1"/>
  <c r="G26" i="64"/>
  <c r="BF23" i="64" s="1"/>
  <c r="J75" i="64"/>
  <c r="BI80" i="64" s="1"/>
  <c r="G31" i="64"/>
  <c r="BF24" i="64" s="1"/>
  <c r="G43" i="64"/>
  <c r="BF54" i="64" s="1"/>
  <c r="I26" i="63"/>
  <c r="BH23" i="63" s="1"/>
  <c r="I5" i="64"/>
  <c r="L134" i="64"/>
  <c r="BK142" i="64" s="1"/>
  <c r="L85" i="64"/>
  <c r="BK82" i="64" s="1"/>
  <c r="M43" i="64"/>
  <c r="BL54" i="64" s="1"/>
  <c r="L75" i="64"/>
  <c r="BK80" i="64" s="1"/>
  <c r="F70" i="64"/>
  <c r="BE79" i="64" s="1"/>
  <c r="L43" i="64"/>
  <c r="BK54" i="64" s="1"/>
  <c r="J26" i="64"/>
  <c r="BI23" i="64" s="1"/>
  <c r="M26" i="64"/>
  <c r="BL23" i="64" s="1"/>
  <c r="L70" i="64"/>
  <c r="BK79" i="64" s="1"/>
  <c r="K95" i="64"/>
  <c r="BJ84" i="64" s="1"/>
  <c r="M31" i="64"/>
  <c r="BL24" i="64" s="1"/>
  <c r="J21" i="64"/>
  <c r="BI22" i="64" s="1"/>
  <c r="F90" i="64"/>
  <c r="BE83" i="64" s="1"/>
  <c r="L80" i="64"/>
  <c r="BK81" i="64" s="1"/>
  <c r="J95" i="64"/>
  <c r="BI84" i="64" s="1"/>
  <c r="F134" i="64"/>
  <c r="BE142" i="64" s="1"/>
  <c r="J85" i="64"/>
  <c r="BI82" i="64" s="1"/>
  <c r="F75" i="64"/>
  <c r="BE80" i="64" s="1"/>
  <c r="H80" i="64"/>
  <c r="BG81" i="64" s="1"/>
  <c r="L95" i="64"/>
  <c r="BK84" i="64" s="1"/>
  <c r="K31" i="64"/>
  <c r="BJ24" i="64" s="1"/>
  <c r="L90" i="64"/>
  <c r="BK83" i="64" s="1"/>
  <c r="M134" i="64"/>
  <c r="BL142" i="64" s="1"/>
  <c r="M85" i="64"/>
  <c r="BL82" i="64" s="1"/>
  <c r="M70" i="64"/>
  <c r="BL79" i="64" s="1"/>
  <c r="L43" i="63"/>
  <c r="BK54" i="63" s="1"/>
  <c r="K80" i="64"/>
  <c r="BJ81" i="64" s="1"/>
  <c r="M80" i="64"/>
  <c r="BL81" i="64" s="1"/>
  <c r="L26" i="64"/>
  <c r="BK23" i="64" s="1"/>
  <c r="K70" i="64"/>
  <c r="BJ79" i="64" s="1"/>
  <c r="L31" i="64"/>
  <c r="BK24" i="64" s="1"/>
  <c r="F43" i="63"/>
  <c r="BE54" i="63" s="1"/>
  <c r="H21" i="64"/>
  <c r="BG22" i="64" s="1"/>
  <c r="H75" i="64"/>
  <c r="BG80" i="64" s="1"/>
  <c r="H134" i="64"/>
  <c r="BG142" i="64" s="1"/>
  <c r="M95" i="64"/>
  <c r="BL84" i="64" s="1"/>
  <c r="M90" i="64"/>
  <c r="BL83" i="64" s="1"/>
  <c r="H43" i="64"/>
  <c r="BG54" i="64" s="1"/>
  <c r="F80" i="64"/>
  <c r="BE81" i="64" s="1"/>
  <c r="M21" i="64"/>
  <c r="BL22" i="64" s="1"/>
  <c r="F31" i="64"/>
  <c r="BE24" i="64" s="1"/>
  <c r="J90" i="64"/>
  <c r="BI83" i="64" s="1"/>
  <c r="K134" i="64"/>
  <c r="BJ142" i="64" s="1"/>
  <c r="H95" i="64"/>
  <c r="BG84" i="64" s="1"/>
  <c r="BC103" i="62"/>
  <c r="G85" i="63"/>
  <c r="BF82" i="63" s="1"/>
  <c r="P127" i="63"/>
  <c r="P36" i="63"/>
  <c r="K134" i="63"/>
  <c r="BJ142" i="63" s="1"/>
  <c r="J43" i="63"/>
  <c r="BI54" i="63" s="1"/>
  <c r="K43" i="63"/>
  <c r="BJ54" i="63" s="1"/>
  <c r="BC103" i="63"/>
  <c r="M43" i="63"/>
  <c r="BL54" i="63" s="1"/>
  <c r="BC39" i="63"/>
  <c r="BC42" i="63"/>
  <c r="BC130" i="63"/>
  <c r="H43" i="63"/>
  <c r="BG54" i="63" s="1"/>
  <c r="I43" i="63"/>
  <c r="BH54" i="63" s="1"/>
  <c r="BC44" i="63"/>
  <c r="J80" i="63"/>
  <c r="BI81" i="63" s="1"/>
  <c r="F95" i="63"/>
  <c r="BE84" i="63" s="1"/>
  <c r="L95" i="63"/>
  <c r="BK84" i="63" s="1"/>
  <c r="BF143" i="63"/>
  <c r="BC76" i="63"/>
  <c r="I80" i="63"/>
  <c r="BH81" i="63" s="1"/>
  <c r="L90" i="63"/>
  <c r="BK83" i="63" s="1"/>
  <c r="G31" i="63"/>
  <c r="BF24" i="63" s="1"/>
  <c r="K95" i="63"/>
  <c r="BJ84" i="63" s="1"/>
  <c r="L26" i="63"/>
  <c r="BK23" i="63" s="1"/>
  <c r="K80" i="63"/>
  <c r="BJ81" i="63" s="1"/>
  <c r="M31" i="63"/>
  <c r="BL24" i="63" s="1"/>
  <c r="M21" i="63"/>
  <c r="BL22" i="63" s="1"/>
  <c r="BE143" i="63"/>
  <c r="G21" i="63"/>
  <c r="BF22" i="63" s="1"/>
  <c r="F26" i="63"/>
  <c r="BE23" i="63" s="1"/>
  <c r="K75" i="63"/>
  <c r="BJ80" i="63" s="1"/>
  <c r="G134" i="63"/>
  <c r="BF142" i="63" s="1"/>
  <c r="I90" i="63"/>
  <c r="BH83" i="63" s="1"/>
  <c r="F21" i="63"/>
  <c r="BE22" i="63" s="1"/>
  <c r="M26" i="63"/>
  <c r="BL23" i="63" s="1"/>
  <c r="L75" i="63"/>
  <c r="BK80" i="63" s="1"/>
  <c r="F70" i="63"/>
  <c r="BE79" i="63" s="1"/>
  <c r="BC81" i="63"/>
  <c r="J21" i="63"/>
  <c r="BI22" i="63" s="1"/>
  <c r="J26" i="63"/>
  <c r="BI23" i="63" s="1"/>
  <c r="BC27" i="63"/>
  <c r="J70" i="63"/>
  <c r="BI79" i="63" s="1"/>
  <c r="BC71" i="63"/>
  <c r="G80" i="63"/>
  <c r="BF81" i="63" s="1"/>
  <c r="M80" i="63"/>
  <c r="BL81" i="63" s="1"/>
  <c r="G90" i="63"/>
  <c r="BF83" i="63" s="1"/>
  <c r="G95" i="63"/>
  <c r="BF84" i="63" s="1"/>
  <c r="I95" i="63"/>
  <c r="BH84" i="63" s="1"/>
  <c r="I21" i="63"/>
  <c r="BH22" i="63" s="1"/>
  <c r="I31" i="63"/>
  <c r="BH24" i="63" s="1"/>
  <c r="BC32" i="63"/>
  <c r="I70" i="63"/>
  <c r="BH79" i="63" s="1"/>
  <c r="I75" i="63"/>
  <c r="BH80" i="63" s="1"/>
  <c r="J134" i="63"/>
  <c r="BI142" i="63" s="1"/>
  <c r="K26" i="63"/>
  <c r="BJ23" i="63" s="1"/>
  <c r="K31" i="63"/>
  <c r="BJ24" i="63" s="1"/>
  <c r="J75" i="63"/>
  <c r="BI80" i="63" s="1"/>
  <c r="H80" i="63"/>
  <c r="BG81" i="63" s="1"/>
  <c r="BC86" i="63"/>
  <c r="K90" i="63"/>
  <c r="BJ83" i="63" s="1"/>
  <c r="H95" i="63"/>
  <c r="BG84" i="63" s="1"/>
  <c r="J95" i="63"/>
  <c r="BI84" i="63" s="1"/>
  <c r="L134" i="63"/>
  <c r="BK142" i="63" s="1"/>
  <c r="BK143" i="63"/>
  <c r="P100" i="63"/>
  <c r="M134" i="63"/>
  <c r="BL142" i="63" s="1"/>
  <c r="K21" i="63"/>
  <c r="BJ22" i="63" s="1"/>
  <c r="G26" i="63"/>
  <c r="BF23" i="63" s="1"/>
  <c r="H26" i="63"/>
  <c r="BG23" i="63" s="1"/>
  <c r="J31" i="63"/>
  <c r="BI24" i="63" s="1"/>
  <c r="G70" i="63"/>
  <c r="BF79" i="63" s="1"/>
  <c r="K70" i="63"/>
  <c r="BJ79" i="63" s="1"/>
  <c r="F75" i="63"/>
  <c r="L80" i="63"/>
  <c r="BK81" i="63" s="1"/>
  <c r="I85" i="63"/>
  <c r="BH82" i="63" s="1"/>
  <c r="BC91" i="63"/>
  <c r="BC108" i="63"/>
  <c r="BJ143" i="63"/>
  <c r="BC22" i="63"/>
  <c r="M75" i="63"/>
  <c r="BL80" i="63" s="1"/>
  <c r="BC96" i="63"/>
  <c r="BI143" i="63"/>
  <c r="H21" i="63"/>
  <c r="BG22" i="63" s="1"/>
  <c r="L21" i="63"/>
  <c r="BK22" i="63" s="1"/>
  <c r="H31" i="63"/>
  <c r="BG24" i="63" s="1"/>
  <c r="L31" i="63"/>
  <c r="BK24" i="63" s="1"/>
  <c r="H70" i="63"/>
  <c r="BG79" i="63" s="1"/>
  <c r="L70" i="63"/>
  <c r="BK79" i="63" s="1"/>
  <c r="G75" i="63"/>
  <c r="BF80" i="63" s="1"/>
  <c r="H75" i="63"/>
  <c r="BG80" i="63" s="1"/>
  <c r="K85" i="63"/>
  <c r="BJ82" i="63" s="1"/>
  <c r="J85" i="63"/>
  <c r="BI82" i="63" s="1"/>
  <c r="I134" i="63"/>
  <c r="BH142" i="63" s="1"/>
  <c r="BC135" i="63"/>
  <c r="BH143" i="63"/>
  <c r="BC79" i="63"/>
  <c r="BC140" i="63"/>
  <c r="BC106" i="63"/>
  <c r="D15" i="63"/>
  <c r="BC30" i="63"/>
  <c r="L85" i="63"/>
  <c r="BK82" i="63" s="1"/>
  <c r="BC84" i="63"/>
  <c r="M90" i="63"/>
  <c r="BL83" i="63" s="1"/>
  <c r="M95" i="63"/>
  <c r="BL84" i="63" s="1"/>
  <c r="D106" i="63"/>
  <c r="BC66" i="63"/>
  <c r="BC17" i="63"/>
  <c r="M70" i="63"/>
  <c r="BL79" i="63" s="1"/>
  <c r="M85" i="63"/>
  <c r="BL82" i="63" s="1"/>
  <c r="F90" i="63"/>
  <c r="BC89" i="63"/>
  <c r="BC107" i="63"/>
  <c r="BC133" i="63"/>
  <c r="BC20" i="63"/>
  <c r="BC69" i="63"/>
  <c r="F80" i="63"/>
  <c r="F134" i="63"/>
  <c r="H134" i="63"/>
  <c r="BG142" i="63" s="1"/>
  <c r="BC138" i="63"/>
  <c r="BC25" i="63"/>
  <c r="BC74" i="63"/>
  <c r="BC94" i="63"/>
  <c r="BE21" i="63"/>
  <c r="F85" i="63"/>
  <c r="H90" i="63"/>
  <c r="BG83" i="63" s="1"/>
  <c r="BG143" i="63"/>
  <c r="F31" i="63"/>
  <c r="H85" i="63"/>
  <c r="BG82" i="63" s="1"/>
  <c r="J90" i="63"/>
  <c r="BI83" i="63" s="1"/>
  <c r="BC27" i="62"/>
  <c r="N80" i="62"/>
  <c r="BC182" i="62"/>
  <c r="N186" i="62"/>
  <c r="BC64" i="62"/>
  <c r="N134" i="62"/>
  <c r="N58" i="62"/>
  <c r="N63" i="62"/>
  <c r="N161" i="62"/>
  <c r="N181" i="62"/>
  <c r="N171" i="62"/>
  <c r="BC69" i="62"/>
  <c r="BC135" i="62"/>
  <c r="BC81" i="62"/>
  <c r="BC177" i="62"/>
  <c r="BC140" i="62"/>
  <c r="BC32" i="62"/>
  <c r="BC54" i="62"/>
  <c r="BC172" i="62"/>
  <c r="BC187" i="62"/>
  <c r="BC44" i="62"/>
  <c r="BC49" i="62"/>
  <c r="P73" i="62"/>
  <c r="BD156" i="62"/>
  <c r="BD129" i="62"/>
  <c r="BD82" i="62"/>
  <c r="BD108" i="62"/>
  <c r="BD39" i="62"/>
  <c r="BC62" i="62"/>
  <c r="BD12" i="62"/>
  <c r="BC76" i="62"/>
  <c r="BC59" i="62"/>
  <c r="D106" i="62"/>
  <c r="BC133" i="62"/>
  <c r="BC160" i="62"/>
  <c r="BC162" i="62"/>
  <c r="BC67" i="62"/>
  <c r="BC22" i="62"/>
  <c r="D15" i="62"/>
  <c r="BC107" i="62"/>
  <c r="BC167" i="62"/>
  <c r="BC25" i="62"/>
  <c r="BC39" i="62"/>
  <c r="BC47" i="62"/>
  <c r="BC130" i="62"/>
  <c r="BC157" i="62"/>
  <c r="BC170" i="62"/>
  <c r="BC17" i="62"/>
  <c r="P100" i="62"/>
  <c r="BC20" i="62"/>
  <c r="BC42" i="62"/>
  <c r="BC180" i="62"/>
  <c r="BC108" i="62"/>
  <c r="BC57" i="62"/>
  <c r="BC175" i="62"/>
  <c r="BC30" i="62"/>
  <c r="P100" i="69" l="1"/>
  <c r="P63" i="69"/>
  <c r="P154" i="69"/>
  <c r="P8" i="69"/>
  <c r="P181" i="69"/>
  <c r="P100" i="67"/>
  <c r="BC108" i="67"/>
  <c r="D107" i="67"/>
  <c r="D94" i="67"/>
  <c r="BC95" i="67"/>
  <c r="BC21" i="67"/>
  <c r="BC80" i="67"/>
  <c r="D79" i="67"/>
  <c r="P8" i="67"/>
  <c r="D25" i="67"/>
  <c r="BC26" i="67"/>
  <c r="BC31" i="67"/>
  <c r="D20" i="67"/>
  <c r="D84" i="67"/>
  <c r="BC85" i="67"/>
  <c r="BC75" i="67"/>
  <c r="D74" i="67"/>
  <c r="D30" i="67"/>
  <c r="P63" i="67"/>
  <c r="BC70" i="67"/>
  <c r="D69" i="67"/>
  <c r="D133" i="63"/>
  <c r="I43" i="64"/>
  <c r="BH54" i="64" s="1"/>
  <c r="I70" i="64"/>
  <c r="BH79" i="64" s="1"/>
  <c r="I85" i="64"/>
  <c r="I75" i="64"/>
  <c r="D74" i="64" s="1"/>
  <c r="I26" i="64"/>
  <c r="I95" i="64"/>
  <c r="BH84" i="64" s="1"/>
  <c r="I134" i="64"/>
  <c r="I21" i="64"/>
  <c r="I31" i="64"/>
  <c r="I80" i="64"/>
  <c r="BC80" i="64" s="1"/>
  <c r="I90" i="64"/>
  <c r="BC90" i="64" s="1"/>
  <c r="D42" i="63"/>
  <c r="BC43" i="63"/>
  <c r="P8" i="63"/>
  <c r="P63" i="63"/>
  <c r="BC75" i="63"/>
  <c r="BE80" i="63"/>
  <c r="BC21" i="63"/>
  <c r="D74" i="63"/>
  <c r="D20" i="63"/>
  <c r="BC139" i="63"/>
  <c r="D25" i="63"/>
  <c r="D69" i="63"/>
  <c r="BC70" i="63"/>
  <c r="BC26" i="63"/>
  <c r="D89" i="63"/>
  <c r="BC90" i="63"/>
  <c r="BE83" i="63"/>
  <c r="BE142" i="63"/>
  <c r="BC134" i="63"/>
  <c r="BE81" i="63"/>
  <c r="D79" i="63"/>
  <c r="BC80" i="63"/>
  <c r="D94" i="63"/>
  <c r="BC31" i="63"/>
  <c r="D30" i="63"/>
  <c r="BE24" i="63"/>
  <c r="BE82" i="63"/>
  <c r="BC85" i="63"/>
  <c r="D84" i="63"/>
  <c r="BC95" i="63"/>
  <c r="BC70" i="64" l="1"/>
  <c r="D94" i="64"/>
  <c r="D69" i="64"/>
  <c r="BC95" i="64"/>
  <c r="BH24" i="64"/>
  <c r="BC31" i="64"/>
  <c r="D30" i="64"/>
  <c r="BH22" i="64"/>
  <c r="D20" i="64"/>
  <c r="P8" i="64"/>
  <c r="BC21" i="64"/>
  <c r="BH142" i="64"/>
  <c r="BC134" i="64"/>
  <c r="D133" i="64"/>
  <c r="D42" i="64"/>
  <c r="BC43" i="64"/>
  <c r="BH23" i="64"/>
  <c r="D25" i="64"/>
  <c r="BC26" i="64"/>
  <c r="BH80" i="64"/>
  <c r="P63" i="64"/>
  <c r="BH83" i="64"/>
  <c r="D89" i="64"/>
  <c r="BH82" i="64"/>
  <c r="BC85" i="64"/>
  <c r="D84" i="64"/>
  <c r="BC75" i="64"/>
  <c r="BH81" i="64"/>
  <c r="D79" i="64"/>
  <c r="N187" i="61"/>
  <c r="M187" i="61"/>
  <c r="L187" i="61"/>
  <c r="K187" i="61"/>
  <c r="J187" i="61"/>
  <c r="I187" i="61"/>
  <c r="H187" i="61"/>
  <c r="G187" i="61"/>
  <c r="F187" i="61"/>
  <c r="N185" i="61"/>
  <c r="N186" i="61" s="1"/>
  <c r="M185" i="61"/>
  <c r="L185" i="61"/>
  <c r="K185" i="61"/>
  <c r="J185" i="61"/>
  <c r="I185" i="61"/>
  <c r="H185" i="61"/>
  <c r="G185" i="61"/>
  <c r="F185" i="61"/>
  <c r="BC184" i="61"/>
  <c r="BC183" i="61"/>
  <c r="N182" i="61"/>
  <c r="M182" i="61"/>
  <c r="L182" i="61"/>
  <c r="K182" i="61"/>
  <c r="J182" i="61"/>
  <c r="I182" i="61"/>
  <c r="H182" i="61"/>
  <c r="G182" i="61"/>
  <c r="F182" i="61"/>
  <c r="BL180" i="61"/>
  <c r="BK180" i="61"/>
  <c r="BJ180" i="61"/>
  <c r="BI180" i="61"/>
  <c r="BH180" i="61"/>
  <c r="BG180" i="61"/>
  <c r="BF180" i="61"/>
  <c r="BE180" i="61"/>
  <c r="BD180" i="61"/>
  <c r="N180" i="61"/>
  <c r="N181" i="61" s="1"/>
  <c r="M180" i="61"/>
  <c r="L180" i="61"/>
  <c r="K180" i="61"/>
  <c r="BC180" i="61" s="1"/>
  <c r="J180" i="61"/>
  <c r="I180" i="61"/>
  <c r="H180" i="61"/>
  <c r="G180" i="61"/>
  <c r="F180" i="61"/>
  <c r="BL179" i="61"/>
  <c r="BK179" i="61"/>
  <c r="BJ179" i="61"/>
  <c r="BI179" i="61"/>
  <c r="BH179" i="61"/>
  <c r="BG179" i="61"/>
  <c r="BF179" i="61"/>
  <c r="BE179" i="61"/>
  <c r="BD179" i="61"/>
  <c r="BC179" i="61"/>
  <c r="BL178" i="61"/>
  <c r="BK178" i="61"/>
  <c r="BJ178" i="61"/>
  <c r="BI178" i="61"/>
  <c r="BH178" i="61"/>
  <c r="BG178" i="61"/>
  <c r="BF178" i="61"/>
  <c r="BE178" i="61"/>
  <c r="BD178" i="61"/>
  <c r="BC178" i="61"/>
  <c r="BL177" i="61"/>
  <c r="BK177" i="61"/>
  <c r="BJ177" i="61"/>
  <c r="BI177" i="61"/>
  <c r="BH177" i="61"/>
  <c r="BG177" i="61"/>
  <c r="BF177" i="61"/>
  <c r="BE177" i="61"/>
  <c r="BD177" i="61"/>
  <c r="N177" i="61"/>
  <c r="M177" i="61"/>
  <c r="L177" i="61"/>
  <c r="K177" i="61"/>
  <c r="J177" i="61"/>
  <c r="I177" i="61"/>
  <c r="H177" i="61"/>
  <c r="G177" i="61"/>
  <c r="F177" i="61"/>
  <c r="BL176" i="61"/>
  <c r="BK176" i="61"/>
  <c r="BJ176" i="61"/>
  <c r="BI176" i="61"/>
  <c r="BH176" i="61"/>
  <c r="BG176" i="61"/>
  <c r="BF176" i="61"/>
  <c r="BE176" i="61"/>
  <c r="BD176" i="61"/>
  <c r="N176" i="61"/>
  <c r="BL175" i="61"/>
  <c r="BK175" i="61"/>
  <c r="BJ175" i="61"/>
  <c r="BI175" i="61"/>
  <c r="BH175" i="61"/>
  <c r="BG175" i="61"/>
  <c r="BF175" i="61"/>
  <c r="BE175" i="61"/>
  <c r="BD175" i="61"/>
  <c r="N175" i="61"/>
  <c r="M175" i="61"/>
  <c r="L175" i="61"/>
  <c r="K175" i="61"/>
  <c r="J175" i="61"/>
  <c r="I175" i="61"/>
  <c r="H175" i="61"/>
  <c r="G175" i="61"/>
  <c r="F175" i="61"/>
  <c r="BD174" i="61"/>
  <c r="BC174" i="61"/>
  <c r="BD173" i="61"/>
  <c r="BC173" i="61"/>
  <c r="BD172" i="61"/>
  <c r="N172" i="61"/>
  <c r="M172" i="61"/>
  <c r="L172" i="61"/>
  <c r="K172" i="61"/>
  <c r="J172" i="61"/>
  <c r="I172" i="61"/>
  <c r="H172" i="61"/>
  <c r="G172" i="61"/>
  <c r="F172" i="61"/>
  <c r="BD171" i="61"/>
  <c r="M171" i="61"/>
  <c r="BL171" i="61" s="1"/>
  <c r="BD170" i="61"/>
  <c r="N170" i="61"/>
  <c r="N171" i="61" s="1"/>
  <c r="M170" i="61"/>
  <c r="L170" i="61"/>
  <c r="K170" i="61"/>
  <c r="J170" i="61"/>
  <c r="I170" i="61"/>
  <c r="H170" i="61"/>
  <c r="G170" i="61"/>
  <c r="F170" i="61"/>
  <c r="BD169" i="61"/>
  <c r="BC169" i="61"/>
  <c r="BL168" i="61"/>
  <c r="BK168" i="61"/>
  <c r="BJ168" i="61"/>
  <c r="BI168" i="61"/>
  <c r="BH168" i="61"/>
  <c r="BG168" i="61"/>
  <c r="BF168" i="61"/>
  <c r="BE168" i="61"/>
  <c r="BD168" i="61"/>
  <c r="BC168" i="61"/>
  <c r="BL167" i="61"/>
  <c r="BK167" i="61"/>
  <c r="BJ167" i="61"/>
  <c r="BI167" i="61"/>
  <c r="BH167" i="61"/>
  <c r="BG167" i="61"/>
  <c r="BF167" i="61"/>
  <c r="BE167" i="61"/>
  <c r="BD167" i="61"/>
  <c r="N167" i="61"/>
  <c r="M167" i="61"/>
  <c r="L167" i="61"/>
  <c r="K167" i="61"/>
  <c r="J167" i="61"/>
  <c r="I167" i="61"/>
  <c r="H167" i="61"/>
  <c r="G167" i="61"/>
  <c r="F167" i="61"/>
  <c r="BL166" i="61"/>
  <c r="BK166" i="61"/>
  <c r="BJ166" i="61"/>
  <c r="BI166" i="61"/>
  <c r="BH166" i="61"/>
  <c r="BG166" i="61"/>
  <c r="BF166" i="61"/>
  <c r="BE166" i="61"/>
  <c r="BD166" i="61"/>
  <c r="BL165" i="61"/>
  <c r="BK165" i="61"/>
  <c r="BJ165" i="61"/>
  <c r="BI165" i="61"/>
  <c r="BH165" i="61"/>
  <c r="BG165" i="61"/>
  <c r="BF165" i="61"/>
  <c r="BE165" i="61"/>
  <c r="BD165" i="61"/>
  <c r="N165" i="61"/>
  <c r="N166" i="61" s="1"/>
  <c r="M165" i="61"/>
  <c r="L165" i="61"/>
  <c r="K165" i="61"/>
  <c r="J165" i="61"/>
  <c r="I165" i="61"/>
  <c r="H165" i="61"/>
  <c r="G165" i="61"/>
  <c r="F165" i="61"/>
  <c r="BL164" i="61"/>
  <c r="BK164" i="61"/>
  <c r="BJ164" i="61"/>
  <c r="BI164" i="61"/>
  <c r="BH164" i="61"/>
  <c r="BG164" i="61"/>
  <c r="BF164" i="61"/>
  <c r="BE164" i="61"/>
  <c r="BD164" i="61"/>
  <c r="BC164" i="61"/>
  <c r="BL163" i="61"/>
  <c r="BK163" i="61"/>
  <c r="BJ163" i="61"/>
  <c r="BI163" i="61"/>
  <c r="BH163" i="61"/>
  <c r="BG163" i="61"/>
  <c r="BF163" i="61"/>
  <c r="BE163" i="61"/>
  <c r="BD163" i="61"/>
  <c r="BC163" i="61"/>
  <c r="BL162" i="61"/>
  <c r="BK162" i="61"/>
  <c r="BJ162" i="61"/>
  <c r="BI162" i="61"/>
  <c r="BH162" i="61"/>
  <c r="BG162" i="61"/>
  <c r="BF162" i="61"/>
  <c r="BE162" i="61"/>
  <c r="BD162" i="61"/>
  <c r="N162" i="61"/>
  <c r="M162" i="61"/>
  <c r="L162" i="61"/>
  <c r="K162" i="61"/>
  <c r="J162" i="61"/>
  <c r="I162" i="61"/>
  <c r="H162" i="61"/>
  <c r="G162" i="61"/>
  <c r="F162" i="61"/>
  <c r="BL161" i="61"/>
  <c r="BK161" i="61"/>
  <c r="BJ161" i="61"/>
  <c r="BI161" i="61"/>
  <c r="BH161" i="61"/>
  <c r="BG161" i="61"/>
  <c r="BF161" i="61"/>
  <c r="BE161" i="61"/>
  <c r="BD161" i="61"/>
  <c r="BL160" i="61"/>
  <c r="BK160" i="61"/>
  <c r="BJ160" i="61"/>
  <c r="BI160" i="61"/>
  <c r="BH160" i="61"/>
  <c r="BG160" i="61"/>
  <c r="BF160" i="61"/>
  <c r="BE160" i="61"/>
  <c r="BD160" i="61"/>
  <c r="N160" i="61"/>
  <c r="N161" i="61" s="1"/>
  <c r="M160" i="61"/>
  <c r="L160" i="61"/>
  <c r="K160" i="61"/>
  <c r="J160" i="61"/>
  <c r="I160" i="61"/>
  <c r="H160" i="61"/>
  <c r="G160" i="61"/>
  <c r="F160" i="61"/>
  <c r="BL159" i="61"/>
  <c r="BK159" i="61"/>
  <c r="BJ159" i="61"/>
  <c r="BI159" i="61"/>
  <c r="BH159" i="61"/>
  <c r="BG159" i="61"/>
  <c r="BF159" i="61"/>
  <c r="BE159" i="61"/>
  <c r="BD159" i="61"/>
  <c r="BC159" i="61"/>
  <c r="BL158" i="61"/>
  <c r="BK158" i="61"/>
  <c r="BJ158" i="61"/>
  <c r="BI158" i="61"/>
  <c r="BH158" i="61"/>
  <c r="BG158" i="61"/>
  <c r="BF158" i="61"/>
  <c r="BE158" i="61"/>
  <c r="BD158" i="61"/>
  <c r="BC158" i="61"/>
  <c r="BL157" i="61"/>
  <c r="BK157" i="61"/>
  <c r="BJ157" i="61"/>
  <c r="BI157" i="61"/>
  <c r="BH157" i="61"/>
  <c r="BG157" i="61"/>
  <c r="BF157" i="61"/>
  <c r="BE157" i="61"/>
  <c r="BD157" i="61"/>
  <c r="N157" i="61"/>
  <c r="M157" i="61"/>
  <c r="L157" i="61"/>
  <c r="K157" i="61"/>
  <c r="J157" i="61"/>
  <c r="I157" i="61"/>
  <c r="H157" i="61"/>
  <c r="G157" i="61"/>
  <c r="F157" i="61"/>
  <c r="BD156" i="61"/>
  <c r="BC156" i="61"/>
  <c r="BL155" i="61"/>
  <c r="BK155" i="61"/>
  <c r="BJ155" i="61"/>
  <c r="BI155" i="61"/>
  <c r="BH155" i="61"/>
  <c r="BG155" i="61"/>
  <c r="BF155" i="61"/>
  <c r="BE155" i="61"/>
  <c r="BC155" i="61"/>
  <c r="BC154" i="61"/>
  <c r="R154" i="61"/>
  <c r="BC153" i="61"/>
  <c r="BC152" i="61"/>
  <c r="BC151" i="61"/>
  <c r="BC150" i="61"/>
  <c r="BL149" i="61"/>
  <c r="BK149" i="61"/>
  <c r="BJ149" i="61"/>
  <c r="BI149" i="61"/>
  <c r="BH149" i="61"/>
  <c r="BG149" i="61"/>
  <c r="BF149" i="61"/>
  <c r="BE149" i="61"/>
  <c r="BD149" i="61"/>
  <c r="BC149" i="61"/>
  <c r="BL148" i="61"/>
  <c r="BK148" i="61"/>
  <c r="BJ148" i="61"/>
  <c r="BI148" i="61"/>
  <c r="BH148" i="61"/>
  <c r="BG148" i="61"/>
  <c r="BF148" i="61"/>
  <c r="BE148" i="61"/>
  <c r="BD148" i="61"/>
  <c r="BC148" i="61"/>
  <c r="BC147" i="61"/>
  <c r="BC146" i="61"/>
  <c r="BC145" i="61"/>
  <c r="BC144" i="61"/>
  <c r="BD143" i="61"/>
  <c r="BC143" i="61"/>
  <c r="BD142" i="61"/>
  <c r="BC142" i="61"/>
  <c r="BC141" i="61"/>
  <c r="N140" i="61"/>
  <c r="M140" i="61"/>
  <c r="L140" i="61"/>
  <c r="K140" i="61"/>
  <c r="J140" i="61"/>
  <c r="I140" i="61"/>
  <c r="H140" i="61"/>
  <c r="G140" i="61"/>
  <c r="F140" i="61"/>
  <c r="N139" i="61"/>
  <c r="N138" i="61"/>
  <c r="M138" i="61"/>
  <c r="L138" i="61"/>
  <c r="K138" i="61"/>
  <c r="J138" i="61"/>
  <c r="I138" i="61"/>
  <c r="H138" i="61"/>
  <c r="G138" i="61"/>
  <c r="F138" i="61"/>
  <c r="BL137" i="61"/>
  <c r="BK137" i="61"/>
  <c r="BJ137" i="61"/>
  <c r="BI137" i="61"/>
  <c r="BH137" i="61"/>
  <c r="BG137" i="61"/>
  <c r="BF137" i="61"/>
  <c r="BE137" i="61"/>
  <c r="BD137" i="61"/>
  <c r="BC137" i="61"/>
  <c r="BL136" i="61"/>
  <c r="BK136" i="61"/>
  <c r="BJ136" i="61"/>
  <c r="BI136" i="61"/>
  <c r="BH136" i="61"/>
  <c r="BG136" i="61"/>
  <c r="BF136" i="61"/>
  <c r="BE136" i="61"/>
  <c r="BD136" i="61"/>
  <c r="BC136" i="61"/>
  <c r="N135" i="61"/>
  <c r="M135" i="61"/>
  <c r="L135" i="61"/>
  <c r="K135" i="61"/>
  <c r="J135" i="61"/>
  <c r="I135" i="61"/>
  <c r="H135" i="61"/>
  <c r="G135" i="61"/>
  <c r="F135" i="61"/>
  <c r="N133" i="61"/>
  <c r="N134" i="61" s="1"/>
  <c r="M133" i="61"/>
  <c r="L133" i="61"/>
  <c r="K133" i="61"/>
  <c r="J133" i="61"/>
  <c r="I133" i="61"/>
  <c r="H133" i="61"/>
  <c r="G133" i="61"/>
  <c r="F133" i="61"/>
  <c r="BC132" i="61"/>
  <c r="BL131" i="61"/>
  <c r="BK131" i="61"/>
  <c r="BJ131" i="61"/>
  <c r="BI131" i="61"/>
  <c r="BH131" i="61"/>
  <c r="BG131" i="61"/>
  <c r="BF131" i="61"/>
  <c r="BE131" i="61"/>
  <c r="BD131" i="61"/>
  <c r="BC131" i="61"/>
  <c r="BL130" i="61"/>
  <c r="BK130" i="61"/>
  <c r="BJ130" i="61"/>
  <c r="BI130" i="61"/>
  <c r="BH130" i="61"/>
  <c r="BG130" i="61"/>
  <c r="BF130" i="61"/>
  <c r="BE130" i="61"/>
  <c r="BD130" i="61"/>
  <c r="N130" i="61"/>
  <c r="M130" i="61"/>
  <c r="L130" i="61"/>
  <c r="K130" i="61"/>
  <c r="J130" i="61"/>
  <c r="I130" i="61"/>
  <c r="H130" i="61"/>
  <c r="G130" i="61"/>
  <c r="F130" i="61"/>
  <c r="BD129" i="61"/>
  <c r="BC129" i="61"/>
  <c r="BL128" i="61"/>
  <c r="BK128" i="61"/>
  <c r="BJ128" i="61"/>
  <c r="BI128" i="61"/>
  <c r="BH128" i="61"/>
  <c r="BG128" i="61"/>
  <c r="BF128" i="61"/>
  <c r="BE128" i="61"/>
  <c r="BC128" i="61"/>
  <c r="BC127" i="61"/>
  <c r="R127" i="61"/>
  <c r="BC126" i="61"/>
  <c r="BC125" i="61"/>
  <c r="BC124" i="61"/>
  <c r="BC123" i="61"/>
  <c r="BC122" i="61"/>
  <c r="BL121" i="61"/>
  <c r="BK121" i="61"/>
  <c r="BJ121" i="61"/>
  <c r="BI121" i="61"/>
  <c r="BH121" i="61"/>
  <c r="BG121" i="61"/>
  <c r="BF121" i="61"/>
  <c r="BE121" i="61"/>
  <c r="BD121" i="61"/>
  <c r="BC121" i="61"/>
  <c r="BC120" i="61"/>
  <c r="BC119" i="61"/>
  <c r="BC118" i="61"/>
  <c r="BD117" i="61"/>
  <c r="BC117" i="61"/>
  <c r="BC116" i="61"/>
  <c r="BC115" i="61"/>
  <c r="BC114" i="61"/>
  <c r="BL113" i="61"/>
  <c r="BK113" i="61"/>
  <c r="BJ113" i="61"/>
  <c r="BI113" i="61"/>
  <c r="BH113" i="61"/>
  <c r="BG113" i="61"/>
  <c r="BF113" i="61"/>
  <c r="BE113" i="61"/>
  <c r="BD113" i="61"/>
  <c r="BC113" i="61"/>
  <c r="BC112" i="61"/>
  <c r="BC111" i="61"/>
  <c r="BC110" i="61"/>
  <c r="BL109" i="61"/>
  <c r="BK109" i="61"/>
  <c r="BJ109" i="61"/>
  <c r="BI109" i="61"/>
  <c r="BH109" i="61"/>
  <c r="BG109" i="61"/>
  <c r="BF109" i="61"/>
  <c r="BE109" i="61"/>
  <c r="BD109" i="61"/>
  <c r="BC109" i="61"/>
  <c r="BD108" i="61"/>
  <c r="N108" i="61"/>
  <c r="M108" i="61"/>
  <c r="L108" i="61"/>
  <c r="K108" i="61"/>
  <c r="J108" i="61"/>
  <c r="I108" i="61"/>
  <c r="H108" i="61"/>
  <c r="G108" i="61"/>
  <c r="F108" i="61"/>
  <c r="BL107" i="61"/>
  <c r="BK107" i="61"/>
  <c r="BJ107" i="61"/>
  <c r="BI107" i="61"/>
  <c r="BH107" i="61"/>
  <c r="BG107" i="61"/>
  <c r="BF107" i="61"/>
  <c r="BE107" i="61"/>
  <c r="N107" i="61"/>
  <c r="M107" i="61"/>
  <c r="BL117" i="61" s="1"/>
  <c r="L107" i="61"/>
  <c r="BK117" i="61" s="1"/>
  <c r="K107" i="61"/>
  <c r="BJ117" i="61" s="1"/>
  <c r="J107" i="61"/>
  <c r="BI117" i="61" s="1"/>
  <c r="I107" i="61"/>
  <c r="BH117" i="61" s="1"/>
  <c r="H107" i="61"/>
  <c r="BG117" i="61" s="1"/>
  <c r="G107" i="61"/>
  <c r="BF117" i="61" s="1"/>
  <c r="F107" i="61"/>
  <c r="N106" i="61"/>
  <c r="M106" i="61"/>
  <c r="L106" i="61"/>
  <c r="K106" i="61"/>
  <c r="J106" i="61"/>
  <c r="I106" i="61"/>
  <c r="H106" i="61"/>
  <c r="G106" i="61"/>
  <c r="F106" i="61"/>
  <c r="BC105" i="61"/>
  <c r="BC104" i="61"/>
  <c r="N103" i="61"/>
  <c r="M103" i="61"/>
  <c r="L103" i="61"/>
  <c r="K103" i="61"/>
  <c r="J103" i="61"/>
  <c r="I103" i="61"/>
  <c r="H103" i="61"/>
  <c r="G103" i="61"/>
  <c r="F103" i="61"/>
  <c r="BC102" i="61"/>
  <c r="BC101" i="61"/>
  <c r="BC100" i="61"/>
  <c r="R100" i="61"/>
  <c r="BC99" i="61"/>
  <c r="BC98" i="61"/>
  <c r="BC97" i="61"/>
  <c r="BC96" i="61"/>
  <c r="BL95" i="61"/>
  <c r="BK95" i="61"/>
  <c r="BJ95" i="61"/>
  <c r="BI95" i="61"/>
  <c r="BH95" i="61"/>
  <c r="BG95" i="61"/>
  <c r="BF95" i="61"/>
  <c r="BE95" i="61"/>
  <c r="BD95" i="61"/>
  <c r="BC95" i="61"/>
  <c r="BC94" i="61"/>
  <c r="BC93" i="61"/>
  <c r="BC92" i="61"/>
  <c r="BD91" i="61"/>
  <c r="BC91" i="61"/>
  <c r="BC90" i="61"/>
  <c r="BC89" i="61"/>
  <c r="BC88" i="61"/>
  <c r="BL87" i="61"/>
  <c r="BK87" i="61"/>
  <c r="BJ87" i="61"/>
  <c r="BI87" i="61"/>
  <c r="BH87" i="61"/>
  <c r="BG87" i="61"/>
  <c r="BF87" i="61"/>
  <c r="BE87" i="61"/>
  <c r="BD87" i="61"/>
  <c r="BC87" i="61"/>
  <c r="BC86" i="61"/>
  <c r="BC85" i="61"/>
  <c r="BC84" i="61"/>
  <c r="BL83" i="61"/>
  <c r="BK83" i="61"/>
  <c r="BJ83" i="61"/>
  <c r="BI83" i="61"/>
  <c r="BH83" i="61"/>
  <c r="BG83" i="61"/>
  <c r="BF83" i="61"/>
  <c r="BE83" i="61"/>
  <c r="BD83" i="61"/>
  <c r="BC83" i="61"/>
  <c r="BD82" i="61"/>
  <c r="BC82" i="61"/>
  <c r="BL81" i="61"/>
  <c r="BK81" i="61"/>
  <c r="BJ81" i="61"/>
  <c r="BI81" i="61"/>
  <c r="BH81" i="61"/>
  <c r="BG81" i="61"/>
  <c r="BF81" i="61"/>
  <c r="BE81" i="61"/>
  <c r="N81" i="61"/>
  <c r="M81" i="61"/>
  <c r="L81" i="61"/>
  <c r="K81" i="61"/>
  <c r="J81" i="61"/>
  <c r="I81" i="61"/>
  <c r="H81" i="61"/>
  <c r="G81" i="61"/>
  <c r="F81" i="61"/>
  <c r="N79" i="61"/>
  <c r="N80" i="61" s="1"/>
  <c r="M79" i="61"/>
  <c r="L79" i="61"/>
  <c r="L80" i="61" s="1"/>
  <c r="BK91" i="61" s="1"/>
  <c r="K79" i="61"/>
  <c r="J79" i="61"/>
  <c r="I79" i="61"/>
  <c r="H79" i="61"/>
  <c r="G79" i="61"/>
  <c r="F79" i="61"/>
  <c r="BC78" i="61"/>
  <c r="BC77" i="61"/>
  <c r="N76" i="61"/>
  <c r="M76" i="61"/>
  <c r="L76" i="61"/>
  <c r="K76" i="61"/>
  <c r="J76" i="61"/>
  <c r="I76" i="61"/>
  <c r="H76" i="61"/>
  <c r="G76" i="61"/>
  <c r="F76" i="61"/>
  <c r="BC75" i="61"/>
  <c r="BC74" i="61"/>
  <c r="BC73" i="61"/>
  <c r="R73" i="61"/>
  <c r="BC72" i="61"/>
  <c r="BC71" i="61"/>
  <c r="BC70" i="61"/>
  <c r="N69" i="61"/>
  <c r="M69" i="61"/>
  <c r="L69" i="61"/>
  <c r="K69" i="61"/>
  <c r="J69" i="61"/>
  <c r="I69" i="61"/>
  <c r="H69" i="61"/>
  <c r="G69" i="61"/>
  <c r="F69" i="61"/>
  <c r="N68" i="61"/>
  <c r="N67" i="61"/>
  <c r="M67" i="61"/>
  <c r="L67" i="61"/>
  <c r="K67" i="61"/>
  <c r="J67" i="61"/>
  <c r="I67" i="61"/>
  <c r="H67" i="61"/>
  <c r="G67" i="61"/>
  <c r="F67" i="61"/>
  <c r="BC66" i="61"/>
  <c r="BC65" i="61"/>
  <c r="N64" i="61"/>
  <c r="M64" i="61"/>
  <c r="L64" i="61"/>
  <c r="K64" i="61"/>
  <c r="J64" i="61"/>
  <c r="I64" i="61"/>
  <c r="H64" i="61"/>
  <c r="G64" i="61"/>
  <c r="F64" i="61"/>
  <c r="BL63" i="61"/>
  <c r="BK63" i="61"/>
  <c r="BJ63" i="61"/>
  <c r="BI63" i="61"/>
  <c r="BH63" i="61"/>
  <c r="BG63" i="61"/>
  <c r="BF63" i="61"/>
  <c r="BE63" i="61"/>
  <c r="BD63" i="61"/>
  <c r="BL62" i="61"/>
  <c r="BK62" i="61"/>
  <c r="BJ62" i="61"/>
  <c r="BI62" i="61"/>
  <c r="BH62" i="61"/>
  <c r="BG62" i="61"/>
  <c r="BF62" i="61"/>
  <c r="BE62" i="61"/>
  <c r="BD62" i="61"/>
  <c r="N62" i="61"/>
  <c r="N63" i="61" s="1"/>
  <c r="M62" i="61"/>
  <c r="L62" i="61"/>
  <c r="K62" i="61"/>
  <c r="J62" i="61"/>
  <c r="I62" i="61"/>
  <c r="H62" i="61"/>
  <c r="G62" i="61"/>
  <c r="F62" i="61"/>
  <c r="BL61" i="61"/>
  <c r="BK61" i="61"/>
  <c r="BJ61" i="61"/>
  <c r="BI61" i="61"/>
  <c r="BH61" i="61"/>
  <c r="BG61" i="61"/>
  <c r="BF61" i="61"/>
  <c r="BE61" i="61"/>
  <c r="BD61" i="61"/>
  <c r="BC61" i="61"/>
  <c r="BL60" i="61"/>
  <c r="BK60" i="61"/>
  <c r="BJ60" i="61"/>
  <c r="BI60" i="61"/>
  <c r="BH60" i="61"/>
  <c r="BG60" i="61"/>
  <c r="BF60" i="61"/>
  <c r="BE60" i="61"/>
  <c r="BD60" i="61"/>
  <c r="BC60" i="61"/>
  <c r="BL59" i="61"/>
  <c r="BK59" i="61"/>
  <c r="BJ59" i="61"/>
  <c r="BI59" i="61"/>
  <c r="BH59" i="61"/>
  <c r="BG59" i="61"/>
  <c r="BF59" i="61"/>
  <c r="BE59" i="61"/>
  <c r="BD59" i="61"/>
  <c r="N59" i="61"/>
  <c r="M59" i="61"/>
  <c r="L59" i="61"/>
  <c r="K59" i="61"/>
  <c r="J59" i="61"/>
  <c r="I59" i="61"/>
  <c r="H59" i="61"/>
  <c r="G59" i="61"/>
  <c r="F59" i="61"/>
  <c r="BL58" i="61"/>
  <c r="BK58" i="61"/>
  <c r="BJ58" i="61"/>
  <c r="BI58" i="61"/>
  <c r="BH58" i="61"/>
  <c r="BG58" i="61"/>
  <c r="BF58" i="61"/>
  <c r="BE58" i="61"/>
  <c r="BD58" i="61"/>
  <c r="BD57" i="61"/>
  <c r="N57" i="61"/>
  <c r="N58" i="61" s="1"/>
  <c r="M57" i="61"/>
  <c r="L57" i="61"/>
  <c r="K57" i="61"/>
  <c r="J57" i="61"/>
  <c r="I57" i="61"/>
  <c r="H57" i="61"/>
  <c r="G57" i="61"/>
  <c r="F57" i="61"/>
  <c r="BD56" i="61"/>
  <c r="BC56" i="61"/>
  <c r="BD55" i="61"/>
  <c r="BC55" i="61"/>
  <c r="BD54" i="61"/>
  <c r="M54" i="61"/>
  <c r="L54" i="61"/>
  <c r="K54" i="61"/>
  <c r="J54" i="61"/>
  <c r="I54" i="61"/>
  <c r="H54" i="61"/>
  <c r="G54" i="61"/>
  <c r="F54" i="61"/>
  <c r="BD53" i="61"/>
  <c r="BD52" i="61"/>
  <c r="M52" i="61"/>
  <c r="L52" i="61"/>
  <c r="K52" i="61"/>
  <c r="J52" i="61"/>
  <c r="I52" i="61"/>
  <c r="H52" i="61"/>
  <c r="G52" i="61"/>
  <c r="F52" i="61"/>
  <c r="BL51" i="61"/>
  <c r="BK51" i="61"/>
  <c r="BJ51" i="61"/>
  <c r="BI51" i="61"/>
  <c r="BH51" i="61"/>
  <c r="BG51" i="61"/>
  <c r="BF51" i="61"/>
  <c r="BE51" i="61"/>
  <c r="BD51" i="61"/>
  <c r="BC51" i="61"/>
  <c r="BL50" i="61"/>
  <c r="BK50" i="61"/>
  <c r="BJ50" i="61"/>
  <c r="BI50" i="61"/>
  <c r="BH50" i="61"/>
  <c r="BG50" i="61"/>
  <c r="BF50" i="61"/>
  <c r="BE50" i="61"/>
  <c r="BD50" i="61"/>
  <c r="BC50" i="61"/>
  <c r="BL49" i="61"/>
  <c r="BK49" i="61"/>
  <c r="BJ49" i="61"/>
  <c r="BI49" i="61"/>
  <c r="BH49" i="61"/>
  <c r="BG49" i="61"/>
  <c r="BF49" i="61"/>
  <c r="BE49" i="61"/>
  <c r="BD49" i="61"/>
  <c r="M49" i="61"/>
  <c r="L49" i="61"/>
  <c r="K49" i="61"/>
  <c r="J49" i="61"/>
  <c r="I49" i="61"/>
  <c r="H49" i="61"/>
  <c r="G49" i="61"/>
  <c r="F49" i="61"/>
  <c r="BL48" i="61"/>
  <c r="BK48" i="61"/>
  <c r="BJ48" i="61"/>
  <c r="BI48" i="61"/>
  <c r="BH48" i="61"/>
  <c r="BG48" i="61"/>
  <c r="BF48" i="61"/>
  <c r="BE48" i="61"/>
  <c r="BD48" i="61"/>
  <c r="BL47" i="61"/>
  <c r="BK47" i="61"/>
  <c r="BJ47" i="61"/>
  <c r="BI47" i="61"/>
  <c r="BH47" i="61"/>
  <c r="BG47" i="61"/>
  <c r="BF47" i="61"/>
  <c r="BE47" i="61"/>
  <c r="BD47" i="61"/>
  <c r="M47" i="61"/>
  <c r="L47" i="61"/>
  <c r="K47" i="61"/>
  <c r="J47" i="61"/>
  <c r="I47" i="61"/>
  <c r="H47" i="61"/>
  <c r="G47" i="61"/>
  <c r="F47" i="61"/>
  <c r="BL46" i="61"/>
  <c r="BK46" i="61"/>
  <c r="BJ46" i="61"/>
  <c r="BI46" i="61"/>
  <c r="BH46" i="61"/>
  <c r="BG46" i="61"/>
  <c r="BF46" i="61"/>
  <c r="BE46" i="61"/>
  <c r="BD46" i="61"/>
  <c r="BC46" i="61"/>
  <c r="BL45" i="61"/>
  <c r="BK45" i="61"/>
  <c r="BJ45" i="61"/>
  <c r="BI45" i="61"/>
  <c r="BH45" i="61"/>
  <c r="BG45" i="61"/>
  <c r="BF45" i="61"/>
  <c r="BE45" i="61"/>
  <c r="BD45" i="61"/>
  <c r="BC45" i="61"/>
  <c r="BL44" i="61"/>
  <c r="BK44" i="61"/>
  <c r="BJ44" i="61"/>
  <c r="BI44" i="61"/>
  <c r="BH44" i="61"/>
  <c r="BG44" i="61"/>
  <c r="BF44" i="61"/>
  <c r="BE44" i="61"/>
  <c r="BD44" i="61"/>
  <c r="M44" i="61"/>
  <c r="L44" i="61"/>
  <c r="K44" i="61"/>
  <c r="J44" i="61"/>
  <c r="I44" i="61"/>
  <c r="H44" i="61"/>
  <c r="G44" i="61"/>
  <c r="F44" i="61"/>
  <c r="BL43" i="61"/>
  <c r="BK43" i="61"/>
  <c r="BJ43" i="61"/>
  <c r="BI43" i="61"/>
  <c r="BH43" i="61"/>
  <c r="BG43" i="61"/>
  <c r="BF43" i="61"/>
  <c r="BE43" i="61"/>
  <c r="BD43" i="61"/>
  <c r="BL42" i="61"/>
  <c r="BK42" i="61"/>
  <c r="BJ42" i="61"/>
  <c r="BI42" i="61"/>
  <c r="BH42" i="61"/>
  <c r="BG42" i="61"/>
  <c r="BF42" i="61"/>
  <c r="BE42" i="61"/>
  <c r="BD42" i="61"/>
  <c r="M42" i="61"/>
  <c r="L42" i="61"/>
  <c r="K42" i="61"/>
  <c r="J42" i="61"/>
  <c r="I42" i="61"/>
  <c r="H42" i="61"/>
  <c r="G42" i="61"/>
  <c r="F42" i="61"/>
  <c r="BL41" i="61"/>
  <c r="BK41" i="61"/>
  <c r="BJ41" i="61"/>
  <c r="BI41" i="61"/>
  <c r="BH41" i="61"/>
  <c r="BG41" i="61"/>
  <c r="BF41" i="61"/>
  <c r="BE41" i="61"/>
  <c r="BD41" i="61"/>
  <c r="BC41" i="61"/>
  <c r="BL40" i="61"/>
  <c r="BK40" i="61"/>
  <c r="BJ40" i="61"/>
  <c r="BI40" i="61"/>
  <c r="BH40" i="61"/>
  <c r="BG40" i="61"/>
  <c r="BF40" i="61"/>
  <c r="BE40" i="61"/>
  <c r="BD40" i="61"/>
  <c r="BC40" i="61"/>
  <c r="BD39" i="61"/>
  <c r="N39" i="61"/>
  <c r="M39" i="61"/>
  <c r="L39" i="61"/>
  <c r="K39" i="61"/>
  <c r="J39" i="61"/>
  <c r="I39" i="61"/>
  <c r="H39" i="61"/>
  <c r="G39" i="61"/>
  <c r="F39" i="61"/>
  <c r="BL38" i="61"/>
  <c r="BK38" i="61"/>
  <c r="BJ38" i="61"/>
  <c r="BI38" i="61"/>
  <c r="BH38" i="61"/>
  <c r="BG38" i="61"/>
  <c r="BF38" i="61"/>
  <c r="BE38" i="61"/>
  <c r="BC38" i="61"/>
  <c r="BC37" i="61"/>
  <c r="BC36" i="61"/>
  <c r="R36" i="61"/>
  <c r="BC35" i="61"/>
  <c r="BC34" i="61"/>
  <c r="BC33" i="61"/>
  <c r="M32" i="61"/>
  <c r="L32" i="61"/>
  <c r="K32" i="61"/>
  <c r="J32" i="61"/>
  <c r="I32" i="61"/>
  <c r="H32" i="61"/>
  <c r="G32" i="61"/>
  <c r="F32" i="61"/>
  <c r="M30" i="61"/>
  <c r="L30" i="61"/>
  <c r="L31" i="61" s="1"/>
  <c r="BK24" i="61" s="1"/>
  <c r="K30" i="61"/>
  <c r="J30" i="61"/>
  <c r="I30" i="61"/>
  <c r="H30" i="61"/>
  <c r="G30" i="61"/>
  <c r="F30" i="61"/>
  <c r="BC29" i="61"/>
  <c r="BL28" i="61"/>
  <c r="BK28" i="61"/>
  <c r="BJ28" i="61"/>
  <c r="BI28" i="61"/>
  <c r="BH28" i="61"/>
  <c r="BG28" i="61"/>
  <c r="BF28" i="61"/>
  <c r="BE28" i="61"/>
  <c r="BD28" i="61"/>
  <c r="BC28" i="61"/>
  <c r="BL27" i="61"/>
  <c r="BK27" i="61"/>
  <c r="BJ27" i="61"/>
  <c r="BI27" i="61"/>
  <c r="BH27" i="61"/>
  <c r="BG27" i="61"/>
  <c r="BF27" i="61"/>
  <c r="BE27" i="61"/>
  <c r="BD27" i="61"/>
  <c r="M27" i="61"/>
  <c r="L27" i="61"/>
  <c r="K27" i="61"/>
  <c r="J27" i="61"/>
  <c r="I27" i="61"/>
  <c r="H27" i="61"/>
  <c r="G27" i="61"/>
  <c r="F27" i="61"/>
  <c r="BL26" i="61"/>
  <c r="BK26" i="61"/>
  <c r="BJ26" i="61"/>
  <c r="BI26" i="61"/>
  <c r="BH26" i="61"/>
  <c r="BG26" i="61"/>
  <c r="BF26" i="61"/>
  <c r="BE26" i="61"/>
  <c r="BD26" i="61"/>
  <c r="BL25" i="61"/>
  <c r="BK25" i="61"/>
  <c r="BJ25" i="61"/>
  <c r="BI25" i="61"/>
  <c r="BH25" i="61"/>
  <c r="BG25" i="61"/>
  <c r="BF25" i="61"/>
  <c r="BE25" i="61"/>
  <c r="BD25" i="61"/>
  <c r="M25" i="61"/>
  <c r="L25" i="61"/>
  <c r="K25" i="61"/>
  <c r="J25" i="61"/>
  <c r="I25" i="61"/>
  <c r="H25" i="61"/>
  <c r="G25" i="61"/>
  <c r="F25" i="61"/>
  <c r="BD24" i="61"/>
  <c r="BC24" i="61"/>
  <c r="BD23" i="61"/>
  <c r="BC23" i="61"/>
  <c r="BD22" i="61"/>
  <c r="M22" i="61"/>
  <c r="L22" i="61"/>
  <c r="K22" i="61"/>
  <c r="J22" i="61"/>
  <c r="I22" i="61"/>
  <c r="H22" i="61"/>
  <c r="G22" i="61"/>
  <c r="F22" i="61"/>
  <c r="BD21" i="61"/>
  <c r="BL20" i="61"/>
  <c r="BK20" i="61"/>
  <c r="BJ20" i="61"/>
  <c r="BI20" i="61"/>
  <c r="BH20" i="61"/>
  <c r="BG20" i="61"/>
  <c r="BF20" i="61"/>
  <c r="BE20" i="61"/>
  <c r="BD20" i="61"/>
  <c r="M20" i="61"/>
  <c r="L20" i="61"/>
  <c r="L21" i="61" s="1"/>
  <c r="BK22" i="61" s="1"/>
  <c r="K20" i="61"/>
  <c r="J20" i="61"/>
  <c r="I20" i="61"/>
  <c r="H20" i="61"/>
  <c r="G20" i="61"/>
  <c r="F20" i="61"/>
  <c r="BL19" i="61"/>
  <c r="BK19" i="61"/>
  <c r="BJ19" i="61"/>
  <c r="BI19" i="61"/>
  <c r="BH19" i="61"/>
  <c r="BG19" i="61"/>
  <c r="BF19" i="61"/>
  <c r="BE19" i="61"/>
  <c r="BD19" i="61"/>
  <c r="BC19" i="61"/>
  <c r="BL18" i="61"/>
  <c r="BK18" i="61"/>
  <c r="BJ18" i="61"/>
  <c r="BI18" i="61"/>
  <c r="BH18" i="61"/>
  <c r="BG18" i="61"/>
  <c r="BF18" i="61"/>
  <c r="BE18" i="61"/>
  <c r="BD18" i="61"/>
  <c r="BC18" i="61"/>
  <c r="BL17" i="61"/>
  <c r="BK17" i="61"/>
  <c r="BJ17" i="61"/>
  <c r="BI17" i="61"/>
  <c r="BH17" i="61"/>
  <c r="BG17" i="61"/>
  <c r="BF17" i="61"/>
  <c r="BE17" i="61"/>
  <c r="BD17" i="61"/>
  <c r="M17" i="61"/>
  <c r="L17" i="61"/>
  <c r="K17" i="61"/>
  <c r="J17" i="61"/>
  <c r="I17" i="61"/>
  <c r="H17" i="61"/>
  <c r="G17" i="61"/>
  <c r="BL16" i="61"/>
  <c r="BK16" i="61"/>
  <c r="BJ16" i="61"/>
  <c r="BI16" i="61"/>
  <c r="BH16" i="61"/>
  <c r="BG16" i="61"/>
  <c r="BF16" i="61"/>
  <c r="BE16" i="61"/>
  <c r="BD16" i="61"/>
  <c r="M16" i="61"/>
  <c r="BL21" i="61" s="1"/>
  <c r="L16" i="61"/>
  <c r="BK21" i="61" s="1"/>
  <c r="K16" i="61"/>
  <c r="BJ21" i="61" s="1"/>
  <c r="J16" i="61"/>
  <c r="I16" i="61"/>
  <c r="BH21" i="61" s="1"/>
  <c r="H16" i="61"/>
  <c r="BG21" i="61" s="1"/>
  <c r="G16" i="61"/>
  <c r="BF21" i="61" s="1"/>
  <c r="BL15" i="61"/>
  <c r="BK15" i="61"/>
  <c r="BJ15" i="61"/>
  <c r="BI15" i="61"/>
  <c r="BH15" i="61"/>
  <c r="BG15" i="61"/>
  <c r="BF15" i="61"/>
  <c r="BE15" i="61"/>
  <c r="BD15" i="61"/>
  <c r="M15" i="61"/>
  <c r="L15" i="61"/>
  <c r="K15" i="61"/>
  <c r="J15" i="61"/>
  <c r="I15" i="61"/>
  <c r="H15" i="61"/>
  <c r="G15" i="61"/>
  <c r="F15" i="61"/>
  <c r="F16" i="61" s="1"/>
  <c r="BE21" i="61" s="1"/>
  <c r="BL14" i="61"/>
  <c r="BK14" i="61"/>
  <c r="BJ14" i="61"/>
  <c r="BI14" i="61"/>
  <c r="BH14" i="61"/>
  <c r="BG14" i="61"/>
  <c r="BF14" i="61"/>
  <c r="BE14" i="61"/>
  <c r="BD14" i="61"/>
  <c r="BL13" i="61"/>
  <c r="BK13" i="61"/>
  <c r="BJ13" i="61"/>
  <c r="BI13" i="61"/>
  <c r="BH13" i="61"/>
  <c r="BG13" i="61"/>
  <c r="BF13" i="61"/>
  <c r="BE13" i="61"/>
  <c r="BD13" i="61"/>
  <c r="BD12" i="61"/>
  <c r="BL11" i="61"/>
  <c r="BK11" i="61"/>
  <c r="BJ11" i="61"/>
  <c r="BI11" i="61"/>
  <c r="BH11" i="61"/>
  <c r="BG11" i="61"/>
  <c r="BF11" i="61"/>
  <c r="BE11" i="61"/>
  <c r="N11" i="61"/>
  <c r="M11" i="61"/>
  <c r="L11" i="61"/>
  <c r="K11" i="61"/>
  <c r="J11" i="61"/>
  <c r="I11" i="61"/>
  <c r="H11" i="61"/>
  <c r="G11" i="61"/>
  <c r="F11" i="61"/>
  <c r="R8" i="61"/>
  <c r="F17" i="61" s="1"/>
  <c r="M26" i="61"/>
  <c r="BL23" i="61" s="1"/>
  <c r="I63" i="61"/>
  <c r="BH56" i="61" s="1"/>
  <c r="H58" i="61"/>
  <c r="BG55" i="61" s="1"/>
  <c r="G5" i="62"/>
  <c r="F176" i="61"/>
  <c r="BE172" i="61" s="1"/>
  <c r="K1" i="61"/>
  <c r="K1" i="62" s="1"/>
  <c r="E4" i="60"/>
  <c r="L5" i="60" s="1"/>
  <c r="N187" i="60"/>
  <c r="M187" i="60"/>
  <c r="L187" i="60"/>
  <c r="K187" i="60"/>
  <c r="J187" i="60"/>
  <c r="I187" i="60"/>
  <c r="H187" i="60"/>
  <c r="G187" i="60"/>
  <c r="F187" i="60"/>
  <c r="N185" i="60"/>
  <c r="N186" i="60" s="1"/>
  <c r="M185" i="60"/>
  <c r="L185" i="60"/>
  <c r="K185" i="60"/>
  <c r="J185" i="60"/>
  <c r="I185" i="60"/>
  <c r="H185" i="60"/>
  <c r="G185" i="60"/>
  <c r="F185" i="60"/>
  <c r="BC184" i="60"/>
  <c r="BC183" i="60"/>
  <c r="N182" i="60"/>
  <c r="M182" i="60"/>
  <c r="L182" i="60"/>
  <c r="K182" i="60"/>
  <c r="J182" i="60"/>
  <c r="I182" i="60"/>
  <c r="H182" i="60"/>
  <c r="G182" i="60"/>
  <c r="F182" i="60"/>
  <c r="BL180" i="60"/>
  <c r="BK180" i="60"/>
  <c r="BJ180" i="60"/>
  <c r="BI180" i="60"/>
  <c r="BH180" i="60"/>
  <c r="BG180" i="60"/>
  <c r="BF180" i="60"/>
  <c r="BE180" i="60"/>
  <c r="BD180" i="60"/>
  <c r="N180" i="60"/>
  <c r="N181" i="60" s="1"/>
  <c r="M180" i="60"/>
  <c r="L180" i="60"/>
  <c r="K180" i="60"/>
  <c r="J180" i="60"/>
  <c r="I180" i="60"/>
  <c r="H180" i="60"/>
  <c r="G180" i="60"/>
  <c r="F180" i="60"/>
  <c r="BL179" i="60"/>
  <c r="BK179" i="60"/>
  <c r="BJ179" i="60"/>
  <c r="BI179" i="60"/>
  <c r="BH179" i="60"/>
  <c r="BG179" i="60"/>
  <c r="BF179" i="60"/>
  <c r="BE179" i="60"/>
  <c r="BD179" i="60"/>
  <c r="BC179" i="60"/>
  <c r="BL178" i="60"/>
  <c r="BK178" i="60"/>
  <c r="BJ178" i="60"/>
  <c r="BI178" i="60"/>
  <c r="BH178" i="60"/>
  <c r="BG178" i="60"/>
  <c r="BF178" i="60"/>
  <c r="BE178" i="60"/>
  <c r="BD178" i="60"/>
  <c r="BC178" i="60"/>
  <c r="BL177" i="60"/>
  <c r="BK177" i="60"/>
  <c r="BJ177" i="60"/>
  <c r="BI177" i="60"/>
  <c r="BH177" i="60"/>
  <c r="BG177" i="60"/>
  <c r="BF177" i="60"/>
  <c r="BE177" i="60"/>
  <c r="BD177" i="60"/>
  <c r="N177" i="60"/>
  <c r="M177" i="60"/>
  <c r="L177" i="60"/>
  <c r="K177" i="60"/>
  <c r="J177" i="60"/>
  <c r="I177" i="60"/>
  <c r="H177" i="60"/>
  <c r="G177" i="60"/>
  <c r="F177" i="60"/>
  <c r="BL176" i="60"/>
  <c r="BK176" i="60"/>
  <c r="BJ176" i="60"/>
  <c r="BI176" i="60"/>
  <c r="BH176" i="60"/>
  <c r="BG176" i="60"/>
  <c r="BF176" i="60"/>
  <c r="BE176" i="60"/>
  <c r="BD176" i="60"/>
  <c r="BL175" i="60"/>
  <c r="BK175" i="60"/>
  <c r="BJ175" i="60"/>
  <c r="BI175" i="60"/>
  <c r="BH175" i="60"/>
  <c r="BG175" i="60"/>
  <c r="BF175" i="60"/>
  <c r="BE175" i="60"/>
  <c r="BD175" i="60"/>
  <c r="N175" i="60"/>
  <c r="N176" i="60" s="1"/>
  <c r="M175" i="60"/>
  <c r="L175" i="60"/>
  <c r="K175" i="60"/>
  <c r="J175" i="60"/>
  <c r="I175" i="60"/>
  <c r="H175" i="60"/>
  <c r="G175" i="60"/>
  <c r="F175" i="60"/>
  <c r="BD174" i="60"/>
  <c r="BC174" i="60"/>
  <c r="BD173" i="60"/>
  <c r="BC173" i="60"/>
  <c r="BD172" i="60"/>
  <c r="N172" i="60"/>
  <c r="M172" i="60"/>
  <c r="L172" i="60"/>
  <c r="K172" i="60"/>
  <c r="J172" i="60"/>
  <c r="I172" i="60"/>
  <c r="H172" i="60"/>
  <c r="G172" i="60"/>
  <c r="F172" i="60"/>
  <c r="BD171" i="60"/>
  <c r="N171" i="60"/>
  <c r="BD170" i="60"/>
  <c r="N170" i="60"/>
  <c r="M170" i="60"/>
  <c r="L170" i="60"/>
  <c r="K170" i="60"/>
  <c r="J170" i="60"/>
  <c r="I170" i="60"/>
  <c r="H170" i="60"/>
  <c r="G170" i="60"/>
  <c r="F170" i="60"/>
  <c r="BD169" i="60"/>
  <c r="BC169" i="60"/>
  <c r="BL168" i="60"/>
  <c r="BK168" i="60"/>
  <c r="BJ168" i="60"/>
  <c r="BI168" i="60"/>
  <c r="BH168" i="60"/>
  <c r="BG168" i="60"/>
  <c r="BF168" i="60"/>
  <c r="BE168" i="60"/>
  <c r="BD168" i="60"/>
  <c r="BC168" i="60"/>
  <c r="BL167" i="60"/>
  <c r="BK167" i="60"/>
  <c r="BJ167" i="60"/>
  <c r="BI167" i="60"/>
  <c r="BH167" i="60"/>
  <c r="BG167" i="60"/>
  <c r="BF167" i="60"/>
  <c r="BE167" i="60"/>
  <c r="BD167" i="60"/>
  <c r="N167" i="60"/>
  <c r="M167" i="60"/>
  <c r="L167" i="60"/>
  <c r="K167" i="60"/>
  <c r="J167" i="60"/>
  <c r="I167" i="60"/>
  <c r="H167" i="60"/>
  <c r="G167" i="60"/>
  <c r="F167" i="60"/>
  <c r="BL166" i="60"/>
  <c r="BK166" i="60"/>
  <c r="BJ166" i="60"/>
  <c r="BI166" i="60"/>
  <c r="BH166" i="60"/>
  <c r="BG166" i="60"/>
  <c r="BF166" i="60"/>
  <c r="BE166" i="60"/>
  <c r="BD166" i="60"/>
  <c r="N166" i="60"/>
  <c r="BL165" i="60"/>
  <c r="BK165" i="60"/>
  <c r="BJ165" i="60"/>
  <c r="BI165" i="60"/>
  <c r="BH165" i="60"/>
  <c r="BG165" i="60"/>
  <c r="BF165" i="60"/>
  <c r="BE165" i="60"/>
  <c r="BD165" i="60"/>
  <c r="N165" i="60"/>
  <c r="M165" i="60"/>
  <c r="L165" i="60"/>
  <c r="K165" i="60"/>
  <c r="J165" i="60"/>
  <c r="I165" i="60"/>
  <c r="H165" i="60"/>
  <c r="G165" i="60"/>
  <c r="F165" i="60"/>
  <c r="BL164" i="60"/>
  <c r="BK164" i="60"/>
  <c r="BJ164" i="60"/>
  <c r="BI164" i="60"/>
  <c r="BH164" i="60"/>
  <c r="BG164" i="60"/>
  <c r="BF164" i="60"/>
  <c r="BE164" i="60"/>
  <c r="BD164" i="60"/>
  <c r="BC164" i="60"/>
  <c r="BL163" i="60"/>
  <c r="BK163" i="60"/>
  <c r="BJ163" i="60"/>
  <c r="BI163" i="60"/>
  <c r="BH163" i="60"/>
  <c r="BG163" i="60"/>
  <c r="BF163" i="60"/>
  <c r="BE163" i="60"/>
  <c r="BD163" i="60"/>
  <c r="BC163" i="60"/>
  <c r="BL162" i="60"/>
  <c r="BK162" i="60"/>
  <c r="BJ162" i="60"/>
  <c r="BI162" i="60"/>
  <c r="BH162" i="60"/>
  <c r="BG162" i="60"/>
  <c r="BF162" i="60"/>
  <c r="BE162" i="60"/>
  <c r="BD162" i="60"/>
  <c r="N162" i="60"/>
  <c r="M162" i="60"/>
  <c r="L162" i="60"/>
  <c r="K162" i="60"/>
  <c r="J162" i="60"/>
  <c r="I162" i="60"/>
  <c r="H162" i="60"/>
  <c r="G162" i="60"/>
  <c r="F162" i="60"/>
  <c r="BL161" i="60"/>
  <c r="BK161" i="60"/>
  <c r="BJ161" i="60"/>
  <c r="BI161" i="60"/>
  <c r="BH161" i="60"/>
  <c r="BG161" i="60"/>
  <c r="BF161" i="60"/>
  <c r="BE161" i="60"/>
  <c r="BD161" i="60"/>
  <c r="BL160" i="60"/>
  <c r="BK160" i="60"/>
  <c r="BJ160" i="60"/>
  <c r="BI160" i="60"/>
  <c r="BH160" i="60"/>
  <c r="BG160" i="60"/>
  <c r="BF160" i="60"/>
  <c r="BE160" i="60"/>
  <c r="BD160" i="60"/>
  <c r="N160" i="60"/>
  <c r="N161" i="60" s="1"/>
  <c r="M160" i="60"/>
  <c r="L160" i="60"/>
  <c r="K160" i="60"/>
  <c r="J160" i="60"/>
  <c r="I160" i="60"/>
  <c r="H160" i="60"/>
  <c r="G160" i="60"/>
  <c r="F160" i="60"/>
  <c r="BL159" i="60"/>
  <c r="BK159" i="60"/>
  <c r="BJ159" i="60"/>
  <c r="BI159" i="60"/>
  <c r="BH159" i="60"/>
  <c r="BG159" i="60"/>
  <c r="BF159" i="60"/>
  <c r="BE159" i="60"/>
  <c r="BD159" i="60"/>
  <c r="BC159" i="60"/>
  <c r="BL158" i="60"/>
  <c r="BK158" i="60"/>
  <c r="BJ158" i="60"/>
  <c r="BI158" i="60"/>
  <c r="BH158" i="60"/>
  <c r="BG158" i="60"/>
  <c r="BF158" i="60"/>
  <c r="BE158" i="60"/>
  <c r="BD158" i="60"/>
  <c r="BC158" i="60"/>
  <c r="BL157" i="60"/>
  <c r="BK157" i="60"/>
  <c r="BJ157" i="60"/>
  <c r="BI157" i="60"/>
  <c r="BH157" i="60"/>
  <c r="BG157" i="60"/>
  <c r="BF157" i="60"/>
  <c r="BE157" i="60"/>
  <c r="BD157" i="60"/>
  <c r="N157" i="60"/>
  <c r="M157" i="60"/>
  <c r="L157" i="60"/>
  <c r="K157" i="60"/>
  <c r="J157" i="60"/>
  <c r="I157" i="60"/>
  <c r="H157" i="60"/>
  <c r="G157" i="60"/>
  <c r="F157" i="60"/>
  <c r="BC156" i="60"/>
  <c r="BL155" i="60"/>
  <c r="BK155" i="60"/>
  <c r="BJ155" i="60"/>
  <c r="BI155" i="60"/>
  <c r="BH155" i="60"/>
  <c r="BG155" i="60"/>
  <c r="BF155" i="60"/>
  <c r="BE155" i="60"/>
  <c r="BC155" i="60"/>
  <c r="BC154" i="60"/>
  <c r="R154" i="60"/>
  <c r="BC153" i="60"/>
  <c r="BC152" i="60"/>
  <c r="BC151" i="60"/>
  <c r="BC150" i="60"/>
  <c r="BL149" i="60"/>
  <c r="BK149" i="60"/>
  <c r="BJ149" i="60"/>
  <c r="BI149" i="60"/>
  <c r="BH149" i="60"/>
  <c r="BG149" i="60"/>
  <c r="BF149" i="60"/>
  <c r="BE149" i="60"/>
  <c r="BD149" i="60"/>
  <c r="BC149" i="60"/>
  <c r="BL148" i="60"/>
  <c r="BK148" i="60"/>
  <c r="BJ148" i="60"/>
  <c r="BI148" i="60"/>
  <c r="BH148" i="60"/>
  <c r="BG148" i="60"/>
  <c r="BF148" i="60"/>
  <c r="BE148" i="60"/>
  <c r="BD148" i="60"/>
  <c r="BC148" i="60"/>
  <c r="BC147" i="60"/>
  <c r="BC146" i="60"/>
  <c r="BC145" i="60"/>
  <c r="BC144" i="60"/>
  <c r="BD143" i="60"/>
  <c r="BC143" i="60"/>
  <c r="BD142" i="60"/>
  <c r="BC142" i="60"/>
  <c r="BC141" i="60"/>
  <c r="N140" i="60"/>
  <c r="M140" i="60"/>
  <c r="L140" i="60"/>
  <c r="K140" i="60"/>
  <c r="J140" i="60"/>
  <c r="I140" i="60"/>
  <c r="H140" i="60"/>
  <c r="G140" i="60"/>
  <c r="F140" i="60"/>
  <c r="N138" i="60"/>
  <c r="N139" i="60" s="1"/>
  <c r="M138" i="60"/>
  <c r="L138" i="60"/>
  <c r="K138" i="60"/>
  <c r="J138" i="60"/>
  <c r="I138" i="60"/>
  <c r="H138" i="60"/>
  <c r="G138" i="60"/>
  <c r="F138" i="60"/>
  <c r="BL137" i="60"/>
  <c r="BK137" i="60"/>
  <c r="BJ137" i="60"/>
  <c r="BI137" i="60"/>
  <c r="BH137" i="60"/>
  <c r="BG137" i="60"/>
  <c r="BF137" i="60"/>
  <c r="BE137" i="60"/>
  <c r="BD137" i="60"/>
  <c r="BC137" i="60"/>
  <c r="BL136" i="60"/>
  <c r="BK136" i="60"/>
  <c r="BJ136" i="60"/>
  <c r="BI136" i="60"/>
  <c r="BH136" i="60"/>
  <c r="BG136" i="60"/>
  <c r="BF136" i="60"/>
  <c r="BE136" i="60"/>
  <c r="BD136" i="60"/>
  <c r="BC136" i="60"/>
  <c r="N135" i="60"/>
  <c r="M135" i="60"/>
  <c r="L135" i="60"/>
  <c r="K135" i="60"/>
  <c r="J135" i="60"/>
  <c r="I135" i="60"/>
  <c r="H135" i="60"/>
  <c r="G135" i="60"/>
  <c r="F135" i="60"/>
  <c r="N134" i="60"/>
  <c r="N133" i="60"/>
  <c r="M133" i="60"/>
  <c r="L133" i="60"/>
  <c r="K133" i="60"/>
  <c r="J133" i="60"/>
  <c r="I133" i="60"/>
  <c r="H133" i="60"/>
  <c r="G133" i="60"/>
  <c r="F133" i="60"/>
  <c r="BC132" i="60"/>
  <c r="BL131" i="60"/>
  <c r="BK131" i="60"/>
  <c r="BJ131" i="60"/>
  <c r="BI131" i="60"/>
  <c r="BH131" i="60"/>
  <c r="BG131" i="60"/>
  <c r="BF131" i="60"/>
  <c r="BE131" i="60"/>
  <c r="BD131" i="60"/>
  <c r="BC131" i="60"/>
  <c r="BL130" i="60"/>
  <c r="BK130" i="60"/>
  <c r="BJ130" i="60"/>
  <c r="BI130" i="60"/>
  <c r="BH130" i="60"/>
  <c r="BG130" i="60"/>
  <c r="BF130" i="60"/>
  <c r="BE130" i="60"/>
  <c r="BD130" i="60"/>
  <c r="N130" i="60"/>
  <c r="M130" i="60"/>
  <c r="L130" i="60"/>
  <c r="K130" i="60"/>
  <c r="J130" i="60"/>
  <c r="I130" i="60"/>
  <c r="H130" i="60"/>
  <c r="G130" i="60"/>
  <c r="F130" i="60"/>
  <c r="BC129" i="60"/>
  <c r="BL128" i="60"/>
  <c r="BK128" i="60"/>
  <c r="BJ128" i="60"/>
  <c r="BI128" i="60"/>
  <c r="BH128" i="60"/>
  <c r="BG128" i="60"/>
  <c r="BF128" i="60"/>
  <c r="BE128" i="60"/>
  <c r="BC128" i="60"/>
  <c r="BC127" i="60"/>
  <c r="R127" i="60"/>
  <c r="BC126" i="60"/>
  <c r="BC125" i="60"/>
  <c r="BC124" i="60"/>
  <c r="BC123" i="60"/>
  <c r="BC122" i="60"/>
  <c r="BL121" i="60"/>
  <c r="BK121" i="60"/>
  <c r="BJ121" i="60"/>
  <c r="BI121" i="60"/>
  <c r="BH121" i="60"/>
  <c r="BG121" i="60"/>
  <c r="BF121" i="60"/>
  <c r="BE121" i="60"/>
  <c r="BD121" i="60"/>
  <c r="BC121" i="60"/>
  <c r="BC120" i="60"/>
  <c r="BC119" i="60"/>
  <c r="BC118" i="60"/>
  <c r="BD117" i="60"/>
  <c r="BC117" i="60"/>
  <c r="BC116" i="60"/>
  <c r="BC115" i="60"/>
  <c r="BC114" i="60"/>
  <c r="BL113" i="60"/>
  <c r="BK113" i="60"/>
  <c r="BJ113" i="60"/>
  <c r="BI113" i="60"/>
  <c r="BH113" i="60"/>
  <c r="BG113" i="60"/>
  <c r="BF113" i="60"/>
  <c r="BE113" i="60"/>
  <c r="BD113" i="60"/>
  <c r="BC113" i="60"/>
  <c r="BC112" i="60"/>
  <c r="BC111" i="60"/>
  <c r="BC110" i="60"/>
  <c r="BL109" i="60"/>
  <c r="BK109" i="60"/>
  <c r="BJ109" i="60"/>
  <c r="BI109" i="60"/>
  <c r="BH109" i="60"/>
  <c r="BG109" i="60"/>
  <c r="BF109" i="60"/>
  <c r="BE109" i="60"/>
  <c r="BD109" i="60"/>
  <c r="BC109" i="60"/>
  <c r="N108" i="60"/>
  <c r="M108" i="60"/>
  <c r="L108" i="60"/>
  <c r="K108" i="60"/>
  <c r="J108" i="60"/>
  <c r="I108" i="60"/>
  <c r="H108" i="60"/>
  <c r="G108" i="60"/>
  <c r="F108" i="60"/>
  <c r="BL107" i="60"/>
  <c r="BK107" i="60"/>
  <c r="BJ107" i="60"/>
  <c r="BI107" i="60"/>
  <c r="BH107" i="60"/>
  <c r="BG107" i="60"/>
  <c r="BF107" i="60"/>
  <c r="BE107" i="60"/>
  <c r="N107" i="60"/>
  <c r="M107" i="60"/>
  <c r="BL117" i="60" s="1"/>
  <c r="L107" i="60"/>
  <c r="BK117" i="60" s="1"/>
  <c r="K107" i="60"/>
  <c r="BJ117" i="60" s="1"/>
  <c r="J107" i="60"/>
  <c r="BI117" i="60" s="1"/>
  <c r="I107" i="60"/>
  <c r="BH117" i="60" s="1"/>
  <c r="H107" i="60"/>
  <c r="BG117" i="60" s="1"/>
  <c r="G107" i="60"/>
  <c r="BF117" i="60" s="1"/>
  <c r="F107" i="60"/>
  <c r="BE117" i="60" s="1"/>
  <c r="N106" i="60"/>
  <c r="M106" i="60"/>
  <c r="L106" i="60"/>
  <c r="K106" i="60"/>
  <c r="J106" i="60"/>
  <c r="I106" i="60"/>
  <c r="H106" i="60"/>
  <c r="G106" i="60"/>
  <c r="F106" i="60"/>
  <c r="BC105" i="60"/>
  <c r="BC104" i="60"/>
  <c r="N103" i="60"/>
  <c r="M103" i="60"/>
  <c r="L103" i="60"/>
  <c r="K103" i="60"/>
  <c r="J103" i="60"/>
  <c r="I103" i="60"/>
  <c r="H103" i="60"/>
  <c r="G103" i="60"/>
  <c r="F103" i="60"/>
  <c r="BC102" i="60"/>
  <c r="BC101" i="60"/>
  <c r="BC100" i="60"/>
  <c r="R100" i="60"/>
  <c r="BC99" i="60"/>
  <c r="BC98" i="60"/>
  <c r="BC97" i="60"/>
  <c r="BC96" i="60"/>
  <c r="BL95" i="60"/>
  <c r="BK95" i="60"/>
  <c r="BJ95" i="60"/>
  <c r="BI95" i="60"/>
  <c r="BH95" i="60"/>
  <c r="BG95" i="60"/>
  <c r="BF95" i="60"/>
  <c r="BE95" i="60"/>
  <c r="BD95" i="60"/>
  <c r="BC95" i="60"/>
  <c r="BC94" i="60"/>
  <c r="BC93" i="60"/>
  <c r="BC92" i="60"/>
  <c r="BD91" i="60"/>
  <c r="BC91" i="60"/>
  <c r="BC90" i="60"/>
  <c r="BC89" i="60"/>
  <c r="BC88" i="60"/>
  <c r="BL87" i="60"/>
  <c r="BK87" i="60"/>
  <c r="BJ87" i="60"/>
  <c r="BI87" i="60"/>
  <c r="BH87" i="60"/>
  <c r="BG87" i="60"/>
  <c r="BF87" i="60"/>
  <c r="BE87" i="60"/>
  <c r="BD87" i="60"/>
  <c r="BC87" i="60"/>
  <c r="BC86" i="60"/>
  <c r="BC85" i="60"/>
  <c r="BC84" i="60"/>
  <c r="BL83" i="60"/>
  <c r="BK83" i="60"/>
  <c r="BJ83" i="60"/>
  <c r="BI83" i="60"/>
  <c r="BH83" i="60"/>
  <c r="BG83" i="60"/>
  <c r="BF83" i="60"/>
  <c r="BE83" i="60"/>
  <c r="BD83" i="60"/>
  <c r="BC83" i="60"/>
  <c r="BC82" i="60"/>
  <c r="BL81" i="60"/>
  <c r="BK81" i="60"/>
  <c r="BJ81" i="60"/>
  <c r="BI81" i="60"/>
  <c r="BH81" i="60"/>
  <c r="BG81" i="60"/>
  <c r="BF81" i="60"/>
  <c r="BE81" i="60"/>
  <c r="N81" i="60"/>
  <c r="M81" i="60"/>
  <c r="L81" i="60"/>
  <c r="K81" i="60"/>
  <c r="J81" i="60"/>
  <c r="I81" i="60"/>
  <c r="H81" i="60"/>
  <c r="G81" i="60"/>
  <c r="F81" i="60"/>
  <c r="N80" i="60"/>
  <c r="N79" i="60"/>
  <c r="M79" i="60"/>
  <c r="L79" i="60"/>
  <c r="K79" i="60"/>
  <c r="J79" i="60"/>
  <c r="I79" i="60"/>
  <c r="H79" i="60"/>
  <c r="G79" i="60"/>
  <c r="F79" i="60"/>
  <c r="BC78" i="60"/>
  <c r="BC77" i="60"/>
  <c r="N76" i="60"/>
  <c r="M76" i="60"/>
  <c r="L76" i="60"/>
  <c r="K76" i="60"/>
  <c r="J76" i="60"/>
  <c r="I76" i="60"/>
  <c r="H76" i="60"/>
  <c r="G76" i="60"/>
  <c r="F76" i="60"/>
  <c r="BC75" i="60"/>
  <c r="BC74" i="60"/>
  <c r="BC73" i="60"/>
  <c r="R73" i="60"/>
  <c r="BC72" i="60"/>
  <c r="BC71" i="60"/>
  <c r="BC70" i="60"/>
  <c r="N69" i="60"/>
  <c r="M69" i="60"/>
  <c r="L69" i="60"/>
  <c r="K69" i="60"/>
  <c r="J69" i="60"/>
  <c r="I69" i="60"/>
  <c r="H69" i="60"/>
  <c r="G69" i="60"/>
  <c r="F69" i="60"/>
  <c r="N67" i="60"/>
  <c r="N68" i="60" s="1"/>
  <c r="M67" i="60"/>
  <c r="L67" i="60"/>
  <c r="K67" i="60"/>
  <c r="J67" i="60"/>
  <c r="I67" i="60"/>
  <c r="H67" i="60"/>
  <c r="G67" i="60"/>
  <c r="F67" i="60"/>
  <c r="BC66" i="60"/>
  <c r="BC65" i="60"/>
  <c r="N64" i="60"/>
  <c r="M64" i="60"/>
  <c r="L64" i="60"/>
  <c r="K64" i="60"/>
  <c r="J64" i="60"/>
  <c r="I64" i="60"/>
  <c r="H64" i="60"/>
  <c r="G64" i="60"/>
  <c r="F64" i="60"/>
  <c r="BL63" i="60"/>
  <c r="BK63" i="60"/>
  <c r="BJ63" i="60"/>
  <c r="BI63" i="60"/>
  <c r="BH63" i="60"/>
  <c r="BG63" i="60"/>
  <c r="BF63" i="60"/>
  <c r="BE63" i="60"/>
  <c r="BD63" i="60"/>
  <c r="BL62" i="60"/>
  <c r="BK62" i="60"/>
  <c r="BJ62" i="60"/>
  <c r="BI62" i="60"/>
  <c r="BH62" i="60"/>
  <c r="BG62" i="60"/>
  <c r="BF62" i="60"/>
  <c r="BE62" i="60"/>
  <c r="BD62" i="60"/>
  <c r="N62" i="60"/>
  <c r="N63" i="60" s="1"/>
  <c r="M62" i="60"/>
  <c r="L62" i="60"/>
  <c r="K62" i="60"/>
  <c r="J62" i="60"/>
  <c r="I62" i="60"/>
  <c r="H62" i="60"/>
  <c r="G62" i="60"/>
  <c r="F62" i="60"/>
  <c r="BL61" i="60"/>
  <c r="BK61" i="60"/>
  <c r="BJ61" i="60"/>
  <c r="BI61" i="60"/>
  <c r="BH61" i="60"/>
  <c r="BG61" i="60"/>
  <c r="BF61" i="60"/>
  <c r="BE61" i="60"/>
  <c r="BD61" i="60"/>
  <c r="BC61" i="60"/>
  <c r="BL60" i="60"/>
  <c r="BK60" i="60"/>
  <c r="BJ60" i="60"/>
  <c r="BI60" i="60"/>
  <c r="BH60" i="60"/>
  <c r="BG60" i="60"/>
  <c r="BF60" i="60"/>
  <c r="BE60" i="60"/>
  <c r="BD60" i="60"/>
  <c r="BC60" i="60"/>
  <c r="BL59" i="60"/>
  <c r="BK59" i="60"/>
  <c r="BJ59" i="60"/>
  <c r="BI59" i="60"/>
  <c r="BH59" i="60"/>
  <c r="BG59" i="60"/>
  <c r="BF59" i="60"/>
  <c r="BE59" i="60"/>
  <c r="BD59" i="60"/>
  <c r="N59" i="60"/>
  <c r="M59" i="60"/>
  <c r="L59" i="60"/>
  <c r="K59" i="60"/>
  <c r="J59" i="60"/>
  <c r="I59" i="60"/>
  <c r="H59" i="60"/>
  <c r="G59" i="60"/>
  <c r="F59" i="60"/>
  <c r="BL58" i="60"/>
  <c r="BK58" i="60"/>
  <c r="BJ58" i="60"/>
  <c r="BI58" i="60"/>
  <c r="BH58" i="60"/>
  <c r="BG58" i="60"/>
  <c r="BF58" i="60"/>
  <c r="BE58" i="60"/>
  <c r="BD58" i="60"/>
  <c r="BD57" i="60"/>
  <c r="N57" i="60"/>
  <c r="N58" i="60" s="1"/>
  <c r="M57" i="60"/>
  <c r="L57" i="60"/>
  <c r="K57" i="60"/>
  <c r="J57" i="60"/>
  <c r="I57" i="60"/>
  <c r="H57" i="60"/>
  <c r="G57" i="60"/>
  <c r="F57" i="60"/>
  <c r="BD56" i="60"/>
  <c r="BC56" i="60"/>
  <c r="BD55" i="60"/>
  <c r="BC55" i="60"/>
  <c r="BD54" i="60"/>
  <c r="M54" i="60"/>
  <c r="L54" i="60"/>
  <c r="K54" i="60"/>
  <c r="J54" i="60"/>
  <c r="I54" i="60"/>
  <c r="H54" i="60"/>
  <c r="G54" i="60"/>
  <c r="F54" i="60"/>
  <c r="BD53" i="60"/>
  <c r="BD52" i="60"/>
  <c r="M52" i="60"/>
  <c r="L52" i="60"/>
  <c r="K52" i="60"/>
  <c r="J52" i="60"/>
  <c r="I52" i="60"/>
  <c r="H52" i="60"/>
  <c r="G52" i="60"/>
  <c r="F52" i="60"/>
  <c r="BL51" i="60"/>
  <c r="BK51" i="60"/>
  <c r="BJ51" i="60"/>
  <c r="BI51" i="60"/>
  <c r="BH51" i="60"/>
  <c r="BG51" i="60"/>
  <c r="BF51" i="60"/>
  <c r="BE51" i="60"/>
  <c r="BD51" i="60"/>
  <c r="BC51" i="60"/>
  <c r="BL50" i="60"/>
  <c r="BK50" i="60"/>
  <c r="BJ50" i="60"/>
  <c r="BI50" i="60"/>
  <c r="BH50" i="60"/>
  <c r="BG50" i="60"/>
  <c r="BF50" i="60"/>
  <c r="BE50" i="60"/>
  <c r="BD50" i="60"/>
  <c r="BC50" i="60"/>
  <c r="BL49" i="60"/>
  <c r="BK49" i="60"/>
  <c r="BJ49" i="60"/>
  <c r="BI49" i="60"/>
  <c r="BH49" i="60"/>
  <c r="BG49" i="60"/>
  <c r="BF49" i="60"/>
  <c r="BE49" i="60"/>
  <c r="BD49" i="60"/>
  <c r="M49" i="60"/>
  <c r="L49" i="60"/>
  <c r="K49" i="60"/>
  <c r="J49" i="60"/>
  <c r="I49" i="60"/>
  <c r="H49" i="60"/>
  <c r="G49" i="60"/>
  <c r="F49" i="60"/>
  <c r="BL48" i="60"/>
  <c r="BK48" i="60"/>
  <c r="BJ48" i="60"/>
  <c r="BI48" i="60"/>
  <c r="BH48" i="60"/>
  <c r="BG48" i="60"/>
  <c r="BF48" i="60"/>
  <c r="BE48" i="60"/>
  <c r="BD48" i="60"/>
  <c r="BL47" i="60"/>
  <c r="BK47" i="60"/>
  <c r="BJ47" i="60"/>
  <c r="BI47" i="60"/>
  <c r="BH47" i="60"/>
  <c r="BG47" i="60"/>
  <c r="BF47" i="60"/>
  <c r="BE47" i="60"/>
  <c r="BD47" i="60"/>
  <c r="M47" i="60"/>
  <c r="L47" i="60"/>
  <c r="K47" i="60"/>
  <c r="J47" i="60"/>
  <c r="I47" i="60"/>
  <c r="H47" i="60"/>
  <c r="G47" i="60"/>
  <c r="F47" i="60"/>
  <c r="BL46" i="60"/>
  <c r="BK46" i="60"/>
  <c r="BJ46" i="60"/>
  <c r="BI46" i="60"/>
  <c r="BH46" i="60"/>
  <c r="BG46" i="60"/>
  <c r="BF46" i="60"/>
  <c r="BE46" i="60"/>
  <c r="BD46" i="60"/>
  <c r="BC46" i="60"/>
  <c r="BL45" i="60"/>
  <c r="BK45" i="60"/>
  <c r="BJ45" i="60"/>
  <c r="BI45" i="60"/>
  <c r="BH45" i="60"/>
  <c r="BG45" i="60"/>
  <c r="BF45" i="60"/>
  <c r="BE45" i="60"/>
  <c r="BD45" i="60"/>
  <c r="BC45" i="60"/>
  <c r="BL44" i="60"/>
  <c r="BK44" i="60"/>
  <c r="BJ44" i="60"/>
  <c r="BI44" i="60"/>
  <c r="BH44" i="60"/>
  <c r="BG44" i="60"/>
  <c r="BF44" i="60"/>
  <c r="BE44" i="60"/>
  <c r="BD44" i="60"/>
  <c r="M44" i="60"/>
  <c r="L44" i="60"/>
  <c r="K44" i="60"/>
  <c r="J44" i="60"/>
  <c r="I44" i="60"/>
  <c r="H44" i="60"/>
  <c r="G44" i="60"/>
  <c r="F44" i="60"/>
  <c r="BL43" i="60"/>
  <c r="BK43" i="60"/>
  <c r="BJ43" i="60"/>
  <c r="BI43" i="60"/>
  <c r="BH43" i="60"/>
  <c r="BG43" i="60"/>
  <c r="BF43" i="60"/>
  <c r="BE43" i="60"/>
  <c r="BD43" i="60"/>
  <c r="BL42" i="60"/>
  <c r="BK42" i="60"/>
  <c r="BJ42" i="60"/>
  <c r="BI42" i="60"/>
  <c r="BH42" i="60"/>
  <c r="BG42" i="60"/>
  <c r="BF42" i="60"/>
  <c r="BE42" i="60"/>
  <c r="BD42" i="60"/>
  <c r="M42" i="60"/>
  <c r="L42" i="60"/>
  <c r="K42" i="60"/>
  <c r="J42" i="60"/>
  <c r="I42" i="60"/>
  <c r="H42" i="60"/>
  <c r="G42" i="60"/>
  <c r="F42" i="60"/>
  <c r="BL41" i="60"/>
  <c r="BK41" i="60"/>
  <c r="BJ41" i="60"/>
  <c r="BI41" i="60"/>
  <c r="BH41" i="60"/>
  <c r="BG41" i="60"/>
  <c r="BF41" i="60"/>
  <c r="BE41" i="60"/>
  <c r="BD41" i="60"/>
  <c r="BC41" i="60"/>
  <c r="BL40" i="60"/>
  <c r="BK40" i="60"/>
  <c r="BJ40" i="60"/>
  <c r="BI40" i="60"/>
  <c r="BH40" i="60"/>
  <c r="BG40" i="60"/>
  <c r="BF40" i="60"/>
  <c r="BE40" i="60"/>
  <c r="BD40" i="60"/>
  <c r="BC40" i="60"/>
  <c r="N39" i="60"/>
  <c r="M39" i="60"/>
  <c r="L39" i="60"/>
  <c r="K39" i="60"/>
  <c r="J39" i="60"/>
  <c r="I39" i="60"/>
  <c r="H39" i="60"/>
  <c r="G39" i="60"/>
  <c r="F39" i="60"/>
  <c r="BL38" i="60"/>
  <c r="BK38" i="60"/>
  <c r="BJ38" i="60"/>
  <c r="BI38" i="60"/>
  <c r="BH38" i="60"/>
  <c r="BG38" i="60"/>
  <c r="BF38" i="60"/>
  <c r="BE38" i="60"/>
  <c r="BC38" i="60"/>
  <c r="BC37" i="60"/>
  <c r="BC36" i="60"/>
  <c r="R36" i="60"/>
  <c r="BC35" i="60"/>
  <c r="BC34" i="60"/>
  <c r="BC33" i="60"/>
  <c r="M32" i="60"/>
  <c r="L32" i="60"/>
  <c r="K32" i="60"/>
  <c r="J32" i="60"/>
  <c r="I32" i="60"/>
  <c r="H32" i="60"/>
  <c r="G32" i="60"/>
  <c r="F32" i="60"/>
  <c r="M30" i="60"/>
  <c r="L30" i="60"/>
  <c r="K30" i="60"/>
  <c r="J30" i="60"/>
  <c r="I30" i="60"/>
  <c r="H30" i="60"/>
  <c r="G30" i="60"/>
  <c r="F30" i="60"/>
  <c r="BC29" i="60"/>
  <c r="BL28" i="60"/>
  <c r="BK28" i="60"/>
  <c r="BJ28" i="60"/>
  <c r="BI28" i="60"/>
  <c r="BH28" i="60"/>
  <c r="BG28" i="60"/>
  <c r="BF28" i="60"/>
  <c r="BE28" i="60"/>
  <c r="BD28" i="60"/>
  <c r="BC28" i="60"/>
  <c r="BL27" i="60"/>
  <c r="BK27" i="60"/>
  <c r="BJ27" i="60"/>
  <c r="BI27" i="60"/>
  <c r="BH27" i="60"/>
  <c r="BG27" i="60"/>
  <c r="BF27" i="60"/>
  <c r="BE27" i="60"/>
  <c r="BD27" i="60"/>
  <c r="M27" i="60"/>
  <c r="L27" i="60"/>
  <c r="K27" i="60"/>
  <c r="J27" i="60"/>
  <c r="I27" i="60"/>
  <c r="H27" i="60"/>
  <c r="G27" i="60"/>
  <c r="F27" i="60"/>
  <c r="BL26" i="60"/>
  <c r="BK26" i="60"/>
  <c r="BJ26" i="60"/>
  <c r="BI26" i="60"/>
  <c r="BH26" i="60"/>
  <c r="BG26" i="60"/>
  <c r="BF26" i="60"/>
  <c r="BE26" i="60"/>
  <c r="BD26" i="60"/>
  <c r="BL25" i="60"/>
  <c r="BK25" i="60"/>
  <c r="BJ25" i="60"/>
  <c r="BI25" i="60"/>
  <c r="BH25" i="60"/>
  <c r="BG25" i="60"/>
  <c r="BF25" i="60"/>
  <c r="BE25" i="60"/>
  <c r="BD25" i="60"/>
  <c r="M25" i="60"/>
  <c r="L25" i="60"/>
  <c r="K25" i="60"/>
  <c r="J25" i="60"/>
  <c r="I25" i="60"/>
  <c r="H25" i="60"/>
  <c r="G25" i="60"/>
  <c r="F25" i="60"/>
  <c r="BD24" i="60"/>
  <c r="BC24" i="60"/>
  <c r="BD23" i="60"/>
  <c r="BC23" i="60"/>
  <c r="BD22" i="60"/>
  <c r="M22" i="60"/>
  <c r="L22" i="60"/>
  <c r="K22" i="60"/>
  <c r="J22" i="60"/>
  <c r="I22" i="60"/>
  <c r="H22" i="60"/>
  <c r="G22" i="60"/>
  <c r="F22" i="60"/>
  <c r="BD21" i="60"/>
  <c r="BL20" i="60"/>
  <c r="BK20" i="60"/>
  <c r="BJ20" i="60"/>
  <c r="BI20" i="60"/>
  <c r="BH20" i="60"/>
  <c r="BG20" i="60"/>
  <c r="BF20" i="60"/>
  <c r="BE20" i="60"/>
  <c r="BD20" i="60"/>
  <c r="M20" i="60"/>
  <c r="L20" i="60"/>
  <c r="K20" i="60"/>
  <c r="J20" i="60"/>
  <c r="I20" i="60"/>
  <c r="H20" i="60"/>
  <c r="G20" i="60"/>
  <c r="F20" i="60"/>
  <c r="BL19" i="60"/>
  <c r="BK19" i="60"/>
  <c r="BJ19" i="60"/>
  <c r="BI19" i="60"/>
  <c r="BH19" i="60"/>
  <c r="BG19" i="60"/>
  <c r="BF19" i="60"/>
  <c r="BE19" i="60"/>
  <c r="BD19" i="60"/>
  <c r="BC19" i="60"/>
  <c r="BL18" i="60"/>
  <c r="BK18" i="60"/>
  <c r="BJ18" i="60"/>
  <c r="BI18" i="60"/>
  <c r="BH18" i="60"/>
  <c r="BG18" i="60"/>
  <c r="BF18" i="60"/>
  <c r="BE18" i="60"/>
  <c r="BD18" i="60"/>
  <c r="BC18" i="60"/>
  <c r="BL17" i="60"/>
  <c r="BK17" i="60"/>
  <c r="BJ17" i="60"/>
  <c r="BI17" i="60"/>
  <c r="BH17" i="60"/>
  <c r="BG17" i="60"/>
  <c r="BF17" i="60"/>
  <c r="BE17" i="60"/>
  <c r="BD17" i="60"/>
  <c r="M17" i="60"/>
  <c r="L17" i="60"/>
  <c r="K17" i="60"/>
  <c r="J17" i="60"/>
  <c r="I17" i="60"/>
  <c r="H17" i="60"/>
  <c r="G17" i="60"/>
  <c r="F17" i="60"/>
  <c r="BL16" i="60"/>
  <c r="BK16" i="60"/>
  <c r="BJ16" i="60"/>
  <c r="BI16" i="60"/>
  <c r="BH16" i="60"/>
  <c r="BG16" i="60"/>
  <c r="BF16" i="60"/>
  <c r="BE16" i="60"/>
  <c r="BD16" i="60"/>
  <c r="M16" i="60"/>
  <c r="BL21" i="60" s="1"/>
  <c r="L16" i="60"/>
  <c r="BK21" i="60" s="1"/>
  <c r="K16" i="60"/>
  <c r="BJ21" i="60" s="1"/>
  <c r="J16" i="60"/>
  <c r="BI21" i="60" s="1"/>
  <c r="I16" i="60"/>
  <c r="BH21" i="60" s="1"/>
  <c r="H16" i="60"/>
  <c r="BG21" i="60" s="1"/>
  <c r="G16" i="60"/>
  <c r="BF21" i="60" s="1"/>
  <c r="F16" i="60"/>
  <c r="BL15" i="60"/>
  <c r="BK15" i="60"/>
  <c r="BJ15" i="60"/>
  <c r="BI15" i="60"/>
  <c r="BH15" i="60"/>
  <c r="BG15" i="60"/>
  <c r="BF15" i="60"/>
  <c r="BE15" i="60"/>
  <c r="BD15" i="60"/>
  <c r="M15" i="60"/>
  <c r="L15" i="60"/>
  <c r="K15" i="60"/>
  <c r="J15" i="60"/>
  <c r="I15" i="60"/>
  <c r="H15" i="60"/>
  <c r="G15" i="60"/>
  <c r="F15" i="60"/>
  <c r="BL14" i="60"/>
  <c r="BK14" i="60"/>
  <c r="BJ14" i="60"/>
  <c r="BI14" i="60"/>
  <c r="BH14" i="60"/>
  <c r="BG14" i="60"/>
  <c r="BF14" i="60"/>
  <c r="BE14" i="60"/>
  <c r="BD14" i="60"/>
  <c r="BL13" i="60"/>
  <c r="BK13" i="60"/>
  <c r="BJ13" i="60"/>
  <c r="BI13" i="60"/>
  <c r="BH13" i="60"/>
  <c r="BG13" i="60"/>
  <c r="BF13" i="60"/>
  <c r="BE13" i="60"/>
  <c r="BD13" i="60"/>
  <c r="BL11" i="60"/>
  <c r="BK11" i="60"/>
  <c r="BJ11" i="60"/>
  <c r="BI11" i="60"/>
  <c r="BH11" i="60"/>
  <c r="BG11" i="60"/>
  <c r="BF11" i="60"/>
  <c r="BE11" i="60"/>
  <c r="N11" i="60"/>
  <c r="M11" i="60"/>
  <c r="L11" i="60"/>
  <c r="K11" i="60"/>
  <c r="J11" i="60"/>
  <c r="I11" i="60"/>
  <c r="H11" i="60"/>
  <c r="G11" i="60"/>
  <c r="F11" i="60"/>
  <c r="R8" i="60"/>
  <c r="M5" i="60"/>
  <c r="M181" i="60" s="1"/>
  <c r="BL173" i="60" s="1"/>
  <c r="BC185" i="61" l="1"/>
  <c r="BC76" i="60"/>
  <c r="BC103" i="60"/>
  <c r="BC130" i="60"/>
  <c r="BC39" i="61"/>
  <c r="BC106" i="61"/>
  <c r="BC175" i="61"/>
  <c r="BC25" i="61"/>
  <c r="BC20" i="60"/>
  <c r="BC52" i="61"/>
  <c r="BC57" i="61"/>
  <c r="BC47" i="61"/>
  <c r="BC130" i="61"/>
  <c r="BC103" i="61"/>
  <c r="BC157" i="61"/>
  <c r="BC76" i="61"/>
  <c r="BC39" i="60"/>
  <c r="BC157" i="60"/>
  <c r="F181" i="61"/>
  <c r="BE173" i="61" s="1"/>
  <c r="BD156" i="60"/>
  <c r="BD82" i="60"/>
  <c r="BD108" i="60"/>
  <c r="M21" i="61"/>
  <c r="BL22" i="61" s="1"/>
  <c r="F26" i="61"/>
  <c r="BE23" i="61" s="1"/>
  <c r="BC22" i="61"/>
  <c r="F161" i="61"/>
  <c r="BE169" i="61" s="1"/>
  <c r="M166" i="61"/>
  <c r="BL170" i="61" s="1"/>
  <c r="K171" i="61"/>
  <c r="BJ171" i="61" s="1"/>
  <c r="M43" i="61"/>
  <c r="BL52" i="61" s="1"/>
  <c r="I80" i="61"/>
  <c r="BH91" i="61" s="1"/>
  <c r="K26" i="61"/>
  <c r="BJ23" i="61" s="1"/>
  <c r="F43" i="61"/>
  <c r="BE52" i="61" s="1"/>
  <c r="K21" i="61"/>
  <c r="BJ22" i="61" s="1"/>
  <c r="M31" i="61"/>
  <c r="BL24" i="61" s="1"/>
  <c r="I68" i="61"/>
  <c r="BH57" i="61" s="1"/>
  <c r="M80" i="61"/>
  <c r="BL91" i="61" s="1"/>
  <c r="H63" i="61"/>
  <c r="BG56" i="61" s="1"/>
  <c r="H68" i="61"/>
  <c r="BG57" i="61" s="1"/>
  <c r="K48" i="61"/>
  <c r="BJ53" i="61" s="1"/>
  <c r="K176" i="61"/>
  <c r="BJ172" i="61" s="1"/>
  <c r="M53" i="61"/>
  <c r="BL54" i="61" s="1"/>
  <c r="L63" i="61"/>
  <c r="BK56" i="61" s="1"/>
  <c r="L68" i="61"/>
  <c r="BK57" i="61" s="1"/>
  <c r="L176" i="61"/>
  <c r="BK172" i="61" s="1"/>
  <c r="G139" i="61"/>
  <c r="BF143" i="61" s="1"/>
  <c r="G134" i="61"/>
  <c r="BF142" i="61" s="1"/>
  <c r="I134" i="61"/>
  <c r="BH142" i="61" s="1"/>
  <c r="I5" i="62"/>
  <c r="I58" i="61"/>
  <c r="BH55" i="61" s="1"/>
  <c r="BC81" i="61"/>
  <c r="H134" i="61"/>
  <c r="BG142" i="61" s="1"/>
  <c r="I139" i="61"/>
  <c r="BH143" i="61" s="1"/>
  <c r="H161" i="61"/>
  <c r="BG169" i="61" s="1"/>
  <c r="H181" i="61"/>
  <c r="BG173" i="61" s="1"/>
  <c r="I186" i="61"/>
  <c r="BH174" i="61" s="1"/>
  <c r="J166" i="61"/>
  <c r="BI170" i="61" s="1"/>
  <c r="J5" i="62"/>
  <c r="F21" i="61"/>
  <c r="F31" i="61"/>
  <c r="BE24" i="61" s="1"/>
  <c r="H31" i="61"/>
  <c r="BG24" i="61" s="1"/>
  <c r="G43" i="61"/>
  <c r="BF52" i="61" s="1"/>
  <c r="L53" i="61"/>
  <c r="BK54" i="61" s="1"/>
  <c r="F58" i="61"/>
  <c r="K63" i="61"/>
  <c r="BJ56" i="61" s="1"/>
  <c r="BC64" i="61"/>
  <c r="K68" i="61"/>
  <c r="BJ57" i="61" s="1"/>
  <c r="BC140" i="61"/>
  <c r="I161" i="61"/>
  <c r="BH169" i="61" s="1"/>
  <c r="M176" i="61"/>
  <c r="BL172" i="61" s="1"/>
  <c r="BC177" i="61"/>
  <c r="I181" i="61"/>
  <c r="BH173" i="61" s="1"/>
  <c r="BC187" i="61"/>
  <c r="G186" i="61"/>
  <c r="BF174" i="61" s="1"/>
  <c r="H139" i="61"/>
  <c r="BG143" i="61" s="1"/>
  <c r="G161" i="61"/>
  <c r="BF169" i="61" s="1"/>
  <c r="K134" i="61"/>
  <c r="BJ142" i="61" s="1"/>
  <c r="K5" i="62"/>
  <c r="G21" i="61"/>
  <c r="BF22" i="61" s="1"/>
  <c r="G26" i="61"/>
  <c r="BF23" i="61" s="1"/>
  <c r="L166" i="61"/>
  <c r="BK170" i="61" s="1"/>
  <c r="L5" i="62"/>
  <c r="H21" i="61"/>
  <c r="BG22" i="61" s="1"/>
  <c r="H26" i="61"/>
  <c r="BG23" i="61" s="1"/>
  <c r="BC32" i="61"/>
  <c r="I43" i="61"/>
  <c r="BH52" i="61" s="1"/>
  <c r="G48" i="61"/>
  <c r="BF53" i="61" s="1"/>
  <c r="F48" i="61"/>
  <c r="BE53" i="61" s="1"/>
  <c r="L58" i="61"/>
  <c r="BK55" i="61" s="1"/>
  <c r="M63" i="61"/>
  <c r="BL56" i="61" s="1"/>
  <c r="L139" i="61"/>
  <c r="BK143" i="61" s="1"/>
  <c r="BC162" i="61"/>
  <c r="H166" i="61"/>
  <c r="BG170" i="61" s="1"/>
  <c r="G171" i="61"/>
  <c r="BF171" i="61" s="1"/>
  <c r="L186" i="61"/>
  <c r="BK174" i="61" s="1"/>
  <c r="G68" i="61"/>
  <c r="BF57" i="61" s="1"/>
  <c r="H176" i="61"/>
  <c r="BG172" i="61" s="1"/>
  <c r="H5" i="62"/>
  <c r="BC59" i="61"/>
  <c r="H186" i="61"/>
  <c r="BG174" i="61" s="1"/>
  <c r="G31" i="61"/>
  <c r="BF24" i="61" s="1"/>
  <c r="K58" i="61"/>
  <c r="BJ55" i="61" s="1"/>
  <c r="G58" i="61"/>
  <c r="BF55" i="61" s="1"/>
  <c r="BC172" i="61"/>
  <c r="M68" i="61"/>
  <c r="BL57" i="61" s="1"/>
  <c r="M5" i="62"/>
  <c r="BC17" i="61"/>
  <c r="I21" i="61"/>
  <c r="BH22" i="61" s="1"/>
  <c r="I26" i="61"/>
  <c r="BH23" i="61" s="1"/>
  <c r="I31" i="61"/>
  <c r="BH24" i="61" s="1"/>
  <c r="J43" i="61"/>
  <c r="BI52" i="61" s="1"/>
  <c r="H48" i="61"/>
  <c r="BG53" i="61" s="1"/>
  <c r="M48" i="61"/>
  <c r="BL53" i="61" s="1"/>
  <c r="G53" i="61"/>
  <c r="BF54" i="61" s="1"/>
  <c r="M58" i="61"/>
  <c r="BL55" i="61" s="1"/>
  <c r="F63" i="61"/>
  <c r="G80" i="61"/>
  <c r="BF91" i="61" s="1"/>
  <c r="L134" i="61"/>
  <c r="BK142" i="61" s="1"/>
  <c r="M139" i="61"/>
  <c r="BL143" i="61" s="1"/>
  <c r="L161" i="61"/>
  <c r="BK169" i="61" s="1"/>
  <c r="I166" i="61"/>
  <c r="BH170" i="61" s="1"/>
  <c r="H171" i="61"/>
  <c r="BG171" i="61" s="1"/>
  <c r="L181" i="61"/>
  <c r="BK173" i="61" s="1"/>
  <c r="M186" i="61"/>
  <c r="BL174" i="61" s="1"/>
  <c r="G43" i="62"/>
  <c r="BF52" i="62" s="1"/>
  <c r="G21" i="62"/>
  <c r="BF22" i="62" s="1"/>
  <c r="G139" i="62"/>
  <c r="BF143" i="62" s="1"/>
  <c r="G161" i="62"/>
  <c r="BF169" i="62" s="1"/>
  <c r="G171" i="62"/>
  <c r="BF171" i="62" s="1"/>
  <c r="G80" i="62"/>
  <c r="BF91" i="62" s="1"/>
  <c r="G186" i="62"/>
  <c r="BF174" i="62" s="1"/>
  <c r="G181" i="62"/>
  <c r="BF173" i="62" s="1"/>
  <c r="G63" i="62"/>
  <c r="BF56" i="62" s="1"/>
  <c r="G31" i="62"/>
  <c r="BF24" i="62" s="1"/>
  <c r="G58" i="62"/>
  <c r="BF55" i="62" s="1"/>
  <c r="G68" i="62"/>
  <c r="BF57" i="62" s="1"/>
  <c r="G134" i="62"/>
  <c r="BF142" i="62" s="1"/>
  <c r="G166" i="62"/>
  <c r="BF170" i="62" s="1"/>
  <c r="G176" i="62"/>
  <c r="BF172" i="62" s="1"/>
  <c r="G48" i="62"/>
  <c r="BF53" i="62" s="1"/>
  <c r="G26" i="62"/>
  <c r="BF23" i="62" s="1"/>
  <c r="G53" i="62"/>
  <c r="BF54" i="62" s="1"/>
  <c r="G181" i="61"/>
  <c r="BF173" i="61" s="1"/>
  <c r="H43" i="61"/>
  <c r="BG52" i="61" s="1"/>
  <c r="P73" i="61"/>
  <c r="G166" i="61"/>
  <c r="BF170" i="61" s="1"/>
  <c r="BC182" i="61"/>
  <c r="F171" i="61"/>
  <c r="BE171" i="61" s="1"/>
  <c r="F5" i="62"/>
  <c r="J21" i="61"/>
  <c r="BI22" i="61" s="1"/>
  <c r="J26" i="61"/>
  <c r="BI23" i="61" s="1"/>
  <c r="BC27" i="61"/>
  <c r="K43" i="61"/>
  <c r="BJ52" i="61" s="1"/>
  <c r="H53" i="61"/>
  <c r="BG54" i="61" s="1"/>
  <c r="G63" i="61"/>
  <c r="BF56" i="61" s="1"/>
  <c r="F68" i="61"/>
  <c r="BE57" i="61" s="1"/>
  <c r="H80" i="61"/>
  <c r="BG91" i="61" s="1"/>
  <c r="K80" i="61"/>
  <c r="BJ91" i="61" s="1"/>
  <c r="M134" i="61"/>
  <c r="BL142" i="61" s="1"/>
  <c r="M161" i="61"/>
  <c r="BL169" i="61" s="1"/>
  <c r="BC167" i="61"/>
  <c r="I171" i="61"/>
  <c r="BH171" i="61" s="1"/>
  <c r="L171" i="61"/>
  <c r="BK171" i="61" s="1"/>
  <c r="I176" i="61"/>
  <c r="BH172" i="61" s="1"/>
  <c r="G176" i="61"/>
  <c r="BF172" i="61" s="1"/>
  <c r="M181" i="61"/>
  <c r="BL173" i="61" s="1"/>
  <c r="D15" i="61"/>
  <c r="BI21" i="61"/>
  <c r="BC44" i="61"/>
  <c r="BC69" i="61"/>
  <c r="BC133" i="61"/>
  <c r="BC165" i="61"/>
  <c r="J171" i="61"/>
  <c r="BI171" i="61" s="1"/>
  <c r="J53" i="61"/>
  <c r="BI54" i="61" s="1"/>
  <c r="J58" i="61"/>
  <c r="BI55" i="61" s="1"/>
  <c r="BE55" i="61"/>
  <c r="D106" i="61"/>
  <c r="J134" i="61"/>
  <c r="BI142" i="61" s="1"/>
  <c r="BC138" i="61"/>
  <c r="BC160" i="61"/>
  <c r="K161" i="61"/>
  <c r="BJ169" i="61" s="1"/>
  <c r="P100" i="61"/>
  <c r="J176" i="61"/>
  <c r="BI172" i="61" s="1"/>
  <c r="J181" i="61"/>
  <c r="BI173" i="61" s="1"/>
  <c r="J161" i="61"/>
  <c r="BI169" i="61" s="1"/>
  <c r="J63" i="61"/>
  <c r="BI56" i="61" s="1"/>
  <c r="J80" i="61"/>
  <c r="BI91" i="61" s="1"/>
  <c r="J31" i="61"/>
  <c r="BI24" i="61" s="1"/>
  <c r="J68" i="61"/>
  <c r="BI57" i="61" s="1"/>
  <c r="J48" i="61"/>
  <c r="BI53" i="61" s="1"/>
  <c r="BC49" i="61"/>
  <c r="BC54" i="61"/>
  <c r="BC79" i="61"/>
  <c r="BC135" i="61"/>
  <c r="J139" i="61"/>
  <c r="BI143" i="61" s="1"/>
  <c r="BC67" i="61"/>
  <c r="BC170" i="61"/>
  <c r="J186" i="61"/>
  <c r="BI174" i="61" s="1"/>
  <c r="F80" i="61"/>
  <c r="BC107" i="61"/>
  <c r="BE117" i="61"/>
  <c r="K181" i="61"/>
  <c r="BJ173" i="61" s="1"/>
  <c r="BC20" i="61"/>
  <c r="L43" i="61"/>
  <c r="BK52" i="61" s="1"/>
  <c r="BC62" i="61"/>
  <c r="BC108" i="61"/>
  <c r="K53" i="61"/>
  <c r="BJ54" i="61" s="1"/>
  <c r="BC42" i="61"/>
  <c r="I48" i="61"/>
  <c r="BH53" i="61" s="1"/>
  <c r="F53" i="61"/>
  <c r="F134" i="61"/>
  <c r="K139" i="61"/>
  <c r="BJ143" i="61" s="1"/>
  <c r="F166" i="61"/>
  <c r="K186" i="61"/>
  <c r="BJ174" i="61" s="1"/>
  <c r="K166" i="61"/>
  <c r="BJ170" i="61" s="1"/>
  <c r="L26" i="61"/>
  <c r="BK23" i="61" s="1"/>
  <c r="K31" i="61"/>
  <c r="BJ24" i="61" s="1"/>
  <c r="L48" i="61"/>
  <c r="BK53" i="61" s="1"/>
  <c r="I53" i="61"/>
  <c r="BH54" i="61" s="1"/>
  <c r="F139" i="61"/>
  <c r="F186" i="61"/>
  <c r="BC30" i="61"/>
  <c r="L166" i="60"/>
  <c r="BK170" i="60" s="1"/>
  <c r="L63" i="60"/>
  <c r="BK56" i="60" s="1"/>
  <c r="L161" i="60"/>
  <c r="BK169" i="60" s="1"/>
  <c r="M48" i="60"/>
  <c r="BL53" i="60" s="1"/>
  <c r="L171" i="60"/>
  <c r="BK171" i="60" s="1"/>
  <c r="BD12" i="60"/>
  <c r="M31" i="60"/>
  <c r="BL24" i="60" s="1"/>
  <c r="BD129" i="60"/>
  <c r="L186" i="60"/>
  <c r="BK174" i="60" s="1"/>
  <c r="L26" i="60"/>
  <c r="BK23" i="60" s="1"/>
  <c r="BD39" i="60"/>
  <c r="L176" i="60"/>
  <c r="BK172" i="60" s="1"/>
  <c r="M21" i="60"/>
  <c r="BL22" i="60" s="1"/>
  <c r="L68" i="60"/>
  <c r="BK57" i="60" s="1"/>
  <c r="M68" i="60"/>
  <c r="BL57" i="60" s="1"/>
  <c r="BC69" i="60"/>
  <c r="BC27" i="60"/>
  <c r="BC64" i="60"/>
  <c r="M26" i="60"/>
  <c r="BL23" i="60" s="1"/>
  <c r="L31" i="60"/>
  <c r="BK24" i="60" s="1"/>
  <c r="L43" i="60"/>
  <c r="BK52" i="60" s="1"/>
  <c r="L58" i="60"/>
  <c r="BK55" i="60" s="1"/>
  <c r="M186" i="60"/>
  <c r="BL174" i="60" s="1"/>
  <c r="BC162" i="60"/>
  <c r="BC32" i="60"/>
  <c r="M58" i="60"/>
  <c r="BL55" i="60" s="1"/>
  <c r="L139" i="60"/>
  <c r="BK143" i="60" s="1"/>
  <c r="BC17" i="60"/>
  <c r="L21" i="60"/>
  <c r="BK22" i="60" s="1"/>
  <c r="BC49" i="60"/>
  <c r="BC59" i="60"/>
  <c r="BC177" i="60"/>
  <c r="M43" i="60"/>
  <c r="BL52" i="60" s="1"/>
  <c r="L48" i="60"/>
  <c r="BK53" i="60" s="1"/>
  <c r="L53" i="60"/>
  <c r="BK54" i="60" s="1"/>
  <c r="L134" i="60"/>
  <c r="BK142" i="60" s="1"/>
  <c r="M166" i="60"/>
  <c r="BL170" i="60" s="1"/>
  <c r="M176" i="60"/>
  <c r="BL172" i="60" s="1"/>
  <c r="L181" i="60"/>
  <c r="BK173" i="60" s="1"/>
  <c r="BC187" i="60"/>
  <c r="BC107" i="60"/>
  <c r="P100" i="60"/>
  <c r="BC135" i="60"/>
  <c r="BC22" i="60"/>
  <c r="BC108" i="60"/>
  <c r="BC30" i="60"/>
  <c r="M53" i="60"/>
  <c r="BL54" i="60" s="1"/>
  <c r="M80" i="60"/>
  <c r="BL91" i="60" s="1"/>
  <c r="BC140" i="60"/>
  <c r="BC172" i="60"/>
  <c r="BC175" i="60"/>
  <c r="BC54" i="60"/>
  <c r="BC62" i="60"/>
  <c r="BC180" i="60"/>
  <c r="BC133" i="60"/>
  <c r="BC185" i="60"/>
  <c r="M161" i="60"/>
  <c r="BL169" i="60" s="1"/>
  <c r="M171" i="60"/>
  <c r="BL171" i="60" s="1"/>
  <c r="BC42" i="60"/>
  <c r="BC81" i="60"/>
  <c r="P73" i="60"/>
  <c r="D15" i="60"/>
  <c r="BE21" i="60"/>
  <c r="BC44" i="60"/>
  <c r="BC52" i="60"/>
  <c r="M63" i="60"/>
  <c r="BL56" i="60" s="1"/>
  <c r="BC79" i="60"/>
  <c r="BC106" i="60"/>
  <c r="M134" i="60"/>
  <c r="BL142" i="60" s="1"/>
  <c r="M139" i="60"/>
  <c r="BL143" i="60" s="1"/>
  <c r="BC165" i="60"/>
  <c r="BC167" i="60"/>
  <c r="BC57" i="60"/>
  <c r="BC160" i="60"/>
  <c r="D106" i="60"/>
  <c r="BC138" i="60"/>
  <c r="BC170" i="60"/>
  <c r="BC182" i="60"/>
  <c r="BC25" i="60"/>
  <c r="BC47" i="60"/>
  <c r="BC67" i="60"/>
  <c r="L80" i="60"/>
  <c r="BK91" i="60" s="1"/>
  <c r="G5" i="42"/>
  <c r="G5" i="60" s="1"/>
  <c r="G80" i="60" s="1"/>
  <c r="BF91" i="60" s="1"/>
  <c r="F5" i="42"/>
  <c r="F5" i="60" s="1"/>
  <c r="F80" i="60" s="1"/>
  <c r="BE91" i="60" s="1"/>
  <c r="H5" i="42"/>
  <c r="H5" i="60" s="1"/>
  <c r="H171" i="60" s="1"/>
  <c r="BG171" i="60" s="1"/>
  <c r="M5" i="42"/>
  <c r="L5" i="42"/>
  <c r="K5" i="42"/>
  <c r="K5" i="60" s="1"/>
  <c r="K166" i="60" s="1"/>
  <c r="BJ170" i="60" s="1"/>
  <c r="J5" i="42"/>
  <c r="J5" i="60" s="1"/>
  <c r="J181" i="60" s="1"/>
  <c r="BI173" i="60" s="1"/>
  <c r="I5" i="42"/>
  <c r="I5" i="60" s="1"/>
  <c r="I26" i="60" s="1"/>
  <c r="BH23" i="60" s="1"/>
  <c r="BC18" i="42"/>
  <c r="BC19" i="42"/>
  <c r="BC23" i="42"/>
  <c r="BC24" i="42"/>
  <c r="BC28" i="42"/>
  <c r="BC29" i="42"/>
  <c r="BC33" i="42"/>
  <c r="BC34" i="42"/>
  <c r="BC35" i="42"/>
  <c r="BC36" i="42"/>
  <c r="BC37" i="42"/>
  <c r="BC38" i="42"/>
  <c r="BC40" i="42"/>
  <c r="BC41" i="42"/>
  <c r="BC45" i="42"/>
  <c r="BC46" i="42"/>
  <c r="BC50" i="42"/>
  <c r="BC51" i="42"/>
  <c r="BC55" i="42"/>
  <c r="BC56" i="42"/>
  <c r="BC60" i="42"/>
  <c r="BC61" i="42"/>
  <c r="BC65" i="42"/>
  <c r="BC66" i="42"/>
  <c r="BC70" i="42"/>
  <c r="BC71" i="42"/>
  <c r="BC72" i="42"/>
  <c r="BC73" i="42"/>
  <c r="BC74" i="42"/>
  <c r="BC75" i="42"/>
  <c r="BC77" i="42"/>
  <c r="BC78" i="42"/>
  <c r="BC82" i="42"/>
  <c r="BC83" i="42"/>
  <c r="BC84" i="42"/>
  <c r="BC85" i="42"/>
  <c r="BC86" i="42"/>
  <c r="BC87" i="42"/>
  <c r="BC88" i="42"/>
  <c r="BC89" i="42"/>
  <c r="BC90" i="42"/>
  <c r="BC91" i="42"/>
  <c r="BC92" i="42"/>
  <c r="BC93" i="42"/>
  <c r="BC94" i="42"/>
  <c r="BC95" i="42"/>
  <c r="BC96" i="42"/>
  <c r="BC97" i="42"/>
  <c r="BC98" i="42"/>
  <c r="BC99" i="42"/>
  <c r="BC100" i="42"/>
  <c r="BC101" i="42"/>
  <c r="BC102" i="42"/>
  <c r="BC104" i="42"/>
  <c r="BC105" i="42"/>
  <c r="BC109" i="42"/>
  <c r="BC110" i="42"/>
  <c r="BC111" i="42"/>
  <c r="BC112" i="42"/>
  <c r="BC113" i="42"/>
  <c r="BC114" i="42"/>
  <c r="BC115" i="42"/>
  <c r="BC116" i="42"/>
  <c r="BC117" i="42"/>
  <c r="BC118" i="42"/>
  <c r="BC119" i="42"/>
  <c r="BC120" i="42"/>
  <c r="BC121" i="42"/>
  <c r="BC122" i="42"/>
  <c r="BC123" i="42"/>
  <c r="BC124" i="42"/>
  <c r="BC125" i="42"/>
  <c r="BC126" i="42"/>
  <c r="BC127" i="42"/>
  <c r="BC128" i="42"/>
  <c r="BC129" i="42"/>
  <c r="BC131" i="42"/>
  <c r="BC132" i="42"/>
  <c r="BC136" i="42"/>
  <c r="BC137" i="42"/>
  <c r="BC141" i="42"/>
  <c r="BC142" i="42"/>
  <c r="BC143" i="42"/>
  <c r="BC144" i="42"/>
  <c r="BC145" i="42"/>
  <c r="BC146" i="42"/>
  <c r="BC147" i="42"/>
  <c r="BC148" i="42"/>
  <c r="BC149" i="42"/>
  <c r="BC150" i="42"/>
  <c r="BC151" i="42"/>
  <c r="BC152" i="42"/>
  <c r="BC153" i="42"/>
  <c r="BC154" i="42"/>
  <c r="BC155" i="42"/>
  <c r="BC156" i="42"/>
  <c r="BC158" i="42"/>
  <c r="BC159" i="42"/>
  <c r="BC163" i="42"/>
  <c r="BC164" i="42"/>
  <c r="BC168" i="42"/>
  <c r="BC169" i="42"/>
  <c r="BC173" i="42"/>
  <c r="BC174" i="42"/>
  <c r="BC178" i="42"/>
  <c r="BC179" i="42"/>
  <c r="BC183" i="42"/>
  <c r="BC184" i="42"/>
  <c r="BC18" i="52"/>
  <c r="BC19" i="52"/>
  <c r="BC23" i="52"/>
  <c r="BC24" i="52"/>
  <c r="BC28" i="52"/>
  <c r="BC29" i="52"/>
  <c r="BC33" i="52"/>
  <c r="BC34" i="52"/>
  <c r="BC35" i="52"/>
  <c r="BC36" i="52"/>
  <c r="BC37" i="52"/>
  <c r="BC38" i="52"/>
  <c r="BC40" i="52"/>
  <c r="BC41" i="52"/>
  <c r="BC45" i="52"/>
  <c r="BC46" i="52"/>
  <c r="BC47" i="52"/>
  <c r="BC48" i="52"/>
  <c r="BC49" i="52"/>
  <c r="BC50" i="52"/>
  <c r="BC51" i="52"/>
  <c r="BC52" i="52"/>
  <c r="BC53" i="52"/>
  <c r="BC54" i="52"/>
  <c r="BC55" i="52"/>
  <c r="BC56" i="52"/>
  <c r="BC57" i="52"/>
  <c r="BC58" i="52"/>
  <c r="BC59" i="52"/>
  <c r="BC60" i="52"/>
  <c r="BC61" i="52"/>
  <c r="BC62" i="52"/>
  <c r="BC63" i="52"/>
  <c r="BC64" i="52"/>
  <c r="BC65" i="52"/>
  <c r="BC67" i="52"/>
  <c r="BC68" i="52"/>
  <c r="BC72" i="52"/>
  <c r="BC73" i="52"/>
  <c r="BC77" i="52"/>
  <c r="BC78" i="52"/>
  <c r="BC82" i="52"/>
  <c r="BC83" i="52"/>
  <c r="BC87" i="52"/>
  <c r="BC88" i="52"/>
  <c r="BC92" i="52"/>
  <c r="BC93" i="52"/>
  <c r="BC97" i="52"/>
  <c r="BC98" i="52"/>
  <c r="BC99" i="52"/>
  <c r="BC100" i="52"/>
  <c r="BC101" i="52"/>
  <c r="BC102" i="52"/>
  <c r="BC104" i="52"/>
  <c r="BC105" i="52"/>
  <c r="BC109" i="52"/>
  <c r="BC110" i="52"/>
  <c r="BC111" i="52"/>
  <c r="BC112" i="52"/>
  <c r="BC113" i="52"/>
  <c r="BC114" i="52"/>
  <c r="BC115" i="52"/>
  <c r="BC116" i="52"/>
  <c r="BC117" i="52"/>
  <c r="BC118" i="52"/>
  <c r="BC119" i="52"/>
  <c r="BC120" i="52"/>
  <c r="BC121" i="52"/>
  <c r="BC122" i="52"/>
  <c r="BC123" i="52"/>
  <c r="BC124" i="52"/>
  <c r="BC125" i="52"/>
  <c r="BC126" i="52"/>
  <c r="BC127" i="52"/>
  <c r="BC128" i="52"/>
  <c r="BC129" i="52"/>
  <c r="BC131" i="52"/>
  <c r="BC132" i="52"/>
  <c r="BC133" i="52"/>
  <c r="BC137" i="52"/>
  <c r="BC138" i="52"/>
  <c r="BC139" i="52"/>
  <c r="BC140" i="52"/>
  <c r="BC141" i="52"/>
  <c r="BC142" i="52"/>
  <c r="BC143" i="52"/>
  <c r="BC144" i="52"/>
  <c r="BC145" i="52"/>
  <c r="BC146" i="52"/>
  <c r="BC147" i="52"/>
  <c r="BC148" i="52"/>
  <c r="BC149" i="52"/>
  <c r="BC150" i="52"/>
  <c r="BC151" i="52"/>
  <c r="BC152" i="52"/>
  <c r="BC153" i="52"/>
  <c r="BC154" i="52"/>
  <c r="BC155" i="52"/>
  <c r="BC156" i="52"/>
  <c r="BC157" i="52"/>
  <c r="BC159" i="52"/>
  <c r="BC160" i="52"/>
  <c r="BC164" i="52"/>
  <c r="BC165" i="52"/>
  <c r="BC166" i="52"/>
  <c r="BC167" i="52"/>
  <c r="BC168" i="52"/>
  <c r="BC169" i="52"/>
  <c r="BC170" i="52"/>
  <c r="BC171" i="52"/>
  <c r="BC172" i="52"/>
  <c r="BC173" i="52"/>
  <c r="BC174" i="52"/>
  <c r="BC175" i="52"/>
  <c r="BC176" i="52"/>
  <c r="BC177" i="52"/>
  <c r="BC178" i="52"/>
  <c r="BC179" i="52"/>
  <c r="BC180" i="52"/>
  <c r="BC181" i="52"/>
  <c r="BC182" i="52"/>
  <c r="BC183" i="52"/>
  <c r="BC184" i="52"/>
  <c r="BC186" i="52"/>
  <c r="BC187" i="52"/>
  <c r="BC191" i="52"/>
  <c r="BC192" i="52"/>
  <c r="BC196" i="52"/>
  <c r="BC197" i="52"/>
  <c r="BC198" i="52"/>
  <c r="BC199" i="52"/>
  <c r="BC200" i="52"/>
  <c r="BC201" i="52"/>
  <c r="BC202" i="52"/>
  <c r="BC203" i="52"/>
  <c r="BC204" i="52"/>
  <c r="BC205" i="52"/>
  <c r="BC206" i="52"/>
  <c r="BC207" i="52"/>
  <c r="BC208" i="52"/>
  <c r="BC209" i="52"/>
  <c r="BC210" i="52"/>
  <c r="BC211" i="52"/>
  <c r="BC213" i="52"/>
  <c r="BC214" i="52"/>
  <c r="BC218" i="52"/>
  <c r="BC219" i="52"/>
  <c r="BC223" i="52"/>
  <c r="BC224" i="52"/>
  <c r="BC228" i="52"/>
  <c r="BC229" i="52"/>
  <c r="BC233" i="52"/>
  <c r="BC234" i="52"/>
  <c r="BC238" i="52"/>
  <c r="BC239" i="52"/>
  <c r="BC243" i="52"/>
  <c r="H176" i="60" l="1"/>
  <c r="BG172" i="60" s="1"/>
  <c r="F48" i="60"/>
  <c r="H63" i="60"/>
  <c r="BG56" i="60" s="1"/>
  <c r="H166" i="60"/>
  <c r="BG170" i="60" s="1"/>
  <c r="F68" i="60"/>
  <c r="BE57" i="60" s="1"/>
  <c r="F139" i="60"/>
  <c r="H26" i="60"/>
  <c r="BG23" i="60" s="1"/>
  <c r="I139" i="60"/>
  <c r="BH143" i="60" s="1"/>
  <c r="F43" i="60"/>
  <c r="BE52" i="60" s="1"/>
  <c r="I80" i="60"/>
  <c r="BH91" i="60" s="1"/>
  <c r="H134" i="60"/>
  <c r="BG142" i="60" s="1"/>
  <c r="H31" i="60"/>
  <c r="BG24" i="60" s="1"/>
  <c r="I176" i="60"/>
  <c r="BH172" i="60" s="1"/>
  <c r="G176" i="60"/>
  <c r="BF172" i="60" s="1"/>
  <c r="G26" i="60"/>
  <c r="BF23" i="60" s="1"/>
  <c r="K139" i="60"/>
  <c r="BJ143" i="60" s="1"/>
  <c r="I63" i="60"/>
  <c r="BH56" i="60" s="1"/>
  <c r="K171" i="60"/>
  <c r="BJ171" i="60" s="1"/>
  <c r="BC21" i="61"/>
  <c r="I68" i="60"/>
  <c r="BH57" i="60" s="1"/>
  <c r="G21" i="60"/>
  <c r="BF22" i="60" s="1"/>
  <c r="G68" i="60"/>
  <c r="BF57" i="60" s="1"/>
  <c r="I43" i="60"/>
  <c r="BH52" i="60" s="1"/>
  <c r="G181" i="60"/>
  <c r="BF173" i="60" s="1"/>
  <c r="G171" i="60"/>
  <c r="BF171" i="60" s="1"/>
  <c r="G186" i="60"/>
  <c r="BF174" i="60" s="1"/>
  <c r="H21" i="60"/>
  <c r="BG22" i="60" s="1"/>
  <c r="I171" i="60"/>
  <c r="BH171" i="60" s="1"/>
  <c r="K31" i="60"/>
  <c r="BJ24" i="60" s="1"/>
  <c r="G134" i="60"/>
  <c r="BF142" i="60" s="1"/>
  <c r="I161" i="60"/>
  <c r="BH169" i="60" s="1"/>
  <c r="BE22" i="61"/>
  <c r="G43" i="60"/>
  <c r="BF52" i="60" s="1"/>
  <c r="G48" i="60"/>
  <c r="BF53" i="60" s="1"/>
  <c r="G161" i="60"/>
  <c r="BF169" i="60" s="1"/>
  <c r="K161" i="60"/>
  <c r="BJ169" i="60" s="1"/>
  <c r="I58" i="60"/>
  <c r="BH55" i="60" s="1"/>
  <c r="I31" i="60"/>
  <c r="BH24" i="60" s="1"/>
  <c r="G139" i="60"/>
  <c r="BF143" i="60" s="1"/>
  <c r="G63" i="60"/>
  <c r="BF56" i="60" s="1"/>
  <c r="I181" i="60"/>
  <c r="BH173" i="60" s="1"/>
  <c r="I186" i="60"/>
  <c r="BH174" i="60" s="1"/>
  <c r="H186" i="60"/>
  <c r="BG174" i="60" s="1"/>
  <c r="G53" i="60"/>
  <c r="BF54" i="60" s="1"/>
  <c r="F176" i="60"/>
  <c r="BE172" i="60" s="1"/>
  <c r="I134" i="60"/>
  <c r="BH142" i="60" s="1"/>
  <c r="D62" i="61"/>
  <c r="BC63" i="61"/>
  <c r="M181" i="62"/>
  <c r="BL173" i="62" s="1"/>
  <c r="M80" i="62"/>
  <c r="BL91" i="62" s="1"/>
  <c r="M63" i="62"/>
  <c r="BL56" i="62" s="1"/>
  <c r="M171" i="62"/>
  <c r="BL171" i="62" s="1"/>
  <c r="M134" i="62"/>
  <c r="BL142" i="62" s="1"/>
  <c r="M21" i="62"/>
  <c r="BL22" i="62" s="1"/>
  <c r="M139" i="62"/>
  <c r="BL143" i="62" s="1"/>
  <c r="M53" i="62"/>
  <c r="BL54" i="62" s="1"/>
  <c r="M161" i="62"/>
  <c r="BL169" i="62" s="1"/>
  <c r="M186" i="62"/>
  <c r="BL174" i="62" s="1"/>
  <c r="M43" i="62"/>
  <c r="BL52" i="62" s="1"/>
  <c r="M58" i="62"/>
  <c r="BL55" i="62" s="1"/>
  <c r="M31" i="62"/>
  <c r="BL24" i="62" s="1"/>
  <c r="M166" i="62"/>
  <c r="BL170" i="62" s="1"/>
  <c r="M48" i="62"/>
  <c r="BL53" i="62" s="1"/>
  <c r="M26" i="62"/>
  <c r="BL23" i="62" s="1"/>
  <c r="M176" i="62"/>
  <c r="BL172" i="62" s="1"/>
  <c r="M68" i="62"/>
  <c r="BL57" i="62" s="1"/>
  <c r="H171" i="62"/>
  <c r="BG171" i="62" s="1"/>
  <c r="H161" i="62"/>
  <c r="BG169" i="62" s="1"/>
  <c r="H181" i="62"/>
  <c r="BG173" i="62" s="1"/>
  <c r="H63" i="62"/>
  <c r="BG56" i="62" s="1"/>
  <c r="H26" i="62"/>
  <c r="BG23" i="62" s="1"/>
  <c r="H48" i="62"/>
  <c r="BG53" i="62" s="1"/>
  <c r="H43" i="62"/>
  <c r="BG52" i="62" s="1"/>
  <c r="H21" i="62"/>
  <c r="BG22" i="62" s="1"/>
  <c r="H58" i="62"/>
  <c r="BG55" i="62" s="1"/>
  <c r="H68" i="62"/>
  <c r="BG57" i="62" s="1"/>
  <c r="H80" i="62"/>
  <c r="BG91" i="62" s="1"/>
  <c r="H186" i="62"/>
  <c r="BG174" i="62" s="1"/>
  <c r="H176" i="62"/>
  <c r="BG172" i="62" s="1"/>
  <c r="H166" i="62"/>
  <c r="BG170" i="62" s="1"/>
  <c r="H139" i="62"/>
  <c r="BG143" i="62" s="1"/>
  <c r="H31" i="62"/>
  <c r="BG24" i="62" s="1"/>
  <c r="H134" i="62"/>
  <c r="BG142" i="62" s="1"/>
  <c r="H53" i="62"/>
  <c r="BG54" i="62" s="1"/>
  <c r="L68" i="62"/>
  <c r="BK57" i="62" s="1"/>
  <c r="L134" i="62"/>
  <c r="BK142" i="62" s="1"/>
  <c r="L80" i="62"/>
  <c r="BK91" i="62" s="1"/>
  <c r="L181" i="62"/>
  <c r="BK173" i="62" s="1"/>
  <c r="L139" i="62"/>
  <c r="BK143" i="62" s="1"/>
  <c r="L161" i="62"/>
  <c r="BK169" i="62" s="1"/>
  <c r="L31" i="62"/>
  <c r="BK24" i="62" s="1"/>
  <c r="L26" i="62"/>
  <c r="BK23" i="62" s="1"/>
  <c r="L53" i="62"/>
  <c r="BK54" i="62" s="1"/>
  <c r="L43" i="62"/>
  <c r="BK52" i="62" s="1"/>
  <c r="L63" i="62"/>
  <c r="BK56" i="62" s="1"/>
  <c r="L21" i="62"/>
  <c r="BK22" i="62" s="1"/>
  <c r="L166" i="62"/>
  <c r="BK170" i="62" s="1"/>
  <c r="L48" i="62"/>
  <c r="BK53" i="62" s="1"/>
  <c r="L58" i="62"/>
  <c r="BK55" i="62" s="1"/>
  <c r="L186" i="62"/>
  <c r="BK174" i="62" s="1"/>
  <c r="L171" i="62"/>
  <c r="BK171" i="62" s="1"/>
  <c r="L176" i="62"/>
  <c r="BK172" i="62" s="1"/>
  <c r="J80" i="62"/>
  <c r="BI91" i="62" s="1"/>
  <c r="J31" i="62"/>
  <c r="BI24" i="62" s="1"/>
  <c r="J171" i="62"/>
  <c r="BI171" i="62" s="1"/>
  <c r="J43" i="62"/>
  <c r="BI52" i="62" s="1"/>
  <c r="J68" i="62"/>
  <c r="BI57" i="62" s="1"/>
  <c r="J63" i="62"/>
  <c r="BI56" i="62" s="1"/>
  <c r="J161" i="62"/>
  <c r="BI169" i="62" s="1"/>
  <c r="J176" i="62"/>
  <c r="BI172" i="62" s="1"/>
  <c r="J26" i="62"/>
  <c r="BI23" i="62" s="1"/>
  <c r="J186" i="62"/>
  <c r="BI174" i="62" s="1"/>
  <c r="J139" i="62"/>
  <c r="BI143" i="62" s="1"/>
  <c r="J53" i="62"/>
  <c r="BI54" i="62" s="1"/>
  <c r="J58" i="62"/>
  <c r="BI55" i="62" s="1"/>
  <c r="J181" i="62"/>
  <c r="BI173" i="62" s="1"/>
  <c r="J48" i="62"/>
  <c r="BI53" i="62" s="1"/>
  <c r="J134" i="62"/>
  <c r="BI142" i="62" s="1"/>
  <c r="J166" i="62"/>
  <c r="BI170" i="62" s="1"/>
  <c r="J21" i="62"/>
  <c r="BI22" i="62" s="1"/>
  <c r="P127" i="61"/>
  <c r="D20" i="61"/>
  <c r="I53" i="62"/>
  <c r="BH54" i="62" s="1"/>
  <c r="I134" i="62"/>
  <c r="BH142" i="62" s="1"/>
  <c r="I43" i="62"/>
  <c r="BH52" i="62" s="1"/>
  <c r="I181" i="62"/>
  <c r="BH173" i="62" s="1"/>
  <c r="I166" i="62"/>
  <c r="BH170" i="62" s="1"/>
  <c r="I139" i="62"/>
  <c r="BH143" i="62" s="1"/>
  <c r="I80" i="62"/>
  <c r="BH91" i="62" s="1"/>
  <c r="I186" i="62"/>
  <c r="BH174" i="62" s="1"/>
  <c r="I48" i="62"/>
  <c r="BH53" i="62" s="1"/>
  <c r="I31" i="62"/>
  <c r="BH24" i="62" s="1"/>
  <c r="I26" i="62"/>
  <c r="BH23" i="62" s="1"/>
  <c r="I21" i="62"/>
  <c r="BH22" i="62" s="1"/>
  <c r="I68" i="62"/>
  <c r="BH57" i="62" s="1"/>
  <c r="I161" i="62"/>
  <c r="BH169" i="62" s="1"/>
  <c r="I176" i="62"/>
  <c r="BH172" i="62" s="1"/>
  <c r="I63" i="62"/>
  <c r="BH56" i="62" s="1"/>
  <c r="I58" i="62"/>
  <c r="BH55" i="62" s="1"/>
  <c r="I171" i="62"/>
  <c r="BH171" i="62" s="1"/>
  <c r="BC176" i="61"/>
  <c r="F80" i="62"/>
  <c r="F139" i="62"/>
  <c r="F186" i="62"/>
  <c r="F68" i="62"/>
  <c r="F176" i="62"/>
  <c r="F161" i="62"/>
  <c r="F181" i="62"/>
  <c r="F31" i="62"/>
  <c r="F21" i="62"/>
  <c r="F171" i="62"/>
  <c r="F53" i="62"/>
  <c r="F166" i="62"/>
  <c r="F48" i="62"/>
  <c r="F43" i="62"/>
  <c r="F134" i="62"/>
  <c r="F63" i="62"/>
  <c r="F26" i="62"/>
  <c r="F58" i="62"/>
  <c r="BE56" i="61"/>
  <c r="BC68" i="61"/>
  <c r="K161" i="62"/>
  <c r="BJ169" i="62" s="1"/>
  <c r="K171" i="62"/>
  <c r="BJ171" i="62" s="1"/>
  <c r="K139" i="62"/>
  <c r="BJ143" i="62" s="1"/>
  <c r="K181" i="62"/>
  <c r="BJ173" i="62" s="1"/>
  <c r="K63" i="62"/>
  <c r="BJ56" i="62" s="1"/>
  <c r="K186" i="62"/>
  <c r="BJ174" i="62" s="1"/>
  <c r="K80" i="62"/>
  <c r="BJ91" i="62" s="1"/>
  <c r="K31" i="62"/>
  <c r="BJ24" i="62" s="1"/>
  <c r="K43" i="62"/>
  <c r="BJ52" i="62" s="1"/>
  <c r="K21" i="62"/>
  <c r="BJ22" i="62" s="1"/>
  <c r="K26" i="62"/>
  <c r="BJ23" i="62" s="1"/>
  <c r="K134" i="62"/>
  <c r="BJ142" i="62" s="1"/>
  <c r="K58" i="62"/>
  <c r="BJ55" i="62" s="1"/>
  <c r="K68" i="62"/>
  <c r="BJ57" i="62" s="1"/>
  <c r="K48" i="62"/>
  <c r="BJ53" i="62" s="1"/>
  <c r="K166" i="62"/>
  <c r="BJ170" i="62" s="1"/>
  <c r="K176" i="62"/>
  <c r="BJ172" i="62" s="1"/>
  <c r="K53" i="62"/>
  <c r="BJ54" i="62" s="1"/>
  <c r="P36" i="61"/>
  <c r="BC48" i="61"/>
  <c r="P8" i="61"/>
  <c r="D47" i="61"/>
  <c r="D67" i="61"/>
  <c r="D42" i="61"/>
  <c r="D175" i="61"/>
  <c r="BE142" i="61"/>
  <c r="BC134" i="61"/>
  <c r="D133" i="61"/>
  <c r="D185" i="61"/>
  <c r="BE174" i="61"/>
  <c r="BC186" i="61"/>
  <c r="D25" i="61"/>
  <c r="BC181" i="61"/>
  <c r="D52" i="61"/>
  <c r="BC53" i="61"/>
  <c r="BE54" i="61"/>
  <c r="BC26" i="61"/>
  <c r="D138" i="61"/>
  <c r="BE143" i="61"/>
  <c r="BC139" i="61"/>
  <c r="BC43" i="61"/>
  <c r="BC171" i="61"/>
  <c r="BC31" i="61"/>
  <c r="BE170" i="61"/>
  <c r="BC166" i="61"/>
  <c r="D165" i="61"/>
  <c r="P154" i="61"/>
  <c r="BC161" i="61"/>
  <c r="D30" i="61"/>
  <c r="D180" i="61"/>
  <c r="BC58" i="61"/>
  <c r="BE91" i="61"/>
  <c r="BC80" i="61"/>
  <c r="D79" i="61"/>
  <c r="D160" i="61"/>
  <c r="D57" i="61"/>
  <c r="D170" i="61"/>
  <c r="J63" i="60"/>
  <c r="BI56" i="60" s="1"/>
  <c r="J166" i="60"/>
  <c r="BI170" i="60" s="1"/>
  <c r="J80" i="60"/>
  <c r="BI91" i="60" s="1"/>
  <c r="H80" i="60"/>
  <c r="BG91" i="60" s="1"/>
  <c r="F58" i="60"/>
  <c r="H161" i="60"/>
  <c r="BG169" i="60" s="1"/>
  <c r="J68" i="60"/>
  <c r="BI57" i="60" s="1"/>
  <c r="I21" i="60"/>
  <c r="BH22" i="60" s="1"/>
  <c r="H53" i="60"/>
  <c r="BG54" i="60" s="1"/>
  <c r="F63" i="60"/>
  <c r="BE56" i="60" s="1"/>
  <c r="F21" i="60"/>
  <c r="BE22" i="60" s="1"/>
  <c r="J53" i="60"/>
  <c r="BI54" i="60" s="1"/>
  <c r="J21" i="60"/>
  <c r="BI22" i="60" s="1"/>
  <c r="J134" i="60"/>
  <c r="BI142" i="60" s="1"/>
  <c r="J43" i="60"/>
  <c r="BI52" i="60" s="1"/>
  <c r="J26" i="60"/>
  <c r="BI23" i="60" s="1"/>
  <c r="J139" i="60"/>
  <c r="BI143" i="60" s="1"/>
  <c r="J31" i="60"/>
  <c r="BI24" i="60" s="1"/>
  <c r="K53" i="60"/>
  <c r="BJ54" i="60" s="1"/>
  <c r="F31" i="60"/>
  <c r="G166" i="60"/>
  <c r="BF170" i="60" s="1"/>
  <c r="F186" i="60"/>
  <c r="BE174" i="60" s="1"/>
  <c r="H139" i="60"/>
  <c r="BG143" i="60" s="1"/>
  <c r="G31" i="60"/>
  <c r="BF24" i="60" s="1"/>
  <c r="G58" i="60"/>
  <c r="BF55" i="60" s="1"/>
  <c r="K176" i="60"/>
  <c r="BJ172" i="60" s="1"/>
  <c r="I53" i="60"/>
  <c r="BH54" i="60" s="1"/>
  <c r="J176" i="60"/>
  <c r="BI172" i="60" s="1"/>
  <c r="F26" i="60"/>
  <c r="BE23" i="60" s="1"/>
  <c r="F53" i="60"/>
  <c r="BE54" i="60" s="1"/>
  <c r="I166" i="60"/>
  <c r="BH170" i="60" s="1"/>
  <c r="K186" i="60"/>
  <c r="BJ174" i="60" s="1"/>
  <c r="K134" i="60"/>
  <c r="BJ142" i="60" s="1"/>
  <c r="K181" i="60"/>
  <c r="BJ173" i="60" s="1"/>
  <c r="K43" i="60"/>
  <c r="BJ52" i="60" s="1"/>
  <c r="K26" i="60"/>
  <c r="BJ23" i="60" s="1"/>
  <c r="H68" i="60"/>
  <c r="BG57" i="60" s="1"/>
  <c r="H48" i="60"/>
  <c r="BG53" i="60" s="1"/>
  <c r="K68" i="60"/>
  <c r="BJ57" i="60" s="1"/>
  <c r="J186" i="60"/>
  <c r="BI174" i="60" s="1"/>
  <c r="K63" i="60"/>
  <c r="BJ56" i="60" s="1"/>
  <c r="K58" i="60"/>
  <c r="BJ55" i="60" s="1"/>
  <c r="F181" i="60"/>
  <c r="BE173" i="60" s="1"/>
  <c r="J58" i="60"/>
  <c r="BI55" i="60" s="1"/>
  <c r="J48" i="60"/>
  <c r="BI53" i="60" s="1"/>
  <c r="J161" i="60"/>
  <c r="BI169" i="60" s="1"/>
  <c r="F166" i="60"/>
  <c r="BE170" i="60" s="1"/>
  <c r="F171" i="60"/>
  <c r="H181" i="60"/>
  <c r="BG173" i="60" s="1"/>
  <c r="H58" i="60"/>
  <c r="BG55" i="60" s="1"/>
  <c r="F134" i="60"/>
  <c r="BE142" i="60" s="1"/>
  <c r="H43" i="60"/>
  <c r="BG52" i="60" s="1"/>
  <c r="J171" i="60"/>
  <c r="BI171" i="60" s="1"/>
  <c r="K21" i="60"/>
  <c r="BJ22" i="60" s="1"/>
  <c r="F161" i="60"/>
  <c r="BE169" i="60" s="1"/>
  <c r="I48" i="60"/>
  <c r="BH53" i="60" s="1"/>
  <c r="K48" i="60"/>
  <c r="BJ53" i="60" s="1"/>
  <c r="K80" i="60"/>
  <c r="BJ91" i="60" s="1"/>
  <c r="BE53" i="60"/>
  <c r="BE143" i="60"/>
  <c r="BC233" i="40"/>
  <c r="BC18" i="40"/>
  <c r="BC19" i="40"/>
  <c r="BC23" i="40"/>
  <c r="BC24" i="40"/>
  <c r="BC28" i="40"/>
  <c r="BC29" i="40"/>
  <c r="BC33" i="40"/>
  <c r="BC34" i="40"/>
  <c r="BC35" i="40"/>
  <c r="BC36" i="40"/>
  <c r="BC37" i="40"/>
  <c r="BC38" i="40"/>
  <c r="BC40" i="40"/>
  <c r="BC41" i="40"/>
  <c r="BC45" i="40"/>
  <c r="BC46" i="40"/>
  <c r="BC47" i="40"/>
  <c r="BC48" i="40"/>
  <c r="BC49" i="40"/>
  <c r="BC50" i="40"/>
  <c r="BC51" i="40"/>
  <c r="BC52" i="40"/>
  <c r="BC53" i="40"/>
  <c r="BC54" i="40"/>
  <c r="BC55" i="40"/>
  <c r="BC56" i="40"/>
  <c r="BC57" i="40"/>
  <c r="BC58" i="40"/>
  <c r="BC59" i="40"/>
  <c r="BC60" i="40"/>
  <c r="BC61" i="40"/>
  <c r="BC62" i="40"/>
  <c r="BC63" i="40"/>
  <c r="BC64" i="40"/>
  <c r="BC65" i="40"/>
  <c r="BC67" i="40"/>
  <c r="BC68" i="40"/>
  <c r="BC72" i="40"/>
  <c r="BC73" i="40"/>
  <c r="BC77" i="40"/>
  <c r="BC78" i="40"/>
  <c r="BC82" i="40"/>
  <c r="BC83" i="40"/>
  <c r="BC87" i="40"/>
  <c r="BC88" i="40"/>
  <c r="BC92" i="40"/>
  <c r="BC93" i="40"/>
  <c r="BC97" i="40"/>
  <c r="BC98" i="40"/>
  <c r="BC99" i="40"/>
  <c r="BC100" i="40"/>
  <c r="BC101" i="40"/>
  <c r="BC102" i="40"/>
  <c r="BC104" i="40"/>
  <c r="BC105" i="40"/>
  <c r="BC109" i="40"/>
  <c r="BC110" i="40"/>
  <c r="BC111" i="40"/>
  <c r="BC112" i="40"/>
  <c r="BC113" i="40"/>
  <c r="BC114" i="40"/>
  <c r="BC115" i="40"/>
  <c r="BC116" i="40"/>
  <c r="BC117" i="40"/>
  <c r="BC118" i="40"/>
  <c r="BC119" i="40"/>
  <c r="BC120" i="40"/>
  <c r="BC121" i="40"/>
  <c r="BC122" i="40"/>
  <c r="BC123" i="40"/>
  <c r="BC124" i="40"/>
  <c r="BC125" i="40"/>
  <c r="BC126" i="40"/>
  <c r="BC127" i="40"/>
  <c r="BC128" i="40"/>
  <c r="BC129" i="40"/>
  <c r="BC131" i="40"/>
  <c r="BC132" i="40"/>
  <c r="BC133" i="40"/>
  <c r="BC137" i="40"/>
  <c r="BC138" i="40"/>
  <c r="BC139" i="40"/>
  <c r="BC140" i="40"/>
  <c r="BC141" i="40"/>
  <c r="BC142" i="40"/>
  <c r="BC143" i="40"/>
  <c r="BC144" i="40"/>
  <c r="BC145" i="40"/>
  <c r="BC146" i="40"/>
  <c r="BC147" i="40"/>
  <c r="BC148" i="40"/>
  <c r="BC149" i="40"/>
  <c r="BC150" i="40"/>
  <c r="BC151" i="40"/>
  <c r="BC152" i="40"/>
  <c r="BC153" i="40"/>
  <c r="BC154" i="40"/>
  <c r="BC155" i="40"/>
  <c r="BC156" i="40"/>
  <c r="BC157" i="40"/>
  <c r="BC159" i="40"/>
  <c r="BC160" i="40"/>
  <c r="BC164" i="40"/>
  <c r="BC165" i="40"/>
  <c r="BC166" i="40"/>
  <c r="BC167" i="40"/>
  <c r="BC168" i="40"/>
  <c r="BC169" i="40"/>
  <c r="BC170" i="40"/>
  <c r="BC171" i="40"/>
  <c r="BC172" i="40"/>
  <c r="BC173" i="40"/>
  <c r="BC174" i="40"/>
  <c r="BC175" i="40"/>
  <c r="BC176" i="40"/>
  <c r="BC177" i="40"/>
  <c r="BC178" i="40"/>
  <c r="BC179" i="40"/>
  <c r="BC180" i="40"/>
  <c r="BC181" i="40"/>
  <c r="BC182" i="40"/>
  <c r="BC183" i="40"/>
  <c r="BC184" i="40"/>
  <c r="BC186" i="40"/>
  <c r="BC187" i="40"/>
  <c r="BC191" i="40"/>
  <c r="BC192" i="40"/>
  <c r="BC196" i="40"/>
  <c r="BC197" i="40"/>
  <c r="BC198" i="40"/>
  <c r="BC199" i="40"/>
  <c r="BC200" i="40"/>
  <c r="BC201" i="40"/>
  <c r="BC202" i="40"/>
  <c r="BC203" i="40"/>
  <c r="BC204" i="40"/>
  <c r="BC205" i="40"/>
  <c r="BC206" i="40"/>
  <c r="BC207" i="40"/>
  <c r="BC208" i="40"/>
  <c r="BC209" i="40"/>
  <c r="BC210" i="40"/>
  <c r="BC211" i="40"/>
  <c r="BC213" i="40"/>
  <c r="BC214" i="40"/>
  <c r="BC218" i="40"/>
  <c r="BC219" i="40"/>
  <c r="BC223" i="40"/>
  <c r="BC224" i="40"/>
  <c r="BC228" i="40"/>
  <c r="BC229" i="40"/>
  <c r="BC234" i="40"/>
  <c r="BC238" i="40"/>
  <c r="BC239" i="40"/>
  <c r="BK13" i="42"/>
  <c r="BL13" i="42"/>
  <c r="BK14" i="42"/>
  <c r="BL14" i="42"/>
  <c r="BK15" i="42"/>
  <c r="BL15" i="42"/>
  <c r="BK16" i="42"/>
  <c r="BL16" i="42"/>
  <c r="BK17" i="42"/>
  <c r="BL17" i="42"/>
  <c r="BK18" i="42"/>
  <c r="BL18" i="42"/>
  <c r="BK19" i="42"/>
  <c r="BL19" i="42"/>
  <c r="BK20" i="42"/>
  <c r="BL20" i="42"/>
  <c r="BK25" i="42"/>
  <c r="BL25" i="42"/>
  <c r="BK26" i="42"/>
  <c r="BL26" i="42"/>
  <c r="BK27" i="42"/>
  <c r="BL27" i="42"/>
  <c r="BK28" i="42"/>
  <c r="BL28" i="42"/>
  <c r="BK40" i="42"/>
  <c r="BL40" i="42"/>
  <c r="BK41" i="42"/>
  <c r="BL41" i="42"/>
  <c r="BK42" i="42"/>
  <c r="BL42" i="42"/>
  <c r="BK43" i="42"/>
  <c r="BL43" i="42"/>
  <c r="BK44" i="42"/>
  <c r="BL44" i="42"/>
  <c r="BK45" i="42"/>
  <c r="BL45" i="42"/>
  <c r="BK46" i="42"/>
  <c r="BL46" i="42"/>
  <c r="BK47" i="42"/>
  <c r="BL47" i="42"/>
  <c r="BK48" i="42"/>
  <c r="BL48" i="42"/>
  <c r="BK49" i="42"/>
  <c r="BL49" i="42"/>
  <c r="BK50" i="42"/>
  <c r="BL50" i="42"/>
  <c r="BK51" i="42"/>
  <c r="BL51" i="42"/>
  <c r="BK58" i="42"/>
  <c r="BL58" i="42"/>
  <c r="BK59" i="42"/>
  <c r="BL59" i="42"/>
  <c r="BK60" i="42"/>
  <c r="BL60" i="42"/>
  <c r="BK61" i="42"/>
  <c r="BL61" i="42"/>
  <c r="BK62" i="42"/>
  <c r="BL62" i="42"/>
  <c r="BK63" i="42"/>
  <c r="BL63" i="42"/>
  <c r="BK83" i="42"/>
  <c r="BL83" i="42"/>
  <c r="BK87" i="42"/>
  <c r="BL87" i="42"/>
  <c r="BK95" i="42"/>
  <c r="BL95" i="42"/>
  <c r="BK109" i="42"/>
  <c r="BL109" i="42"/>
  <c r="BK113" i="42"/>
  <c r="BL113" i="42"/>
  <c r="BK121" i="42"/>
  <c r="BL121" i="42"/>
  <c r="BK130" i="42"/>
  <c r="BL130" i="42"/>
  <c r="BK131" i="42"/>
  <c r="BL131" i="42"/>
  <c r="BK136" i="42"/>
  <c r="BL136" i="42"/>
  <c r="BK137" i="42"/>
  <c r="BL137" i="42"/>
  <c r="BK148" i="42"/>
  <c r="BL148" i="42"/>
  <c r="BK149" i="42"/>
  <c r="BL149" i="42"/>
  <c r="BK157" i="42"/>
  <c r="BL157" i="42"/>
  <c r="BK158" i="42"/>
  <c r="BL158" i="42"/>
  <c r="BK159" i="42"/>
  <c r="BL159" i="42"/>
  <c r="BK160" i="42"/>
  <c r="BL160" i="42"/>
  <c r="BK161" i="42"/>
  <c r="BL161" i="42"/>
  <c r="BK162" i="42"/>
  <c r="BL162" i="42"/>
  <c r="BK163" i="42"/>
  <c r="BL163" i="42"/>
  <c r="BK164" i="42"/>
  <c r="BL164" i="42"/>
  <c r="BK165" i="42"/>
  <c r="BL165" i="42"/>
  <c r="BK166" i="42"/>
  <c r="BL166" i="42"/>
  <c r="BK167" i="42"/>
  <c r="BL167" i="42"/>
  <c r="BK168" i="42"/>
  <c r="BL168" i="42"/>
  <c r="BK175" i="42"/>
  <c r="BL175" i="42"/>
  <c r="BK176" i="42"/>
  <c r="BL176" i="42"/>
  <c r="BK177" i="42"/>
  <c r="BL177" i="42"/>
  <c r="BK178" i="42"/>
  <c r="BL178" i="42"/>
  <c r="BK179" i="42"/>
  <c r="BL179" i="42"/>
  <c r="BK180" i="42"/>
  <c r="BL180" i="42"/>
  <c r="BL155" i="42"/>
  <c r="BK155" i="42"/>
  <c r="BJ155" i="42"/>
  <c r="BI155" i="42"/>
  <c r="BH155" i="42"/>
  <c r="BG155" i="42"/>
  <c r="BF155" i="42"/>
  <c r="BE155" i="42"/>
  <c r="BL128" i="42"/>
  <c r="BK128" i="42"/>
  <c r="BJ128" i="42"/>
  <c r="BI128" i="42"/>
  <c r="BH128" i="42"/>
  <c r="BG128" i="42"/>
  <c r="BF128" i="42"/>
  <c r="BE128" i="42"/>
  <c r="BL107" i="42"/>
  <c r="BK107" i="42"/>
  <c r="BJ107" i="42"/>
  <c r="BI107" i="42"/>
  <c r="BH107" i="42"/>
  <c r="BG107" i="42"/>
  <c r="BF107" i="42"/>
  <c r="BE107" i="42"/>
  <c r="BL81" i="42"/>
  <c r="BK81" i="42"/>
  <c r="BJ81" i="42"/>
  <c r="BI81" i="42"/>
  <c r="BH81" i="42"/>
  <c r="BG81" i="42"/>
  <c r="BF81" i="42"/>
  <c r="BE81" i="42"/>
  <c r="BF38" i="42"/>
  <c r="BG38" i="42"/>
  <c r="BH38" i="42"/>
  <c r="BI38" i="42"/>
  <c r="BJ38" i="42"/>
  <c r="BK38" i="42"/>
  <c r="BL38" i="42"/>
  <c r="BE38" i="42"/>
  <c r="BE11" i="42"/>
  <c r="BF11" i="42"/>
  <c r="BG11" i="42"/>
  <c r="BH11" i="42"/>
  <c r="BI11" i="42"/>
  <c r="BJ11" i="42"/>
  <c r="BK11" i="42"/>
  <c r="BL11" i="42"/>
  <c r="K1" i="42"/>
  <c r="K1" i="60" s="1"/>
  <c r="R154" i="42"/>
  <c r="M162" i="42" s="1"/>
  <c r="R127" i="42"/>
  <c r="R100" i="42"/>
  <c r="R73" i="42"/>
  <c r="R36" i="42"/>
  <c r="R8" i="42"/>
  <c r="L42" i="42"/>
  <c r="L43" i="42" s="1"/>
  <c r="BK52" i="42" s="1"/>
  <c r="M42" i="42"/>
  <c r="M43" i="42" s="1"/>
  <c r="L44" i="42"/>
  <c r="M44" i="42"/>
  <c r="L47" i="42"/>
  <c r="L48" i="42" s="1"/>
  <c r="BK53" i="42" s="1"/>
  <c r="M47" i="42"/>
  <c r="M48" i="42" s="1"/>
  <c r="L49" i="42"/>
  <c r="M49" i="42"/>
  <c r="L52" i="42"/>
  <c r="M52" i="42"/>
  <c r="L53" i="42"/>
  <c r="BK54" i="42" s="1"/>
  <c r="M53" i="42"/>
  <c r="L54" i="42"/>
  <c r="M54" i="42"/>
  <c r="L57" i="42"/>
  <c r="L58" i="42" s="1"/>
  <c r="BK55" i="42" s="1"/>
  <c r="M57" i="42"/>
  <c r="M58" i="42" s="1"/>
  <c r="L59" i="42"/>
  <c r="M59" i="42"/>
  <c r="L62" i="42"/>
  <c r="L63" i="42" s="1"/>
  <c r="M62" i="42"/>
  <c r="M63" i="42" s="1"/>
  <c r="L64" i="42"/>
  <c r="M64" i="42"/>
  <c r="L67" i="42"/>
  <c r="L68" i="42" s="1"/>
  <c r="BK57" i="42" s="1"/>
  <c r="M67" i="42"/>
  <c r="M68" i="42" s="1"/>
  <c r="L69" i="42"/>
  <c r="M69" i="42"/>
  <c r="L79" i="42"/>
  <c r="M79" i="42"/>
  <c r="L80" i="42"/>
  <c r="BK91" i="42" s="1"/>
  <c r="M80" i="42"/>
  <c r="L81" i="42"/>
  <c r="M81" i="42"/>
  <c r="G103" i="42"/>
  <c r="H103" i="42"/>
  <c r="I103" i="42"/>
  <c r="J103" i="42"/>
  <c r="K103" i="42"/>
  <c r="L103" i="42"/>
  <c r="M103" i="42"/>
  <c r="N103" i="42"/>
  <c r="L106" i="42"/>
  <c r="M106" i="42"/>
  <c r="L107" i="42"/>
  <c r="BK117" i="42" s="1"/>
  <c r="M107" i="42"/>
  <c r="BL117" i="42" s="1"/>
  <c r="L108" i="42"/>
  <c r="M108" i="42"/>
  <c r="G130" i="42"/>
  <c r="H130" i="42"/>
  <c r="I130" i="42"/>
  <c r="J130" i="42"/>
  <c r="K130" i="42"/>
  <c r="L130" i="42"/>
  <c r="M130" i="42"/>
  <c r="N130" i="42"/>
  <c r="L133" i="42"/>
  <c r="L134" i="42" s="1"/>
  <c r="BK142" i="42" s="1"/>
  <c r="M133" i="42"/>
  <c r="M134" i="42" s="1"/>
  <c r="L135" i="42"/>
  <c r="M135" i="42"/>
  <c r="L138" i="42"/>
  <c r="L139" i="42" s="1"/>
  <c r="BK143" i="42" s="1"/>
  <c r="M138" i="42"/>
  <c r="M139" i="42"/>
  <c r="L140" i="42"/>
  <c r="M140" i="42"/>
  <c r="L160" i="42"/>
  <c r="M160" i="42"/>
  <c r="M161" i="42" s="1"/>
  <c r="L161" i="42"/>
  <c r="BK169" i="42" s="1"/>
  <c r="L162" i="42"/>
  <c r="L165" i="42"/>
  <c r="L166" i="42" s="1"/>
  <c r="BK170" i="42" s="1"/>
  <c r="M165" i="42"/>
  <c r="M166" i="42" s="1"/>
  <c r="L167" i="42"/>
  <c r="M167" i="42"/>
  <c r="L170" i="42"/>
  <c r="M170" i="42"/>
  <c r="M171" i="42" s="1"/>
  <c r="BL171" i="42" s="1"/>
  <c r="L171" i="42"/>
  <c r="BK171" i="42" s="1"/>
  <c r="L172" i="42"/>
  <c r="M172" i="42"/>
  <c r="L175" i="42"/>
  <c r="L176" i="42" s="1"/>
  <c r="BK172" i="42" s="1"/>
  <c r="M175" i="42"/>
  <c r="M176" i="42" s="1"/>
  <c r="L177" i="42"/>
  <c r="M177" i="42"/>
  <c r="L180" i="42"/>
  <c r="M180" i="42"/>
  <c r="M181" i="42" s="1"/>
  <c r="L181" i="42"/>
  <c r="BK173" i="42" s="1"/>
  <c r="L182" i="42"/>
  <c r="M182" i="42"/>
  <c r="L185" i="42"/>
  <c r="L186" i="42" s="1"/>
  <c r="BK174" i="42" s="1"/>
  <c r="M185" i="42"/>
  <c r="M186" i="42" s="1"/>
  <c r="L187" i="42"/>
  <c r="M187" i="42"/>
  <c r="G157" i="42"/>
  <c r="H157" i="42"/>
  <c r="I157" i="42"/>
  <c r="J157" i="42"/>
  <c r="K157" i="42"/>
  <c r="L157" i="42"/>
  <c r="M157" i="42"/>
  <c r="N157" i="42"/>
  <c r="F157" i="42"/>
  <c r="F130" i="42"/>
  <c r="BC130" i="42" s="1"/>
  <c r="F103" i="42"/>
  <c r="G76" i="42"/>
  <c r="H76" i="42"/>
  <c r="I76" i="42"/>
  <c r="J76" i="42"/>
  <c r="K76" i="42"/>
  <c r="L76" i="42"/>
  <c r="M76" i="42"/>
  <c r="N76" i="42"/>
  <c r="F76" i="42"/>
  <c r="N39" i="42"/>
  <c r="G39" i="42"/>
  <c r="H39" i="42"/>
  <c r="I39" i="42"/>
  <c r="J39" i="42"/>
  <c r="K39" i="42"/>
  <c r="L39" i="42"/>
  <c r="M39" i="42"/>
  <c r="F39" i="42"/>
  <c r="L16" i="42"/>
  <c r="BK21" i="42" s="1"/>
  <c r="L15" i="42"/>
  <c r="M15" i="42"/>
  <c r="M16" i="42"/>
  <c r="BL21" i="42" s="1"/>
  <c r="L17" i="42"/>
  <c r="M17" i="42"/>
  <c r="L20" i="42"/>
  <c r="L21" i="42" s="1"/>
  <c r="BK22" i="42" s="1"/>
  <c r="M20" i="42"/>
  <c r="M21" i="42" s="1"/>
  <c r="L22" i="42"/>
  <c r="M22" i="42"/>
  <c r="L25" i="42"/>
  <c r="M25" i="42"/>
  <c r="L26" i="42"/>
  <c r="BK23" i="42" s="1"/>
  <c r="M26" i="42"/>
  <c r="L27" i="42"/>
  <c r="M27" i="42"/>
  <c r="L30" i="42"/>
  <c r="L31" i="42" s="1"/>
  <c r="BK24" i="42" s="1"/>
  <c r="M30" i="42"/>
  <c r="M31" i="42" s="1"/>
  <c r="L32" i="42"/>
  <c r="M32" i="42"/>
  <c r="G11" i="42"/>
  <c r="H11" i="42"/>
  <c r="I11" i="42"/>
  <c r="J11" i="42"/>
  <c r="K11" i="42"/>
  <c r="L11" i="42"/>
  <c r="M11" i="42"/>
  <c r="N11" i="42"/>
  <c r="F11" i="42"/>
  <c r="K5" i="41"/>
  <c r="J5" i="41"/>
  <c r="I5" i="40"/>
  <c r="BC19" i="59"/>
  <c r="BC20" i="59"/>
  <c r="BC24" i="59"/>
  <c r="BC25" i="59"/>
  <c r="BC29" i="59"/>
  <c r="BC30" i="59"/>
  <c r="BC34" i="59"/>
  <c r="BC35" i="59"/>
  <c r="BC36" i="59"/>
  <c r="BC37" i="59"/>
  <c r="BC38" i="59"/>
  <c r="BC39" i="59"/>
  <c r="BC41" i="59"/>
  <c r="BC42" i="59"/>
  <c r="BC46" i="59"/>
  <c r="BC47" i="59"/>
  <c r="BC48" i="59"/>
  <c r="BC49" i="59"/>
  <c r="BC50" i="59"/>
  <c r="BC51" i="59"/>
  <c r="BC52" i="59"/>
  <c r="BC53" i="59"/>
  <c r="BC54" i="59"/>
  <c r="BC55" i="59"/>
  <c r="BC56" i="59"/>
  <c r="BC57" i="59"/>
  <c r="BC58" i="59"/>
  <c r="BC59" i="59"/>
  <c r="BC60" i="59"/>
  <c r="BC61" i="59"/>
  <c r="BC62" i="59"/>
  <c r="BC63" i="59"/>
  <c r="BC64" i="59"/>
  <c r="BC65" i="59"/>
  <c r="BC66" i="59"/>
  <c r="BC68" i="59"/>
  <c r="BC69" i="59"/>
  <c r="BC73" i="59"/>
  <c r="BC74" i="59"/>
  <c r="BC78" i="59"/>
  <c r="BC79" i="59"/>
  <c r="BC83" i="59"/>
  <c r="BC84" i="59"/>
  <c r="BC88" i="59"/>
  <c r="BC89" i="59"/>
  <c r="BC93" i="59"/>
  <c r="BC94" i="59"/>
  <c r="BC98" i="59"/>
  <c r="BC99" i="59"/>
  <c r="BC100" i="59"/>
  <c r="BC101" i="59"/>
  <c r="BC102" i="59"/>
  <c r="BC103" i="59"/>
  <c r="BC105" i="59"/>
  <c r="BC106" i="59"/>
  <c r="BC107" i="59"/>
  <c r="BC111" i="59"/>
  <c r="BC112" i="59"/>
  <c r="BC113" i="59"/>
  <c r="BC117" i="59"/>
  <c r="BC118" i="59"/>
  <c r="BC119" i="59"/>
  <c r="BC120" i="59"/>
  <c r="BC121" i="59"/>
  <c r="BC122" i="59"/>
  <c r="BC123" i="59"/>
  <c r="BC124" i="59"/>
  <c r="BC125" i="59"/>
  <c r="BC126" i="59"/>
  <c r="BC127" i="59"/>
  <c r="BC128" i="59"/>
  <c r="BC129" i="59"/>
  <c r="BC130" i="59"/>
  <c r="BC132" i="59"/>
  <c r="BC133" i="59"/>
  <c r="BC134" i="59"/>
  <c r="BC138" i="59"/>
  <c r="BC139" i="59"/>
  <c r="BC140" i="59"/>
  <c r="BC141" i="59"/>
  <c r="BC142" i="59"/>
  <c r="BC143" i="59"/>
  <c r="BC144" i="59"/>
  <c r="BC145" i="59"/>
  <c r="BC146" i="59"/>
  <c r="BC147" i="59"/>
  <c r="BC148" i="59"/>
  <c r="BC149" i="59"/>
  <c r="BC150" i="59"/>
  <c r="BC151" i="59"/>
  <c r="BC152" i="59"/>
  <c r="BC153" i="59"/>
  <c r="BC154" i="59"/>
  <c r="BC155" i="59"/>
  <c r="BC156" i="59"/>
  <c r="BC157" i="59"/>
  <c r="BC158" i="59"/>
  <c r="BC160" i="59"/>
  <c r="BC161" i="59"/>
  <c r="BC165" i="59"/>
  <c r="BC166" i="59"/>
  <c r="BC167" i="59"/>
  <c r="BC168" i="59"/>
  <c r="BC169" i="59"/>
  <c r="BC170" i="59"/>
  <c r="BC171" i="59"/>
  <c r="BC172" i="59"/>
  <c r="BC173" i="59"/>
  <c r="BC174" i="59"/>
  <c r="BC175" i="59"/>
  <c r="BC176" i="59"/>
  <c r="BC177" i="59"/>
  <c r="BC178" i="59"/>
  <c r="BC179" i="59"/>
  <c r="BC180" i="59"/>
  <c r="BC181" i="59"/>
  <c r="BC182" i="59"/>
  <c r="BC183" i="59"/>
  <c r="BC184" i="59"/>
  <c r="BC185" i="59"/>
  <c r="BC187" i="59"/>
  <c r="BC188" i="59"/>
  <c r="BC192" i="59"/>
  <c r="BC193" i="59"/>
  <c r="BC197" i="59"/>
  <c r="BC198" i="59"/>
  <c r="BC199" i="59"/>
  <c r="BC200" i="59"/>
  <c r="BC201" i="59"/>
  <c r="BC202" i="59"/>
  <c r="BC203" i="59"/>
  <c r="BC204" i="59"/>
  <c r="BC205" i="59"/>
  <c r="BC206" i="59"/>
  <c r="BC207" i="59"/>
  <c r="BC208" i="59"/>
  <c r="BC209" i="59"/>
  <c r="BC210" i="59"/>
  <c r="BC211" i="59"/>
  <c r="BC212" i="59"/>
  <c r="BC214" i="59"/>
  <c r="BC215" i="59"/>
  <c r="BC219" i="59"/>
  <c r="BC220" i="59"/>
  <c r="BC224" i="59"/>
  <c r="BC225" i="59"/>
  <c r="BC229" i="59"/>
  <c r="BC230" i="59"/>
  <c r="BC234" i="59"/>
  <c r="BC235" i="59"/>
  <c r="BC239" i="59"/>
  <c r="BC240" i="59"/>
  <c r="BC103" i="42" l="1"/>
  <c r="BC39" i="42"/>
  <c r="BC76" i="42"/>
  <c r="BC157" i="42"/>
  <c r="BC181" i="60"/>
  <c r="P127" i="60"/>
  <c r="BC166" i="60"/>
  <c r="D42" i="60"/>
  <c r="D175" i="60"/>
  <c r="BC43" i="60"/>
  <c r="D170" i="60"/>
  <c r="BC63" i="60"/>
  <c r="BC134" i="60"/>
  <c r="D57" i="60"/>
  <c r="D180" i="60"/>
  <c r="D160" i="60"/>
  <c r="BC58" i="60"/>
  <c r="BC31" i="60"/>
  <c r="BE23" i="62"/>
  <c r="D25" i="62"/>
  <c r="BC26" i="62"/>
  <c r="BE22" i="62"/>
  <c r="BC21" i="62"/>
  <c r="P8" i="62"/>
  <c r="D20" i="62"/>
  <c r="BE91" i="62"/>
  <c r="BC80" i="62"/>
  <c r="D79" i="62"/>
  <c r="BE56" i="62"/>
  <c r="BC63" i="62"/>
  <c r="D62" i="62"/>
  <c r="BE24" i="62"/>
  <c r="D30" i="62"/>
  <c r="BC31" i="62"/>
  <c r="BE55" i="62"/>
  <c r="BC58" i="62"/>
  <c r="D57" i="62"/>
  <c r="BE171" i="62"/>
  <c r="BC171" i="62"/>
  <c r="D170" i="62"/>
  <c r="D133" i="62"/>
  <c r="BE142" i="62"/>
  <c r="BC134" i="62"/>
  <c r="BE52" i="62"/>
  <c r="BC43" i="62"/>
  <c r="D42" i="62"/>
  <c r="BE53" i="62"/>
  <c r="P36" i="62"/>
  <c r="D47" i="62"/>
  <c r="BC48" i="62"/>
  <c r="BE172" i="62"/>
  <c r="D175" i="62"/>
  <c r="BC176" i="62"/>
  <c r="BE173" i="62"/>
  <c r="D180" i="62"/>
  <c r="BC181" i="62"/>
  <c r="BE169" i="62"/>
  <c r="D160" i="62"/>
  <c r="BC161" i="62"/>
  <c r="BE170" i="62"/>
  <c r="P154" i="62"/>
  <c r="BC166" i="62"/>
  <c r="D165" i="62"/>
  <c r="BE57" i="62"/>
  <c r="D67" i="62"/>
  <c r="BC68" i="62"/>
  <c r="BE143" i="62"/>
  <c r="D138" i="62"/>
  <c r="P127" i="62"/>
  <c r="BC139" i="62"/>
  <c r="BE54" i="62"/>
  <c r="BC53" i="62"/>
  <c r="D52" i="62"/>
  <c r="BE174" i="62"/>
  <c r="BC186" i="62"/>
  <c r="D185" i="62"/>
  <c r="S154" i="61"/>
  <c r="D67" i="60"/>
  <c r="BE55" i="60"/>
  <c r="D165" i="60"/>
  <c r="BC48" i="60"/>
  <c r="BC68" i="60"/>
  <c r="BC176" i="60"/>
  <c r="BE171" i="60"/>
  <c r="BC21" i="60"/>
  <c r="BC161" i="60"/>
  <c r="BC171" i="60"/>
  <c r="D20" i="60"/>
  <c r="P8" i="60"/>
  <c r="BC26" i="60"/>
  <c r="D62" i="60"/>
  <c r="D185" i="60"/>
  <c r="BE24" i="60"/>
  <c r="D52" i="60"/>
  <c r="BC80" i="60"/>
  <c r="D138" i="60"/>
  <c r="D25" i="60"/>
  <c r="BC186" i="60"/>
  <c r="D30" i="60"/>
  <c r="BC53" i="60"/>
  <c r="D133" i="60"/>
  <c r="P36" i="60"/>
  <c r="P154" i="60"/>
  <c r="BC139" i="60"/>
  <c r="D79" i="60"/>
  <c r="D47" i="60"/>
  <c r="BL91" i="42"/>
  <c r="BL172" i="42"/>
  <c r="BL55" i="42"/>
  <c r="BL24" i="42"/>
  <c r="BL23" i="42"/>
  <c r="BK56" i="42"/>
  <c r="BL54" i="42"/>
  <c r="BL174" i="42"/>
  <c r="BL170" i="42"/>
  <c r="BL143" i="42"/>
  <c r="BL57" i="42"/>
  <c r="BL53" i="42"/>
  <c r="BL22" i="42"/>
  <c r="BL173" i="42"/>
  <c r="BL169" i="42"/>
  <c r="BL142" i="42"/>
  <c r="BL56" i="42"/>
  <c r="BL52" i="42"/>
  <c r="H221" i="41"/>
  <c r="H223" i="41"/>
  <c r="S154" i="60" l="1"/>
  <c r="S154" i="62"/>
  <c r="K1" i="41"/>
  <c r="F5" i="40"/>
  <c r="K1" i="59"/>
  <c r="L5" i="41"/>
  <c r="L6" i="59" s="1"/>
  <c r="BV138" i="59"/>
  <c r="BW138" i="59"/>
  <c r="BX138" i="59"/>
  <c r="BY138" i="59"/>
  <c r="BZ138" i="59"/>
  <c r="CA138" i="59"/>
  <c r="CB138" i="59"/>
  <c r="BV142" i="59"/>
  <c r="BW142" i="59"/>
  <c r="BX142" i="59"/>
  <c r="BY142" i="59"/>
  <c r="BZ142" i="59"/>
  <c r="CA142" i="59"/>
  <c r="CB142" i="59"/>
  <c r="BV150" i="59"/>
  <c r="BW150" i="59"/>
  <c r="BX150" i="59"/>
  <c r="BY150" i="59"/>
  <c r="BZ150" i="59"/>
  <c r="CA150" i="59"/>
  <c r="CB150" i="59"/>
  <c r="BV136" i="59"/>
  <c r="BW136" i="59"/>
  <c r="BX136" i="59"/>
  <c r="BY136" i="59"/>
  <c r="BZ136" i="59"/>
  <c r="CA136" i="59"/>
  <c r="CB136" i="59"/>
  <c r="BU136" i="59"/>
  <c r="K6" i="59"/>
  <c r="N6" i="59"/>
  <c r="K5" i="59"/>
  <c r="J5" i="59"/>
  <c r="E4" i="59"/>
  <c r="BD164" i="59" s="1"/>
  <c r="N7" i="59"/>
  <c r="N5" i="59"/>
  <c r="M243" i="59"/>
  <c r="L243" i="59"/>
  <c r="K243" i="59"/>
  <c r="J243" i="59"/>
  <c r="I243" i="59"/>
  <c r="H243" i="59"/>
  <c r="G243" i="59"/>
  <c r="F243" i="59"/>
  <c r="M241" i="59"/>
  <c r="L241" i="59"/>
  <c r="K241" i="59"/>
  <c r="J241" i="59"/>
  <c r="I241" i="59"/>
  <c r="H241" i="59"/>
  <c r="G241" i="59"/>
  <c r="F241" i="59"/>
  <c r="M238" i="59"/>
  <c r="L238" i="59"/>
  <c r="K238" i="59"/>
  <c r="J238" i="59"/>
  <c r="I238" i="59"/>
  <c r="H238" i="59"/>
  <c r="G238" i="59"/>
  <c r="F238" i="59"/>
  <c r="BL236" i="59"/>
  <c r="BK236" i="59"/>
  <c r="BJ236" i="59"/>
  <c r="BI236" i="59"/>
  <c r="BH236" i="59"/>
  <c r="BG236" i="59"/>
  <c r="BF236" i="59"/>
  <c r="BE236" i="59"/>
  <c r="BD236" i="59"/>
  <c r="M236" i="59"/>
  <c r="L236" i="59"/>
  <c r="K236" i="59"/>
  <c r="J236" i="59"/>
  <c r="I236" i="59"/>
  <c r="H236" i="59"/>
  <c r="G236" i="59"/>
  <c r="F236" i="59"/>
  <c r="BL235" i="59"/>
  <c r="BK235" i="59"/>
  <c r="BJ235" i="59"/>
  <c r="BI235" i="59"/>
  <c r="BH235" i="59"/>
  <c r="BG235" i="59"/>
  <c r="BF235" i="59"/>
  <c r="BE235" i="59"/>
  <c r="BD235" i="59"/>
  <c r="BL234" i="59"/>
  <c r="BK234" i="59"/>
  <c r="BJ234" i="59"/>
  <c r="BI234" i="59"/>
  <c r="BH234" i="59"/>
  <c r="BG234" i="59"/>
  <c r="BF234" i="59"/>
  <c r="BE234" i="59"/>
  <c r="BD234" i="59"/>
  <c r="BL233" i="59"/>
  <c r="BK233" i="59"/>
  <c r="BJ233" i="59"/>
  <c r="BI233" i="59"/>
  <c r="BH233" i="59"/>
  <c r="BG233" i="59"/>
  <c r="BF233" i="59"/>
  <c r="BE233" i="59"/>
  <c r="BD233" i="59"/>
  <c r="M233" i="59"/>
  <c r="L233" i="59"/>
  <c r="K233" i="59"/>
  <c r="J233" i="59"/>
  <c r="I233" i="59"/>
  <c r="H233" i="59"/>
  <c r="G233" i="59"/>
  <c r="F233" i="59"/>
  <c r="BL232" i="59"/>
  <c r="BK232" i="59"/>
  <c r="BJ232" i="59"/>
  <c r="BI232" i="59"/>
  <c r="BH232" i="59"/>
  <c r="BG232" i="59"/>
  <c r="BF232" i="59"/>
  <c r="BE232" i="59"/>
  <c r="BD232" i="59"/>
  <c r="BL231" i="59"/>
  <c r="BK231" i="59"/>
  <c r="BJ231" i="59"/>
  <c r="BI231" i="59"/>
  <c r="BH231" i="59"/>
  <c r="BG231" i="59"/>
  <c r="BF231" i="59"/>
  <c r="BE231" i="59"/>
  <c r="BD231" i="59"/>
  <c r="M231" i="59"/>
  <c r="L231" i="59"/>
  <c r="K231" i="59"/>
  <c r="J231" i="59"/>
  <c r="I231" i="59"/>
  <c r="H231" i="59"/>
  <c r="G231" i="59"/>
  <c r="F231" i="59"/>
  <c r="BD230" i="59"/>
  <c r="BD229" i="59"/>
  <c r="BD228" i="59"/>
  <c r="M228" i="59"/>
  <c r="L228" i="59"/>
  <c r="K228" i="59"/>
  <c r="J228" i="59"/>
  <c r="I228" i="59"/>
  <c r="H228" i="59"/>
  <c r="G228" i="59"/>
  <c r="F228" i="59"/>
  <c r="BD227" i="59"/>
  <c r="BD226" i="59"/>
  <c r="M226" i="59"/>
  <c r="L226" i="59"/>
  <c r="K226" i="59"/>
  <c r="J226" i="59"/>
  <c r="I226" i="59"/>
  <c r="H226" i="59"/>
  <c r="G226" i="59"/>
  <c r="F226" i="59"/>
  <c r="BD225" i="59"/>
  <c r="BL224" i="59"/>
  <c r="BK224" i="59"/>
  <c r="BJ224" i="59"/>
  <c r="BI224" i="59"/>
  <c r="BH224" i="59"/>
  <c r="BG224" i="59"/>
  <c r="BF224" i="59"/>
  <c r="BE224" i="59"/>
  <c r="BD224" i="59"/>
  <c r="BL223" i="59"/>
  <c r="BK223" i="59"/>
  <c r="BJ223" i="59"/>
  <c r="BI223" i="59"/>
  <c r="BH223" i="59"/>
  <c r="BG223" i="59"/>
  <c r="BF223" i="59"/>
  <c r="BE223" i="59"/>
  <c r="BD223" i="59"/>
  <c r="M223" i="59"/>
  <c r="L223" i="59"/>
  <c r="K223" i="59"/>
  <c r="J223" i="59"/>
  <c r="I223" i="59"/>
  <c r="H223" i="59"/>
  <c r="G223" i="59"/>
  <c r="F223" i="59"/>
  <c r="BL222" i="59"/>
  <c r="BK222" i="59"/>
  <c r="BJ222" i="59"/>
  <c r="BI222" i="59"/>
  <c r="BH222" i="59"/>
  <c r="BG222" i="59"/>
  <c r="BF222" i="59"/>
  <c r="BE222" i="59"/>
  <c r="BD222" i="59"/>
  <c r="BL221" i="59"/>
  <c r="BK221" i="59"/>
  <c r="BJ221" i="59"/>
  <c r="BI221" i="59"/>
  <c r="BH221" i="59"/>
  <c r="BG221" i="59"/>
  <c r="BF221" i="59"/>
  <c r="BE221" i="59"/>
  <c r="BD221" i="59"/>
  <c r="M221" i="59"/>
  <c r="L221" i="59"/>
  <c r="K221" i="59"/>
  <c r="J221" i="59"/>
  <c r="I221" i="59"/>
  <c r="H221" i="59"/>
  <c r="G221" i="59"/>
  <c r="F221" i="59"/>
  <c r="BL220" i="59"/>
  <c r="BK220" i="59"/>
  <c r="BJ220" i="59"/>
  <c r="BI220" i="59"/>
  <c r="BH220" i="59"/>
  <c r="BG220" i="59"/>
  <c r="BF220" i="59"/>
  <c r="BE220" i="59"/>
  <c r="BD220" i="59"/>
  <c r="BL219" i="59"/>
  <c r="BK219" i="59"/>
  <c r="BJ219" i="59"/>
  <c r="BI219" i="59"/>
  <c r="BH219" i="59"/>
  <c r="BG219" i="59"/>
  <c r="BF219" i="59"/>
  <c r="BE219" i="59"/>
  <c r="BD219" i="59"/>
  <c r="BL218" i="59"/>
  <c r="BK218" i="59"/>
  <c r="BJ218" i="59"/>
  <c r="BI218" i="59"/>
  <c r="BH218" i="59"/>
  <c r="BG218" i="59"/>
  <c r="BF218" i="59"/>
  <c r="BE218" i="59"/>
  <c r="BD218" i="59"/>
  <c r="M218" i="59"/>
  <c r="L218" i="59"/>
  <c r="K218" i="59"/>
  <c r="J218" i="59"/>
  <c r="I218" i="59"/>
  <c r="H218" i="59"/>
  <c r="G218" i="59"/>
  <c r="F218" i="59"/>
  <c r="BL217" i="59"/>
  <c r="BK217" i="59"/>
  <c r="BJ217" i="59"/>
  <c r="BI217" i="59"/>
  <c r="BH217" i="59"/>
  <c r="BG217" i="59"/>
  <c r="BF217" i="59"/>
  <c r="BE217" i="59"/>
  <c r="BD217" i="59"/>
  <c r="BL216" i="59"/>
  <c r="BK216" i="59"/>
  <c r="BJ216" i="59"/>
  <c r="BI216" i="59"/>
  <c r="BH216" i="59"/>
  <c r="BG216" i="59"/>
  <c r="BF216" i="59"/>
  <c r="BE216" i="59"/>
  <c r="BD216" i="59"/>
  <c r="M216" i="59"/>
  <c r="L216" i="59"/>
  <c r="K216" i="59"/>
  <c r="J216" i="59"/>
  <c r="I216" i="59"/>
  <c r="H216" i="59"/>
  <c r="G216" i="59"/>
  <c r="F216" i="59"/>
  <c r="BL215" i="59"/>
  <c r="BK215" i="59"/>
  <c r="BJ215" i="59"/>
  <c r="BI215" i="59"/>
  <c r="BH215" i="59"/>
  <c r="BG215" i="59"/>
  <c r="BF215" i="59"/>
  <c r="BE215" i="59"/>
  <c r="BD215" i="59"/>
  <c r="BL214" i="59"/>
  <c r="BK214" i="59"/>
  <c r="BJ214" i="59"/>
  <c r="BI214" i="59"/>
  <c r="BH214" i="59"/>
  <c r="BG214" i="59"/>
  <c r="BF214" i="59"/>
  <c r="BE214" i="59"/>
  <c r="BD214" i="59"/>
  <c r="BL213" i="59"/>
  <c r="BK213" i="59"/>
  <c r="BJ213" i="59"/>
  <c r="BI213" i="59"/>
  <c r="BH213" i="59"/>
  <c r="BG213" i="59"/>
  <c r="BF213" i="59"/>
  <c r="BE213" i="59"/>
  <c r="BD213" i="59"/>
  <c r="M213" i="59"/>
  <c r="L213" i="59"/>
  <c r="BC213" i="59" s="1"/>
  <c r="R210" i="59"/>
  <c r="BL205" i="59"/>
  <c r="BK205" i="59"/>
  <c r="BJ205" i="59"/>
  <c r="BI205" i="59"/>
  <c r="BH205" i="59"/>
  <c r="BG205" i="59"/>
  <c r="BF205" i="59"/>
  <c r="BE205" i="59"/>
  <c r="BD205" i="59"/>
  <c r="BL204" i="59"/>
  <c r="BK204" i="59"/>
  <c r="BJ204" i="59"/>
  <c r="BI204" i="59"/>
  <c r="BH204" i="59"/>
  <c r="BG204" i="59"/>
  <c r="BF204" i="59"/>
  <c r="BE204" i="59"/>
  <c r="BD204" i="59"/>
  <c r="BD199" i="59"/>
  <c r="BD198" i="59"/>
  <c r="M196" i="59"/>
  <c r="L196" i="59"/>
  <c r="K196" i="59"/>
  <c r="J196" i="59"/>
  <c r="I196" i="59"/>
  <c r="H196" i="59"/>
  <c r="G196" i="59"/>
  <c r="F196" i="59"/>
  <c r="M194" i="59"/>
  <c r="L194" i="59"/>
  <c r="K194" i="59"/>
  <c r="J194" i="59"/>
  <c r="I194" i="59"/>
  <c r="H194" i="59"/>
  <c r="G194" i="59"/>
  <c r="F194" i="59"/>
  <c r="BL193" i="59"/>
  <c r="BK193" i="59"/>
  <c r="BJ193" i="59"/>
  <c r="BI193" i="59"/>
  <c r="BH193" i="59"/>
  <c r="BG193" i="59"/>
  <c r="BF193" i="59"/>
  <c r="BE193" i="59"/>
  <c r="BD193" i="59"/>
  <c r="BL192" i="59"/>
  <c r="BK192" i="59"/>
  <c r="BJ192" i="59"/>
  <c r="BI192" i="59"/>
  <c r="BH192" i="59"/>
  <c r="BG192" i="59"/>
  <c r="BF192" i="59"/>
  <c r="BE192" i="59"/>
  <c r="BD192" i="59"/>
  <c r="M191" i="59"/>
  <c r="L191" i="59"/>
  <c r="K191" i="59"/>
  <c r="J191" i="59"/>
  <c r="I191" i="59"/>
  <c r="H191" i="59"/>
  <c r="G191" i="59"/>
  <c r="F191" i="59"/>
  <c r="M189" i="59"/>
  <c r="L189" i="59"/>
  <c r="K189" i="59"/>
  <c r="J189" i="59"/>
  <c r="I189" i="59"/>
  <c r="H189" i="59"/>
  <c r="G189" i="59"/>
  <c r="F189" i="59"/>
  <c r="BL187" i="59"/>
  <c r="BK187" i="59"/>
  <c r="BJ187" i="59"/>
  <c r="BI187" i="59"/>
  <c r="BH187" i="59"/>
  <c r="BG187" i="59"/>
  <c r="BF187" i="59"/>
  <c r="BE187" i="59"/>
  <c r="BD187" i="59"/>
  <c r="BL186" i="59"/>
  <c r="BK186" i="59"/>
  <c r="BJ186" i="59"/>
  <c r="BI186" i="59"/>
  <c r="BH186" i="59"/>
  <c r="BG186" i="59"/>
  <c r="BF186" i="59"/>
  <c r="BE186" i="59"/>
  <c r="BD186" i="59"/>
  <c r="M186" i="59"/>
  <c r="L186" i="59"/>
  <c r="BC186" i="59" s="1"/>
  <c r="R183" i="59"/>
  <c r="BL177" i="59"/>
  <c r="BK177" i="59"/>
  <c r="BJ177" i="59"/>
  <c r="BI177" i="59"/>
  <c r="BH177" i="59"/>
  <c r="BG177" i="59"/>
  <c r="BF177" i="59"/>
  <c r="BE177" i="59"/>
  <c r="BD177" i="59"/>
  <c r="BD173" i="59"/>
  <c r="BL169" i="59"/>
  <c r="BK169" i="59"/>
  <c r="BJ169" i="59"/>
  <c r="BI169" i="59"/>
  <c r="BH169" i="59"/>
  <c r="BG169" i="59"/>
  <c r="BF169" i="59"/>
  <c r="BE169" i="59"/>
  <c r="BD169" i="59"/>
  <c r="BL165" i="59"/>
  <c r="BK165" i="59"/>
  <c r="BJ165" i="59"/>
  <c r="BI165" i="59"/>
  <c r="BH165" i="59"/>
  <c r="BG165" i="59"/>
  <c r="BF165" i="59"/>
  <c r="BE165" i="59"/>
  <c r="BD165" i="59"/>
  <c r="M164" i="59"/>
  <c r="L164" i="59"/>
  <c r="K164" i="59"/>
  <c r="J164" i="59"/>
  <c r="I164" i="59"/>
  <c r="H164" i="59"/>
  <c r="G164" i="59"/>
  <c r="F164" i="59"/>
  <c r="M163" i="59"/>
  <c r="BL173" i="59" s="1"/>
  <c r="L163" i="59"/>
  <c r="BK173" i="59" s="1"/>
  <c r="K163" i="59"/>
  <c r="BJ173" i="59" s="1"/>
  <c r="J163" i="59"/>
  <c r="BI173" i="59" s="1"/>
  <c r="I163" i="59"/>
  <c r="BH173" i="59" s="1"/>
  <c r="H163" i="59"/>
  <c r="BG173" i="59" s="1"/>
  <c r="G163" i="59"/>
  <c r="BF173" i="59" s="1"/>
  <c r="F163" i="59"/>
  <c r="M162" i="59"/>
  <c r="L162" i="59"/>
  <c r="K162" i="59"/>
  <c r="J162" i="59"/>
  <c r="I162" i="59"/>
  <c r="H162" i="59"/>
  <c r="G162" i="59"/>
  <c r="F162" i="59"/>
  <c r="M159" i="59"/>
  <c r="L159" i="59"/>
  <c r="BC159" i="59" s="1"/>
  <c r="R156" i="59"/>
  <c r="BU150" i="59"/>
  <c r="BU142" i="59"/>
  <c r="BU138" i="59"/>
  <c r="M137" i="59"/>
  <c r="L137" i="59"/>
  <c r="K137" i="59"/>
  <c r="J137" i="59"/>
  <c r="I137" i="59"/>
  <c r="H137" i="59"/>
  <c r="G137" i="59"/>
  <c r="F137" i="59"/>
  <c r="CB146" i="59"/>
  <c r="M136" i="59"/>
  <c r="CA146" i="59" s="1"/>
  <c r="L136" i="59"/>
  <c r="BZ146" i="59" s="1"/>
  <c r="K136" i="59"/>
  <c r="BY146" i="59" s="1"/>
  <c r="J136" i="59"/>
  <c r="BX146" i="59" s="1"/>
  <c r="I136" i="59"/>
  <c r="BW146" i="59" s="1"/>
  <c r="H136" i="59"/>
  <c r="BV146" i="59" s="1"/>
  <c r="G136" i="59"/>
  <c r="BU146" i="59" s="1"/>
  <c r="F136" i="59"/>
  <c r="M135" i="59"/>
  <c r="L135" i="59"/>
  <c r="K135" i="59"/>
  <c r="J135" i="59"/>
  <c r="I135" i="59"/>
  <c r="H135" i="59"/>
  <c r="G135" i="59"/>
  <c r="F135" i="59"/>
  <c r="M131" i="59"/>
  <c r="L131" i="59"/>
  <c r="R128" i="59"/>
  <c r="BL123" i="59"/>
  <c r="BK123" i="59"/>
  <c r="BJ123" i="59"/>
  <c r="BI123" i="59"/>
  <c r="BH123" i="59"/>
  <c r="BG123" i="59"/>
  <c r="BF123" i="59"/>
  <c r="BE123" i="59"/>
  <c r="BD123" i="59"/>
  <c r="BL122" i="59"/>
  <c r="BK122" i="59"/>
  <c r="BJ122" i="59"/>
  <c r="BI122" i="59"/>
  <c r="BH122" i="59"/>
  <c r="BG122" i="59"/>
  <c r="BF122" i="59"/>
  <c r="BE122" i="59"/>
  <c r="BD122" i="59"/>
  <c r="BD120" i="59"/>
  <c r="BD119" i="59"/>
  <c r="BL116" i="59"/>
  <c r="BK116" i="59"/>
  <c r="BJ116" i="59"/>
  <c r="BI116" i="59"/>
  <c r="BH116" i="59"/>
  <c r="BG116" i="59"/>
  <c r="BF116" i="59"/>
  <c r="BE116" i="59"/>
  <c r="BD116" i="59"/>
  <c r="M116" i="59"/>
  <c r="L116" i="59"/>
  <c r="K116" i="59"/>
  <c r="J116" i="59"/>
  <c r="I116" i="59"/>
  <c r="H116" i="59"/>
  <c r="G116" i="59"/>
  <c r="F116" i="59"/>
  <c r="BL115" i="59"/>
  <c r="BK115" i="59"/>
  <c r="BJ115" i="59"/>
  <c r="BI115" i="59"/>
  <c r="BH115" i="59"/>
  <c r="BG115" i="59"/>
  <c r="BF115" i="59"/>
  <c r="BE115" i="59"/>
  <c r="BD115" i="59"/>
  <c r="M114" i="59"/>
  <c r="L114" i="59"/>
  <c r="K114" i="59"/>
  <c r="J114" i="59"/>
  <c r="I114" i="59"/>
  <c r="H114" i="59"/>
  <c r="G114" i="59"/>
  <c r="F114" i="59"/>
  <c r="BL112" i="59"/>
  <c r="BK112" i="59"/>
  <c r="BJ112" i="59"/>
  <c r="BI112" i="59"/>
  <c r="BH112" i="59"/>
  <c r="BG112" i="59"/>
  <c r="BF112" i="59"/>
  <c r="BE112" i="59"/>
  <c r="BD112" i="59"/>
  <c r="BL111" i="59"/>
  <c r="BK111" i="59"/>
  <c r="BJ111" i="59"/>
  <c r="BI111" i="59"/>
  <c r="BH111" i="59"/>
  <c r="BG111" i="59"/>
  <c r="BF111" i="59"/>
  <c r="BE111" i="59"/>
  <c r="BD111" i="59"/>
  <c r="M110" i="59"/>
  <c r="L110" i="59"/>
  <c r="K110" i="59"/>
  <c r="J110" i="59"/>
  <c r="I110" i="59"/>
  <c r="H110" i="59"/>
  <c r="G110" i="59"/>
  <c r="F110" i="59"/>
  <c r="BL109" i="59"/>
  <c r="BK109" i="59"/>
  <c r="BJ109" i="59"/>
  <c r="BI109" i="59"/>
  <c r="BH109" i="59"/>
  <c r="BG109" i="59"/>
  <c r="BF109" i="59"/>
  <c r="BE109" i="59"/>
  <c r="M109" i="59"/>
  <c r="BL119" i="59" s="1"/>
  <c r="L109" i="59"/>
  <c r="BK119" i="59" s="1"/>
  <c r="K109" i="59"/>
  <c r="BJ119" i="59" s="1"/>
  <c r="J109" i="59"/>
  <c r="BI119" i="59" s="1"/>
  <c r="I109" i="59"/>
  <c r="BH119" i="59" s="1"/>
  <c r="H109" i="59"/>
  <c r="BG119" i="59" s="1"/>
  <c r="G109" i="59"/>
  <c r="BF119" i="59" s="1"/>
  <c r="F109" i="59"/>
  <c r="M108" i="59"/>
  <c r="L108" i="59"/>
  <c r="K108" i="59"/>
  <c r="J108" i="59"/>
  <c r="I108" i="59"/>
  <c r="H108" i="59"/>
  <c r="G108" i="59"/>
  <c r="F108" i="59"/>
  <c r="M104" i="59"/>
  <c r="L104" i="59"/>
  <c r="R101" i="59"/>
  <c r="M97" i="59"/>
  <c r="L97" i="59"/>
  <c r="K97" i="59"/>
  <c r="J97" i="59"/>
  <c r="I97" i="59"/>
  <c r="H97" i="59"/>
  <c r="G97" i="59"/>
  <c r="F97" i="59"/>
  <c r="M95" i="59"/>
  <c r="L95" i="59"/>
  <c r="K95" i="59"/>
  <c r="J95" i="59"/>
  <c r="I95" i="59"/>
  <c r="H95" i="59"/>
  <c r="G95" i="59"/>
  <c r="F95" i="59"/>
  <c r="M92" i="59"/>
  <c r="L92" i="59"/>
  <c r="K92" i="59"/>
  <c r="J92" i="59"/>
  <c r="I92" i="59"/>
  <c r="H92" i="59"/>
  <c r="G92" i="59"/>
  <c r="F92" i="59"/>
  <c r="BL91" i="59"/>
  <c r="BK91" i="59"/>
  <c r="BJ91" i="59"/>
  <c r="BI91" i="59"/>
  <c r="BH91" i="59"/>
  <c r="BG91" i="59"/>
  <c r="BF91" i="59"/>
  <c r="BE91" i="59"/>
  <c r="BD91" i="59"/>
  <c r="BL90" i="59"/>
  <c r="BK90" i="59"/>
  <c r="BJ90" i="59"/>
  <c r="BI90" i="59"/>
  <c r="BH90" i="59"/>
  <c r="BG90" i="59"/>
  <c r="BF90" i="59"/>
  <c r="BE90" i="59"/>
  <c r="BD90" i="59"/>
  <c r="M90" i="59"/>
  <c r="L90" i="59"/>
  <c r="K90" i="59"/>
  <c r="J90" i="59"/>
  <c r="I90" i="59"/>
  <c r="H90" i="59"/>
  <c r="G90" i="59"/>
  <c r="F90" i="59"/>
  <c r="BL89" i="59"/>
  <c r="BK89" i="59"/>
  <c r="BJ89" i="59"/>
  <c r="BI89" i="59"/>
  <c r="BH89" i="59"/>
  <c r="BG89" i="59"/>
  <c r="BF89" i="59"/>
  <c r="BE89" i="59"/>
  <c r="BD89" i="59"/>
  <c r="BL88" i="59"/>
  <c r="BK88" i="59"/>
  <c r="BJ88" i="59"/>
  <c r="BI88" i="59"/>
  <c r="BH88" i="59"/>
  <c r="BG88" i="59"/>
  <c r="BF88" i="59"/>
  <c r="BE88" i="59"/>
  <c r="BD88" i="59"/>
  <c r="BL87" i="59"/>
  <c r="BK87" i="59"/>
  <c r="BJ87" i="59"/>
  <c r="BI87" i="59"/>
  <c r="BH87" i="59"/>
  <c r="BG87" i="59"/>
  <c r="BF87" i="59"/>
  <c r="BE87" i="59"/>
  <c r="BD87" i="59"/>
  <c r="M87" i="59"/>
  <c r="L87" i="59"/>
  <c r="K87" i="59"/>
  <c r="J87" i="59"/>
  <c r="I87" i="59"/>
  <c r="H87" i="59"/>
  <c r="G87" i="59"/>
  <c r="F87" i="59"/>
  <c r="BL86" i="59"/>
  <c r="BK86" i="59"/>
  <c r="BJ86" i="59"/>
  <c r="BI86" i="59"/>
  <c r="BH86" i="59"/>
  <c r="BG86" i="59"/>
  <c r="BF86" i="59"/>
  <c r="BE86" i="59"/>
  <c r="BD86" i="59"/>
  <c r="BD85" i="59"/>
  <c r="M85" i="59"/>
  <c r="L85" i="59"/>
  <c r="K85" i="59"/>
  <c r="J85" i="59"/>
  <c r="I85" i="59"/>
  <c r="H85" i="59"/>
  <c r="G85" i="59"/>
  <c r="F85" i="59"/>
  <c r="BD84" i="59"/>
  <c r="BD83" i="59"/>
  <c r="BD82" i="59"/>
  <c r="M82" i="59"/>
  <c r="L82" i="59"/>
  <c r="K82" i="59"/>
  <c r="J82" i="59"/>
  <c r="I82" i="59"/>
  <c r="H82" i="59"/>
  <c r="G82" i="59"/>
  <c r="F82" i="59"/>
  <c r="BD81" i="59"/>
  <c r="BD80" i="59"/>
  <c r="M80" i="59"/>
  <c r="L80" i="59"/>
  <c r="K80" i="59"/>
  <c r="J80" i="59"/>
  <c r="I80" i="59"/>
  <c r="H80" i="59"/>
  <c r="G80" i="59"/>
  <c r="F80" i="59"/>
  <c r="BL79" i="59"/>
  <c r="BK79" i="59"/>
  <c r="BJ79" i="59"/>
  <c r="BI79" i="59"/>
  <c r="BH79" i="59"/>
  <c r="BG79" i="59"/>
  <c r="BF79" i="59"/>
  <c r="BE79" i="59"/>
  <c r="BD79" i="59"/>
  <c r="BL78" i="59"/>
  <c r="BK78" i="59"/>
  <c r="BJ78" i="59"/>
  <c r="BI78" i="59"/>
  <c r="BH78" i="59"/>
  <c r="BG78" i="59"/>
  <c r="BF78" i="59"/>
  <c r="BE78" i="59"/>
  <c r="BD78" i="59"/>
  <c r="BL77" i="59"/>
  <c r="BK77" i="59"/>
  <c r="BJ77" i="59"/>
  <c r="BI77" i="59"/>
  <c r="BH77" i="59"/>
  <c r="BG77" i="59"/>
  <c r="BF77" i="59"/>
  <c r="BE77" i="59"/>
  <c r="BD77" i="59"/>
  <c r="M77" i="59"/>
  <c r="L77" i="59"/>
  <c r="K77" i="59"/>
  <c r="J77" i="59"/>
  <c r="I77" i="59"/>
  <c r="H77" i="59"/>
  <c r="G77" i="59"/>
  <c r="F77" i="59"/>
  <c r="BL76" i="59"/>
  <c r="BK76" i="59"/>
  <c r="BJ76" i="59"/>
  <c r="BI76" i="59"/>
  <c r="BH76" i="59"/>
  <c r="BG76" i="59"/>
  <c r="BF76" i="59"/>
  <c r="BE76" i="59"/>
  <c r="BD76" i="59"/>
  <c r="BL75" i="59"/>
  <c r="BK75" i="59"/>
  <c r="BJ75" i="59"/>
  <c r="BI75" i="59"/>
  <c r="BH75" i="59"/>
  <c r="BG75" i="59"/>
  <c r="BF75" i="59"/>
  <c r="BE75" i="59"/>
  <c r="BD75" i="59"/>
  <c r="M75" i="59"/>
  <c r="L75" i="59"/>
  <c r="K75" i="59"/>
  <c r="J75" i="59"/>
  <c r="I75" i="59"/>
  <c r="H75" i="59"/>
  <c r="G75" i="59"/>
  <c r="F75" i="59"/>
  <c r="BL74" i="59"/>
  <c r="BK74" i="59"/>
  <c r="BJ74" i="59"/>
  <c r="BI74" i="59"/>
  <c r="BH74" i="59"/>
  <c r="BG74" i="59"/>
  <c r="BF74" i="59"/>
  <c r="BE74" i="59"/>
  <c r="BD74" i="59"/>
  <c r="BL73" i="59"/>
  <c r="BK73" i="59"/>
  <c r="BJ73" i="59"/>
  <c r="BI73" i="59"/>
  <c r="BH73" i="59"/>
  <c r="BG73" i="59"/>
  <c r="BF73" i="59"/>
  <c r="BE73" i="59"/>
  <c r="BD73" i="59"/>
  <c r="BL72" i="59"/>
  <c r="BK72" i="59"/>
  <c r="BJ72" i="59"/>
  <c r="BI72" i="59"/>
  <c r="BH72" i="59"/>
  <c r="BG72" i="59"/>
  <c r="BF72" i="59"/>
  <c r="BE72" i="59"/>
  <c r="BD72" i="59"/>
  <c r="M72" i="59"/>
  <c r="L72" i="59"/>
  <c r="K72" i="59"/>
  <c r="J72" i="59"/>
  <c r="I72" i="59"/>
  <c r="H72" i="59"/>
  <c r="G72" i="59"/>
  <c r="F72" i="59"/>
  <c r="BL71" i="59"/>
  <c r="BK71" i="59"/>
  <c r="BJ71" i="59"/>
  <c r="BI71" i="59"/>
  <c r="BH71" i="59"/>
  <c r="BG71" i="59"/>
  <c r="BF71" i="59"/>
  <c r="BE71" i="59"/>
  <c r="BD71" i="59"/>
  <c r="BL70" i="59"/>
  <c r="BK70" i="59"/>
  <c r="BJ70" i="59"/>
  <c r="BI70" i="59"/>
  <c r="BH70" i="59"/>
  <c r="BG70" i="59"/>
  <c r="BF70" i="59"/>
  <c r="BE70" i="59"/>
  <c r="BD70" i="59"/>
  <c r="M70" i="59"/>
  <c r="L70" i="59"/>
  <c r="K70" i="59"/>
  <c r="J70" i="59"/>
  <c r="I70" i="59"/>
  <c r="H70" i="59"/>
  <c r="G70" i="59"/>
  <c r="F70" i="59"/>
  <c r="BL69" i="59"/>
  <c r="BK69" i="59"/>
  <c r="BJ69" i="59"/>
  <c r="BI69" i="59"/>
  <c r="BH69" i="59"/>
  <c r="BG69" i="59"/>
  <c r="BF69" i="59"/>
  <c r="BE69" i="59"/>
  <c r="BD69" i="59"/>
  <c r="BL68" i="59"/>
  <c r="BK68" i="59"/>
  <c r="BJ68" i="59"/>
  <c r="BI68" i="59"/>
  <c r="BH68" i="59"/>
  <c r="BG68" i="59"/>
  <c r="BF68" i="59"/>
  <c r="BE68" i="59"/>
  <c r="BD68" i="59"/>
  <c r="M67" i="59"/>
  <c r="L67" i="59"/>
  <c r="BC67" i="59" s="1"/>
  <c r="BL66" i="59"/>
  <c r="BK66" i="59"/>
  <c r="BJ66" i="59"/>
  <c r="BI66" i="59"/>
  <c r="BH66" i="59"/>
  <c r="BG66" i="59"/>
  <c r="BF66" i="59"/>
  <c r="BE66" i="59"/>
  <c r="R64" i="59"/>
  <c r="BT53" i="59"/>
  <c r="BS53" i="59"/>
  <c r="BR53" i="59"/>
  <c r="BQ53" i="59"/>
  <c r="BP53" i="59"/>
  <c r="BO53" i="59"/>
  <c r="BN53" i="59"/>
  <c r="BM53" i="59"/>
  <c r="BT45" i="59"/>
  <c r="BS45" i="59"/>
  <c r="BR45" i="59"/>
  <c r="BQ45" i="59"/>
  <c r="BP45" i="59"/>
  <c r="BO45" i="59"/>
  <c r="BN45" i="59"/>
  <c r="BM45" i="59"/>
  <c r="M45" i="59"/>
  <c r="L45" i="59"/>
  <c r="K45" i="59"/>
  <c r="J45" i="59"/>
  <c r="I45" i="59"/>
  <c r="H45" i="59"/>
  <c r="G45" i="59"/>
  <c r="F45" i="59"/>
  <c r="M43" i="59"/>
  <c r="L43" i="59"/>
  <c r="K43" i="59"/>
  <c r="J43" i="59"/>
  <c r="I43" i="59"/>
  <c r="H43" i="59"/>
  <c r="G43" i="59"/>
  <c r="F43" i="59"/>
  <c r="BT41" i="59"/>
  <c r="BS41" i="59"/>
  <c r="BR41" i="59"/>
  <c r="BQ41" i="59"/>
  <c r="BP41" i="59"/>
  <c r="BO41" i="59"/>
  <c r="BN41" i="59"/>
  <c r="BM41" i="59"/>
  <c r="M40" i="59"/>
  <c r="L40" i="59"/>
  <c r="BC40" i="59" s="1"/>
  <c r="BT39" i="59"/>
  <c r="BS39" i="59"/>
  <c r="BR39" i="59"/>
  <c r="BQ39" i="59"/>
  <c r="BP39" i="59"/>
  <c r="BO39" i="59"/>
  <c r="BN39" i="59"/>
  <c r="BM39" i="59"/>
  <c r="R37" i="59"/>
  <c r="M33" i="59"/>
  <c r="L33" i="59"/>
  <c r="K33" i="59"/>
  <c r="J33" i="59"/>
  <c r="I33" i="59"/>
  <c r="H33" i="59"/>
  <c r="G33" i="59"/>
  <c r="F33" i="59"/>
  <c r="M31" i="59"/>
  <c r="L31" i="59"/>
  <c r="K31" i="59"/>
  <c r="J31" i="59"/>
  <c r="I31" i="59"/>
  <c r="H31" i="59"/>
  <c r="G31" i="59"/>
  <c r="F31" i="59"/>
  <c r="BL29" i="59"/>
  <c r="BK29" i="59"/>
  <c r="BJ29" i="59"/>
  <c r="BI29" i="59"/>
  <c r="BH29" i="59"/>
  <c r="BG29" i="59"/>
  <c r="BF29" i="59"/>
  <c r="BE29" i="59"/>
  <c r="BD29" i="59"/>
  <c r="BL28" i="59"/>
  <c r="BK28" i="59"/>
  <c r="BJ28" i="59"/>
  <c r="BI28" i="59"/>
  <c r="BH28" i="59"/>
  <c r="BG28" i="59"/>
  <c r="BF28" i="59"/>
  <c r="BE28" i="59"/>
  <c r="BD28" i="59"/>
  <c r="M28" i="59"/>
  <c r="L28" i="59"/>
  <c r="K28" i="59"/>
  <c r="J28" i="59"/>
  <c r="I28" i="59"/>
  <c r="H28" i="59"/>
  <c r="G28" i="59"/>
  <c r="F28" i="59"/>
  <c r="BL27" i="59"/>
  <c r="BK27" i="59"/>
  <c r="BJ27" i="59"/>
  <c r="BI27" i="59"/>
  <c r="BH27" i="59"/>
  <c r="BG27" i="59"/>
  <c r="BF27" i="59"/>
  <c r="BE27" i="59"/>
  <c r="BD27" i="59"/>
  <c r="BL26" i="59"/>
  <c r="BK26" i="59"/>
  <c r="BJ26" i="59"/>
  <c r="BI26" i="59"/>
  <c r="BH26" i="59"/>
  <c r="BG26" i="59"/>
  <c r="BF26" i="59"/>
  <c r="BE26" i="59"/>
  <c r="BD26" i="59"/>
  <c r="M26" i="59"/>
  <c r="L26" i="59"/>
  <c r="K26" i="59"/>
  <c r="J26" i="59"/>
  <c r="I26" i="59"/>
  <c r="H26" i="59"/>
  <c r="G26" i="59"/>
  <c r="F26" i="59"/>
  <c r="BD25" i="59"/>
  <c r="BD24" i="59"/>
  <c r="BD23" i="59"/>
  <c r="M23" i="59"/>
  <c r="L23" i="59"/>
  <c r="K23" i="59"/>
  <c r="J23" i="59"/>
  <c r="I23" i="59"/>
  <c r="H23" i="59"/>
  <c r="G23" i="59"/>
  <c r="F23" i="59"/>
  <c r="BD22" i="59"/>
  <c r="BL21" i="59"/>
  <c r="BK21" i="59"/>
  <c r="BJ21" i="59"/>
  <c r="BI21" i="59"/>
  <c r="BH21" i="59"/>
  <c r="BG21" i="59"/>
  <c r="BF21" i="59"/>
  <c r="BE21" i="59"/>
  <c r="BD21" i="59"/>
  <c r="M21" i="59"/>
  <c r="L21" i="59"/>
  <c r="K21" i="59"/>
  <c r="J21" i="59"/>
  <c r="I21" i="59"/>
  <c r="H21" i="59"/>
  <c r="G21" i="59"/>
  <c r="F21" i="59"/>
  <c r="BL20" i="59"/>
  <c r="BK20" i="59"/>
  <c r="BJ20" i="59"/>
  <c r="BI20" i="59"/>
  <c r="BH20" i="59"/>
  <c r="BG20" i="59"/>
  <c r="BF20" i="59"/>
  <c r="BE20" i="59"/>
  <c r="BD20" i="59"/>
  <c r="BL19" i="59"/>
  <c r="BK19" i="59"/>
  <c r="BJ19" i="59"/>
  <c r="BI19" i="59"/>
  <c r="BH19" i="59"/>
  <c r="BG19" i="59"/>
  <c r="BF19" i="59"/>
  <c r="BE19" i="59"/>
  <c r="BD19" i="59"/>
  <c r="BL18" i="59"/>
  <c r="BK18" i="59"/>
  <c r="BJ18" i="59"/>
  <c r="BI18" i="59"/>
  <c r="BH18" i="59"/>
  <c r="BG18" i="59"/>
  <c r="BF18" i="59"/>
  <c r="BE18" i="59"/>
  <c r="BD18" i="59"/>
  <c r="M18" i="59"/>
  <c r="L18" i="59"/>
  <c r="K18" i="59"/>
  <c r="J18" i="59"/>
  <c r="I18" i="59"/>
  <c r="H18" i="59"/>
  <c r="G18" i="59"/>
  <c r="F18" i="59"/>
  <c r="BL17" i="59"/>
  <c r="BK17" i="59"/>
  <c r="BJ17" i="59"/>
  <c r="BI17" i="59"/>
  <c r="BH17" i="59"/>
  <c r="BG17" i="59"/>
  <c r="BF17" i="59"/>
  <c r="BE17" i="59"/>
  <c r="BD17" i="59"/>
  <c r="M17" i="59"/>
  <c r="BL22" i="59" s="1"/>
  <c r="L17" i="59"/>
  <c r="BK22" i="59" s="1"/>
  <c r="K17" i="59"/>
  <c r="BJ22" i="59" s="1"/>
  <c r="J17" i="59"/>
  <c r="BI22" i="59" s="1"/>
  <c r="I17" i="59"/>
  <c r="BH22" i="59" s="1"/>
  <c r="H17" i="59"/>
  <c r="G17" i="59"/>
  <c r="BF22" i="59" s="1"/>
  <c r="F17" i="59"/>
  <c r="BL16" i="59"/>
  <c r="BK16" i="59"/>
  <c r="BJ16" i="59"/>
  <c r="BI16" i="59"/>
  <c r="BH16" i="59"/>
  <c r="BG16" i="59"/>
  <c r="BF16" i="59"/>
  <c r="BE16" i="59"/>
  <c r="BD16" i="59"/>
  <c r="M16" i="59"/>
  <c r="L16" i="59"/>
  <c r="K16" i="59"/>
  <c r="J16" i="59"/>
  <c r="I16" i="59"/>
  <c r="H16" i="59"/>
  <c r="G16" i="59"/>
  <c r="F16" i="59"/>
  <c r="BL15" i="59"/>
  <c r="BK15" i="59"/>
  <c r="BJ15" i="59"/>
  <c r="BI15" i="59"/>
  <c r="BH15" i="59"/>
  <c r="BG15" i="59"/>
  <c r="BF15" i="59"/>
  <c r="BE15" i="59"/>
  <c r="BD15" i="59"/>
  <c r="BL14" i="59"/>
  <c r="BK14" i="59"/>
  <c r="BJ14" i="59"/>
  <c r="BI14" i="59"/>
  <c r="BH14" i="59"/>
  <c r="BG14" i="59"/>
  <c r="BF14" i="59"/>
  <c r="BE14" i="59"/>
  <c r="BD14" i="59"/>
  <c r="BL12" i="59"/>
  <c r="BK12" i="59"/>
  <c r="BJ12" i="59"/>
  <c r="BI12" i="59"/>
  <c r="BH12" i="59"/>
  <c r="BG12" i="59"/>
  <c r="BF12" i="59"/>
  <c r="BE12" i="59"/>
  <c r="M12" i="59"/>
  <c r="L12" i="59"/>
  <c r="R9" i="59"/>
  <c r="D21" i="59" l="1"/>
  <c r="BC21" i="59"/>
  <c r="D85" i="59"/>
  <c r="BC85" i="59"/>
  <c r="BC104" i="59"/>
  <c r="D231" i="59"/>
  <c r="BC231" i="59"/>
  <c r="D31" i="59"/>
  <c r="BC31" i="59"/>
  <c r="D70" i="59"/>
  <c r="BC70" i="59"/>
  <c r="D216" i="59"/>
  <c r="BC216" i="59"/>
  <c r="D108" i="59"/>
  <c r="BC108" i="59"/>
  <c r="D16" i="59"/>
  <c r="D80" i="59"/>
  <c r="BC80" i="59"/>
  <c r="BC131" i="59"/>
  <c r="D226" i="59"/>
  <c r="BC226" i="59"/>
  <c r="D43" i="59"/>
  <c r="BC43" i="59"/>
  <c r="D114" i="59"/>
  <c r="BC114" i="59"/>
  <c r="D162" i="59"/>
  <c r="BC162" i="59"/>
  <c r="D26" i="59"/>
  <c r="BC26" i="59"/>
  <c r="D90" i="59"/>
  <c r="BC90" i="59"/>
  <c r="D135" i="59"/>
  <c r="BC135" i="59"/>
  <c r="D189" i="59"/>
  <c r="BC189" i="59"/>
  <c r="D236" i="59"/>
  <c r="BC236" i="59"/>
  <c r="D75" i="59"/>
  <c r="BC75" i="59"/>
  <c r="D221" i="59"/>
  <c r="BC221" i="59"/>
  <c r="D241" i="59"/>
  <c r="BC241" i="59"/>
  <c r="D95" i="59"/>
  <c r="BC95" i="59"/>
  <c r="D194" i="59"/>
  <c r="BC194" i="59"/>
  <c r="BE22" i="59"/>
  <c r="BC72" i="59"/>
  <c r="BC218" i="59"/>
  <c r="BE173" i="59"/>
  <c r="BC163" i="59"/>
  <c r="BC164" i="59"/>
  <c r="BC116" i="59"/>
  <c r="BC191" i="59"/>
  <c r="BC228" i="59"/>
  <c r="BC137" i="59"/>
  <c r="BC238" i="59"/>
  <c r="BC243" i="59"/>
  <c r="BC28" i="59"/>
  <c r="BC92" i="59"/>
  <c r="BC97" i="59"/>
  <c r="BC196" i="59"/>
  <c r="BC18" i="59"/>
  <c r="BC82" i="59"/>
  <c r="BC77" i="59"/>
  <c r="BC223" i="59"/>
  <c r="BC33" i="59"/>
  <c r="BC45" i="59"/>
  <c r="BC136" i="59"/>
  <c r="BC23" i="59"/>
  <c r="BC87" i="59"/>
  <c r="BE119" i="59"/>
  <c r="BC109" i="59"/>
  <c r="BC110" i="59"/>
  <c r="BC233" i="59"/>
  <c r="BD67" i="59"/>
  <c r="BD110" i="59"/>
  <c r="BD185" i="59"/>
  <c r="BD212" i="59"/>
  <c r="BD13" i="59"/>
  <c r="BG22" i="59"/>
  <c r="P156" i="59"/>
  <c r="P37" i="59"/>
  <c r="P128" i="59"/>
  <c r="M5" i="41"/>
  <c r="M12" i="41"/>
  <c r="BS41" i="41"/>
  <c r="BT41" i="41"/>
  <c r="BS45" i="41"/>
  <c r="BT45" i="41"/>
  <c r="BS53" i="41"/>
  <c r="BT53" i="41"/>
  <c r="BN39" i="41"/>
  <c r="BO39" i="41"/>
  <c r="BP39" i="41"/>
  <c r="BQ39" i="41"/>
  <c r="BR39" i="41"/>
  <c r="BS39" i="41"/>
  <c r="BT39" i="41"/>
  <c r="BM39" i="41"/>
  <c r="G5" i="41"/>
  <c r="H5" i="41"/>
  <c r="I5" i="41"/>
  <c r="BF109" i="41"/>
  <c r="BG109" i="41"/>
  <c r="BH109" i="41"/>
  <c r="BI109" i="41"/>
  <c r="BJ109" i="41"/>
  <c r="BK109" i="41"/>
  <c r="BL109" i="41"/>
  <c r="BE109" i="41"/>
  <c r="BF66" i="41"/>
  <c r="BG66" i="41"/>
  <c r="BH66" i="41"/>
  <c r="BI66" i="41"/>
  <c r="BJ66" i="41"/>
  <c r="BK66" i="41"/>
  <c r="BL66" i="41"/>
  <c r="BE66" i="41"/>
  <c r="BE12" i="41"/>
  <c r="BF12" i="41"/>
  <c r="F5" i="41"/>
  <c r="L216" i="41"/>
  <c r="M216" i="41"/>
  <c r="L218" i="41"/>
  <c r="M218" i="41"/>
  <c r="L221" i="41"/>
  <c r="M221" i="41"/>
  <c r="L223" i="41"/>
  <c r="M223" i="41"/>
  <c r="L226" i="41"/>
  <c r="M226" i="41"/>
  <c r="L228" i="41"/>
  <c r="M228" i="41"/>
  <c r="L231" i="41"/>
  <c r="M231" i="41"/>
  <c r="L233" i="41"/>
  <c r="M233" i="41"/>
  <c r="L236" i="41"/>
  <c r="M236" i="41"/>
  <c r="L238" i="41"/>
  <c r="M238" i="41"/>
  <c r="L241" i="41"/>
  <c r="M241" i="41"/>
  <c r="L243" i="41"/>
  <c r="M243" i="41"/>
  <c r="L189" i="41"/>
  <c r="M189" i="41"/>
  <c r="L191" i="41"/>
  <c r="M191" i="41"/>
  <c r="L194" i="41"/>
  <c r="M194" i="41"/>
  <c r="L196" i="41"/>
  <c r="M196" i="41"/>
  <c r="L162" i="41"/>
  <c r="M162" i="41"/>
  <c r="L163" i="41"/>
  <c r="BK173" i="41" s="1"/>
  <c r="M163" i="41"/>
  <c r="BL173" i="41" s="1"/>
  <c r="L164" i="41"/>
  <c r="M164" i="41"/>
  <c r="L135" i="41"/>
  <c r="M135" i="41"/>
  <c r="L136" i="41"/>
  <c r="M136" i="41"/>
  <c r="L137" i="41"/>
  <c r="M137" i="41"/>
  <c r="L108" i="41"/>
  <c r="M108" i="41"/>
  <c r="L109" i="41"/>
  <c r="BK119" i="41" s="1"/>
  <c r="M109" i="41"/>
  <c r="BL119" i="41" s="1"/>
  <c r="L110" i="41"/>
  <c r="M110" i="41"/>
  <c r="L114" i="41"/>
  <c r="M114" i="41"/>
  <c r="L116" i="41"/>
  <c r="M116" i="41"/>
  <c r="L70" i="41"/>
  <c r="M70" i="41"/>
  <c r="L72" i="41"/>
  <c r="M72" i="41"/>
  <c r="L75" i="41"/>
  <c r="M75" i="41"/>
  <c r="L77" i="41"/>
  <c r="M77" i="41"/>
  <c r="L80" i="41"/>
  <c r="M80" i="41"/>
  <c r="L82" i="41"/>
  <c r="M82" i="41"/>
  <c r="L85" i="41"/>
  <c r="M85" i="41"/>
  <c r="L87" i="41"/>
  <c r="M87" i="41"/>
  <c r="L90" i="41"/>
  <c r="M90" i="41"/>
  <c r="L92" i="41"/>
  <c r="M92" i="41"/>
  <c r="L95" i="41"/>
  <c r="M95" i="41"/>
  <c r="L97" i="41"/>
  <c r="M97" i="41"/>
  <c r="L43" i="41"/>
  <c r="M43" i="41"/>
  <c r="L45" i="41"/>
  <c r="M45" i="41"/>
  <c r="L16" i="41"/>
  <c r="M16" i="41"/>
  <c r="L17" i="41"/>
  <c r="BK22" i="41" s="1"/>
  <c r="M17" i="41"/>
  <c r="BL22" i="41" s="1"/>
  <c r="L18" i="41"/>
  <c r="M18" i="41"/>
  <c r="L21" i="41"/>
  <c r="M21" i="41"/>
  <c r="L23" i="41"/>
  <c r="M23" i="41"/>
  <c r="L26" i="41"/>
  <c r="M26" i="41"/>
  <c r="L28" i="41"/>
  <c r="M28" i="41"/>
  <c r="L31" i="41"/>
  <c r="M31" i="41"/>
  <c r="L33" i="41"/>
  <c r="M33" i="41"/>
  <c r="M213" i="41"/>
  <c r="L213" i="41"/>
  <c r="M186" i="41"/>
  <c r="L186" i="41"/>
  <c r="M159" i="41"/>
  <c r="L159" i="41"/>
  <c r="M131" i="41"/>
  <c r="L131" i="41"/>
  <c r="M104" i="41"/>
  <c r="L104" i="41"/>
  <c r="M67" i="41"/>
  <c r="L67" i="41"/>
  <c r="M40" i="41"/>
  <c r="L40" i="41"/>
  <c r="L12" i="41"/>
  <c r="BG12" i="41"/>
  <c r="BH12" i="41"/>
  <c r="BI12" i="41"/>
  <c r="BJ12" i="41"/>
  <c r="BK12" i="41"/>
  <c r="BL12" i="41"/>
  <c r="BK14" i="41"/>
  <c r="BL14" i="41"/>
  <c r="BK15" i="41"/>
  <c r="BL15" i="41"/>
  <c r="BK16" i="41"/>
  <c r="BL16" i="41"/>
  <c r="BK17" i="41"/>
  <c r="BL17" i="41"/>
  <c r="BK18" i="41"/>
  <c r="BL18" i="41"/>
  <c r="BK19" i="41"/>
  <c r="BL19" i="41"/>
  <c r="BK20" i="41"/>
  <c r="BL20" i="41"/>
  <c r="BK21" i="41"/>
  <c r="BL21" i="41"/>
  <c r="BK26" i="41"/>
  <c r="BL26" i="41"/>
  <c r="BK27" i="41"/>
  <c r="BL27" i="41"/>
  <c r="BK28" i="41"/>
  <c r="BL28" i="41"/>
  <c r="BK29" i="41"/>
  <c r="BL29" i="41"/>
  <c r="BK68" i="41"/>
  <c r="BL68" i="41"/>
  <c r="BK69" i="41"/>
  <c r="BL69" i="41"/>
  <c r="BK70" i="41"/>
  <c r="BL70" i="41"/>
  <c r="BK71" i="41"/>
  <c r="BL71" i="41"/>
  <c r="BK72" i="41"/>
  <c r="BL72" i="41"/>
  <c r="BK73" i="41"/>
  <c r="BL73" i="41"/>
  <c r="BK74" i="41"/>
  <c r="BL74" i="41"/>
  <c r="BK75" i="41"/>
  <c r="BL75" i="41"/>
  <c r="BK76" i="41"/>
  <c r="BL76" i="41"/>
  <c r="BK77" i="41"/>
  <c r="BL77" i="41"/>
  <c r="BK78" i="41"/>
  <c r="BL78" i="41"/>
  <c r="BK79" i="41"/>
  <c r="BL79" i="41"/>
  <c r="BK86" i="41"/>
  <c r="BL86" i="41"/>
  <c r="BK87" i="41"/>
  <c r="BL87" i="41"/>
  <c r="BK88" i="41"/>
  <c r="BL88" i="41"/>
  <c r="BK89" i="41"/>
  <c r="BL89" i="41"/>
  <c r="BK90" i="41"/>
  <c r="BL90" i="41"/>
  <c r="BK91" i="41"/>
  <c r="BL91" i="41"/>
  <c r="BK111" i="41"/>
  <c r="BL111" i="41"/>
  <c r="BK112" i="41"/>
  <c r="BL112" i="41"/>
  <c r="BK115" i="41"/>
  <c r="BL115" i="41"/>
  <c r="BK116" i="41"/>
  <c r="BL116" i="41"/>
  <c r="BK122" i="41"/>
  <c r="BL122" i="41"/>
  <c r="BK123" i="41"/>
  <c r="BL123" i="41"/>
  <c r="BK165" i="41"/>
  <c r="BL165" i="41"/>
  <c r="BK169" i="41"/>
  <c r="BL169" i="41"/>
  <c r="BK177" i="41"/>
  <c r="BL177" i="41"/>
  <c r="BK186" i="41"/>
  <c r="BL186" i="41"/>
  <c r="BK187" i="41"/>
  <c r="BL187" i="41"/>
  <c r="BK192" i="41"/>
  <c r="BL192" i="41"/>
  <c r="BK193" i="41"/>
  <c r="BL193" i="41"/>
  <c r="BK204" i="41"/>
  <c r="BL204" i="41"/>
  <c r="BK205" i="41"/>
  <c r="BL205" i="41"/>
  <c r="BK213" i="41"/>
  <c r="BL213" i="41"/>
  <c r="BK214" i="41"/>
  <c r="BL214" i="41"/>
  <c r="BK215" i="41"/>
  <c r="BL215" i="41"/>
  <c r="BK216" i="41"/>
  <c r="BL216" i="41"/>
  <c r="BK217" i="41"/>
  <c r="BL217" i="41"/>
  <c r="BK218" i="41"/>
  <c r="BL218" i="41"/>
  <c r="BK219" i="41"/>
  <c r="BL219" i="41"/>
  <c r="BK220" i="41"/>
  <c r="BL220" i="41"/>
  <c r="BK221" i="41"/>
  <c r="BL221" i="41"/>
  <c r="BK222" i="41"/>
  <c r="BL222" i="41"/>
  <c r="BK223" i="41"/>
  <c r="BL223" i="41"/>
  <c r="BK224" i="41"/>
  <c r="BL224" i="41"/>
  <c r="BK231" i="41"/>
  <c r="BL231" i="41"/>
  <c r="BK232" i="41"/>
  <c r="BL232" i="41"/>
  <c r="BK233" i="41"/>
  <c r="BL233" i="41"/>
  <c r="BK234" i="41"/>
  <c r="BL234" i="41"/>
  <c r="BK235" i="41"/>
  <c r="BL235" i="41"/>
  <c r="BK236" i="41"/>
  <c r="BL236" i="41"/>
  <c r="R210" i="41"/>
  <c r="R183" i="41"/>
  <c r="R156" i="41"/>
  <c r="R128" i="41"/>
  <c r="R101" i="41"/>
  <c r="R64" i="41"/>
  <c r="R37" i="41"/>
  <c r="R9" i="41"/>
  <c r="BD12" i="40"/>
  <c r="I7" i="59" l="1"/>
  <c r="K7" i="59"/>
  <c r="G7" i="59"/>
  <c r="G5" i="59"/>
  <c r="G6" i="59"/>
  <c r="J7" i="59"/>
  <c r="J6" i="59"/>
  <c r="M5" i="59"/>
  <c r="M6" i="59"/>
  <c r="M7" i="59"/>
  <c r="L7" i="59"/>
  <c r="L5" i="59"/>
  <c r="I5" i="59"/>
  <c r="I6" i="59"/>
  <c r="F7" i="59"/>
  <c r="F6" i="59"/>
  <c r="F5" i="59"/>
  <c r="H6" i="59"/>
  <c r="H7" i="59"/>
  <c r="H5" i="59"/>
  <c r="L32" i="41"/>
  <c r="BK25" i="41" s="1"/>
  <c r="M217" i="41"/>
  <c r="BL225" i="41" s="1"/>
  <c r="M44" i="41"/>
  <c r="BT49" i="41" s="1"/>
  <c r="M91" i="41"/>
  <c r="BL84" i="41" s="1"/>
  <c r="L86" i="41"/>
  <c r="BK83" i="41" s="1"/>
  <c r="L76" i="41"/>
  <c r="BK81" i="41" s="1"/>
  <c r="L115" i="41"/>
  <c r="BK120" i="41" s="1"/>
  <c r="L27" i="41"/>
  <c r="BK24" i="41" s="1"/>
  <c r="M32" i="41"/>
  <c r="BL25" i="41" s="1"/>
  <c r="M22" i="41"/>
  <c r="BL23" i="41" s="1"/>
  <c r="L22" i="41"/>
  <c r="BK23" i="41" s="1"/>
  <c r="M81" i="41"/>
  <c r="BL82" i="41" s="1"/>
  <c r="M71" i="41"/>
  <c r="BL80" i="41" s="1"/>
  <c r="M27" i="41"/>
  <c r="BL24" i="41" s="1"/>
  <c r="L91" i="41"/>
  <c r="BK84" i="41" s="1"/>
  <c r="L81" i="41"/>
  <c r="BK82" i="41" s="1"/>
  <c r="L71" i="41"/>
  <c r="BK80" i="41" s="1"/>
  <c r="L190" i="41"/>
  <c r="BK198" i="41" s="1"/>
  <c r="L237" i="41"/>
  <c r="BK229" i="41" s="1"/>
  <c r="L227" i="41"/>
  <c r="BK227" i="41" s="1"/>
  <c r="M96" i="41"/>
  <c r="BL85" i="41" s="1"/>
  <c r="L195" i="41"/>
  <c r="BK199" i="41" s="1"/>
  <c r="L242" i="41"/>
  <c r="BK230" i="41" s="1"/>
  <c r="L232" i="41"/>
  <c r="BK228" i="41" s="1"/>
  <c r="L222" i="41"/>
  <c r="BK226" i="41" s="1"/>
  <c r="M190" i="41"/>
  <c r="BL198" i="41" s="1"/>
  <c r="M237" i="41"/>
  <c r="BL229" i="41" s="1"/>
  <c r="M227" i="41"/>
  <c r="BL227" i="41" s="1"/>
  <c r="M86" i="41"/>
  <c r="BL83" i="41" s="1"/>
  <c r="M76" i="41"/>
  <c r="BL81" i="41" s="1"/>
  <c r="M115" i="41"/>
  <c r="BL120" i="41" s="1"/>
  <c r="M195" i="41"/>
  <c r="BL199" i="41" s="1"/>
  <c r="M242" i="41"/>
  <c r="BL230" i="41" s="1"/>
  <c r="M232" i="41"/>
  <c r="BL228" i="41" s="1"/>
  <c r="M222" i="41"/>
  <c r="BL226" i="41" s="1"/>
  <c r="L96" i="41"/>
  <c r="BK85" i="41" s="1"/>
  <c r="L217" i="41"/>
  <c r="BK225" i="41" s="1"/>
  <c r="L44" i="41"/>
  <c r="BS49" i="41" s="1"/>
  <c r="R8" i="40"/>
  <c r="L17" i="40" s="1"/>
  <c r="L27" i="59" l="1"/>
  <c r="BK24" i="59" s="1"/>
  <c r="L222" i="59"/>
  <c r="BK226" i="59" s="1"/>
  <c r="L76" i="59"/>
  <c r="BK81" i="59" s="1"/>
  <c r="L195" i="59"/>
  <c r="BK199" i="59" s="1"/>
  <c r="L86" i="59"/>
  <c r="BK83" i="59" s="1"/>
  <c r="L190" i="59"/>
  <c r="BK198" i="59" s="1"/>
  <c r="L227" i="59"/>
  <c r="BK227" i="59" s="1"/>
  <c r="L71" i="59"/>
  <c r="BK80" i="59" s="1"/>
  <c r="L32" i="59"/>
  <c r="BK25" i="59" s="1"/>
  <c r="L81" i="59"/>
  <c r="BK82" i="59" s="1"/>
  <c r="L96" i="59"/>
  <c r="BK85" i="59" s="1"/>
  <c r="L91" i="59"/>
  <c r="BK84" i="59" s="1"/>
  <c r="L237" i="59"/>
  <c r="BK229" i="59" s="1"/>
  <c r="L22" i="59"/>
  <c r="L44" i="59"/>
  <c r="BS49" i="59" s="1"/>
  <c r="L217" i="59"/>
  <c r="BK225" i="59" s="1"/>
  <c r="L232" i="59"/>
  <c r="BK228" i="59" s="1"/>
  <c r="L242" i="59"/>
  <c r="BK230" i="59" s="1"/>
  <c r="L115" i="59"/>
  <c r="BK120" i="59" s="1"/>
  <c r="F32" i="59"/>
  <c r="F222" i="59"/>
  <c r="F22" i="59"/>
  <c r="F71" i="59"/>
  <c r="F44" i="59"/>
  <c r="F217" i="59"/>
  <c r="F115" i="59"/>
  <c r="F76" i="59"/>
  <c r="F232" i="59"/>
  <c r="F91" i="59"/>
  <c r="F96" i="59"/>
  <c r="F237" i="59"/>
  <c r="F190" i="59"/>
  <c r="F81" i="59"/>
  <c r="F242" i="59"/>
  <c r="F227" i="59"/>
  <c r="F195" i="59"/>
  <c r="F86" i="59"/>
  <c r="F27" i="59"/>
  <c r="G222" i="59"/>
  <c r="BF226" i="59" s="1"/>
  <c r="G27" i="59"/>
  <c r="BF24" i="59" s="1"/>
  <c r="G76" i="59"/>
  <c r="BF81" i="59" s="1"/>
  <c r="G115" i="59"/>
  <c r="BF120" i="59" s="1"/>
  <c r="G232" i="59"/>
  <c r="BF228" i="59" s="1"/>
  <c r="G44" i="59"/>
  <c r="BN49" i="59" s="1"/>
  <c r="G195" i="59"/>
  <c r="BF199" i="59" s="1"/>
  <c r="G237" i="59"/>
  <c r="BF229" i="59" s="1"/>
  <c r="G227" i="59"/>
  <c r="BF227" i="59" s="1"/>
  <c r="G32" i="59"/>
  <c r="BF25" i="59" s="1"/>
  <c r="G71" i="59"/>
  <c r="BF80" i="59" s="1"/>
  <c r="G86" i="59"/>
  <c r="BF83" i="59" s="1"/>
  <c r="G242" i="59"/>
  <c r="BF230" i="59" s="1"/>
  <c r="G81" i="59"/>
  <c r="BF82" i="59" s="1"/>
  <c r="G96" i="59"/>
  <c r="BF85" i="59" s="1"/>
  <c r="G217" i="59"/>
  <c r="BF225" i="59" s="1"/>
  <c r="G190" i="59"/>
  <c r="BF198" i="59" s="1"/>
  <c r="G91" i="59"/>
  <c r="BF84" i="59" s="1"/>
  <c r="G22" i="59"/>
  <c r="BF23" i="59" s="1"/>
  <c r="M81" i="59"/>
  <c r="BL82" i="59" s="1"/>
  <c r="M44" i="59"/>
  <c r="BT49" i="59" s="1"/>
  <c r="M227" i="59"/>
  <c r="BL227" i="59" s="1"/>
  <c r="M195" i="59"/>
  <c r="BL199" i="59" s="1"/>
  <c r="M96" i="59"/>
  <c r="BL85" i="59" s="1"/>
  <c r="M232" i="59"/>
  <c r="BL228" i="59" s="1"/>
  <c r="M76" i="59"/>
  <c r="BL81" i="59" s="1"/>
  <c r="M237" i="59"/>
  <c r="BL229" i="59" s="1"/>
  <c r="M91" i="59"/>
  <c r="BL84" i="59" s="1"/>
  <c r="M222" i="59"/>
  <c r="BL226" i="59" s="1"/>
  <c r="M32" i="59"/>
  <c r="BL25" i="59" s="1"/>
  <c r="M71" i="59"/>
  <c r="BL80" i="59" s="1"/>
  <c r="M22" i="59"/>
  <c r="BL23" i="59" s="1"/>
  <c r="M86" i="59"/>
  <c r="BL83" i="59" s="1"/>
  <c r="M217" i="59"/>
  <c r="BL225" i="59" s="1"/>
  <c r="M190" i="59"/>
  <c r="BL198" i="59" s="1"/>
  <c r="M115" i="59"/>
  <c r="BL120" i="59" s="1"/>
  <c r="M242" i="59"/>
  <c r="BL230" i="59" s="1"/>
  <c r="M27" i="59"/>
  <c r="BL24" i="59" s="1"/>
  <c r="K195" i="59"/>
  <c r="BJ199" i="59" s="1"/>
  <c r="K96" i="59"/>
  <c r="BJ85" i="59" s="1"/>
  <c r="K86" i="59"/>
  <c r="BJ83" i="59" s="1"/>
  <c r="K44" i="59"/>
  <c r="BR49" i="59" s="1"/>
  <c r="K242" i="59"/>
  <c r="BJ230" i="59" s="1"/>
  <c r="K32" i="59"/>
  <c r="BJ25" i="59" s="1"/>
  <c r="K91" i="59"/>
  <c r="BJ84" i="59" s="1"/>
  <c r="K71" i="59"/>
  <c r="BJ80" i="59" s="1"/>
  <c r="K76" i="59"/>
  <c r="BJ81" i="59" s="1"/>
  <c r="K227" i="59"/>
  <c r="BJ227" i="59" s="1"/>
  <c r="K217" i="59"/>
  <c r="BJ225" i="59" s="1"/>
  <c r="K81" i="59"/>
  <c r="BJ82" i="59" s="1"/>
  <c r="K232" i="59"/>
  <c r="BJ228" i="59" s="1"/>
  <c r="K190" i="59"/>
  <c r="BJ198" i="59" s="1"/>
  <c r="K237" i="59"/>
  <c r="BJ229" i="59" s="1"/>
  <c r="K222" i="59"/>
  <c r="BJ226" i="59" s="1"/>
  <c r="K27" i="59"/>
  <c r="BJ24" i="59" s="1"/>
  <c r="K22" i="59"/>
  <c r="BJ23" i="59" s="1"/>
  <c r="K115" i="59"/>
  <c r="BJ120" i="59" s="1"/>
  <c r="I237" i="59"/>
  <c r="BH229" i="59" s="1"/>
  <c r="I115" i="59"/>
  <c r="BH120" i="59" s="1"/>
  <c r="I217" i="59"/>
  <c r="BH225" i="59" s="1"/>
  <c r="I195" i="59"/>
  <c r="BH199" i="59" s="1"/>
  <c r="I71" i="59"/>
  <c r="BH80" i="59" s="1"/>
  <c r="I44" i="59"/>
  <c r="BP49" i="59" s="1"/>
  <c r="I22" i="59"/>
  <c r="BH23" i="59" s="1"/>
  <c r="I32" i="59"/>
  <c r="BH25" i="59" s="1"/>
  <c r="I91" i="59"/>
  <c r="BH84" i="59" s="1"/>
  <c r="I76" i="59"/>
  <c r="BH81" i="59" s="1"/>
  <c r="I27" i="59"/>
  <c r="BH24" i="59" s="1"/>
  <c r="I242" i="59"/>
  <c r="BH230" i="59" s="1"/>
  <c r="I232" i="59"/>
  <c r="BH228" i="59" s="1"/>
  <c r="I227" i="59"/>
  <c r="BH227" i="59" s="1"/>
  <c r="I81" i="59"/>
  <c r="BH82" i="59" s="1"/>
  <c r="I96" i="59"/>
  <c r="BH85" i="59" s="1"/>
  <c r="I86" i="59"/>
  <c r="BH83" i="59" s="1"/>
  <c r="I190" i="59"/>
  <c r="BH198" i="59" s="1"/>
  <c r="I222" i="59"/>
  <c r="BH226" i="59" s="1"/>
  <c r="H190" i="59"/>
  <c r="BG198" i="59" s="1"/>
  <c r="H96" i="59"/>
  <c r="BG85" i="59" s="1"/>
  <c r="H237" i="59"/>
  <c r="BG229" i="59" s="1"/>
  <c r="H232" i="59"/>
  <c r="BG228" i="59" s="1"/>
  <c r="H91" i="59"/>
  <c r="BG84" i="59" s="1"/>
  <c r="H27" i="59"/>
  <c r="BG24" i="59" s="1"/>
  <c r="H86" i="59"/>
  <c r="BG83" i="59" s="1"/>
  <c r="H217" i="59"/>
  <c r="BG225" i="59" s="1"/>
  <c r="H71" i="59"/>
  <c r="BG80" i="59" s="1"/>
  <c r="H115" i="59"/>
  <c r="BG120" i="59" s="1"/>
  <c r="H227" i="59"/>
  <c r="BG227" i="59" s="1"/>
  <c r="H76" i="59"/>
  <c r="BG81" i="59" s="1"/>
  <c r="H81" i="59"/>
  <c r="BG82" i="59" s="1"/>
  <c r="H195" i="59"/>
  <c r="BG199" i="59" s="1"/>
  <c r="H222" i="59"/>
  <c r="BG226" i="59" s="1"/>
  <c r="H242" i="59"/>
  <c r="BG230" i="59" s="1"/>
  <c r="H32" i="59"/>
  <c r="BG25" i="59" s="1"/>
  <c r="H44" i="59"/>
  <c r="BO49" i="59" s="1"/>
  <c r="H22" i="59"/>
  <c r="BG23" i="59" s="1"/>
  <c r="J227" i="59"/>
  <c r="BI227" i="59" s="1"/>
  <c r="J86" i="59"/>
  <c r="BI83" i="59" s="1"/>
  <c r="J217" i="59"/>
  <c r="BI225" i="59" s="1"/>
  <c r="J27" i="59"/>
  <c r="BI24" i="59" s="1"/>
  <c r="J32" i="59"/>
  <c r="BI25" i="59" s="1"/>
  <c r="J190" i="59"/>
  <c r="BI198" i="59" s="1"/>
  <c r="J81" i="59"/>
  <c r="BI82" i="59" s="1"/>
  <c r="J115" i="59"/>
  <c r="BI120" i="59" s="1"/>
  <c r="J91" i="59"/>
  <c r="BI84" i="59" s="1"/>
  <c r="J44" i="59"/>
  <c r="BQ49" i="59" s="1"/>
  <c r="J76" i="59"/>
  <c r="BI81" i="59" s="1"/>
  <c r="J96" i="59"/>
  <c r="BI85" i="59" s="1"/>
  <c r="J71" i="59"/>
  <c r="BI80" i="59" s="1"/>
  <c r="J195" i="59"/>
  <c r="BI199" i="59" s="1"/>
  <c r="J232" i="59"/>
  <c r="BI228" i="59" s="1"/>
  <c r="J22" i="59"/>
  <c r="BI23" i="59" s="1"/>
  <c r="J222" i="59"/>
  <c r="BI226" i="59" s="1"/>
  <c r="J237" i="59"/>
  <c r="BI229" i="59" s="1"/>
  <c r="J242" i="59"/>
  <c r="BI230" i="59" s="1"/>
  <c r="BC44" i="59" l="1"/>
  <c r="BC190" i="59"/>
  <c r="BC237" i="59"/>
  <c r="BC91" i="59"/>
  <c r="BC222" i="59"/>
  <c r="BC195" i="59"/>
  <c r="BC232" i="59"/>
  <c r="BC32" i="59"/>
  <c r="BC96" i="59"/>
  <c r="BC86" i="59"/>
  <c r="BC227" i="59"/>
  <c r="BC76" i="59"/>
  <c r="BC71" i="59"/>
  <c r="BC27" i="59"/>
  <c r="BC22" i="59"/>
  <c r="BC242" i="59"/>
  <c r="BC115" i="59"/>
  <c r="BC81" i="59"/>
  <c r="BC217" i="59"/>
  <c r="BK23" i="59"/>
  <c r="P9" i="59"/>
  <c r="BE226" i="59"/>
  <c r="P210" i="59"/>
  <c r="P183" i="59"/>
  <c r="BE199" i="59"/>
  <c r="BE24" i="59"/>
  <c r="BE229" i="59"/>
  <c r="BE80" i="59"/>
  <c r="BE23" i="59"/>
  <c r="BE84" i="59"/>
  <c r="BE25" i="59"/>
  <c r="BE81" i="59"/>
  <c r="P64" i="59"/>
  <c r="BE230" i="59"/>
  <c r="BE120" i="59"/>
  <c r="P101" i="59"/>
  <c r="BE82" i="59"/>
  <c r="BE225" i="59"/>
  <c r="BE85" i="59"/>
  <c r="BE83" i="59"/>
  <c r="BE228" i="59"/>
  <c r="BE227" i="59"/>
  <c r="BE198" i="59"/>
  <c r="BM49" i="59"/>
  <c r="M6" i="52"/>
  <c r="L6" i="52"/>
  <c r="K5" i="40"/>
  <c r="J5" i="40"/>
  <c r="H5" i="40"/>
  <c r="G5" i="40"/>
  <c r="L5" i="52"/>
  <c r="BJ13" i="52"/>
  <c r="BI13" i="52"/>
  <c r="M5" i="52"/>
  <c r="BM235" i="52"/>
  <c r="BM234" i="52"/>
  <c r="BM233" i="52"/>
  <c r="BM232" i="52"/>
  <c r="BM231" i="52"/>
  <c r="BM230" i="52"/>
  <c r="BM229" i="52"/>
  <c r="BM228" i="52"/>
  <c r="BM227" i="52"/>
  <c r="BM226" i="52"/>
  <c r="BM225" i="52"/>
  <c r="BM224" i="52"/>
  <c r="BM223" i="52"/>
  <c r="BM222" i="52"/>
  <c r="BM221" i="52"/>
  <c r="BM220" i="52"/>
  <c r="BM219" i="52"/>
  <c r="BM218" i="52"/>
  <c r="BM217" i="52"/>
  <c r="BM216" i="52"/>
  <c r="BM215" i="52"/>
  <c r="BM214" i="52"/>
  <c r="BM213" i="52"/>
  <c r="BM212" i="52"/>
  <c r="BM204" i="52"/>
  <c r="BM203" i="52"/>
  <c r="BM198" i="52"/>
  <c r="BM197" i="52"/>
  <c r="BM192" i="52"/>
  <c r="BM191" i="52"/>
  <c r="BM186" i="52"/>
  <c r="BM185" i="52"/>
  <c r="BM176" i="52"/>
  <c r="BM172" i="52"/>
  <c r="BM168" i="52"/>
  <c r="BM164" i="52"/>
  <c r="BM122" i="52"/>
  <c r="BM118" i="52"/>
  <c r="BM114" i="52"/>
  <c r="BM110" i="52"/>
  <c r="BM90" i="52"/>
  <c r="BM89" i="52"/>
  <c r="BM88" i="52"/>
  <c r="BM87" i="52"/>
  <c r="BM86" i="52"/>
  <c r="BM85" i="52"/>
  <c r="BM84" i="52"/>
  <c r="BM83" i="52"/>
  <c r="BM82" i="52"/>
  <c r="BM81" i="52"/>
  <c r="BM80" i="52"/>
  <c r="BM79" i="52"/>
  <c r="BM78" i="52"/>
  <c r="BM77" i="52"/>
  <c r="BM76" i="52"/>
  <c r="BM75" i="52"/>
  <c r="BM74" i="52"/>
  <c r="BM73" i="52"/>
  <c r="BM72" i="52"/>
  <c r="BM71" i="52"/>
  <c r="BM70" i="52"/>
  <c r="BM69" i="52"/>
  <c r="BM68" i="52"/>
  <c r="BM67" i="52"/>
  <c r="BM52" i="52"/>
  <c r="BM48" i="52"/>
  <c r="BM44" i="52"/>
  <c r="BM40" i="52"/>
  <c r="BM28" i="52"/>
  <c r="BM27" i="52"/>
  <c r="BM26" i="52"/>
  <c r="BM25" i="52"/>
  <c r="BM24" i="52"/>
  <c r="BM23" i="52"/>
  <c r="BM22" i="52"/>
  <c r="BM21" i="52"/>
  <c r="BM20" i="52"/>
  <c r="BM19" i="52"/>
  <c r="BM18" i="52"/>
  <c r="BM17" i="52"/>
  <c r="BM16" i="52"/>
  <c r="BM15" i="52"/>
  <c r="BM14" i="52"/>
  <c r="BM13" i="52"/>
  <c r="BK13" i="52"/>
  <c r="BL13" i="52"/>
  <c r="BK14" i="52"/>
  <c r="BL14" i="52"/>
  <c r="BK15" i="52"/>
  <c r="BL15" i="52"/>
  <c r="BK16" i="52"/>
  <c r="BL16" i="52"/>
  <c r="BK17" i="52"/>
  <c r="BL17" i="52"/>
  <c r="BK18" i="52"/>
  <c r="BL18" i="52"/>
  <c r="BK19" i="52"/>
  <c r="BL19" i="52"/>
  <c r="BK20" i="52"/>
  <c r="BL20" i="52"/>
  <c r="BK25" i="52"/>
  <c r="BL25" i="52"/>
  <c r="BK26" i="52"/>
  <c r="BL26" i="52"/>
  <c r="BK27" i="52"/>
  <c r="BL27" i="52"/>
  <c r="BK28" i="52"/>
  <c r="BL28" i="52"/>
  <c r="BK40" i="52"/>
  <c r="BL40" i="52"/>
  <c r="BK44" i="52"/>
  <c r="BL44" i="52"/>
  <c r="BK52" i="52"/>
  <c r="BL52" i="52"/>
  <c r="BK67" i="52"/>
  <c r="BL67" i="52"/>
  <c r="BK68" i="52"/>
  <c r="BL68" i="52"/>
  <c r="BK69" i="52"/>
  <c r="BL69" i="52"/>
  <c r="BK70" i="52"/>
  <c r="BL70" i="52"/>
  <c r="BK71" i="52"/>
  <c r="BL71" i="52"/>
  <c r="BK72" i="52"/>
  <c r="BL72" i="52"/>
  <c r="BK73" i="52"/>
  <c r="BL73" i="52"/>
  <c r="BK74" i="52"/>
  <c r="BL74" i="52"/>
  <c r="BK75" i="52"/>
  <c r="BL75" i="52"/>
  <c r="BK76" i="52"/>
  <c r="BL76" i="52"/>
  <c r="BK77" i="52"/>
  <c r="BL77" i="52"/>
  <c r="BK78" i="52"/>
  <c r="BL78" i="52"/>
  <c r="BK85" i="52"/>
  <c r="BL85" i="52"/>
  <c r="BK86" i="52"/>
  <c r="BL86" i="52"/>
  <c r="BK87" i="52"/>
  <c r="BL87" i="52"/>
  <c r="BK88" i="52"/>
  <c r="BL88" i="52"/>
  <c r="BK89" i="52"/>
  <c r="BL89" i="52"/>
  <c r="BK90" i="52"/>
  <c r="BL90" i="52"/>
  <c r="BK110" i="52"/>
  <c r="BL110" i="52"/>
  <c r="BK114" i="52"/>
  <c r="BL114" i="52"/>
  <c r="BK122" i="52"/>
  <c r="BL122" i="52"/>
  <c r="BK164" i="52"/>
  <c r="BL164" i="52"/>
  <c r="BK168" i="52"/>
  <c r="BL168" i="52"/>
  <c r="BK176" i="52"/>
  <c r="BL176" i="52"/>
  <c r="BK185" i="52"/>
  <c r="BL185" i="52"/>
  <c r="BK186" i="52"/>
  <c r="BL186" i="52"/>
  <c r="BK191" i="52"/>
  <c r="BL191" i="52"/>
  <c r="BK192" i="52"/>
  <c r="BL192" i="52"/>
  <c r="BK203" i="52"/>
  <c r="BL203" i="52"/>
  <c r="BK204" i="52"/>
  <c r="BL204" i="52"/>
  <c r="BK212" i="52"/>
  <c r="BL212" i="52"/>
  <c r="BK213" i="52"/>
  <c r="BL213" i="52"/>
  <c r="BK214" i="52"/>
  <c r="BL214" i="52"/>
  <c r="BK215" i="52"/>
  <c r="BL215" i="52"/>
  <c r="BK216" i="52"/>
  <c r="BL216" i="52"/>
  <c r="BK217" i="52"/>
  <c r="BL217" i="52"/>
  <c r="BK218" i="52"/>
  <c r="BL218" i="52"/>
  <c r="BK219" i="52"/>
  <c r="BL219" i="52"/>
  <c r="BK220" i="52"/>
  <c r="BL220" i="52"/>
  <c r="BK221" i="52"/>
  <c r="BL221" i="52"/>
  <c r="BK222" i="52"/>
  <c r="BL222" i="52"/>
  <c r="BK223" i="52"/>
  <c r="BL223" i="52"/>
  <c r="BK230" i="52"/>
  <c r="BL230" i="52"/>
  <c r="BK231" i="52"/>
  <c r="BL231" i="52"/>
  <c r="BK232" i="52"/>
  <c r="BL232" i="52"/>
  <c r="BK233" i="52"/>
  <c r="BL233" i="52"/>
  <c r="BK234" i="52"/>
  <c r="BL234" i="52"/>
  <c r="BK235" i="52"/>
  <c r="BL235" i="52"/>
  <c r="BD66" i="40"/>
  <c r="BK11" i="40"/>
  <c r="BL11" i="40"/>
  <c r="BK13" i="40"/>
  <c r="BL13" i="40"/>
  <c r="BK14" i="40"/>
  <c r="BL14" i="40"/>
  <c r="BK15" i="40"/>
  <c r="BL15" i="40"/>
  <c r="BK16" i="40"/>
  <c r="BL16" i="40"/>
  <c r="BK17" i="40"/>
  <c r="BL17" i="40"/>
  <c r="BK18" i="40"/>
  <c r="BL18" i="40"/>
  <c r="BK19" i="40"/>
  <c r="BL19" i="40"/>
  <c r="BK20" i="40"/>
  <c r="BL20" i="40"/>
  <c r="BL22" i="40"/>
  <c r="BL23" i="40"/>
  <c r="BL24" i="40"/>
  <c r="BK25" i="40"/>
  <c r="BL25" i="40"/>
  <c r="BK26" i="40"/>
  <c r="BL26" i="40"/>
  <c r="BK27" i="40"/>
  <c r="BL27" i="40"/>
  <c r="BK28" i="40"/>
  <c r="BL28" i="40"/>
  <c r="BK38" i="40"/>
  <c r="BL38" i="40"/>
  <c r="BK40" i="40"/>
  <c r="BL40" i="40"/>
  <c r="BK44" i="40"/>
  <c r="BL44" i="40"/>
  <c r="BL48" i="40"/>
  <c r="BK52" i="40"/>
  <c r="BL52" i="40"/>
  <c r="BK65" i="40"/>
  <c r="BL65" i="40"/>
  <c r="BK67" i="40"/>
  <c r="BL67" i="40"/>
  <c r="BK68" i="40"/>
  <c r="BL68" i="40"/>
  <c r="BK69" i="40"/>
  <c r="BL69" i="40"/>
  <c r="BK70" i="40"/>
  <c r="BL70" i="40"/>
  <c r="BK71" i="40"/>
  <c r="BL71" i="40"/>
  <c r="BK72" i="40"/>
  <c r="BL72" i="40"/>
  <c r="BK73" i="40"/>
  <c r="BL73" i="40"/>
  <c r="BK74" i="40"/>
  <c r="BL74" i="40"/>
  <c r="BK75" i="40"/>
  <c r="BL75" i="40"/>
  <c r="BK76" i="40"/>
  <c r="BL76" i="40"/>
  <c r="BK77" i="40"/>
  <c r="BL77" i="40"/>
  <c r="BK78" i="40"/>
  <c r="BL78" i="40"/>
  <c r="BL79" i="40"/>
  <c r="BL80" i="40"/>
  <c r="BL81" i="40"/>
  <c r="BL82" i="40"/>
  <c r="BL83" i="40"/>
  <c r="BL84" i="40"/>
  <c r="BK85" i="40"/>
  <c r="BL85" i="40"/>
  <c r="BK86" i="40"/>
  <c r="BL86" i="40"/>
  <c r="BK87" i="40"/>
  <c r="BL87" i="40"/>
  <c r="BK88" i="40"/>
  <c r="BL88" i="40"/>
  <c r="BK89" i="40"/>
  <c r="BL89" i="40"/>
  <c r="BK90" i="40"/>
  <c r="BL90" i="40"/>
  <c r="BK108" i="40"/>
  <c r="BL108" i="40"/>
  <c r="BK110" i="40"/>
  <c r="BL110" i="40"/>
  <c r="BK114" i="40"/>
  <c r="BL114" i="40"/>
  <c r="BL118" i="40"/>
  <c r="BK122" i="40"/>
  <c r="BL122" i="40"/>
  <c r="BK162" i="40"/>
  <c r="BL162" i="40"/>
  <c r="BK164" i="40"/>
  <c r="BL164" i="40"/>
  <c r="BK168" i="40"/>
  <c r="BL168" i="40"/>
  <c r="BL172" i="40"/>
  <c r="BK176" i="40"/>
  <c r="BL176" i="40"/>
  <c r="BK183" i="40"/>
  <c r="BL183" i="40"/>
  <c r="BK185" i="40"/>
  <c r="BL185" i="40"/>
  <c r="BK186" i="40"/>
  <c r="BL186" i="40"/>
  <c r="BK191" i="40"/>
  <c r="BL191" i="40"/>
  <c r="BK192" i="40"/>
  <c r="BL192" i="40"/>
  <c r="BL197" i="40"/>
  <c r="BL198" i="40"/>
  <c r="BK203" i="40"/>
  <c r="BL203" i="40"/>
  <c r="BK204" i="40"/>
  <c r="BL204" i="40"/>
  <c r="BK210" i="40"/>
  <c r="BL210" i="40"/>
  <c r="BK212" i="40"/>
  <c r="BL212" i="40"/>
  <c r="BK213" i="40"/>
  <c r="BL213" i="40"/>
  <c r="BK214" i="40"/>
  <c r="BL214" i="40"/>
  <c r="BK215" i="40"/>
  <c r="BL215" i="40"/>
  <c r="BK216" i="40"/>
  <c r="BL216" i="40"/>
  <c r="BK217" i="40"/>
  <c r="BL217" i="40"/>
  <c r="BK218" i="40"/>
  <c r="BL218" i="40"/>
  <c r="BK219" i="40"/>
  <c r="BL219" i="40"/>
  <c r="BK220" i="40"/>
  <c r="BL220" i="40"/>
  <c r="BK221" i="40"/>
  <c r="BL221" i="40"/>
  <c r="BK222" i="40"/>
  <c r="BL222" i="40"/>
  <c r="BK223" i="40"/>
  <c r="BL223" i="40"/>
  <c r="BL224" i="40"/>
  <c r="BL225" i="40"/>
  <c r="BL226" i="40"/>
  <c r="BL227" i="40"/>
  <c r="BL228" i="40"/>
  <c r="BL229" i="40"/>
  <c r="BK230" i="40"/>
  <c r="BL230" i="40"/>
  <c r="BK231" i="40"/>
  <c r="BL231" i="40"/>
  <c r="BK232" i="40"/>
  <c r="BL232" i="40"/>
  <c r="BK233" i="40"/>
  <c r="BL233" i="40"/>
  <c r="BK234" i="40"/>
  <c r="BL234" i="40"/>
  <c r="BK235" i="40"/>
  <c r="BL235" i="40"/>
  <c r="BJ11" i="40"/>
  <c r="BJ38" i="40"/>
  <c r="BJ65" i="40"/>
  <c r="BJ108" i="40"/>
  <c r="BJ162" i="40"/>
  <c r="BJ183" i="40"/>
  <c r="BJ210" i="40"/>
  <c r="BM21" i="40"/>
  <c r="L215" i="52"/>
  <c r="L217" i="52"/>
  <c r="L220" i="52"/>
  <c r="L222" i="52"/>
  <c r="L225" i="52"/>
  <c r="L227" i="52"/>
  <c r="L230" i="52"/>
  <c r="L232" i="52"/>
  <c r="L235" i="52"/>
  <c r="L237" i="52"/>
  <c r="L240" i="52"/>
  <c r="L242" i="52"/>
  <c r="L188" i="52"/>
  <c r="L190" i="52"/>
  <c r="L193" i="52"/>
  <c r="L195" i="52"/>
  <c r="L161" i="52"/>
  <c r="L162" i="52"/>
  <c r="BK172" i="52" s="1"/>
  <c r="L163" i="52"/>
  <c r="L134" i="52"/>
  <c r="L135" i="52"/>
  <c r="L136" i="52"/>
  <c r="L106" i="52"/>
  <c r="L108" i="52"/>
  <c r="L69" i="52"/>
  <c r="L71" i="52"/>
  <c r="L74" i="52"/>
  <c r="L76" i="52"/>
  <c r="L79" i="52"/>
  <c r="L81" i="52"/>
  <c r="L84" i="52"/>
  <c r="L86" i="52"/>
  <c r="L89" i="52"/>
  <c r="L91" i="52"/>
  <c r="L94" i="52"/>
  <c r="L96" i="52"/>
  <c r="L42" i="52"/>
  <c r="L44" i="52"/>
  <c r="L15" i="52"/>
  <c r="L20" i="52"/>
  <c r="L22" i="52"/>
  <c r="L25" i="52"/>
  <c r="L27" i="52"/>
  <c r="L30" i="52"/>
  <c r="L32" i="52"/>
  <c r="L4" i="52"/>
  <c r="L185" i="52" s="1"/>
  <c r="L69" i="40"/>
  <c r="L103" i="40"/>
  <c r="L106" i="40"/>
  <c r="L107" i="40" s="1"/>
  <c r="BK118" i="40" s="1"/>
  <c r="L108" i="40"/>
  <c r="L130" i="40"/>
  <c r="L134" i="40"/>
  <c r="L135" i="40"/>
  <c r="L136" i="40"/>
  <c r="L158" i="40"/>
  <c r="L161" i="40"/>
  <c r="L162" i="40"/>
  <c r="BK172" i="40" s="1"/>
  <c r="L163" i="40"/>
  <c r="L185" i="40"/>
  <c r="L188" i="40"/>
  <c r="L189" i="40" s="1"/>
  <c r="BK197" i="40" s="1"/>
  <c r="L190" i="40"/>
  <c r="L193" i="40"/>
  <c r="L195" i="40"/>
  <c r="L212" i="40"/>
  <c r="L215" i="40"/>
  <c r="L216" i="40" s="1"/>
  <c r="BK224" i="40" s="1"/>
  <c r="L217" i="40"/>
  <c r="L220" i="40"/>
  <c r="L221" i="40" s="1"/>
  <c r="BK225" i="40" s="1"/>
  <c r="L222" i="40"/>
  <c r="L225" i="40"/>
  <c r="L227" i="40"/>
  <c r="L230" i="40"/>
  <c r="L231" i="40" s="1"/>
  <c r="BK227" i="40" s="1"/>
  <c r="L232" i="40"/>
  <c r="L235" i="40"/>
  <c r="L237" i="40"/>
  <c r="L240" i="40"/>
  <c r="L241" i="40" s="1"/>
  <c r="BK229" i="40" s="1"/>
  <c r="L242" i="40"/>
  <c r="L66" i="40"/>
  <c r="L71" i="40"/>
  <c r="L74" i="40"/>
  <c r="L75" i="40" s="1"/>
  <c r="BK80" i="40" s="1"/>
  <c r="L76" i="40"/>
  <c r="L79" i="40"/>
  <c r="L81" i="40"/>
  <c r="L84" i="40"/>
  <c r="L86" i="40"/>
  <c r="L89" i="40"/>
  <c r="L90" i="40" s="1"/>
  <c r="BK83" i="40" s="1"/>
  <c r="L91" i="40"/>
  <c r="L94" i="40"/>
  <c r="L95" i="40" s="1"/>
  <c r="BK84" i="40" s="1"/>
  <c r="L96" i="40"/>
  <c r="L39" i="40"/>
  <c r="L42" i="40"/>
  <c r="L43" i="40" s="1"/>
  <c r="BK48" i="40" s="1"/>
  <c r="L44" i="40"/>
  <c r="L15" i="40"/>
  <c r="L16" i="40"/>
  <c r="BK21" i="40" s="1"/>
  <c r="L20" i="40"/>
  <c r="L22" i="40"/>
  <c r="L25" i="40"/>
  <c r="L26" i="40" s="1"/>
  <c r="BK23" i="40" s="1"/>
  <c r="L27" i="40"/>
  <c r="L30" i="40"/>
  <c r="L32" i="40"/>
  <c r="L11" i="40"/>
  <c r="K1" i="40"/>
  <c r="L90" i="52" l="1"/>
  <c r="BK83" i="52" s="1"/>
  <c r="S210" i="59"/>
  <c r="L80" i="52"/>
  <c r="BK81" i="52" s="1"/>
  <c r="L189" i="52"/>
  <c r="BK197" i="52" s="1"/>
  <c r="L226" i="52"/>
  <c r="BK226" i="52" s="1"/>
  <c r="L21" i="40"/>
  <c r="BK22" i="40" s="1"/>
  <c r="L80" i="40"/>
  <c r="BK81" i="40" s="1"/>
  <c r="L236" i="40"/>
  <c r="BK228" i="40" s="1"/>
  <c r="L31" i="40"/>
  <c r="BK24" i="40" s="1"/>
  <c r="L194" i="40"/>
  <c r="BK198" i="40" s="1"/>
  <c r="L70" i="40"/>
  <c r="BK79" i="40" s="1"/>
  <c r="L85" i="40"/>
  <c r="BK82" i="40" s="1"/>
  <c r="L226" i="40"/>
  <c r="BK226" i="40" s="1"/>
  <c r="L16" i="52"/>
  <c r="BK21" i="52" s="1"/>
  <c r="L85" i="52"/>
  <c r="BK82" i="52" s="1"/>
  <c r="L107" i="52"/>
  <c r="BK118" i="52" s="1"/>
  <c r="L194" i="52"/>
  <c r="BK198" i="52" s="1"/>
  <c r="L231" i="52"/>
  <c r="BK227" i="52" s="1"/>
  <c r="L31" i="52"/>
  <c r="BK24" i="52" s="1"/>
  <c r="L95" i="52"/>
  <c r="BK84" i="52" s="1"/>
  <c r="L26" i="52"/>
  <c r="BK23" i="52" s="1"/>
  <c r="L75" i="52"/>
  <c r="BK80" i="52" s="1"/>
  <c r="L241" i="52"/>
  <c r="BK229" i="52" s="1"/>
  <c r="L221" i="52"/>
  <c r="BK225" i="52" s="1"/>
  <c r="L21" i="52"/>
  <c r="BK22" i="52" s="1"/>
  <c r="L70" i="52"/>
  <c r="BK79" i="52" s="1"/>
  <c r="L236" i="52"/>
  <c r="BK228" i="52" s="1"/>
  <c r="L216" i="52"/>
  <c r="BK224" i="52" s="1"/>
  <c r="L43" i="52"/>
  <c r="BK48" i="52" s="1"/>
  <c r="BK38" i="52"/>
  <c r="BK162" i="52"/>
  <c r="BK108" i="52"/>
  <c r="BK11" i="52"/>
  <c r="BK210" i="52"/>
  <c r="BK183" i="52"/>
  <c r="BK65" i="52"/>
  <c r="L11" i="52"/>
  <c r="L66" i="52"/>
  <c r="L103" i="52"/>
  <c r="L158" i="52"/>
  <c r="L212" i="52"/>
  <c r="L39" i="52"/>
  <c r="L130" i="52"/>
  <c r="N5" i="52" l="1"/>
  <c r="N6" i="52" l="1"/>
  <c r="K5" i="52" l="1"/>
  <c r="R36" i="52" l="1"/>
  <c r="R8" i="52"/>
  <c r="L17" i="52" s="1"/>
  <c r="R209" i="40"/>
  <c r="R182" i="40"/>
  <c r="R155" i="40"/>
  <c r="R127" i="40"/>
  <c r="R100" i="40"/>
  <c r="R63" i="40"/>
  <c r="R36" i="40"/>
  <c r="G4" i="52" l="1"/>
  <c r="H4" i="52"/>
  <c r="I4" i="52"/>
  <c r="J4" i="52"/>
  <c r="K4" i="52"/>
  <c r="M4" i="52"/>
  <c r="N4" i="52"/>
  <c r="F4" i="52"/>
  <c r="M15" i="40"/>
  <c r="BM108" i="52" l="1"/>
  <c r="BM65" i="52"/>
  <c r="BM162" i="52"/>
  <c r="BM210" i="52"/>
  <c r="BM183" i="52"/>
  <c r="BM38" i="52"/>
  <c r="BM11" i="52"/>
  <c r="BL38" i="52"/>
  <c r="BL65" i="52"/>
  <c r="BL11" i="52"/>
  <c r="BL162" i="52"/>
  <c r="BL210" i="52"/>
  <c r="BL108" i="52"/>
  <c r="BL183" i="52"/>
  <c r="BJ65" i="52"/>
  <c r="BJ38" i="52"/>
  <c r="BJ11" i="52"/>
  <c r="BJ183" i="52"/>
  <c r="BJ108" i="52"/>
  <c r="BJ210" i="52"/>
  <c r="BJ162" i="52"/>
  <c r="M16" i="40"/>
  <c r="BL21" i="40" s="1"/>
  <c r="K1" i="52"/>
  <c r="I15" i="52"/>
  <c r="J15" i="52"/>
  <c r="K15" i="52"/>
  <c r="K16" i="52" s="1"/>
  <c r="J15" i="40"/>
  <c r="H15" i="40"/>
  <c r="E4" i="52"/>
  <c r="G5" i="52"/>
  <c r="K242" i="40" l="1"/>
  <c r="J242" i="40"/>
  <c r="I242" i="40"/>
  <c r="H242" i="40"/>
  <c r="G242" i="40"/>
  <c r="F242" i="40"/>
  <c r="K240" i="40"/>
  <c r="J240" i="40"/>
  <c r="I240" i="40"/>
  <c r="H240" i="40"/>
  <c r="G240" i="40"/>
  <c r="F240" i="40"/>
  <c r="K237" i="40"/>
  <c r="J237" i="40"/>
  <c r="I237" i="40"/>
  <c r="H237" i="40"/>
  <c r="G237" i="40"/>
  <c r="F237" i="40"/>
  <c r="BM235" i="40"/>
  <c r="BJ235" i="40"/>
  <c r="BI235" i="40"/>
  <c r="BH235" i="40"/>
  <c r="BG235" i="40"/>
  <c r="BF235" i="40"/>
  <c r="BE235" i="40"/>
  <c r="BD235" i="40"/>
  <c r="K235" i="40"/>
  <c r="J235" i="40"/>
  <c r="I235" i="40"/>
  <c r="H235" i="40"/>
  <c r="G235" i="40"/>
  <c r="F235" i="40"/>
  <c r="BC235" i="40" s="1"/>
  <c r="BM234" i="40"/>
  <c r="BJ234" i="40"/>
  <c r="BI234" i="40"/>
  <c r="BH234" i="40"/>
  <c r="BG234" i="40"/>
  <c r="BF234" i="40"/>
  <c r="BE234" i="40"/>
  <c r="BD234" i="40"/>
  <c r="BM233" i="40"/>
  <c r="BJ233" i="40"/>
  <c r="BI233" i="40"/>
  <c r="BH233" i="40"/>
  <c r="BG233" i="40"/>
  <c r="BF233" i="40"/>
  <c r="BE233" i="40"/>
  <c r="BD233" i="40"/>
  <c r="BM232" i="40"/>
  <c r="BJ232" i="40"/>
  <c r="BI232" i="40"/>
  <c r="BH232" i="40"/>
  <c r="BG232" i="40"/>
  <c r="BF232" i="40"/>
  <c r="BE232" i="40"/>
  <c r="BD232" i="40"/>
  <c r="K232" i="40"/>
  <c r="J232" i="40"/>
  <c r="I232" i="40"/>
  <c r="H232" i="40"/>
  <c r="G232" i="40"/>
  <c r="F232" i="40"/>
  <c r="BM231" i="40"/>
  <c r="BJ231" i="40"/>
  <c r="BI231" i="40"/>
  <c r="BH231" i="40"/>
  <c r="BG231" i="40"/>
  <c r="BF231" i="40"/>
  <c r="BE231" i="40"/>
  <c r="BD231" i="40"/>
  <c r="BM230" i="40"/>
  <c r="BJ230" i="40"/>
  <c r="BI230" i="40"/>
  <c r="BH230" i="40"/>
  <c r="BG230" i="40"/>
  <c r="BF230" i="40"/>
  <c r="BE230" i="40"/>
  <c r="BD230" i="40"/>
  <c r="K230" i="40"/>
  <c r="J230" i="40"/>
  <c r="I230" i="40"/>
  <c r="H230" i="40"/>
  <c r="G230" i="40"/>
  <c r="F230" i="40"/>
  <c r="BD229" i="40"/>
  <c r="BD228" i="40"/>
  <c r="BD227" i="40"/>
  <c r="K227" i="40"/>
  <c r="J227" i="40"/>
  <c r="I227" i="40"/>
  <c r="H227" i="40"/>
  <c r="G227" i="40"/>
  <c r="F227" i="40"/>
  <c r="BD226" i="40"/>
  <c r="BD225" i="40"/>
  <c r="K225" i="40"/>
  <c r="J225" i="40"/>
  <c r="I225" i="40"/>
  <c r="H225" i="40"/>
  <c r="G225" i="40"/>
  <c r="F225" i="40"/>
  <c r="BD224" i="40"/>
  <c r="BM223" i="40"/>
  <c r="BJ223" i="40"/>
  <c r="BI223" i="40"/>
  <c r="BH223" i="40"/>
  <c r="BG223" i="40"/>
  <c r="BF223" i="40"/>
  <c r="BE223" i="40"/>
  <c r="BD223" i="40"/>
  <c r="BM222" i="40"/>
  <c r="BJ222" i="40"/>
  <c r="BI222" i="40"/>
  <c r="BH222" i="40"/>
  <c r="BG222" i="40"/>
  <c r="BF222" i="40"/>
  <c r="BE222" i="40"/>
  <c r="BD222" i="40"/>
  <c r="K222" i="40"/>
  <c r="J222" i="40"/>
  <c r="I222" i="40"/>
  <c r="H222" i="40"/>
  <c r="G222" i="40"/>
  <c r="F222" i="40"/>
  <c r="BM221" i="40"/>
  <c r="BJ221" i="40"/>
  <c r="BI221" i="40"/>
  <c r="BH221" i="40"/>
  <c r="BG221" i="40"/>
  <c r="BF221" i="40"/>
  <c r="BE221" i="40"/>
  <c r="BD221" i="40"/>
  <c r="BM220" i="40"/>
  <c r="BJ220" i="40"/>
  <c r="BI220" i="40"/>
  <c r="BH220" i="40"/>
  <c r="BG220" i="40"/>
  <c r="BF220" i="40"/>
  <c r="BE220" i="40"/>
  <c r="BD220" i="40"/>
  <c r="K220" i="40"/>
  <c r="J220" i="40"/>
  <c r="I220" i="40"/>
  <c r="H220" i="40"/>
  <c r="G220" i="40"/>
  <c r="F220" i="40"/>
  <c r="BM219" i="40"/>
  <c r="BJ219" i="40"/>
  <c r="BI219" i="40"/>
  <c r="BH219" i="40"/>
  <c r="BG219" i="40"/>
  <c r="BF219" i="40"/>
  <c r="BE219" i="40"/>
  <c r="BD219" i="40"/>
  <c r="BM218" i="40"/>
  <c r="BJ218" i="40"/>
  <c r="BI218" i="40"/>
  <c r="BH218" i="40"/>
  <c r="BG218" i="40"/>
  <c r="BF218" i="40"/>
  <c r="BE218" i="40"/>
  <c r="BD218" i="40"/>
  <c r="BM217" i="40"/>
  <c r="BJ217" i="40"/>
  <c r="BI217" i="40"/>
  <c r="BH217" i="40"/>
  <c r="BG217" i="40"/>
  <c r="BF217" i="40"/>
  <c r="BE217" i="40"/>
  <c r="BD217" i="40"/>
  <c r="K217" i="40"/>
  <c r="J217" i="40"/>
  <c r="I217" i="40"/>
  <c r="H217" i="40"/>
  <c r="G217" i="40"/>
  <c r="F217" i="40"/>
  <c r="BM216" i="40"/>
  <c r="BJ216" i="40"/>
  <c r="BI216" i="40"/>
  <c r="BH216" i="40"/>
  <c r="BG216" i="40"/>
  <c r="BF216" i="40"/>
  <c r="BE216" i="40"/>
  <c r="BD216" i="40"/>
  <c r="BM215" i="40"/>
  <c r="BJ215" i="40"/>
  <c r="BI215" i="40"/>
  <c r="BH215" i="40"/>
  <c r="BG215" i="40"/>
  <c r="BF215" i="40"/>
  <c r="BE215" i="40"/>
  <c r="BD215" i="40"/>
  <c r="K215" i="40"/>
  <c r="J215" i="40"/>
  <c r="I215" i="40"/>
  <c r="H215" i="40"/>
  <c r="G215" i="40"/>
  <c r="F215" i="40"/>
  <c r="BM214" i="40"/>
  <c r="BJ214" i="40"/>
  <c r="BI214" i="40"/>
  <c r="BH214" i="40"/>
  <c r="BG214" i="40"/>
  <c r="BF214" i="40"/>
  <c r="BE214" i="40"/>
  <c r="BD214" i="40"/>
  <c r="BM213" i="40"/>
  <c r="BJ213" i="40"/>
  <c r="BI213" i="40"/>
  <c r="BH213" i="40"/>
  <c r="BG213" i="40"/>
  <c r="BF213" i="40"/>
  <c r="BE213" i="40"/>
  <c r="BD213" i="40"/>
  <c r="BM212" i="40"/>
  <c r="BJ212" i="40"/>
  <c r="BI212" i="40"/>
  <c r="BH212" i="40"/>
  <c r="BG212" i="40"/>
  <c r="BF212" i="40"/>
  <c r="BE212" i="40"/>
  <c r="BD212" i="40"/>
  <c r="N212" i="40"/>
  <c r="M212" i="40"/>
  <c r="K212" i="40"/>
  <c r="J212" i="40"/>
  <c r="I212" i="40"/>
  <c r="H212" i="40"/>
  <c r="G212" i="40"/>
  <c r="F212" i="40"/>
  <c r="BD211" i="40"/>
  <c r="BM210" i="40"/>
  <c r="BI210" i="40"/>
  <c r="BH210" i="40"/>
  <c r="BG210" i="40"/>
  <c r="BF210" i="40"/>
  <c r="BE210" i="40"/>
  <c r="BM204" i="40"/>
  <c r="BJ204" i="40"/>
  <c r="BI204" i="40"/>
  <c r="BH204" i="40"/>
  <c r="BG204" i="40"/>
  <c r="BF204" i="40"/>
  <c r="BE204" i="40"/>
  <c r="BD204" i="40"/>
  <c r="BM203" i="40"/>
  <c r="BJ203" i="40"/>
  <c r="BI203" i="40"/>
  <c r="BH203" i="40"/>
  <c r="BG203" i="40"/>
  <c r="BF203" i="40"/>
  <c r="BE203" i="40"/>
  <c r="BD203" i="40"/>
  <c r="BD198" i="40"/>
  <c r="BD197" i="40"/>
  <c r="K195" i="40"/>
  <c r="J195" i="40"/>
  <c r="I195" i="40"/>
  <c r="H195" i="40"/>
  <c r="G195" i="40"/>
  <c r="F195" i="40"/>
  <c r="K193" i="40"/>
  <c r="J193" i="40"/>
  <c r="I193" i="40"/>
  <c r="H193" i="40"/>
  <c r="G193" i="40"/>
  <c r="F193" i="40"/>
  <c r="BM192" i="40"/>
  <c r="BJ192" i="40"/>
  <c r="BI192" i="40"/>
  <c r="BH192" i="40"/>
  <c r="BG192" i="40"/>
  <c r="BF192" i="40"/>
  <c r="BE192" i="40"/>
  <c r="BD192" i="40"/>
  <c r="BM191" i="40"/>
  <c r="BJ191" i="40"/>
  <c r="BI191" i="40"/>
  <c r="BH191" i="40"/>
  <c r="BG191" i="40"/>
  <c r="BF191" i="40"/>
  <c r="BE191" i="40"/>
  <c r="BD191" i="40"/>
  <c r="K190" i="40"/>
  <c r="J190" i="40"/>
  <c r="I190" i="40"/>
  <c r="H190" i="40"/>
  <c r="G190" i="40"/>
  <c r="F190" i="40"/>
  <c r="K188" i="40"/>
  <c r="J188" i="40"/>
  <c r="I188" i="40"/>
  <c r="H188" i="40"/>
  <c r="G188" i="40"/>
  <c r="F188" i="40"/>
  <c r="BM186" i="40"/>
  <c r="BJ186" i="40"/>
  <c r="BI186" i="40"/>
  <c r="BH186" i="40"/>
  <c r="BG186" i="40"/>
  <c r="BF186" i="40"/>
  <c r="BE186" i="40"/>
  <c r="BD186" i="40"/>
  <c r="BM185" i="40"/>
  <c r="BJ185" i="40"/>
  <c r="BI185" i="40"/>
  <c r="BH185" i="40"/>
  <c r="BG185" i="40"/>
  <c r="BF185" i="40"/>
  <c r="BE185" i="40"/>
  <c r="BD185" i="40"/>
  <c r="N185" i="40"/>
  <c r="M185" i="40"/>
  <c r="K185" i="40"/>
  <c r="J185" i="40"/>
  <c r="I185" i="40"/>
  <c r="H185" i="40"/>
  <c r="G185" i="40"/>
  <c r="F185" i="40"/>
  <c r="BD184" i="40"/>
  <c r="BM183" i="40"/>
  <c r="BI183" i="40"/>
  <c r="BH183" i="40"/>
  <c r="BG183" i="40"/>
  <c r="BF183" i="40"/>
  <c r="BE183" i="40"/>
  <c r="BM176" i="40"/>
  <c r="BJ176" i="40"/>
  <c r="BI176" i="40"/>
  <c r="BH176" i="40"/>
  <c r="BG176" i="40"/>
  <c r="BF176" i="40"/>
  <c r="BE176" i="40"/>
  <c r="BD176" i="40"/>
  <c r="BD172" i="40"/>
  <c r="BM168" i="40"/>
  <c r="BJ168" i="40"/>
  <c r="BI168" i="40"/>
  <c r="BH168" i="40"/>
  <c r="BG168" i="40"/>
  <c r="BF168" i="40"/>
  <c r="BE168" i="40"/>
  <c r="BD168" i="40"/>
  <c r="BM164" i="40"/>
  <c r="BJ164" i="40"/>
  <c r="BI164" i="40"/>
  <c r="BH164" i="40"/>
  <c r="BG164" i="40"/>
  <c r="BF164" i="40"/>
  <c r="BE164" i="40"/>
  <c r="BD164" i="40"/>
  <c r="BD163" i="40"/>
  <c r="K163" i="40"/>
  <c r="J163" i="40"/>
  <c r="I163" i="40"/>
  <c r="H163" i="40"/>
  <c r="G163" i="40"/>
  <c r="F163" i="40"/>
  <c r="BM162" i="40"/>
  <c r="BI162" i="40"/>
  <c r="BH162" i="40"/>
  <c r="BG162" i="40"/>
  <c r="BF162" i="40"/>
  <c r="BE162" i="40"/>
  <c r="BM172" i="40"/>
  <c r="K162" i="40"/>
  <c r="BJ172" i="40" s="1"/>
  <c r="J162" i="40"/>
  <c r="BI172" i="40" s="1"/>
  <c r="I162" i="40"/>
  <c r="BH172" i="40" s="1"/>
  <c r="H162" i="40"/>
  <c r="BG172" i="40" s="1"/>
  <c r="G162" i="40"/>
  <c r="BF172" i="40" s="1"/>
  <c r="F162" i="40"/>
  <c r="K161" i="40"/>
  <c r="J161" i="40"/>
  <c r="I161" i="40"/>
  <c r="H161" i="40"/>
  <c r="G161" i="40"/>
  <c r="F161" i="40"/>
  <c r="N158" i="40"/>
  <c r="M158" i="40"/>
  <c r="K158" i="40"/>
  <c r="J158" i="40"/>
  <c r="I158" i="40"/>
  <c r="H158" i="40"/>
  <c r="G158" i="40"/>
  <c r="F158" i="40"/>
  <c r="BU149" i="40"/>
  <c r="BT149" i="40"/>
  <c r="BS149" i="40"/>
  <c r="BR149" i="40"/>
  <c r="BQ149" i="40"/>
  <c r="BP149" i="40"/>
  <c r="BO149" i="40"/>
  <c r="BN149" i="40"/>
  <c r="BU141" i="40"/>
  <c r="BT141" i="40"/>
  <c r="BS141" i="40"/>
  <c r="BR141" i="40"/>
  <c r="BQ141" i="40"/>
  <c r="BP141" i="40"/>
  <c r="BO141" i="40"/>
  <c r="BN141" i="40"/>
  <c r="BU137" i="40"/>
  <c r="BT137" i="40"/>
  <c r="BS137" i="40"/>
  <c r="BR137" i="40"/>
  <c r="BQ137" i="40"/>
  <c r="BP137" i="40"/>
  <c r="BO137" i="40"/>
  <c r="BN137" i="40"/>
  <c r="K136" i="40"/>
  <c r="J136" i="40"/>
  <c r="I136" i="40"/>
  <c r="H136" i="40"/>
  <c r="G136" i="40"/>
  <c r="F136" i="40"/>
  <c r="BU135" i="40"/>
  <c r="BT135" i="40"/>
  <c r="BS135" i="40"/>
  <c r="BR135" i="40"/>
  <c r="BQ135" i="40"/>
  <c r="BP135" i="40"/>
  <c r="BO135" i="40"/>
  <c r="BN135" i="40"/>
  <c r="BU145" i="40"/>
  <c r="BT145" i="40"/>
  <c r="K135" i="40"/>
  <c r="BS145" i="40" s="1"/>
  <c r="J135" i="40"/>
  <c r="BR145" i="40" s="1"/>
  <c r="I135" i="40"/>
  <c r="BQ145" i="40" s="1"/>
  <c r="H135" i="40"/>
  <c r="G135" i="40"/>
  <c r="BO145" i="40" s="1"/>
  <c r="F135" i="40"/>
  <c r="K134" i="40"/>
  <c r="J134" i="40"/>
  <c r="I134" i="40"/>
  <c r="H134" i="40"/>
  <c r="G134" i="40"/>
  <c r="F134" i="40"/>
  <c r="N130" i="40"/>
  <c r="M130" i="40"/>
  <c r="K130" i="40"/>
  <c r="J130" i="40"/>
  <c r="I130" i="40"/>
  <c r="H130" i="40"/>
  <c r="G130" i="40"/>
  <c r="F130" i="40"/>
  <c r="BM122" i="40"/>
  <c r="BJ122" i="40"/>
  <c r="BI122" i="40"/>
  <c r="BH122" i="40"/>
  <c r="BG122" i="40"/>
  <c r="BF122" i="40"/>
  <c r="BE122" i="40"/>
  <c r="BD122" i="40"/>
  <c r="BD118" i="40"/>
  <c r="BM114" i="40"/>
  <c r="BJ114" i="40"/>
  <c r="BI114" i="40"/>
  <c r="BH114" i="40"/>
  <c r="BG114" i="40"/>
  <c r="BF114" i="40"/>
  <c r="BE114" i="40"/>
  <c r="BD114" i="40"/>
  <c r="BM110" i="40"/>
  <c r="BJ110" i="40"/>
  <c r="BI110" i="40"/>
  <c r="BH110" i="40"/>
  <c r="BG110" i="40"/>
  <c r="BF110" i="40"/>
  <c r="BE110" i="40"/>
  <c r="BD110" i="40"/>
  <c r="BD109" i="40"/>
  <c r="BM108" i="40"/>
  <c r="BI108" i="40"/>
  <c r="BH108" i="40"/>
  <c r="BG108" i="40"/>
  <c r="BF108" i="40"/>
  <c r="BE108" i="40"/>
  <c r="K108" i="40"/>
  <c r="J108" i="40"/>
  <c r="I108" i="40"/>
  <c r="H108" i="40"/>
  <c r="G108" i="40"/>
  <c r="F108" i="40"/>
  <c r="K106" i="40"/>
  <c r="J106" i="40"/>
  <c r="I106" i="40"/>
  <c r="H106" i="40"/>
  <c r="G106" i="40"/>
  <c r="F106" i="40"/>
  <c r="N103" i="40"/>
  <c r="M103" i="40"/>
  <c r="K103" i="40"/>
  <c r="J103" i="40"/>
  <c r="I103" i="40"/>
  <c r="H103" i="40"/>
  <c r="G103" i="40"/>
  <c r="F103" i="40"/>
  <c r="K96" i="40"/>
  <c r="J96" i="40"/>
  <c r="I96" i="40"/>
  <c r="H96" i="40"/>
  <c r="G96" i="40"/>
  <c r="F96" i="40"/>
  <c r="K94" i="40"/>
  <c r="J94" i="40"/>
  <c r="I94" i="40"/>
  <c r="H94" i="40"/>
  <c r="G94" i="40"/>
  <c r="F94" i="40"/>
  <c r="K91" i="40"/>
  <c r="J91" i="40"/>
  <c r="I91" i="40"/>
  <c r="H91" i="40"/>
  <c r="G91" i="40"/>
  <c r="F91" i="40"/>
  <c r="BM90" i="40"/>
  <c r="BJ90" i="40"/>
  <c r="BI90" i="40"/>
  <c r="BH90" i="40"/>
  <c r="BG90" i="40"/>
  <c r="BF90" i="40"/>
  <c r="BE90" i="40"/>
  <c r="BD90" i="40"/>
  <c r="BM89" i="40"/>
  <c r="BJ89" i="40"/>
  <c r="BI89" i="40"/>
  <c r="BH89" i="40"/>
  <c r="BG89" i="40"/>
  <c r="BF89" i="40"/>
  <c r="BE89" i="40"/>
  <c r="BD89" i="40"/>
  <c r="K89" i="40"/>
  <c r="J89" i="40"/>
  <c r="I89" i="40"/>
  <c r="H89" i="40"/>
  <c r="G89" i="40"/>
  <c r="G90" i="40" s="1"/>
  <c r="BF83" i="40" s="1"/>
  <c r="F89" i="40"/>
  <c r="BM88" i="40"/>
  <c r="BJ88" i="40"/>
  <c r="BI88" i="40"/>
  <c r="BH88" i="40"/>
  <c r="BG88" i="40"/>
  <c r="BF88" i="40"/>
  <c r="BE88" i="40"/>
  <c r="BD88" i="40"/>
  <c r="BM87" i="40"/>
  <c r="BJ87" i="40"/>
  <c r="BI87" i="40"/>
  <c r="BH87" i="40"/>
  <c r="BG87" i="40"/>
  <c r="BF87" i="40"/>
  <c r="BE87" i="40"/>
  <c r="BD87" i="40"/>
  <c r="BM86" i="40"/>
  <c r="BJ86" i="40"/>
  <c r="BI86" i="40"/>
  <c r="BH86" i="40"/>
  <c r="BG86" i="40"/>
  <c r="BF86" i="40"/>
  <c r="BE86" i="40"/>
  <c r="BD86" i="40"/>
  <c r="K86" i="40"/>
  <c r="J86" i="40"/>
  <c r="I86" i="40"/>
  <c r="H86" i="40"/>
  <c r="G86" i="40"/>
  <c r="F86" i="40"/>
  <c r="BM85" i="40"/>
  <c r="BJ85" i="40"/>
  <c r="BI85" i="40"/>
  <c r="BH85" i="40"/>
  <c r="BG85" i="40"/>
  <c r="BF85" i="40"/>
  <c r="BE85" i="40"/>
  <c r="BD85" i="40"/>
  <c r="BD84" i="40"/>
  <c r="K84" i="40"/>
  <c r="J84" i="40"/>
  <c r="I84" i="40"/>
  <c r="H84" i="40"/>
  <c r="G84" i="40"/>
  <c r="F84" i="40"/>
  <c r="BD83" i="40"/>
  <c r="BD82" i="40"/>
  <c r="BD81" i="40"/>
  <c r="K81" i="40"/>
  <c r="J81" i="40"/>
  <c r="I81" i="40"/>
  <c r="H81" i="40"/>
  <c r="G81" i="40"/>
  <c r="F81" i="40"/>
  <c r="BD80" i="40"/>
  <c r="BD79" i="40"/>
  <c r="K79" i="40"/>
  <c r="J79" i="40"/>
  <c r="I79" i="40"/>
  <c r="H79" i="40"/>
  <c r="G79" i="40"/>
  <c r="F79" i="40"/>
  <c r="BM78" i="40"/>
  <c r="BJ78" i="40"/>
  <c r="BI78" i="40"/>
  <c r="BH78" i="40"/>
  <c r="BG78" i="40"/>
  <c r="BF78" i="40"/>
  <c r="BE78" i="40"/>
  <c r="BD78" i="40"/>
  <c r="BM77" i="40"/>
  <c r="BJ77" i="40"/>
  <c r="BI77" i="40"/>
  <c r="BH77" i="40"/>
  <c r="BG77" i="40"/>
  <c r="BF77" i="40"/>
  <c r="BE77" i="40"/>
  <c r="BD77" i="40"/>
  <c r="BM76" i="40"/>
  <c r="BJ76" i="40"/>
  <c r="BI76" i="40"/>
  <c r="BH76" i="40"/>
  <c r="BG76" i="40"/>
  <c r="BF76" i="40"/>
  <c r="BE76" i="40"/>
  <c r="BD76" i="40"/>
  <c r="K76" i="40"/>
  <c r="J76" i="40"/>
  <c r="I76" i="40"/>
  <c r="H76" i="40"/>
  <c r="G76" i="40"/>
  <c r="F76" i="40"/>
  <c r="BM75" i="40"/>
  <c r="BJ75" i="40"/>
  <c r="BI75" i="40"/>
  <c r="BH75" i="40"/>
  <c r="BG75" i="40"/>
  <c r="BF75" i="40"/>
  <c r="BE75" i="40"/>
  <c r="BD75" i="40"/>
  <c r="BM74" i="40"/>
  <c r="BJ74" i="40"/>
  <c r="BI74" i="40"/>
  <c r="BH74" i="40"/>
  <c r="BG74" i="40"/>
  <c r="BF74" i="40"/>
  <c r="BE74" i="40"/>
  <c r="BD74" i="40"/>
  <c r="K74" i="40"/>
  <c r="J74" i="40"/>
  <c r="I74" i="40"/>
  <c r="H74" i="40"/>
  <c r="G74" i="40"/>
  <c r="F74" i="40"/>
  <c r="BM73" i="40"/>
  <c r="BJ73" i="40"/>
  <c r="BI73" i="40"/>
  <c r="BH73" i="40"/>
  <c r="BG73" i="40"/>
  <c r="BF73" i="40"/>
  <c r="BE73" i="40"/>
  <c r="BD73" i="40"/>
  <c r="BM72" i="40"/>
  <c r="BJ72" i="40"/>
  <c r="BI72" i="40"/>
  <c r="BH72" i="40"/>
  <c r="BG72" i="40"/>
  <c r="BF72" i="40"/>
  <c r="BE72" i="40"/>
  <c r="BD72" i="40"/>
  <c r="BM71" i="40"/>
  <c r="BJ71" i="40"/>
  <c r="BI71" i="40"/>
  <c r="BH71" i="40"/>
  <c r="BG71" i="40"/>
  <c r="BF71" i="40"/>
  <c r="BE71" i="40"/>
  <c r="BD71" i="40"/>
  <c r="K71" i="40"/>
  <c r="J71" i="40"/>
  <c r="I71" i="40"/>
  <c r="H71" i="40"/>
  <c r="G71" i="40"/>
  <c r="F71" i="40"/>
  <c r="BM70" i="40"/>
  <c r="BJ70" i="40"/>
  <c r="BI70" i="40"/>
  <c r="BH70" i="40"/>
  <c r="BG70" i="40"/>
  <c r="BF70" i="40"/>
  <c r="BE70" i="40"/>
  <c r="BD70" i="40"/>
  <c r="BM69" i="40"/>
  <c r="BJ69" i="40"/>
  <c r="BI69" i="40"/>
  <c r="BH69" i="40"/>
  <c r="BG69" i="40"/>
  <c r="BF69" i="40"/>
  <c r="BE69" i="40"/>
  <c r="BD69" i="40"/>
  <c r="K69" i="40"/>
  <c r="J69" i="40"/>
  <c r="I69" i="40"/>
  <c r="H69" i="40"/>
  <c r="G69" i="40"/>
  <c r="F69" i="40"/>
  <c r="BM68" i="40"/>
  <c r="BJ68" i="40"/>
  <c r="BI68" i="40"/>
  <c r="BH68" i="40"/>
  <c r="BG68" i="40"/>
  <c r="BF68" i="40"/>
  <c r="BE68" i="40"/>
  <c r="BD68" i="40"/>
  <c r="BM67" i="40"/>
  <c r="BJ67" i="40"/>
  <c r="BI67" i="40"/>
  <c r="BH67" i="40"/>
  <c r="BG67" i="40"/>
  <c r="BF67" i="40"/>
  <c r="BE67" i="40"/>
  <c r="BD67" i="40"/>
  <c r="N66" i="40"/>
  <c r="M66" i="40"/>
  <c r="K66" i="40"/>
  <c r="J66" i="40"/>
  <c r="I66" i="40"/>
  <c r="H66" i="40"/>
  <c r="G66" i="40"/>
  <c r="F66" i="40"/>
  <c r="BM65" i="40"/>
  <c r="BI65" i="40"/>
  <c r="BH65" i="40"/>
  <c r="BG65" i="40"/>
  <c r="BF65" i="40"/>
  <c r="BE65" i="40"/>
  <c r="BM52" i="40"/>
  <c r="BJ52" i="40"/>
  <c r="BI52" i="40"/>
  <c r="BH52" i="40"/>
  <c r="BG52" i="40"/>
  <c r="BF52" i="40"/>
  <c r="BE52" i="40"/>
  <c r="BD52" i="40"/>
  <c r="BD48" i="40"/>
  <c r="BM44" i="40"/>
  <c r="BJ44" i="40"/>
  <c r="BI44" i="40"/>
  <c r="BH44" i="40"/>
  <c r="BG44" i="40"/>
  <c r="BF44" i="40"/>
  <c r="BE44" i="40"/>
  <c r="BD44" i="40"/>
  <c r="K44" i="40"/>
  <c r="J44" i="40"/>
  <c r="I44" i="40"/>
  <c r="H44" i="40"/>
  <c r="G44" i="40"/>
  <c r="F44" i="40"/>
  <c r="K42" i="40"/>
  <c r="J42" i="40"/>
  <c r="I42" i="40"/>
  <c r="H42" i="40"/>
  <c r="G42" i="40"/>
  <c r="F42" i="40"/>
  <c r="BM40" i="40"/>
  <c r="BJ40" i="40"/>
  <c r="BI40" i="40"/>
  <c r="BH40" i="40"/>
  <c r="BG40" i="40"/>
  <c r="BF40" i="40"/>
  <c r="BE40" i="40"/>
  <c r="BD40" i="40"/>
  <c r="BD39" i="40"/>
  <c r="N39" i="40"/>
  <c r="M39" i="40"/>
  <c r="K39" i="40"/>
  <c r="J39" i="40"/>
  <c r="I39" i="40"/>
  <c r="H39" i="40"/>
  <c r="G39" i="40"/>
  <c r="F39" i="40"/>
  <c r="BM38" i="40"/>
  <c r="BI38" i="40"/>
  <c r="BH38" i="40"/>
  <c r="BG38" i="40"/>
  <c r="BF38" i="40"/>
  <c r="BE38" i="40"/>
  <c r="K32" i="40"/>
  <c r="J32" i="40"/>
  <c r="I32" i="40"/>
  <c r="H32" i="40"/>
  <c r="G32" i="40"/>
  <c r="F32" i="40"/>
  <c r="K30" i="40"/>
  <c r="J30" i="40"/>
  <c r="I30" i="40"/>
  <c r="I31" i="40" s="1"/>
  <c r="BH24" i="40" s="1"/>
  <c r="H30" i="40"/>
  <c r="G30" i="40"/>
  <c r="F30" i="40"/>
  <c r="BM28" i="40"/>
  <c r="BJ28" i="40"/>
  <c r="BI28" i="40"/>
  <c r="BH28" i="40"/>
  <c r="BG28" i="40"/>
  <c r="BF28" i="40"/>
  <c r="BE28" i="40"/>
  <c r="BD28" i="40"/>
  <c r="BM27" i="40"/>
  <c r="BJ27" i="40"/>
  <c r="BI27" i="40"/>
  <c r="BH27" i="40"/>
  <c r="BG27" i="40"/>
  <c r="BF27" i="40"/>
  <c r="BE27" i="40"/>
  <c r="BD27" i="40"/>
  <c r="K27" i="40"/>
  <c r="J27" i="40"/>
  <c r="I27" i="40"/>
  <c r="H27" i="40"/>
  <c r="G27" i="40"/>
  <c r="F27" i="40"/>
  <c r="BM26" i="40"/>
  <c r="BJ26" i="40"/>
  <c r="BI26" i="40"/>
  <c r="BH26" i="40"/>
  <c r="BG26" i="40"/>
  <c r="BF26" i="40"/>
  <c r="BE26" i="40"/>
  <c r="BD26" i="40"/>
  <c r="BJ25" i="40"/>
  <c r="BI25" i="40"/>
  <c r="BH25" i="40"/>
  <c r="BG25" i="40"/>
  <c r="BF25" i="40"/>
  <c r="BE25" i="40"/>
  <c r="BD25" i="40"/>
  <c r="BM23" i="40"/>
  <c r="K25" i="40"/>
  <c r="J25" i="40"/>
  <c r="I25" i="40"/>
  <c r="H25" i="40"/>
  <c r="G25" i="40"/>
  <c r="F25" i="40"/>
  <c r="BD24" i="40"/>
  <c r="BD23" i="40"/>
  <c r="BD22" i="40"/>
  <c r="K22" i="40"/>
  <c r="J22" i="40"/>
  <c r="I22" i="40"/>
  <c r="H22" i="40"/>
  <c r="G22" i="40"/>
  <c r="F22" i="40"/>
  <c r="BD21" i="40"/>
  <c r="BM20" i="40"/>
  <c r="BJ20" i="40"/>
  <c r="BI20" i="40"/>
  <c r="BH20" i="40"/>
  <c r="BG20" i="40"/>
  <c r="BF20" i="40"/>
  <c r="BE20" i="40"/>
  <c r="BD20" i="40"/>
  <c r="K20" i="40"/>
  <c r="J20" i="40"/>
  <c r="I20" i="40"/>
  <c r="H20" i="40"/>
  <c r="G20" i="40"/>
  <c r="F20" i="40"/>
  <c r="BM19" i="40"/>
  <c r="BJ19" i="40"/>
  <c r="BI19" i="40"/>
  <c r="BH19" i="40"/>
  <c r="BG19" i="40"/>
  <c r="BF19" i="40"/>
  <c r="BE19" i="40"/>
  <c r="BD19" i="40"/>
  <c r="BM18" i="40"/>
  <c r="BJ18" i="40"/>
  <c r="BI18" i="40"/>
  <c r="BH18" i="40"/>
  <c r="BG18" i="40"/>
  <c r="BF18" i="40"/>
  <c r="BE18" i="40"/>
  <c r="BD18" i="40"/>
  <c r="BM17" i="40"/>
  <c r="BJ17" i="40"/>
  <c r="BI17" i="40"/>
  <c r="BH17" i="40"/>
  <c r="BG17" i="40"/>
  <c r="BF17" i="40"/>
  <c r="BE17" i="40"/>
  <c r="BD17" i="40"/>
  <c r="K17" i="40"/>
  <c r="J17" i="40"/>
  <c r="I17" i="40"/>
  <c r="H17" i="40"/>
  <c r="G17" i="40"/>
  <c r="F17" i="40"/>
  <c r="BM16" i="40"/>
  <c r="BJ16" i="40"/>
  <c r="BI16" i="40"/>
  <c r="BH16" i="40"/>
  <c r="BG16" i="40"/>
  <c r="BF16" i="40"/>
  <c r="BE16" i="40"/>
  <c r="BD16" i="40"/>
  <c r="BM15" i="40"/>
  <c r="BJ15" i="40"/>
  <c r="BI15" i="40"/>
  <c r="BH15" i="40"/>
  <c r="BG15" i="40"/>
  <c r="BF15" i="40"/>
  <c r="BE15" i="40"/>
  <c r="BD15" i="40"/>
  <c r="K15" i="40"/>
  <c r="I15" i="40"/>
  <c r="G15" i="40"/>
  <c r="F15" i="40"/>
  <c r="F16" i="40" s="1"/>
  <c r="BM14" i="40"/>
  <c r="BJ14" i="40"/>
  <c r="BI14" i="40"/>
  <c r="BH14" i="40"/>
  <c r="BG14" i="40"/>
  <c r="BF14" i="40"/>
  <c r="BE14" i="40"/>
  <c r="BD14" i="40"/>
  <c r="BM13" i="40"/>
  <c r="BJ13" i="40"/>
  <c r="BI13" i="40"/>
  <c r="BH13" i="40"/>
  <c r="BG13" i="40"/>
  <c r="BF13" i="40"/>
  <c r="BE13" i="40"/>
  <c r="BD13" i="40"/>
  <c r="BM11" i="40"/>
  <c r="BI11" i="40"/>
  <c r="BH11" i="40"/>
  <c r="BG11" i="40"/>
  <c r="BF11" i="40"/>
  <c r="BE11" i="40"/>
  <c r="N11" i="40"/>
  <c r="M11" i="40"/>
  <c r="K11" i="40"/>
  <c r="J11" i="40"/>
  <c r="I11" i="40"/>
  <c r="H11" i="40"/>
  <c r="G11" i="40"/>
  <c r="F11" i="40"/>
  <c r="M17" i="40"/>
  <c r="K6" i="52"/>
  <c r="J6" i="52"/>
  <c r="I6" i="52"/>
  <c r="H6" i="52"/>
  <c r="G6" i="52"/>
  <c r="F6" i="52"/>
  <c r="J16" i="40"/>
  <c r="R209" i="52"/>
  <c r="R127" i="52"/>
  <c r="R182" i="52"/>
  <c r="R155" i="52"/>
  <c r="R100" i="52"/>
  <c r="R63" i="52"/>
  <c r="BC66" i="40" l="1"/>
  <c r="BC69" i="40"/>
  <c r="BC79" i="40"/>
  <c r="BC185" i="40"/>
  <c r="BC188" i="40"/>
  <c r="BC84" i="40"/>
  <c r="BC212" i="40"/>
  <c r="BC215" i="40"/>
  <c r="BC30" i="40"/>
  <c r="BC94" i="40"/>
  <c r="BC130" i="40"/>
  <c r="BC134" i="40"/>
  <c r="BC225" i="40"/>
  <c r="BC230" i="40"/>
  <c r="BC240" i="40"/>
  <c r="BC39" i="40"/>
  <c r="BC74" i="40"/>
  <c r="BC193" i="40"/>
  <c r="BC42" i="40"/>
  <c r="BC220" i="40"/>
  <c r="BC20" i="40"/>
  <c r="BC25" i="40"/>
  <c r="BC89" i="40"/>
  <c r="BC103" i="40"/>
  <c r="BC106" i="40"/>
  <c r="BC158" i="40"/>
  <c r="BC161" i="40"/>
  <c r="BC217" i="40"/>
  <c r="BC17" i="40"/>
  <c r="BC32" i="40"/>
  <c r="BC81" i="40"/>
  <c r="BC86" i="40"/>
  <c r="BC96" i="40"/>
  <c r="BC135" i="40"/>
  <c r="BC136" i="40"/>
  <c r="BC163" i="40"/>
  <c r="BC232" i="40"/>
  <c r="BC242" i="40"/>
  <c r="BC76" i="40"/>
  <c r="BC195" i="40"/>
  <c r="BC227" i="40"/>
  <c r="BC27" i="40"/>
  <c r="BC91" i="40"/>
  <c r="BC108" i="40"/>
  <c r="BC162" i="40"/>
  <c r="BC44" i="40"/>
  <c r="BC222" i="40"/>
  <c r="BC237" i="40"/>
  <c r="BC22" i="40"/>
  <c r="BC71" i="40"/>
  <c r="BC190" i="40"/>
  <c r="D161" i="40"/>
  <c r="BN145" i="40"/>
  <c r="D134" i="40"/>
  <c r="P127" i="40"/>
  <c r="P155" i="40"/>
  <c r="P36" i="40"/>
  <c r="F241" i="40"/>
  <c r="F31" i="40"/>
  <c r="H221" i="40"/>
  <c r="BG225" i="40" s="1"/>
  <c r="K226" i="40"/>
  <c r="BJ226" i="40" s="1"/>
  <c r="I216" i="40"/>
  <c r="BH224" i="40" s="1"/>
  <c r="I241" i="40"/>
  <c r="BH229" i="40" s="1"/>
  <c r="I80" i="40"/>
  <c r="BH81" i="40" s="1"/>
  <c r="J241" i="40"/>
  <c r="BI229" i="40" s="1"/>
  <c r="J5" i="52"/>
  <c r="K221" i="40"/>
  <c r="BJ225" i="40" s="1"/>
  <c r="I95" i="40"/>
  <c r="BH84" i="40" s="1"/>
  <c r="I5" i="52"/>
  <c r="I189" i="40"/>
  <c r="BH197" i="40" s="1"/>
  <c r="K189" i="40"/>
  <c r="BJ197" i="40" s="1"/>
  <c r="F221" i="40"/>
  <c r="F5" i="52"/>
  <c r="I231" i="40"/>
  <c r="BH227" i="40" s="1"/>
  <c r="H216" i="40"/>
  <c r="BG224" i="40" s="1"/>
  <c r="H5" i="52"/>
  <c r="BM82" i="40"/>
  <c r="BM118" i="40"/>
  <c r="BM197" i="40"/>
  <c r="BM227" i="40"/>
  <c r="F189" i="40"/>
  <c r="H85" i="40"/>
  <c r="BG82" i="40" s="1"/>
  <c r="H107" i="40"/>
  <c r="BG118" i="40" s="1"/>
  <c r="BM226" i="40"/>
  <c r="I21" i="40"/>
  <c r="BH22" i="40" s="1"/>
  <c r="F26" i="40"/>
  <c r="K43" i="40"/>
  <c r="BJ48" i="40" s="1"/>
  <c r="F70" i="40"/>
  <c r="BM80" i="40"/>
  <c r="I85" i="40"/>
  <c r="BH82" i="40" s="1"/>
  <c r="I107" i="40"/>
  <c r="BH118" i="40" s="1"/>
  <c r="F194" i="40"/>
  <c r="K194" i="40"/>
  <c r="BJ198" i="40" s="1"/>
  <c r="F80" i="40"/>
  <c r="H21" i="40"/>
  <c r="BG22" i="40" s="1"/>
  <c r="H16" i="40"/>
  <c r="BG21" i="40" s="1"/>
  <c r="BM22" i="40"/>
  <c r="H70" i="40"/>
  <c r="BG79" i="40" s="1"/>
  <c r="I75" i="40"/>
  <c r="BH80" i="40" s="1"/>
  <c r="K85" i="40"/>
  <c r="BJ82" i="40" s="1"/>
  <c r="F90" i="40"/>
  <c r="H226" i="40"/>
  <c r="BG226" i="40" s="1"/>
  <c r="BM228" i="40"/>
  <c r="F107" i="40"/>
  <c r="BM224" i="40"/>
  <c r="BM79" i="40"/>
  <c r="F75" i="40"/>
  <c r="BM225" i="40"/>
  <c r="I26" i="40"/>
  <c r="BH23" i="40" s="1"/>
  <c r="I70" i="40"/>
  <c r="BH79" i="40" s="1"/>
  <c r="BM84" i="40"/>
  <c r="I221" i="40"/>
  <c r="BH225" i="40" s="1"/>
  <c r="I226" i="40"/>
  <c r="BH226" i="40" s="1"/>
  <c r="F236" i="40"/>
  <c r="K231" i="40"/>
  <c r="BJ227" i="40" s="1"/>
  <c r="H43" i="40"/>
  <c r="BG48" i="40" s="1"/>
  <c r="F21" i="40"/>
  <c r="BM24" i="40"/>
  <c r="I43" i="40"/>
  <c r="BH48" i="40" s="1"/>
  <c r="G70" i="40"/>
  <c r="BF79" i="40" s="1"/>
  <c r="H75" i="40"/>
  <c r="BG80" i="40" s="1"/>
  <c r="BM83" i="40"/>
  <c r="BM198" i="40"/>
  <c r="K236" i="40"/>
  <c r="BJ228" i="40" s="1"/>
  <c r="H241" i="40"/>
  <c r="BG229" i="40" s="1"/>
  <c r="G21" i="40"/>
  <c r="BF22" i="40" s="1"/>
  <c r="G80" i="40"/>
  <c r="BF81" i="40" s="1"/>
  <c r="K90" i="40"/>
  <c r="BJ83" i="40" s="1"/>
  <c r="J75" i="40"/>
  <c r="BI80" i="40" s="1"/>
  <c r="J189" i="40"/>
  <c r="BI197" i="40" s="1"/>
  <c r="H194" i="40"/>
  <c r="BG198" i="40" s="1"/>
  <c r="I16" i="40"/>
  <c r="BH21" i="40" s="1"/>
  <c r="J21" i="40"/>
  <c r="BI22" i="40" s="1"/>
  <c r="K26" i="40"/>
  <c r="BJ23" i="40" s="1"/>
  <c r="BM48" i="40"/>
  <c r="F85" i="40"/>
  <c r="I90" i="40"/>
  <c r="BH83" i="40" s="1"/>
  <c r="F95" i="40"/>
  <c r="H95" i="40"/>
  <c r="BG84" i="40" s="1"/>
  <c r="I194" i="40"/>
  <c r="BH198" i="40" s="1"/>
  <c r="F226" i="40"/>
  <c r="F231" i="40"/>
  <c r="I236" i="40"/>
  <c r="BH228" i="40" s="1"/>
  <c r="G194" i="40"/>
  <c r="BF198" i="40" s="1"/>
  <c r="K216" i="40"/>
  <c r="BJ224" i="40" s="1"/>
  <c r="K16" i="40"/>
  <c r="BJ21" i="40" s="1"/>
  <c r="H31" i="40"/>
  <c r="BG24" i="40" s="1"/>
  <c r="K241" i="40"/>
  <c r="BJ229" i="40" s="1"/>
  <c r="K21" i="40"/>
  <c r="BJ22" i="40" s="1"/>
  <c r="F43" i="40"/>
  <c r="J43" i="40"/>
  <c r="BI48" i="40" s="1"/>
  <c r="BM81" i="40"/>
  <c r="F216" i="40"/>
  <c r="G231" i="40"/>
  <c r="BF227" i="40" s="1"/>
  <c r="H231" i="40"/>
  <c r="BG227" i="40" s="1"/>
  <c r="H236" i="40"/>
  <c r="BG228" i="40" s="1"/>
  <c r="BM229" i="40"/>
  <c r="J95" i="40"/>
  <c r="BI84" i="40" s="1"/>
  <c r="BP145" i="40"/>
  <c r="BI21" i="40"/>
  <c r="G26" i="40"/>
  <c r="BF23" i="40" s="1"/>
  <c r="G43" i="40"/>
  <c r="BF48" i="40" s="1"/>
  <c r="K75" i="40"/>
  <c r="BJ80" i="40" s="1"/>
  <c r="K95" i="40"/>
  <c r="BJ84" i="40" s="1"/>
  <c r="J221" i="40"/>
  <c r="BI225" i="40" s="1"/>
  <c r="H26" i="40"/>
  <c r="BG23" i="40" s="1"/>
  <c r="J26" i="40"/>
  <c r="BI23" i="40" s="1"/>
  <c r="G31" i="40"/>
  <c r="BF24" i="40" s="1"/>
  <c r="K80" i="40"/>
  <c r="BJ81" i="40" s="1"/>
  <c r="J90" i="40"/>
  <c r="BI83" i="40" s="1"/>
  <c r="G107" i="40"/>
  <c r="J216" i="40"/>
  <c r="BI224" i="40" s="1"/>
  <c r="G236" i="40"/>
  <c r="BF228" i="40" s="1"/>
  <c r="J80" i="40"/>
  <c r="BI81" i="40" s="1"/>
  <c r="G85" i="40"/>
  <c r="BF82" i="40" s="1"/>
  <c r="G95" i="40"/>
  <c r="J107" i="40"/>
  <c r="BI118" i="40" s="1"/>
  <c r="BE172" i="40"/>
  <c r="G226" i="40"/>
  <c r="BF226" i="40" s="1"/>
  <c r="K31" i="40"/>
  <c r="BJ24" i="40" s="1"/>
  <c r="J70" i="40"/>
  <c r="BI79" i="40" s="1"/>
  <c r="J85" i="40"/>
  <c r="BI82" i="40" s="1"/>
  <c r="K107" i="40"/>
  <c r="BJ118" i="40" s="1"/>
  <c r="J194" i="40"/>
  <c r="BI198" i="40" s="1"/>
  <c r="J226" i="40"/>
  <c r="BI226" i="40" s="1"/>
  <c r="J231" i="40"/>
  <c r="BI227" i="40" s="1"/>
  <c r="G241" i="40"/>
  <c r="BF229" i="40" s="1"/>
  <c r="J31" i="40"/>
  <c r="BI24" i="40" s="1"/>
  <c r="G75" i="40"/>
  <c r="BF80" i="40" s="1"/>
  <c r="G189" i="40"/>
  <c r="BF197" i="40" s="1"/>
  <c r="G16" i="40"/>
  <c r="K70" i="40"/>
  <c r="BJ79" i="40" s="1"/>
  <c r="H80" i="40"/>
  <c r="BG81" i="40" s="1"/>
  <c r="H90" i="40"/>
  <c r="BG83" i="40" s="1"/>
  <c r="H189" i="40"/>
  <c r="BG197" i="40" s="1"/>
  <c r="G216" i="40"/>
  <c r="G221" i="40"/>
  <c r="BF225" i="40" s="1"/>
  <c r="J236" i="40"/>
  <c r="BI228" i="40" s="1"/>
  <c r="BC231" i="40" l="1"/>
  <c r="BC90" i="40"/>
  <c r="BC43" i="40"/>
  <c r="BC107" i="40"/>
  <c r="BC194" i="40"/>
  <c r="BC75" i="40"/>
  <c r="BC31" i="40"/>
  <c r="BC26" i="40"/>
  <c r="BC241" i="40"/>
  <c r="D215" i="40"/>
  <c r="BC216" i="40"/>
  <c r="BC189" i="40"/>
  <c r="BC226" i="40"/>
  <c r="BC21" i="40"/>
  <c r="BC95" i="40"/>
  <c r="BC85" i="40"/>
  <c r="BC70" i="40"/>
  <c r="BC221" i="40"/>
  <c r="BC80" i="40"/>
  <c r="BC236" i="40"/>
  <c r="BE229" i="40"/>
  <c r="D240" i="40"/>
  <c r="BE224" i="40"/>
  <c r="BE228" i="40"/>
  <c r="D235" i="40"/>
  <c r="BE197" i="40"/>
  <c r="D188" i="40"/>
  <c r="BE227" i="40"/>
  <c r="D230" i="40"/>
  <c r="BE226" i="40"/>
  <c r="D225" i="40"/>
  <c r="BE198" i="40"/>
  <c r="D193" i="40"/>
  <c r="BE118" i="40"/>
  <c r="D106" i="40"/>
  <c r="BE225" i="40"/>
  <c r="D220" i="40"/>
  <c r="BE24" i="40"/>
  <c r="D30" i="40"/>
  <c r="BE84" i="40"/>
  <c r="D94" i="40"/>
  <c r="BE82" i="40"/>
  <c r="D84" i="40"/>
  <c r="BE79" i="40"/>
  <c r="D69" i="40"/>
  <c r="BE80" i="40"/>
  <c r="D74" i="40"/>
  <c r="BE48" i="40"/>
  <c r="D42" i="40"/>
  <c r="BE81" i="40"/>
  <c r="D79" i="40"/>
  <c r="BE23" i="40"/>
  <c r="D25" i="40"/>
  <c r="BE83" i="40"/>
  <c r="D89" i="40"/>
  <c r="BE22" i="40"/>
  <c r="D20" i="40"/>
  <c r="BE21" i="40"/>
  <c r="D15" i="40"/>
  <c r="P8" i="40"/>
  <c r="P100" i="40"/>
  <c r="P63" i="40"/>
  <c r="P182" i="40"/>
  <c r="P209" i="40"/>
  <c r="BF21" i="40"/>
  <c r="BF84" i="40"/>
  <c r="BF118" i="40"/>
  <c r="BF224" i="40"/>
  <c r="S209" i="40" l="1"/>
  <c r="BI210" i="52"/>
  <c r="BH210" i="52"/>
  <c r="BG210" i="52"/>
  <c r="BF210" i="52"/>
  <c r="BE210" i="52"/>
  <c r="BI183" i="52"/>
  <c r="BH183" i="52"/>
  <c r="BG183" i="52"/>
  <c r="BF183" i="52"/>
  <c r="BE183" i="52"/>
  <c r="BI162" i="52"/>
  <c r="BH162" i="52"/>
  <c r="BG162" i="52"/>
  <c r="BF162" i="52"/>
  <c r="BE162" i="52"/>
  <c r="BS135" i="52"/>
  <c r="BR135" i="52"/>
  <c r="BQ135" i="52"/>
  <c r="BP135" i="52"/>
  <c r="BO135" i="52"/>
  <c r="BN135" i="52"/>
  <c r="BI108" i="52"/>
  <c r="BH108" i="52"/>
  <c r="BG108" i="52"/>
  <c r="BF108" i="52"/>
  <c r="BE108" i="52"/>
  <c r="BI65" i="52"/>
  <c r="BH65" i="52"/>
  <c r="BG65" i="52"/>
  <c r="BF65" i="52"/>
  <c r="BE65" i="52"/>
  <c r="BI11" i="52"/>
  <c r="BH11" i="52"/>
  <c r="BG11" i="52"/>
  <c r="BF11" i="52"/>
  <c r="BE11" i="52"/>
  <c r="BI38" i="52"/>
  <c r="BH38" i="52"/>
  <c r="BG38" i="52"/>
  <c r="BF38" i="52"/>
  <c r="BE38" i="52"/>
  <c r="G212" i="52"/>
  <c r="H212" i="52"/>
  <c r="I212" i="52"/>
  <c r="J212" i="52"/>
  <c r="K212" i="52"/>
  <c r="M212" i="52"/>
  <c r="N212" i="52"/>
  <c r="G185" i="52"/>
  <c r="H185" i="52"/>
  <c r="I185" i="52"/>
  <c r="J185" i="52"/>
  <c r="K185" i="52"/>
  <c r="M185" i="52"/>
  <c r="N185" i="52"/>
  <c r="G158" i="52"/>
  <c r="H158" i="52"/>
  <c r="I158" i="52"/>
  <c r="J158" i="52"/>
  <c r="K158" i="52"/>
  <c r="M158" i="52"/>
  <c r="N158" i="52"/>
  <c r="F212" i="52"/>
  <c r="F185" i="52"/>
  <c r="F158" i="52"/>
  <c r="BC158" i="52" s="1"/>
  <c r="G130" i="52"/>
  <c r="H130" i="52"/>
  <c r="I130" i="52"/>
  <c r="J130" i="52"/>
  <c r="K130" i="52"/>
  <c r="M130" i="52"/>
  <c r="N130" i="52"/>
  <c r="F130" i="52"/>
  <c r="BC130" i="52" s="1"/>
  <c r="N103" i="52"/>
  <c r="G103" i="52"/>
  <c r="H103" i="52"/>
  <c r="I103" i="52"/>
  <c r="J103" i="52"/>
  <c r="K103" i="52"/>
  <c r="M103" i="52"/>
  <c r="F103" i="52"/>
  <c r="BC103" i="52" s="1"/>
  <c r="G66" i="52"/>
  <c r="H66" i="52"/>
  <c r="I66" i="52"/>
  <c r="J66" i="52"/>
  <c r="K66" i="52"/>
  <c r="M66" i="52"/>
  <c r="N66" i="52"/>
  <c r="F66" i="52"/>
  <c r="BC66" i="52" s="1"/>
  <c r="F39" i="52"/>
  <c r="G39" i="52"/>
  <c r="H39" i="52"/>
  <c r="I39" i="52"/>
  <c r="J39" i="52"/>
  <c r="K39" i="52"/>
  <c r="M39" i="52"/>
  <c r="N39" i="52"/>
  <c r="F11" i="52"/>
  <c r="G11" i="52"/>
  <c r="H11" i="52"/>
  <c r="I11" i="52"/>
  <c r="J11" i="52"/>
  <c r="K11" i="52"/>
  <c r="N11" i="52"/>
  <c r="M11" i="52"/>
  <c r="BS145" i="52"/>
  <c r="BS149" i="52"/>
  <c r="BS141" i="52"/>
  <c r="BS137" i="52"/>
  <c r="M32" i="52"/>
  <c r="F32" i="52"/>
  <c r="M15" i="52"/>
  <c r="BC212" i="52" l="1"/>
  <c r="BC185" i="52"/>
  <c r="BC39" i="52"/>
  <c r="M17" i="52"/>
  <c r="F109" i="47"/>
  <c r="M242" i="52" l="1"/>
  <c r="K242" i="52"/>
  <c r="J242" i="52"/>
  <c r="I242" i="52"/>
  <c r="H242" i="52"/>
  <c r="G242" i="52"/>
  <c r="F242" i="52"/>
  <c r="M240" i="52"/>
  <c r="M241" i="52" s="1"/>
  <c r="BL229" i="52" s="1"/>
  <c r="K240" i="52"/>
  <c r="K241" i="52" s="1"/>
  <c r="BJ229" i="52" s="1"/>
  <c r="J240" i="52"/>
  <c r="J241" i="52" s="1"/>
  <c r="BI229" i="52" s="1"/>
  <c r="I240" i="52"/>
  <c r="I241" i="52" s="1"/>
  <c r="BH229" i="52" s="1"/>
  <c r="H240" i="52"/>
  <c r="H241" i="52" s="1"/>
  <c r="BG229" i="52" s="1"/>
  <c r="G240" i="52"/>
  <c r="G241" i="52" s="1"/>
  <c r="BF229" i="52" s="1"/>
  <c r="F240" i="52"/>
  <c r="M237" i="52"/>
  <c r="K237" i="52"/>
  <c r="J237" i="52"/>
  <c r="I237" i="52"/>
  <c r="H237" i="52"/>
  <c r="G237" i="52"/>
  <c r="F237" i="52"/>
  <c r="BJ235" i="52"/>
  <c r="BI235" i="52"/>
  <c r="BH235" i="52"/>
  <c r="BG235" i="52"/>
  <c r="BF235" i="52"/>
  <c r="BE235" i="52"/>
  <c r="BD235" i="52"/>
  <c r="M235" i="52"/>
  <c r="M236" i="52" s="1"/>
  <c r="BL228" i="52" s="1"/>
  <c r="K235" i="52"/>
  <c r="K236" i="52" s="1"/>
  <c r="BJ228" i="52" s="1"/>
  <c r="J235" i="52"/>
  <c r="J236" i="52" s="1"/>
  <c r="BI228" i="52" s="1"/>
  <c r="I235" i="52"/>
  <c r="I236" i="52" s="1"/>
  <c r="BH228" i="52" s="1"/>
  <c r="H235" i="52"/>
  <c r="H236" i="52" s="1"/>
  <c r="BG228" i="52" s="1"/>
  <c r="G235" i="52"/>
  <c r="G236" i="52" s="1"/>
  <c r="F235" i="52"/>
  <c r="BJ234" i="52"/>
  <c r="BI234" i="52"/>
  <c r="BH234" i="52"/>
  <c r="BG234" i="52"/>
  <c r="BF234" i="52"/>
  <c r="BE234" i="52"/>
  <c r="BD234" i="52"/>
  <c r="BJ233" i="52"/>
  <c r="BI233" i="52"/>
  <c r="BH233" i="52"/>
  <c r="BG233" i="52"/>
  <c r="BF233" i="52"/>
  <c r="BE233" i="52"/>
  <c r="BD233" i="52"/>
  <c r="BJ232" i="52"/>
  <c r="BI232" i="52"/>
  <c r="BH232" i="52"/>
  <c r="BG232" i="52"/>
  <c r="BF232" i="52"/>
  <c r="BE232" i="52"/>
  <c r="BD232" i="52"/>
  <c r="M232" i="52"/>
  <c r="K232" i="52"/>
  <c r="J232" i="52"/>
  <c r="I232" i="52"/>
  <c r="H232" i="52"/>
  <c r="G232" i="52"/>
  <c r="F232" i="52"/>
  <c r="BJ231" i="52"/>
  <c r="BI231" i="52"/>
  <c r="BH231" i="52"/>
  <c r="BG231" i="52"/>
  <c r="BF231" i="52"/>
  <c r="BE231" i="52"/>
  <c r="BD231" i="52"/>
  <c r="BJ230" i="52"/>
  <c r="BI230" i="52"/>
  <c r="BH230" i="52"/>
  <c r="BG230" i="52"/>
  <c r="BF230" i="52"/>
  <c r="BE230" i="52"/>
  <c r="BD230" i="52"/>
  <c r="M230" i="52"/>
  <c r="M231" i="52" s="1"/>
  <c r="BL227" i="52" s="1"/>
  <c r="K230" i="52"/>
  <c r="K231" i="52" s="1"/>
  <c r="BJ227" i="52" s="1"/>
  <c r="J230" i="52"/>
  <c r="J231" i="52" s="1"/>
  <c r="BI227" i="52" s="1"/>
  <c r="I230" i="52"/>
  <c r="I231" i="52" s="1"/>
  <c r="BH227" i="52" s="1"/>
  <c r="H230" i="52"/>
  <c r="H231" i="52" s="1"/>
  <c r="BG227" i="52" s="1"/>
  <c r="G230" i="52"/>
  <c r="G231" i="52" s="1"/>
  <c r="BF227" i="52" s="1"/>
  <c r="F230" i="52"/>
  <c r="BD229" i="52"/>
  <c r="BD228" i="52"/>
  <c r="BD227" i="52"/>
  <c r="M227" i="52"/>
  <c r="K227" i="52"/>
  <c r="J227" i="52"/>
  <c r="I227" i="52"/>
  <c r="H227" i="52"/>
  <c r="G227" i="52"/>
  <c r="F227" i="52"/>
  <c r="BD226" i="52"/>
  <c r="BD225" i="52"/>
  <c r="M225" i="52"/>
  <c r="M226" i="52" s="1"/>
  <c r="BL226" i="52" s="1"/>
  <c r="K225" i="52"/>
  <c r="K226" i="52" s="1"/>
  <c r="BJ226" i="52" s="1"/>
  <c r="J225" i="52"/>
  <c r="J226" i="52" s="1"/>
  <c r="I225" i="52"/>
  <c r="I226" i="52" s="1"/>
  <c r="BH226" i="52" s="1"/>
  <c r="H225" i="52"/>
  <c r="H226" i="52" s="1"/>
  <c r="BG226" i="52" s="1"/>
  <c r="G225" i="52"/>
  <c r="F225" i="52"/>
  <c r="F226" i="52" s="1"/>
  <c r="BD224" i="52"/>
  <c r="BJ223" i="52"/>
  <c r="BI223" i="52"/>
  <c r="BH223" i="52"/>
  <c r="BG223" i="52"/>
  <c r="BF223" i="52"/>
  <c r="BE223" i="52"/>
  <c r="BD223" i="52"/>
  <c r="BJ222" i="52"/>
  <c r="BI222" i="52"/>
  <c r="BH222" i="52"/>
  <c r="BG222" i="52"/>
  <c r="BF222" i="52"/>
  <c r="BE222" i="52"/>
  <c r="BD222" i="52"/>
  <c r="M222" i="52"/>
  <c r="K222" i="52"/>
  <c r="J222" i="52"/>
  <c r="I222" i="52"/>
  <c r="H222" i="52"/>
  <c r="G222" i="52"/>
  <c r="F222" i="52"/>
  <c r="BJ221" i="52"/>
  <c r="BI221" i="52"/>
  <c r="BH221" i="52"/>
  <c r="BG221" i="52"/>
  <c r="BF221" i="52"/>
  <c r="BE221" i="52"/>
  <c r="BD221" i="52"/>
  <c r="BJ220" i="52"/>
  <c r="BI220" i="52"/>
  <c r="BH220" i="52"/>
  <c r="BG220" i="52"/>
  <c r="BF220" i="52"/>
  <c r="BE220" i="52"/>
  <c r="BD220" i="52"/>
  <c r="M220" i="52"/>
  <c r="M221" i="52" s="1"/>
  <c r="BL225" i="52" s="1"/>
  <c r="K220" i="52"/>
  <c r="K221" i="52" s="1"/>
  <c r="BJ225" i="52" s="1"/>
  <c r="J220" i="52"/>
  <c r="J221" i="52" s="1"/>
  <c r="I220" i="52"/>
  <c r="I221" i="52" s="1"/>
  <c r="BH225" i="52" s="1"/>
  <c r="H220" i="52"/>
  <c r="H221" i="52" s="1"/>
  <c r="BG225" i="52" s="1"/>
  <c r="G220" i="52"/>
  <c r="G221" i="52" s="1"/>
  <c r="BF225" i="52" s="1"/>
  <c r="F220" i="52"/>
  <c r="BJ219" i="52"/>
  <c r="BI219" i="52"/>
  <c r="BH219" i="52"/>
  <c r="BG219" i="52"/>
  <c r="BF219" i="52"/>
  <c r="BE219" i="52"/>
  <c r="BD219" i="52"/>
  <c r="BJ218" i="52"/>
  <c r="BI218" i="52"/>
  <c r="BH218" i="52"/>
  <c r="BG218" i="52"/>
  <c r="BF218" i="52"/>
  <c r="BE218" i="52"/>
  <c r="BD218" i="52"/>
  <c r="BJ217" i="52"/>
  <c r="BI217" i="52"/>
  <c r="BH217" i="52"/>
  <c r="BG217" i="52"/>
  <c r="BF217" i="52"/>
  <c r="BE217" i="52"/>
  <c r="BD217" i="52"/>
  <c r="M217" i="52"/>
  <c r="K217" i="52"/>
  <c r="J217" i="52"/>
  <c r="I217" i="52"/>
  <c r="H217" i="52"/>
  <c r="G217" i="52"/>
  <c r="F217" i="52"/>
  <c r="BJ216" i="52"/>
  <c r="BI216" i="52"/>
  <c r="BH216" i="52"/>
  <c r="BG216" i="52"/>
  <c r="BF216" i="52"/>
  <c r="BE216" i="52"/>
  <c r="BD216" i="52"/>
  <c r="BJ215" i="52"/>
  <c r="BI215" i="52"/>
  <c r="BH215" i="52"/>
  <c r="BG215" i="52"/>
  <c r="BF215" i="52"/>
  <c r="BE215" i="52"/>
  <c r="BD215" i="52"/>
  <c r="M215" i="52"/>
  <c r="M216" i="52" s="1"/>
  <c r="BL224" i="52" s="1"/>
  <c r="K215" i="52"/>
  <c r="K216" i="52" s="1"/>
  <c r="BJ224" i="52" s="1"/>
  <c r="J215" i="52"/>
  <c r="J216" i="52" s="1"/>
  <c r="BI224" i="52" s="1"/>
  <c r="I215" i="52"/>
  <c r="I216" i="52" s="1"/>
  <c r="H215" i="52"/>
  <c r="H216" i="52" s="1"/>
  <c r="BG224" i="52" s="1"/>
  <c r="G215" i="52"/>
  <c r="F215" i="52"/>
  <c r="F216" i="52" s="1"/>
  <c r="BJ214" i="52"/>
  <c r="BI214" i="52"/>
  <c r="BH214" i="52"/>
  <c r="BG214" i="52"/>
  <c r="BF214" i="52"/>
  <c r="BE214" i="52"/>
  <c r="BD214" i="52"/>
  <c r="BJ213" i="52"/>
  <c r="BI213" i="52"/>
  <c r="BH213" i="52"/>
  <c r="BG213" i="52"/>
  <c r="BF213" i="52"/>
  <c r="BE213" i="52"/>
  <c r="BD213" i="52"/>
  <c r="BJ212" i="52"/>
  <c r="BI212" i="52"/>
  <c r="BH212" i="52"/>
  <c r="BG212" i="52"/>
  <c r="BF212" i="52"/>
  <c r="BE212" i="52"/>
  <c r="BD212" i="52"/>
  <c r="BD211" i="52"/>
  <c r="BJ204" i="52"/>
  <c r="BI204" i="52"/>
  <c r="BH204" i="52"/>
  <c r="BG204" i="52"/>
  <c r="BF204" i="52"/>
  <c r="BE204" i="52"/>
  <c r="BD204" i="52"/>
  <c r="BJ203" i="52"/>
  <c r="BI203" i="52"/>
  <c r="BH203" i="52"/>
  <c r="BG203" i="52"/>
  <c r="BF203" i="52"/>
  <c r="BE203" i="52"/>
  <c r="BD203" i="52"/>
  <c r="BD198" i="52"/>
  <c r="BD197" i="52"/>
  <c r="M195" i="52"/>
  <c r="K195" i="52"/>
  <c r="J195" i="52"/>
  <c r="I195" i="52"/>
  <c r="H195" i="52"/>
  <c r="G195" i="52"/>
  <c r="F195" i="52"/>
  <c r="M193" i="52"/>
  <c r="M194" i="52" s="1"/>
  <c r="BL198" i="52" s="1"/>
  <c r="K193" i="52"/>
  <c r="K194" i="52" s="1"/>
  <c r="BJ198" i="52" s="1"/>
  <c r="J193" i="52"/>
  <c r="J194" i="52" s="1"/>
  <c r="BI198" i="52" s="1"/>
  <c r="I193" i="52"/>
  <c r="I194" i="52" s="1"/>
  <c r="BH198" i="52" s="1"/>
  <c r="H193" i="52"/>
  <c r="H194" i="52" s="1"/>
  <c r="BG198" i="52" s="1"/>
  <c r="G193" i="52"/>
  <c r="G194" i="52" s="1"/>
  <c r="BF198" i="52" s="1"/>
  <c r="F193" i="52"/>
  <c r="BJ192" i="52"/>
  <c r="BI192" i="52"/>
  <c r="BH192" i="52"/>
  <c r="BG192" i="52"/>
  <c r="BF192" i="52"/>
  <c r="BE192" i="52"/>
  <c r="BD192" i="52"/>
  <c r="BJ191" i="52"/>
  <c r="BI191" i="52"/>
  <c r="BH191" i="52"/>
  <c r="BG191" i="52"/>
  <c r="BF191" i="52"/>
  <c r="BE191" i="52"/>
  <c r="BD191" i="52"/>
  <c r="M190" i="52"/>
  <c r="K190" i="52"/>
  <c r="J190" i="52"/>
  <c r="I190" i="52"/>
  <c r="H190" i="52"/>
  <c r="G190" i="52"/>
  <c r="F190" i="52"/>
  <c r="M188" i="52"/>
  <c r="M189" i="52" s="1"/>
  <c r="BL197" i="52" s="1"/>
  <c r="K188" i="52"/>
  <c r="K189" i="52" s="1"/>
  <c r="BJ197" i="52" s="1"/>
  <c r="J188" i="52"/>
  <c r="J189" i="52" s="1"/>
  <c r="BI197" i="52" s="1"/>
  <c r="I188" i="52"/>
  <c r="I189" i="52" s="1"/>
  <c r="BH197" i="52" s="1"/>
  <c r="H188" i="52"/>
  <c r="H189" i="52" s="1"/>
  <c r="BG197" i="52" s="1"/>
  <c r="G188" i="52"/>
  <c r="G189" i="52" s="1"/>
  <c r="BF197" i="52" s="1"/>
  <c r="F188" i="52"/>
  <c r="BJ186" i="52"/>
  <c r="BI186" i="52"/>
  <c r="BH186" i="52"/>
  <c r="BG186" i="52"/>
  <c r="BF186" i="52"/>
  <c r="BE186" i="52"/>
  <c r="BD186" i="52"/>
  <c r="BJ185" i="52"/>
  <c r="BI185" i="52"/>
  <c r="BH185" i="52"/>
  <c r="BG185" i="52"/>
  <c r="BF185" i="52"/>
  <c r="BE185" i="52"/>
  <c r="BD185" i="52"/>
  <c r="BD184" i="52"/>
  <c r="BJ176" i="52"/>
  <c r="BI176" i="52"/>
  <c r="BH176" i="52"/>
  <c r="BG176" i="52"/>
  <c r="BF176" i="52"/>
  <c r="BE176" i="52"/>
  <c r="BD176" i="52"/>
  <c r="BD172" i="52"/>
  <c r="BJ168" i="52"/>
  <c r="BI168" i="52"/>
  <c r="BH168" i="52"/>
  <c r="BG168" i="52"/>
  <c r="BF168" i="52"/>
  <c r="BE168" i="52"/>
  <c r="BD168" i="52"/>
  <c r="BJ164" i="52"/>
  <c r="BI164" i="52"/>
  <c r="BH164" i="52"/>
  <c r="BG164" i="52"/>
  <c r="BF164" i="52"/>
  <c r="BE164" i="52"/>
  <c r="BD164" i="52"/>
  <c r="BD163" i="52"/>
  <c r="M163" i="52"/>
  <c r="K163" i="52"/>
  <c r="J163" i="52"/>
  <c r="I163" i="52"/>
  <c r="H163" i="52"/>
  <c r="G163" i="52"/>
  <c r="F163" i="52"/>
  <c r="M162" i="52"/>
  <c r="BL172" i="52" s="1"/>
  <c r="K162" i="52"/>
  <c r="BJ172" i="52" s="1"/>
  <c r="J162" i="52"/>
  <c r="BI172" i="52" s="1"/>
  <c r="I162" i="52"/>
  <c r="BH172" i="52" s="1"/>
  <c r="H162" i="52"/>
  <c r="BG172" i="52" s="1"/>
  <c r="G162" i="52"/>
  <c r="BF172" i="52" s="1"/>
  <c r="F162" i="52"/>
  <c r="M161" i="52"/>
  <c r="K161" i="52"/>
  <c r="J161" i="52"/>
  <c r="I161" i="52"/>
  <c r="H161" i="52"/>
  <c r="G161" i="52"/>
  <c r="F161" i="52"/>
  <c r="BR149" i="52"/>
  <c r="BQ149" i="52"/>
  <c r="BP149" i="52"/>
  <c r="BO149" i="52"/>
  <c r="BN149" i="52"/>
  <c r="BR141" i="52"/>
  <c r="BQ141" i="52"/>
  <c r="BP141" i="52"/>
  <c r="BO141" i="52"/>
  <c r="BN141" i="52"/>
  <c r="BR137" i="52"/>
  <c r="BQ137" i="52"/>
  <c r="BP137" i="52"/>
  <c r="BO137" i="52"/>
  <c r="BN137" i="52"/>
  <c r="M136" i="52"/>
  <c r="K136" i="52"/>
  <c r="J136" i="52"/>
  <c r="I136" i="52"/>
  <c r="H136" i="52"/>
  <c r="G136" i="52"/>
  <c r="F136" i="52"/>
  <c r="K135" i="52"/>
  <c r="BQ145" i="52" s="1"/>
  <c r="I135" i="52"/>
  <c r="BO145" i="52" s="1"/>
  <c r="H135" i="52"/>
  <c r="BN145" i="52" s="1"/>
  <c r="G135" i="52"/>
  <c r="F135" i="52"/>
  <c r="M134" i="52"/>
  <c r="M135" i="52" s="1"/>
  <c r="BR145" i="52" s="1"/>
  <c r="K134" i="52"/>
  <c r="J134" i="52"/>
  <c r="J135" i="52" s="1"/>
  <c r="BP145" i="52" s="1"/>
  <c r="I134" i="52"/>
  <c r="H134" i="52"/>
  <c r="G134" i="52"/>
  <c r="F134" i="52"/>
  <c r="BJ122" i="52"/>
  <c r="BI122" i="52"/>
  <c r="BH122" i="52"/>
  <c r="BG122" i="52"/>
  <c r="BF122" i="52"/>
  <c r="BE122" i="52"/>
  <c r="BD122" i="52"/>
  <c r="BD118" i="52"/>
  <c r="BJ114" i="52"/>
  <c r="BI114" i="52"/>
  <c r="BH114" i="52"/>
  <c r="BG114" i="52"/>
  <c r="BF114" i="52"/>
  <c r="BE114" i="52"/>
  <c r="BD114" i="52"/>
  <c r="BJ110" i="52"/>
  <c r="BI110" i="52"/>
  <c r="BH110" i="52"/>
  <c r="BG110" i="52"/>
  <c r="BF110" i="52"/>
  <c r="BE110" i="52"/>
  <c r="BD110" i="52"/>
  <c r="BD109" i="52"/>
  <c r="M108" i="52"/>
  <c r="K108" i="52"/>
  <c r="J108" i="52"/>
  <c r="I108" i="52"/>
  <c r="H108" i="52"/>
  <c r="G108" i="52"/>
  <c r="F108" i="52"/>
  <c r="M106" i="52"/>
  <c r="M107" i="52" s="1"/>
  <c r="BL118" i="52" s="1"/>
  <c r="K106" i="52"/>
  <c r="K107" i="52" s="1"/>
  <c r="BJ118" i="52" s="1"/>
  <c r="J106" i="52"/>
  <c r="J107" i="52" s="1"/>
  <c r="BI118" i="52" s="1"/>
  <c r="I106" i="52"/>
  <c r="I107" i="52" s="1"/>
  <c r="BH118" i="52" s="1"/>
  <c r="H106" i="52"/>
  <c r="H107" i="52" s="1"/>
  <c r="BG118" i="52" s="1"/>
  <c r="G106" i="52"/>
  <c r="G107" i="52" s="1"/>
  <c r="BF118" i="52" s="1"/>
  <c r="F106" i="52"/>
  <c r="M96" i="52"/>
  <c r="K96" i="52"/>
  <c r="J96" i="52"/>
  <c r="I96" i="52"/>
  <c r="H96" i="52"/>
  <c r="G96" i="52"/>
  <c r="F96" i="52"/>
  <c r="M94" i="52"/>
  <c r="M95" i="52" s="1"/>
  <c r="BL84" i="52" s="1"/>
  <c r="K94" i="52"/>
  <c r="K95" i="52" s="1"/>
  <c r="BJ84" i="52" s="1"/>
  <c r="J94" i="52"/>
  <c r="J95" i="52" s="1"/>
  <c r="BI84" i="52" s="1"/>
  <c r="I94" i="52"/>
  <c r="I95" i="52" s="1"/>
  <c r="BH84" i="52" s="1"/>
  <c r="H94" i="52"/>
  <c r="H95" i="52" s="1"/>
  <c r="BG84" i="52" s="1"/>
  <c r="G94" i="52"/>
  <c r="G95" i="52" s="1"/>
  <c r="F94" i="52"/>
  <c r="M91" i="52"/>
  <c r="K91" i="52"/>
  <c r="J91" i="52"/>
  <c r="I91" i="52"/>
  <c r="H91" i="52"/>
  <c r="G91" i="52"/>
  <c r="F91" i="52"/>
  <c r="BJ90" i="52"/>
  <c r="BI90" i="52"/>
  <c r="BH90" i="52"/>
  <c r="BG90" i="52"/>
  <c r="BF90" i="52"/>
  <c r="BE90" i="52"/>
  <c r="BD90" i="52"/>
  <c r="BJ89" i="52"/>
  <c r="BI89" i="52"/>
  <c r="BH89" i="52"/>
  <c r="BG89" i="52"/>
  <c r="BF89" i="52"/>
  <c r="BE89" i="52"/>
  <c r="BD89" i="52"/>
  <c r="M89" i="52"/>
  <c r="M90" i="52" s="1"/>
  <c r="BL83" i="52" s="1"/>
  <c r="K89" i="52"/>
  <c r="K90" i="52" s="1"/>
  <c r="BJ83" i="52" s="1"/>
  <c r="J89" i="52"/>
  <c r="J90" i="52" s="1"/>
  <c r="BI83" i="52" s="1"/>
  <c r="I89" i="52"/>
  <c r="I90" i="52" s="1"/>
  <c r="BH83" i="52" s="1"/>
  <c r="H89" i="52"/>
  <c r="H90" i="52" s="1"/>
  <c r="BG83" i="52" s="1"/>
  <c r="G89" i="52"/>
  <c r="G90" i="52" s="1"/>
  <c r="BF83" i="52" s="1"/>
  <c r="F89" i="52"/>
  <c r="BJ88" i="52"/>
  <c r="BI88" i="52"/>
  <c r="BH88" i="52"/>
  <c r="BG88" i="52"/>
  <c r="BF88" i="52"/>
  <c r="BE88" i="52"/>
  <c r="BD88" i="52"/>
  <c r="BJ87" i="52"/>
  <c r="BI87" i="52"/>
  <c r="BH87" i="52"/>
  <c r="BG87" i="52"/>
  <c r="BF87" i="52"/>
  <c r="BE87" i="52"/>
  <c r="BD87" i="52"/>
  <c r="BJ86" i="52"/>
  <c r="BI86" i="52"/>
  <c r="BH86" i="52"/>
  <c r="BG86" i="52"/>
  <c r="BF86" i="52"/>
  <c r="BE86" i="52"/>
  <c r="BD86" i="52"/>
  <c r="M86" i="52"/>
  <c r="K86" i="52"/>
  <c r="J86" i="52"/>
  <c r="I86" i="52"/>
  <c r="H86" i="52"/>
  <c r="G86" i="52"/>
  <c r="F86" i="52"/>
  <c r="BJ85" i="52"/>
  <c r="BI85" i="52"/>
  <c r="BH85" i="52"/>
  <c r="BG85" i="52"/>
  <c r="BF85" i="52"/>
  <c r="BE85" i="52"/>
  <c r="BD85" i="52"/>
  <c r="BD84" i="52"/>
  <c r="M84" i="52"/>
  <c r="M85" i="52" s="1"/>
  <c r="BL82" i="52" s="1"/>
  <c r="K84" i="52"/>
  <c r="K85" i="52" s="1"/>
  <c r="BJ82" i="52" s="1"/>
  <c r="J84" i="52"/>
  <c r="J85" i="52" s="1"/>
  <c r="BI82" i="52" s="1"/>
  <c r="I84" i="52"/>
  <c r="I85" i="52" s="1"/>
  <c r="BH82" i="52" s="1"/>
  <c r="H84" i="52"/>
  <c r="H85" i="52" s="1"/>
  <c r="BG82" i="52" s="1"/>
  <c r="G84" i="52"/>
  <c r="G85" i="52" s="1"/>
  <c r="BF82" i="52" s="1"/>
  <c r="F84" i="52"/>
  <c r="BD83" i="52"/>
  <c r="BD82" i="52"/>
  <c r="BD81" i="52"/>
  <c r="M81" i="52"/>
  <c r="K81" i="52"/>
  <c r="J81" i="52"/>
  <c r="I81" i="52"/>
  <c r="H81" i="52"/>
  <c r="G81" i="52"/>
  <c r="F81" i="52"/>
  <c r="BD80" i="52"/>
  <c r="BD79" i="52"/>
  <c r="M79" i="52"/>
  <c r="M80" i="52" s="1"/>
  <c r="BL81" i="52" s="1"/>
  <c r="K79" i="52"/>
  <c r="K80" i="52" s="1"/>
  <c r="BJ81" i="52" s="1"/>
  <c r="J79" i="52"/>
  <c r="J80" i="52" s="1"/>
  <c r="BI81" i="52" s="1"/>
  <c r="I79" i="52"/>
  <c r="I80" i="52" s="1"/>
  <c r="BH81" i="52" s="1"/>
  <c r="H79" i="52"/>
  <c r="H80" i="52" s="1"/>
  <c r="BG81" i="52" s="1"/>
  <c r="G79" i="52"/>
  <c r="G80" i="52" s="1"/>
  <c r="BF81" i="52" s="1"/>
  <c r="F79" i="52"/>
  <c r="BJ78" i="52"/>
  <c r="BI78" i="52"/>
  <c r="BH78" i="52"/>
  <c r="BG78" i="52"/>
  <c r="BF78" i="52"/>
  <c r="BE78" i="52"/>
  <c r="BD78" i="52"/>
  <c r="BJ77" i="52"/>
  <c r="BI77" i="52"/>
  <c r="BH77" i="52"/>
  <c r="BG77" i="52"/>
  <c r="BF77" i="52"/>
  <c r="BE77" i="52"/>
  <c r="BD77" i="52"/>
  <c r="BJ76" i="52"/>
  <c r="BI76" i="52"/>
  <c r="BH76" i="52"/>
  <c r="BG76" i="52"/>
  <c r="BF76" i="52"/>
  <c r="BE76" i="52"/>
  <c r="BD76" i="52"/>
  <c r="M76" i="52"/>
  <c r="K76" i="52"/>
  <c r="J76" i="52"/>
  <c r="I76" i="52"/>
  <c r="H76" i="52"/>
  <c r="G76" i="52"/>
  <c r="F76" i="52"/>
  <c r="BJ75" i="52"/>
  <c r="BI75" i="52"/>
  <c r="BH75" i="52"/>
  <c r="BG75" i="52"/>
  <c r="BF75" i="52"/>
  <c r="BE75" i="52"/>
  <c r="BD75" i="52"/>
  <c r="BJ74" i="52"/>
  <c r="BI74" i="52"/>
  <c r="BH74" i="52"/>
  <c r="BG74" i="52"/>
  <c r="BF74" i="52"/>
  <c r="BE74" i="52"/>
  <c r="BD74" i="52"/>
  <c r="M74" i="52"/>
  <c r="M75" i="52" s="1"/>
  <c r="BL80" i="52" s="1"/>
  <c r="K74" i="52"/>
  <c r="K75" i="52" s="1"/>
  <c r="BJ80" i="52" s="1"/>
  <c r="J74" i="52"/>
  <c r="J75" i="52" s="1"/>
  <c r="BI80" i="52" s="1"/>
  <c r="I74" i="52"/>
  <c r="I75" i="52" s="1"/>
  <c r="H74" i="52"/>
  <c r="H75" i="52" s="1"/>
  <c r="BG80" i="52" s="1"/>
  <c r="G74" i="52"/>
  <c r="G75" i="52" s="1"/>
  <c r="BF80" i="52" s="1"/>
  <c r="F74" i="52"/>
  <c r="BJ73" i="52"/>
  <c r="BI73" i="52"/>
  <c r="BH73" i="52"/>
  <c r="BG73" i="52"/>
  <c r="BF73" i="52"/>
  <c r="BE73" i="52"/>
  <c r="BD73" i="52"/>
  <c r="BJ72" i="52"/>
  <c r="BI72" i="52"/>
  <c r="BH72" i="52"/>
  <c r="BG72" i="52"/>
  <c r="BF72" i="52"/>
  <c r="BE72" i="52"/>
  <c r="BD72" i="52"/>
  <c r="BJ71" i="52"/>
  <c r="BI71" i="52"/>
  <c r="BH71" i="52"/>
  <c r="BG71" i="52"/>
  <c r="BF71" i="52"/>
  <c r="BE71" i="52"/>
  <c r="BD71" i="52"/>
  <c r="M71" i="52"/>
  <c r="K71" i="52"/>
  <c r="J71" i="52"/>
  <c r="I71" i="52"/>
  <c r="H71" i="52"/>
  <c r="G71" i="52"/>
  <c r="F71" i="52"/>
  <c r="BJ70" i="52"/>
  <c r="BI70" i="52"/>
  <c r="BH70" i="52"/>
  <c r="BG70" i="52"/>
  <c r="BF70" i="52"/>
  <c r="BE70" i="52"/>
  <c r="BD70" i="52"/>
  <c r="BJ69" i="52"/>
  <c r="BI69" i="52"/>
  <c r="BH69" i="52"/>
  <c r="BG69" i="52"/>
  <c r="BF69" i="52"/>
  <c r="BE69" i="52"/>
  <c r="BD69" i="52"/>
  <c r="M69" i="52"/>
  <c r="M70" i="52" s="1"/>
  <c r="BL79" i="52" s="1"/>
  <c r="K69" i="52"/>
  <c r="K70" i="52" s="1"/>
  <c r="BJ79" i="52" s="1"/>
  <c r="J69" i="52"/>
  <c r="J70" i="52" s="1"/>
  <c r="BI79" i="52" s="1"/>
  <c r="I69" i="52"/>
  <c r="I70" i="52" s="1"/>
  <c r="BH79" i="52" s="1"/>
  <c r="H69" i="52"/>
  <c r="H70" i="52" s="1"/>
  <c r="G69" i="52"/>
  <c r="G70" i="52" s="1"/>
  <c r="BF79" i="52" s="1"/>
  <c r="F69" i="52"/>
  <c r="BJ68" i="52"/>
  <c r="BI68" i="52"/>
  <c r="BH68" i="52"/>
  <c r="BG68" i="52"/>
  <c r="BF68" i="52"/>
  <c r="BE68" i="52"/>
  <c r="BD68" i="52"/>
  <c r="BJ67" i="52"/>
  <c r="BI67" i="52"/>
  <c r="BH67" i="52"/>
  <c r="BG67" i="52"/>
  <c r="BF67" i="52"/>
  <c r="BE67" i="52"/>
  <c r="BD67" i="52"/>
  <c r="BD66" i="52"/>
  <c r="BJ52" i="52"/>
  <c r="BI52" i="52"/>
  <c r="BH52" i="52"/>
  <c r="BG52" i="52"/>
  <c r="BF52" i="52"/>
  <c r="BE52" i="52"/>
  <c r="BD52" i="52"/>
  <c r="BD48" i="52"/>
  <c r="BJ44" i="52"/>
  <c r="BI44" i="52"/>
  <c r="BH44" i="52"/>
  <c r="BG44" i="52"/>
  <c r="BF44" i="52"/>
  <c r="BE44" i="52"/>
  <c r="BD44" i="52"/>
  <c r="M44" i="52"/>
  <c r="K44" i="52"/>
  <c r="J44" i="52"/>
  <c r="I44" i="52"/>
  <c r="H44" i="52"/>
  <c r="G44" i="52"/>
  <c r="F44" i="52"/>
  <c r="M42" i="52"/>
  <c r="M43" i="52" s="1"/>
  <c r="BL48" i="52" s="1"/>
  <c r="K42" i="52"/>
  <c r="K43" i="52" s="1"/>
  <c r="BJ48" i="52" s="1"/>
  <c r="J42" i="52"/>
  <c r="J43" i="52" s="1"/>
  <c r="BI48" i="52" s="1"/>
  <c r="I42" i="52"/>
  <c r="I43" i="52" s="1"/>
  <c r="BH48" i="52" s="1"/>
  <c r="H42" i="52"/>
  <c r="H43" i="52" s="1"/>
  <c r="BG48" i="52" s="1"/>
  <c r="G42" i="52"/>
  <c r="G43" i="52" s="1"/>
  <c r="BF48" i="52" s="1"/>
  <c r="F42" i="52"/>
  <c r="BJ40" i="52"/>
  <c r="BI40" i="52"/>
  <c r="BH40" i="52"/>
  <c r="BG40" i="52"/>
  <c r="BF40" i="52"/>
  <c r="BE40" i="52"/>
  <c r="BD40" i="52"/>
  <c r="BD39" i="52"/>
  <c r="K32" i="52"/>
  <c r="J32" i="52"/>
  <c r="I32" i="52"/>
  <c r="H32" i="52"/>
  <c r="G32" i="52"/>
  <c r="M30" i="52"/>
  <c r="M31" i="52" s="1"/>
  <c r="BL24" i="52" s="1"/>
  <c r="K30" i="52"/>
  <c r="K31" i="52" s="1"/>
  <c r="BJ24" i="52" s="1"/>
  <c r="J30" i="52"/>
  <c r="J31" i="52" s="1"/>
  <c r="BI24" i="52" s="1"/>
  <c r="I30" i="52"/>
  <c r="I31" i="52" s="1"/>
  <c r="BH24" i="52" s="1"/>
  <c r="H30" i="52"/>
  <c r="H31" i="52" s="1"/>
  <c r="BG24" i="52" s="1"/>
  <c r="G30" i="52"/>
  <c r="G31" i="52" s="1"/>
  <c r="F30" i="52"/>
  <c r="BJ28" i="52"/>
  <c r="BI28" i="52"/>
  <c r="BH28" i="52"/>
  <c r="BG28" i="52"/>
  <c r="BF28" i="52"/>
  <c r="BE28" i="52"/>
  <c r="BD28" i="52"/>
  <c r="BJ27" i="52"/>
  <c r="BI27" i="52"/>
  <c r="BH27" i="52"/>
  <c r="BG27" i="52"/>
  <c r="BF27" i="52"/>
  <c r="BE27" i="52"/>
  <c r="BD27" i="52"/>
  <c r="M27" i="52"/>
  <c r="K27" i="52"/>
  <c r="J27" i="52"/>
  <c r="I27" i="52"/>
  <c r="H27" i="52"/>
  <c r="G27" i="52"/>
  <c r="BJ26" i="52"/>
  <c r="BI26" i="52"/>
  <c r="BH26" i="52"/>
  <c r="BG26" i="52"/>
  <c r="BF26" i="52"/>
  <c r="BE26" i="52"/>
  <c r="BD26" i="52"/>
  <c r="BJ25" i="52"/>
  <c r="BI25" i="52"/>
  <c r="BH25" i="52"/>
  <c r="BG25" i="52"/>
  <c r="BF25" i="52"/>
  <c r="BE25" i="52"/>
  <c r="BD25" i="52"/>
  <c r="M25" i="52"/>
  <c r="M26" i="52" s="1"/>
  <c r="BL23" i="52" s="1"/>
  <c r="K25" i="52"/>
  <c r="K26" i="52" s="1"/>
  <c r="BJ23" i="52" s="1"/>
  <c r="J25" i="52"/>
  <c r="J26" i="52" s="1"/>
  <c r="BI23" i="52" s="1"/>
  <c r="I25" i="52"/>
  <c r="I26" i="52" s="1"/>
  <c r="BH23" i="52" s="1"/>
  <c r="H25" i="52"/>
  <c r="H26" i="52" s="1"/>
  <c r="BG23" i="52" s="1"/>
  <c r="G25" i="52"/>
  <c r="G26" i="52" s="1"/>
  <c r="BF23" i="52" s="1"/>
  <c r="F25" i="52"/>
  <c r="BD24" i="52"/>
  <c r="BD23" i="52"/>
  <c r="BD22" i="52"/>
  <c r="M22" i="52"/>
  <c r="K22" i="52"/>
  <c r="J22" i="52"/>
  <c r="I22" i="52"/>
  <c r="H22" i="52"/>
  <c r="G22" i="52"/>
  <c r="F22" i="52"/>
  <c r="BD21" i="52"/>
  <c r="BJ20" i="52"/>
  <c r="BI20" i="52"/>
  <c r="BH20" i="52"/>
  <c r="BG20" i="52"/>
  <c r="BF20" i="52"/>
  <c r="BE20" i="52"/>
  <c r="BD20" i="52"/>
  <c r="M20" i="52"/>
  <c r="M21" i="52" s="1"/>
  <c r="BL22" i="52" s="1"/>
  <c r="K20" i="52"/>
  <c r="K21" i="52" s="1"/>
  <c r="BJ22" i="52" s="1"/>
  <c r="J20" i="52"/>
  <c r="J21" i="52" s="1"/>
  <c r="BI22" i="52" s="1"/>
  <c r="I20" i="52"/>
  <c r="I21" i="52" s="1"/>
  <c r="BH22" i="52" s="1"/>
  <c r="H20" i="52"/>
  <c r="H21" i="52" s="1"/>
  <c r="BG22" i="52" s="1"/>
  <c r="G20" i="52"/>
  <c r="G21" i="52" s="1"/>
  <c r="BF22" i="52" s="1"/>
  <c r="F20" i="52"/>
  <c r="BJ19" i="52"/>
  <c r="BI19" i="52"/>
  <c r="BH19" i="52"/>
  <c r="BG19" i="52"/>
  <c r="BF19" i="52"/>
  <c r="BE19" i="52"/>
  <c r="BD19" i="52"/>
  <c r="BJ18" i="52"/>
  <c r="BI18" i="52"/>
  <c r="BH18" i="52"/>
  <c r="BG18" i="52"/>
  <c r="BF18" i="52"/>
  <c r="BE18" i="52"/>
  <c r="BD18" i="52"/>
  <c r="BJ17" i="52"/>
  <c r="BI17" i="52"/>
  <c r="BH17" i="52"/>
  <c r="BG17" i="52"/>
  <c r="BF17" i="52"/>
  <c r="BE17" i="52"/>
  <c r="BD17" i="52"/>
  <c r="J17" i="52"/>
  <c r="I17" i="52"/>
  <c r="H17" i="52"/>
  <c r="G17" i="52"/>
  <c r="F17" i="52"/>
  <c r="BJ16" i="52"/>
  <c r="BI16" i="52"/>
  <c r="BH16" i="52"/>
  <c r="BG16" i="52"/>
  <c r="BF16" i="52"/>
  <c r="BE16" i="52"/>
  <c r="BD16" i="52"/>
  <c r="M16" i="52"/>
  <c r="BL21" i="52" s="1"/>
  <c r="BJ15" i="52"/>
  <c r="BI15" i="52"/>
  <c r="BH15" i="52"/>
  <c r="BG15" i="52"/>
  <c r="BF15" i="52"/>
  <c r="BE15" i="52"/>
  <c r="BD15" i="52"/>
  <c r="BJ21" i="52"/>
  <c r="H15" i="52"/>
  <c r="H16" i="52" s="1"/>
  <c r="BG21" i="52" s="1"/>
  <c r="G15" i="52"/>
  <c r="G16" i="52" s="1"/>
  <c r="BF21" i="52" s="1"/>
  <c r="F15" i="52"/>
  <c r="F16" i="52" s="1"/>
  <c r="BJ14" i="52"/>
  <c r="BI14" i="52"/>
  <c r="BH14" i="52"/>
  <c r="BG14" i="52"/>
  <c r="BF14" i="52"/>
  <c r="BE14" i="52"/>
  <c r="BD14" i="52"/>
  <c r="BH13" i="52"/>
  <c r="BG13" i="52"/>
  <c r="BF13" i="52"/>
  <c r="BE13" i="52"/>
  <c r="BD13" i="52"/>
  <c r="BD12" i="52"/>
  <c r="F31" i="52" l="1"/>
  <c r="BC30" i="52"/>
  <c r="F70" i="52"/>
  <c r="BC70" i="52" s="1"/>
  <c r="BC69" i="52"/>
  <c r="F90" i="52"/>
  <c r="BC89" i="52"/>
  <c r="F194" i="52"/>
  <c r="BC194" i="52" s="1"/>
  <c r="BC193" i="52"/>
  <c r="F75" i="52"/>
  <c r="BC74" i="52"/>
  <c r="BC161" i="52"/>
  <c r="F241" i="52"/>
  <c r="BC240" i="52"/>
  <c r="F80" i="52"/>
  <c r="BC79" i="52"/>
  <c r="F107" i="52"/>
  <c r="BC106" i="52"/>
  <c r="F231" i="52"/>
  <c r="BC230" i="52"/>
  <c r="F43" i="52"/>
  <c r="BC43" i="52" s="1"/>
  <c r="BC42" i="52"/>
  <c r="F95" i="52"/>
  <c r="BC95" i="52" s="1"/>
  <c r="BC94" i="52"/>
  <c r="F189" i="52"/>
  <c r="BC188" i="52"/>
  <c r="F236" i="52"/>
  <c r="BC235" i="52"/>
  <c r="F85" i="52"/>
  <c r="BC85" i="52" s="1"/>
  <c r="BC84" i="52"/>
  <c r="F221" i="52"/>
  <c r="BC221" i="52" s="1"/>
  <c r="BC220" i="52"/>
  <c r="F21" i="52"/>
  <c r="BC20" i="52"/>
  <c r="F26" i="52"/>
  <c r="BC25" i="52"/>
  <c r="BC134" i="52"/>
  <c r="BC86" i="52"/>
  <c r="BC189" i="52"/>
  <c r="BC236" i="52"/>
  <c r="BC32" i="52"/>
  <c r="BC22" i="52"/>
  <c r="BC71" i="52"/>
  <c r="BC91" i="52"/>
  <c r="BC76" i="52"/>
  <c r="BC26" i="52"/>
  <c r="BC163" i="52"/>
  <c r="BC31" i="52"/>
  <c r="BC90" i="52"/>
  <c r="BC162" i="52"/>
  <c r="BC135" i="52"/>
  <c r="BC195" i="52"/>
  <c r="BC75" i="52"/>
  <c r="BC108" i="52"/>
  <c r="BC241" i="52"/>
  <c r="BC21" i="52"/>
  <c r="BC80" i="52"/>
  <c r="BC107" i="52"/>
  <c r="BC44" i="52"/>
  <c r="BC81" i="52"/>
  <c r="BC96" i="52"/>
  <c r="BC136" i="52"/>
  <c r="BC190" i="52"/>
  <c r="BC231" i="52"/>
  <c r="G226" i="52"/>
  <c r="D225" i="52" s="1"/>
  <c r="BC225" i="52"/>
  <c r="BC217" i="52"/>
  <c r="BC227" i="52"/>
  <c r="BC242" i="52"/>
  <c r="G216" i="52"/>
  <c r="D215" i="52" s="1"/>
  <c r="BC215" i="52"/>
  <c r="BC232" i="52"/>
  <c r="BC222" i="52"/>
  <c r="BC237" i="52"/>
  <c r="D42" i="52"/>
  <c r="D134" i="52"/>
  <c r="D25" i="52"/>
  <c r="BE24" i="52"/>
  <c r="D30" i="52"/>
  <c r="BE79" i="52"/>
  <c r="D69" i="52"/>
  <c r="D89" i="52"/>
  <c r="BE172" i="52"/>
  <c r="D161" i="52"/>
  <c r="BE226" i="52"/>
  <c r="BE84" i="52"/>
  <c r="D94" i="52"/>
  <c r="BE197" i="52"/>
  <c r="D188" i="52"/>
  <c r="BE80" i="52"/>
  <c r="D74" i="52"/>
  <c r="D240" i="52"/>
  <c r="BE81" i="52"/>
  <c r="D79" i="52"/>
  <c r="D106" i="52"/>
  <c r="BE224" i="52"/>
  <c r="BE228" i="52"/>
  <c r="D235" i="52"/>
  <c r="BE82" i="52"/>
  <c r="D84" i="52"/>
  <c r="BE225" i="52"/>
  <c r="D220" i="52"/>
  <c r="D20" i="52"/>
  <c r="D230" i="52"/>
  <c r="P36" i="52"/>
  <c r="P63" i="52"/>
  <c r="I16" i="52"/>
  <c r="BH21" i="52" s="1"/>
  <c r="P127" i="52"/>
  <c r="P155" i="52"/>
  <c r="P182" i="52"/>
  <c r="P100" i="52"/>
  <c r="J16" i="52"/>
  <c r="BI21" i="52" s="1"/>
  <c r="BE21" i="52"/>
  <c r="K17" i="52"/>
  <c r="BC17" i="52" s="1"/>
  <c r="F27" i="52"/>
  <c r="BC27" i="52" s="1"/>
  <c r="BF228" i="52"/>
  <c r="BE23" i="52"/>
  <c r="BI225" i="52"/>
  <c r="BF24" i="52"/>
  <c r="BG79" i="52"/>
  <c r="BF84" i="52"/>
  <c r="BH224" i="52"/>
  <c r="BE229" i="52"/>
  <c r="BH80" i="52"/>
  <c r="BE83" i="52"/>
  <c r="BE118" i="52"/>
  <c r="BI226" i="52"/>
  <c r="BE227" i="52"/>
  <c r="BE22" i="52"/>
  <c r="BE48" i="52"/>
  <c r="G109" i="47"/>
  <c r="I109" i="47"/>
  <c r="J109" i="47"/>
  <c r="K109" i="47"/>
  <c r="N109" i="47"/>
  <c r="BE198" i="52" l="1"/>
  <c r="D193" i="52"/>
  <c r="P209" i="52"/>
  <c r="BF226" i="52"/>
  <c r="BC226" i="52"/>
  <c r="BF224" i="52"/>
  <c r="BC216" i="52"/>
  <c r="D15" i="52"/>
  <c r="P8" i="52"/>
  <c r="S209" i="52"/>
  <c r="B4" i="12" l="1"/>
  <c r="B6" i="12"/>
  <c r="F17" i="47" l="1"/>
  <c r="I8" i="13" l="1"/>
  <c r="BF121" i="42" l="1"/>
  <c r="BG121" i="42"/>
  <c r="BH121" i="42"/>
  <c r="BI121" i="42"/>
  <c r="BJ121" i="42"/>
  <c r="BE121" i="42"/>
  <c r="K8" i="13" l="1"/>
  <c r="BE212" i="47" l="1"/>
  <c r="BE211" i="47"/>
  <c r="BE210" i="47"/>
  <c r="BE209" i="47"/>
  <c r="BE208" i="47"/>
  <c r="BE207" i="47"/>
  <c r="BE195" i="47"/>
  <c r="BE200" i="47"/>
  <c r="BE199" i="47"/>
  <c r="BE198" i="47"/>
  <c r="BE197" i="47"/>
  <c r="BE196" i="47"/>
  <c r="BE194" i="47"/>
  <c r="BE193" i="47"/>
  <c r="BE192" i="47"/>
  <c r="BE191" i="47"/>
  <c r="BE190" i="47"/>
  <c r="BE189" i="47"/>
  <c r="BD212" i="47"/>
  <c r="BD211" i="47"/>
  <c r="BD210" i="47"/>
  <c r="BD209" i="47"/>
  <c r="BD208" i="47"/>
  <c r="BD207" i="47"/>
  <c r="BD206" i="47"/>
  <c r="BD205" i="47"/>
  <c r="BD204" i="47"/>
  <c r="BD203" i="47"/>
  <c r="BD202" i="47"/>
  <c r="BD201" i="47"/>
  <c r="BD200" i="47"/>
  <c r="BD199" i="47"/>
  <c r="BD198" i="47"/>
  <c r="BD197" i="47"/>
  <c r="BD196" i="47"/>
  <c r="BD195" i="47"/>
  <c r="BD194" i="47"/>
  <c r="BD193" i="47"/>
  <c r="BD192" i="47"/>
  <c r="BD191" i="47"/>
  <c r="BD190" i="47"/>
  <c r="BD189" i="47"/>
  <c r="N220" i="47"/>
  <c r="K220" i="47"/>
  <c r="J220" i="47"/>
  <c r="I220" i="47"/>
  <c r="H220" i="47"/>
  <c r="G220" i="47"/>
  <c r="N215" i="47"/>
  <c r="K215" i="47"/>
  <c r="J215" i="47"/>
  <c r="I215" i="47"/>
  <c r="H215" i="47"/>
  <c r="G215" i="47"/>
  <c r="N210" i="47"/>
  <c r="K210" i="47"/>
  <c r="J210" i="47"/>
  <c r="I210" i="47"/>
  <c r="H210" i="47"/>
  <c r="G210" i="47"/>
  <c r="N205" i="47"/>
  <c r="K205" i="47"/>
  <c r="J205" i="47"/>
  <c r="I205" i="47"/>
  <c r="H205" i="47"/>
  <c r="G205" i="47"/>
  <c r="N200" i="47"/>
  <c r="K200" i="47"/>
  <c r="J200" i="47"/>
  <c r="I200" i="47"/>
  <c r="H200" i="47"/>
  <c r="G200" i="47"/>
  <c r="G195" i="47"/>
  <c r="H195" i="47"/>
  <c r="I195" i="47"/>
  <c r="J195" i="47"/>
  <c r="K195" i="47"/>
  <c r="N195" i="47"/>
  <c r="N219" i="47"/>
  <c r="K219" i="47"/>
  <c r="BJ206" i="47" s="1"/>
  <c r="J219" i="47"/>
  <c r="BI206" i="47" s="1"/>
  <c r="I219" i="47"/>
  <c r="BH206" i="47" s="1"/>
  <c r="H219" i="47"/>
  <c r="BG206" i="47" s="1"/>
  <c r="G219" i="47"/>
  <c r="BF206" i="47" s="1"/>
  <c r="N214" i="47"/>
  <c r="K214" i="47"/>
  <c r="J214" i="47"/>
  <c r="I214" i="47"/>
  <c r="H214" i="47"/>
  <c r="G214" i="47"/>
  <c r="N209" i="47"/>
  <c r="K209" i="47"/>
  <c r="J209" i="47"/>
  <c r="I209" i="47"/>
  <c r="H209" i="47"/>
  <c r="G209" i="47"/>
  <c r="N204" i="47"/>
  <c r="K204" i="47"/>
  <c r="BJ203" i="47" s="1"/>
  <c r="J204" i="47"/>
  <c r="BI203" i="47" s="1"/>
  <c r="I204" i="47"/>
  <c r="BH203" i="47" s="1"/>
  <c r="H204" i="47"/>
  <c r="BG203" i="47" s="1"/>
  <c r="G204" i="47"/>
  <c r="BF203" i="47" s="1"/>
  <c r="G199" i="47"/>
  <c r="BF202" i="47" s="1"/>
  <c r="H199" i="47"/>
  <c r="BG202" i="47" s="1"/>
  <c r="I199" i="47"/>
  <c r="BH202" i="47" s="1"/>
  <c r="J199" i="47"/>
  <c r="BI202" i="47" s="1"/>
  <c r="K199" i="47"/>
  <c r="BJ202" i="47" s="1"/>
  <c r="N199" i="47"/>
  <c r="BF205" i="47" l="1"/>
  <c r="BF204" i="47"/>
  <c r="BG204" i="47"/>
  <c r="BG205" i="47"/>
  <c r="BI205" i="47"/>
  <c r="BI204" i="47"/>
  <c r="BJ205" i="47"/>
  <c r="BJ204" i="47"/>
  <c r="BH204" i="47"/>
  <c r="BH205" i="47"/>
  <c r="N218" i="47"/>
  <c r="K218" i="47"/>
  <c r="J218" i="47"/>
  <c r="I218" i="47"/>
  <c r="H218" i="47"/>
  <c r="G218" i="47"/>
  <c r="F218" i="47"/>
  <c r="N213" i="47"/>
  <c r="K213" i="47"/>
  <c r="J213" i="47"/>
  <c r="I213" i="47"/>
  <c r="H213" i="47"/>
  <c r="G213" i="47"/>
  <c r="F213" i="47"/>
  <c r="N208" i="47"/>
  <c r="K208" i="47"/>
  <c r="J208" i="47"/>
  <c r="I208" i="47"/>
  <c r="H208" i="47"/>
  <c r="G208" i="47"/>
  <c r="F208" i="47"/>
  <c r="N203" i="47"/>
  <c r="K203" i="47"/>
  <c r="J203" i="47"/>
  <c r="I203" i="47"/>
  <c r="H203" i="47"/>
  <c r="G203" i="47"/>
  <c r="F203" i="47"/>
  <c r="N198" i="47"/>
  <c r="K198" i="47"/>
  <c r="J198" i="47"/>
  <c r="I198" i="47"/>
  <c r="H198" i="47"/>
  <c r="G198" i="47"/>
  <c r="F198" i="47"/>
  <c r="N194" i="47"/>
  <c r="K194" i="47"/>
  <c r="BJ201" i="47" s="1"/>
  <c r="J194" i="47"/>
  <c r="BI201" i="47" s="1"/>
  <c r="I194" i="47"/>
  <c r="BH201" i="47" s="1"/>
  <c r="H194" i="47"/>
  <c r="BG201" i="47" s="1"/>
  <c r="G194" i="47"/>
  <c r="BF201" i="47" s="1"/>
  <c r="N193" i="47"/>
  <c r="K193" i="47"/>
  <c r="J193" i="47"/>
  <c r="I193" i="47"/>
  <c r="H193" i="47"/>
  <c r="G193" i="47"/>
  <c r="F193" i="47"/>
  <c r="BD188" i="47"/>
  <c r="BJ146" i="47"/>
  <c r="BI146" i="47"/>
  <c r="BH146" i="47"/>
  <c r="BG146" i="47"/>
  <c r="BF146" i="47"/>
  <c r="BE152" i="47"/>
  <c r="BD152" i="47"/>
  <c r="BE151" i="47"/>
  <c r="BD151" i="47"/>
  <c r="BE150" i="47"/>
  <c r="BD150" i="47"/>
  <c r="BE149" i="47"/>
  <c r="BD149" i="47"/>
  <c r="N149" i="47"/>
  <c r="K149" i="47"/>
  <c r="J149" i="47"/>
  <c r="I149" i="47"/>
  <c r="H149" i="47"/>
  <c r="G149" i="47"/>
  <c r="N148" i="47"/>
  <c r="K148" i="47"/>
  <c r="BJ145" i="47" s="1"/>
  <c r="J148" i="47"/>
  <c r="BI145" i="47" s="1"/>
  <c r="I148" i="47"/>
  <c r="BH145" i="47" s="1"/>
  <c r="H148" i="47"/>
  <c r="BG145" i="47" s="1"/>
  <c r="G148" i="47"/>
  <c r="BF145" i="47" s="1"/>
  <c r="F148" i="47"/>
  <c r="N147" i="47"/>
  <c r="K147" i="47"/>
  <c r="J147" i="47"/>
  <c r="I147" i="47"/>
  <c r="H147" i="47"/>
  <c r="G147" i="47"/>
  <c r="F147" i="47"/>
  <c r="BD146" i="47"/>
  <c r="BD145" i="47"/>
  <c r="BD144" i="47"/>
  <c r="BD143" i="47"/>
  <c r="N143" i="47"/>
  <c r="K143" i="47"/>
  <c r="J143" i="47"/>
  <c r="I143" i="47"/>
  <c r="H143" i="47"/>
  <c r="G143" i="47"/>
  <c r="N142" i="47"/>
  <c r="K142" i="47"/>
  <c r="BJ144" i="47" s="1"/>
  <c r="J142" i="47"/>
  <c r="BI144" i="47" s="1"/>
  <c r="I142" i="47"/>
  <c r="BH144" i="47" s="1"/>
  <c r="H142" i="47"/>
  <c r="BG144" i="47" s="1"/>
  <c r="G142" i="47"/>
  <c r="BF144" i="47" s="1"/>
  <c r="N141" i="47"/>
  <c r="K141" i="47"/>
  <c r="J141" i="47"/>
  <c r="I141" i="47"/>
  <c r="H141" i="47"/>
  <c r="G141" i="47"/>
  <c r="F141" i="47"/>
  <c r="BE140" i="47"/>
  <c r="BD140" i="47"/>
  <c r="BE139" i="47"/>
  <c r="BD139" i="47"/>
  <c r="BE138" i="47"/>
  <c r="BD138" i="47"/>
  <c r="BE137" i="47"/>
  <c r="BD137" i="47"/>
  <c r="N137" i="47"/>
  <c r="K137" i="47"/>
  <c r="J137" i="47"/>
  <c r="I137" i="47"/>
  <c r="H137" i="47"/>
  <c r="G137" i="47"/>
  <c r="N136" i="47"/>
  <c r="K136" i="47"/>
  <c r="BJ143" i="47" s="1"/>
  <c r="J136" i="47"/>
  <c r="BI143" i="47" s="1"/>
  <c r="I136" i="47"/>
  <c r="BH143" i="47" s="1"/>
  <c r="H136" i="47"/>
  <c r="BG143" i="47" s="1"/>
  <c r="G136" i="47"/>
  <c r="BF143" i="47" s="1"/>
  <c r="N135" i="47"/>
  <c r="K135" i="47"/>
  <c r="J135" i="47"/>
  <c r="I135" i="47"/>
  <c r="H135" i="47"/>
  <c r="G135" i="47"/>
  <c r="F135" i="47"/>
  <c r="BE134" i="47"/>
  <c r="BD134" i="47"/>
  <c r="BE133" i="47"/>
  <c r="BD133" i="47"/>
  <c r="BE132" i="47"/>
  <c r="BD132" i="47"/>
  <c r="BE131" i="47"/>
  <c r="BD131" i="47"/>
  <c r="BD130" i="47"/>
  <c r="F143" i="47"/>
  <c r="BE180" i="47"/>
  <c r="BD180" i="47"/>
  <c r="BD176" i="47"/>
  <c r="BE172" i="47"/>
  <c r="BD172" i="47"/>
  <c r="BE168" i="47"/>
  <c r="BD168" i="47"/>
  <c r="BD167" i="47"/>
  <c r="N167" i="47"/>
  <c r="K167" i="47"/>
  <c r="J167" i="47"/>
  <c r="I167" i="47"/>
  <c r="H167" i="47"/>
  <c r="G167" i="47"/>
  <c r="F167" i="47"/>
  <c r="N166" i="47"/>
  <c r="K166" i="47"/>
  <c r="BJ176" i="47" s="1"/>
  <c r="J166" i="47"/>
  <c r="BI176" i="47" s="1"/>
  <c r="I166" i="47"/>
  <c r="BH176" i="47" s="1"/>
  <c r="H166" i="47"/>
  <c r="BG176" i="47" s="1"/>
  <c r="G166" i="47"/>
  <c r="BF176" i="47" s="1"/>
  <c r="F166" i="47"/>
  <c r="N165" i="47"/>
  <c r="K165" i="47"/>
  <c r="J165" i="47"/>
  <c r="I165" i="47"/>
  <c r="H165" i="47"/>
  <c r="G165" i="47"/>
  <c r="F165" i="47"/>
  <c r="R159" i="47"/>
  <c r="BE57" i="47"/>
  <c r="BD57" i="47"/>
  <c r="BD54" i="47"/>
  <c r="BE50" i="47"/>
  <c r="BD50" i="47"/>
  <c r="BE46" i="47"/>
  <c r="BD46" i="47"/>
  <c r="BD45" i="47"/>
  <c r="N45" i="47"/>
  <c r="K45" i="47"/>
  <c r="J45" i="47"/>
  <c r="I45" i="47"/>
  <c r="H45" i="47"/>
  <c r="G45" i="47"/>
  <c r="F45" i="47"/>
  <c r="N44" i="47"/>
  <c r="K44" i="47"/>
  <c r="BJ54" i="47" s="1"/>
  <c r="J44" i="47"/>
  <c r="BI54" i="47" s="1"/>
  <c r="I44" i="47"/>
  <c r="BH54" i="47" s="1"/>
  <c r="H44" i="47"/>
  <c r="BG54" i="47" s="1"/>
  <c r="G44" i="47"/>
  <c r="BF54" i="47" s="1"/>
  <c r="F44" i="47"/>
  <c r="N43" i="47"/>
  <c r="K43" i="47"/>
  <c r="J43" i="47"/>
  <c r="I43" i="47"/>
  <c r="H43" i="47"/>
  <c r="G43" i="47"/>
  <c r="F43" i="47"/>
  <c r="BS122" i="47"/>
  <c r="BR122" i="47"/>
  <c r="BQ122" i="47"/>
  <c r="BP122" i="47"/>
  <c r="BO122" i="47"/>
  <c r="BN122" i="47"/>
  <c r="BM122" i="47"/>
  <c r="BM118" i="47"/>
  <c r="BS114" i="47"/>
  <c r="BR114" i="47"/>
  <c r="BQ114" i="47"/>
  <c r="BP114" i="47"/>
  <c r="BO114" i="47"/>
  <c r="BN114" i="47"/>
  <c r="BM114" i="47"/>
  <c r="BS110" i="47"/>
  <c r="BR110" i="47"/>
  <c r="BQ110" i="47"/>
  <c r="BP110" i="47"/>
  <c r="BO110" i="47"/>
  <c r="BN110" i="47"/>
  <c r="BM110" i="47"/>
  <c r="BM109" i="47"/>
  <c r="N107" i="47"/>
  <c r="N108" i="47" s="1"/>
  <c r="K107" i="47"/>
  <c r="K108" i="47" s="1"/>
  <c r="BS118" i="47" s="1"/>
  <c r="J107" i="47"/>
  <c r="J108" i="47" s="1"/>
  <c r="BR118" i="47" s="1"/>
  <c r="I107" i="47"/>
  <c r="I108" i="47" s="1"/>
  <c r="BQ118" i="47" s="1"/>
  <c r="H107" i="47"/>
  <c r="H108" i="47" s="1"/>
  <c r="BP118" i="47" s="1"/>
  <c r="G107" i="47"/>
  <c r="G108" i="47" s="1"/>
  <c r="BO118" i="47" s="1"/>
  <c r="F107" i="47"/>
  <c r="H109" i="47"/>
  <c r="BC109" i="47" s="1"/>
  <c r="J96" i="47"/>
  <c r="I96" i="47"/>
  <c r="H96" i="47"/>
  <c r="G96" i="47"/>
  <c r="N94" i="47"/>
  <c r="N95" i="47" s="1"/>
  <c r="BL84" i="47" s="1"/>
  <c r="K94" i="47"/>
  <c r="K95" i="47" s="1"/>
  <c r="BJ84" i="47" s="1"/>
  <c r="J94" i="47"/>
  <c r="J95" i="47" s="1"/>
  <c r="BI84" i="47" s="1"/>
  <c r="I94" i="47"/>
  <c r="I95" i="47" s="1"/>
  <c r="BH84" i="47" s="1"/>
  <c r="H94" i="47"/>
  <c r="H95" i="47" s="1"/>
  <c r="BG84" i="47" s="1"/>
  <c r="G94" i="47"/>
  <c r="G95" i="47" s="1"/>
  <c r="BF84" i="47" s="1"/>
  <c r="F94" i="47"/>
  <c r="N91" i="47"/>
  <c r="K91" i="47"/>
  <c r="H91" i="47"/>
  <c r="G91" i="47"/>
  <c r="BL90" i="47"/>
  <c r="BJ90" i="47"/>
  <c r="BI90" i="47"/>
  <c r="BH90" i="47"/>
  <c r="BG90" i="47"/>
  <c r="BF90" i="47"/>
  <c r="BE90" i="47"/>
  <c r="BD90" i="47"/>
  <c r="BL89" i="47"/>
  <c r="BJ89" i="47"/>
  <c r="BI89" i="47"/>
  <c r="BH89" i="47"/>
  <c r="BG89" i="47"/>
  <c r="BF89" i="47"/>
  <c r="BE89" i="47"/>
  <c r="BD89" i="47"/>
  <c r="N89" i="47"/>
  <c r="N90" i="47" s="1"/>
  <c r="BL83" i="47" s="1"/>
  <c r="K89" i="47"/>
  <c r="K90" i="47" s="1"/>
  <c r="BJ83" i="47" s="1"/>
  <c r="J89" i="47"/>
  <c r="J90" i="47" s="1"/>
  <c r="BI83" i="47" s="1"/>
  <c r="I89" i="47"/>
  <c r="I90" i="47" s="1"/>
  <c r="BH83" i="47" s="1"/>
  <c r="H89" i="47"/>
  <c r="H90" i="47" s="1"/>
  <c r="BG83" i="47" s="1"/>
  <c r="G89" i="47"/>
  <c r="G90" i="47" s="1"/>
  <c r="BF83" i="47" s="1"/>
  <c r="F89" i="47"/>
  <c r="BL88" i="47"/>
  <c r="BJ88" i="47"/>
  <c r="BI88" i="47"/>
  <c r="BH88" i="47"/>
  <c r="BG88" i="47"/>
  <c r="BF88" i="47"/>
  <c r="BE88" i="47"/>
  <c r="BD88" i="47"/>
  <c r="BL87" i="47"/>
  <c r="BJ87" i="47"/>
  <c r="BI87" i="47"/>
  <c r="BH87" i="47"/>
  <c r="BG87" i="47"/>
  <c r="BF87" i="47"/>
  <c r="BE87" i="47"/>
  <c r="BD87" i="47"/>
  <c r="BL86" i="47"/>
  <c r="BJ86" i="47"/>
  <c r="BI86" i="47"/>
  <c r="BH86" i="47"/>
  <c r="BG86" i="47"/>
  <c r="BF86" i="47"/>
  <c r="BE86" i="47"/>
  <c r="BD86" i="47"/>
  <c r="N86" i="47"/>
  <c r="K86" i="47"/>
  <c r="J86" i="47"/>
  <c r="I86" i="47"/>
  <c r="BL85" i="47"/>
  <c r="BJ85" i="47"/>
  <c r="BI85" i="47"/>
  <c r="BH85" i="47"/>
  <c r="BG85" i="47"/>
  <c r="BF85" i="47"/>
  <c r="BE85" i="47"/>
  <c r="BD85" i="47"/>
  <c r="BD84" i="47"/>
  <c r="N84" i="47"/>
  <c r="N85" i="47" s="1"/>
  <c r="BL82" i="47" s="1"/>
  <c r="K84" i="47"/>
  <c r="K85" i="47" s="1"/>
  <c r="BJ82" i="47" s="1"/>
  <c r="J84" i="47"/>
  <c r="J85" i="47" s="1"/>
  <c r="BI82" i="47" s="1"/>
  <c r="I84" i="47"/>
  <c r="I85" i="47" s="1"/>
  <c r="BH82" i="47" s="1"/>
  <c r="H84" i="47"/>
  <c r="H85" i="47" s="1"/>
  <c r="G84" i="47"/>
  <c r="G85" i="47" s="1"/>
  <c r="BF82" i="47" s="1"/>
  <c r="F84" i="47"/>
  <c r="BD83" i="47"/>
  <c r="BD82" i="47"/>
  <c r="BD81" i="47"/>
  <c r="K81" i="47"/>
  <c r="J81" i="47"/>
  <c r="I81" i="47"/>
  <c r="H81" i="47"/>
  <c r="BD80" i="47"/>
  <c r="BD79" i="47"/>
  <c r="N79" i="47"/>
  <c r="N80" i="47" s="1"/>
  <c r="BL81" i="47" s="1"/>
  <c r="K79" i="47"/>
  <c r="K80" i="47" s="1"/>
  <c r="BJ81" i="47" s="1"/>
  <c r="J79" i="47"/>
  <c r="J80" i="47" s="1"/>
  <c r="BI81" i="47" s="1"/>
  <c r="I79" i="47"/>
  <c r="I80" i="47" s="1"/>
  <c r="BH81" i="47" s="1"/>
  <c r="H79" i="47"/>
  <c r="H80" i="47" s="1"/>
  <c r="BG81" i="47" s="1"/>
  <c r="G79" i="47"/>
  <c r="G80" i="47" s="1"/>
  <c r="BF81" i="47" s="1"/>
  <c r="F79" i="47"/>
  <c r="BL78" i="47"/>
  <c r="BJ78" i="47"/>
  <c r="BI78" i="47"/>
  <c r="BH78" i="47"/>
  <c r="BG78" i="47"/>
  <c r="BF78" i="47"/>
  <c r="BE78" i="47"/>
  <c r="BD78" i="47"/>
  <c r="BL77" i="47"/>
  <c r="BJ77" i="47"/>
  <c r="BI77" i="47"/>
  <c r="BH77" i="47"/>
  <c r="BG77" i="47"/>
  <c r="BF77" i="47"/>
  <c r="BE77" i="47"/>
  <c r="BD77" i="47"/>
  <c r="BL76" i="47"/>
  <c r="BJ76" i="47"/>
  <c r="BI76" i="47"/>
  <c r="BH76" i="47"/>
  <c r="BG76" i="47"/>
  <c r="BF76" i="47"/>
  <c r="BE76" i="47"/>
  <c r="BD76" i="47"/>
  <c r="N76" i="47"/>
  <c r="K76" i="47"/>
  <c r="J76" i="47"/>
  <c r="I76" i="47"/>
  <c r="H76" i="47"/>
  <c r="G76" i="47"/>
  <c r="BL75" i="47"/>
  <c r="BJ75" i="47"/>
  <c r="BI75" i="47"/>
  <c r="BH75" i="47"/>
  <c r="BG75" i="47"/>
  <c r="BF75" i="47"/>
  <c r="BE75" i="47"/>
  <c r="BD75" i="47"/>
  <c r="BL74" i="47"/>
  <c r="BJ74" i="47"/>
  <c r="BI74" i="47"/>
  <c r="BH74" i="47"/>
  <c r="BG74" i="47"/>
  <c r="BF74" i="47"/>
  <c r="BE74" i="47"/>
  <c r="BD74" i="47"/>
  <c r="N74" i="47"/>
  <c r="N75" i="47" s="1"/>
  <c r="BL80" i="47" s="1"/>
  <c r="K74" i="47"/>
  <c r="K75" i="47" s="1"/>
  <c r="BJ80" i="47" s="1"/>
  <c r="J74" i="47"/>
  <c r="J75" i="47" s="1"/>
  <c r="BI80" i="47" s="1"/>
  <c r="I74" i="47"/>
  <c r="I75" i="47" s="1"/>
  <c r="BH80" i="47" s="1"/>
  <c r="H74" i="47"/>
  <c r="H75" i="47" s="1"/>
  <c r="BG80" i="47" s="1"/>
  <c r="G74" i="47"/>
  <c r="G75" i="47" s="1"/>
  <c r="BF80" i="47" s="1"/>
  <c r="F74" i="47"/>
  <c r="BL73" i="47"/>
  <c r="BJ73" i="47"/>
  <c r="BI73" i="47"/>
  <c r="BH73" i="47"/>
  <c r="BG73" i="47"/>
  <c r="BF73" i="47"/>
  <c r="BE73" i="47"/>
  <c r="BD73" i="47"/>
  <c r="BL72" i="47"/>
  <c r="BJ72" i="47"/>
  <c r="BI72" i="47"/>
  <c r="BH72" i="47"/>
  <c r="BG72" i="47"/>
  <c r="BF72" i="47"/>
  <c r="BE72" i="47"/>
  <c r="BD72" i="47"/>
  <c r="BL71" i="47"/>
  <c r="BJ71" i="47"/>
  <c r="BI71" i="47"/>
  <c r="BH71" i="47"/>
  <c r="BG71" i="47"/>
  <c r="BF71" i="47"/>
  <c r="BE71" i="47"/>
  <c r="BD71" i="47"/>
  <c r="N71" i="47"/>
  <c r="K71" i="47"/>
  <c r="J71" i="47"/>
  <c r="I71" i="47"/>
  <c r="H71" i="47"/>
  <c r="G71" i="47"/>
  <c r="BL70" i="47"/>
  <c r="BJ70" i="47"/>
  <c r="BI70" i="47"/>
  <c r="BH70" i="47"/>
  <c r="BG70" i="47"/>
  <c r="BF70" i="47"/>
  <c r="BE70" i="47"/>
  <c r="BD70" i="47"/>
  <c r="BL69" i="47"/>
  <c r="BJ69" i="47"/>
  <c r="BI69" i="47"/>
  <c r="BH69" i="47"/>
  <c r="BG69" i="47"/>
  <c r="BF69" i="47"/>
  <c r="BE69" i="47"/>
  <c r="BD69" i="47"/>
  <c r="N69" i="47"/>
  <c r="N70" i="47" s="1"/>
  <c r="BL79" i="47" s="1"/>
  <c r="K69" i="47"/>
  <c r="K70" i="47" s="1"/>
  <c r="BJ79" i="47" s="1"/>
  <c r="J69" i="47"/>
  <c r="J70" i="47" s="1"/>
  <c r="BI79" i="47" s="1"/>
  <c r="I69" i="47"/>
  <c r="I70" i="47" s="1"/>
  <c r="BH79" i="47" s="1"/>
  <c r="H69" i="47"/>
  <c r="H70" i="47" s="1"/>
  <c r="BG79" i="47" s="1"/>
  <c r="G69" i="47"/>
  <c r="G70" i="47" s="1"/>
  <c r="BF79" i="47" s="1"/>
  <c r="F69" i="47"/>
  <c r="BL68" i="47"/>
  <c r="BJ68" i="47"/>
  <c r="BI68" i="47"/>
  <c r="BH68" i="47"/>
  <c r="BG68" i="47"/>
  <c r="BF68" i="47"/>
  <c r="BE68" i="47"/>
  <c r="BD68" i="47"/>
  <c r="BL67" i="47"/>
  <c r="BJ67" i="47"/>
  <c r="BI67" i="47"/>
  <c r="BH67" i="47"/>
  <c r="BG67" i="47"/>
  <c r="BF67" i="47"/>
  <c r="BE67" i="47"/>
  <c r="BD67" i="47"/>
  <c r="BD66" i="47"/>
  <c r="G81" i="47"/>
  <c r="N32" i="47"/>
  <c r="K32" i="47"/>
  <c r="J32" i="47"/>
  <c r="I32" i="47"/>
  <c r="H32" i="47"/>
  <c r="G32" i="47"/>
  <c r="N30" i="47"/>
  <c r="N31" i="47" s="1"/>
  <c r="K30" i="47"/>
  <c r="K31" i="47" s="1"/>
  <c r="BJ24" i="47" s="1"/>
  <c r="J30" i="47"/>
  <c r="J31" i="47" s="1"/>
  <c r="BI24" i="47" s="1"/>
  <c r="I30" i="47"/>
  <c r="I31" i="47" s="1"/>
  <c r="BH24" i="47" s="1"/>
  <c r="H30" i="47"/>
  <c r="H31" i="47" s="1"/>
  <c r="BG24" i="47" s="1"/>
  <c r="G30" i="47"/>
  <c r="G31" i="47" s="1"/>
  <c r="BF24" i="47" s="1"/>
  <c r="F30" i="47"/>
  <c r="BE28" i="47"/>
  <c r="BD28" i="47"/>
  <c r="BE27" i="47"/>
  <c r="BD27" i="47"/>
  <c r="N27" i="47"/>
  <c r="K27" i="47"/>
  <c r="J27" i="47"/>
  <c r="I27" i="47"/>
  <c r="H27" i="47"/>
  <c r="G27" i="47"/>
  <c r="BE26" i="47"/>
  <c r="BD26" i="47"/>
  <c r="BE25" i="47"/>
  <c r="BD25" i="47"/>
  <c r="N25" i="47"/>
  <c r="N26" i="47" s="1"/>
  <c r="K25" i="47"/>
  <c r="K26" i="47" s="1"/>
  <c r="BJ23" i="47" s="1"/>
  <c r="J25" i="47"/>
  <c r="J26" i="47" s="1"/>
  <c r="BI23" i="47" s="1"/>
  <c r="I25" i="47"/>
  <c r="I26" i="47" s="1"/>
  <c r="BH23" i="47" s="1"/>
  <c r="H25" i="47"/>
  <c r="H26" i="47" s="1"/>
  <c r="BG23" i="47" s="1"/>
  <c r="G25" i="47"/>
  <c r="G26" i="47" s="1"/>
  <c r="BF23" i="47" s="1"/>
  <c r="F25" i="47"/>
  <c r="BD24" i="47"/>
  <c r="BD23" i="47"/>
  <c r="BD22" i="47"/>
  <c r="N22" i="47"/>
  <c r="K22" i="47"/>
  <c r="J22" i="47"/>
  <c r="I22" i="47"/>
  <c r="H22" i="47"/>
  <c r="G22" i="47"/>
  <c r="BD21" i="47"/>
  <c r="BE20" i="47"/>
  <c r="BD20" i="47"/>
  <c r="N20" i="47"/>
  <c r="N21" i="47" s="1"/>
  <c r="K20" i="47"/>
  <c r="K21" i="47" s="1"/>
  <c r="BJ22" i="47" s="1"/>
  <c r="J20" i="47"/>
  <c r="J21" i="47" s="1"/>
  <c r="BI22" i="47" s="1"/>
  <c r="I20" i="47"/>
  <c r="I21" i="47" s="1"/>
  <c r="BH22" i="47" s="1"/>
  <c r="H20" i="47"/>
  <c r="H21" i="47" s="1"/>
  <c r="BG22" i="47" s="1"/>
  <c r="G20" i="47"/>
  <c r="G21" i="47" s="1"/>
  <c r="BF22" i="47" s="1"/>
  <c r="F20" i="47"/>
  <c r="BE19" i="47"/>
  <c r="BD19" i="47"/>
  <c r="BE18" i="47"/>
  <c r="BD18" i="47"/>
  <c r="BE17" i="47"/>
  <c r="BD17" i="47"/>
  <c r="N17" i="47"/>
  <c r="K17" i="47"/>
  <c r="J17" i="47"/>
  <c r="I17" i="47"/>
  <c r="H17" i="47"/>
  <c r="G17" i="47"/>
  <c r="BE16" i="47"/>
  <c r="BD16" i="47"/>
  <c r="N16" i="47"/>
  <c r="K16" i="47"/>
  <c r="BJ21" i="47" s="1"/>
  <c r="J16" i="47"/>
  <c r="BI21" i="47" s="1"/>
  <c r="I16" i="47"/>
  <c r="BH21" i="47" s="1"/>
  <c r="H16" i="47"/>
  <c r="BG21" i="47" s="1"/>
  <c r="G16" i="47"/>
  <c r="BF21" i="47" s="1"/>
  <c r="BE15" i="47"/>
  <c r="BD15" i="47"/>
  <c r="N15" i="47"/>
  <c r="K15" i="47"/>
  <c r="J15" i="47"/>
  <c r="I15" i="47"/>
  <c r="H15" i="47"/>
  <c r="G15" i="47"/>
  <c r="F15" i="47"/>
  <c r="F16" i="47" s="1"/>
  <c r="BE14" i="47"/>
  <c r="BD14" i="47"/>
  <c r="BE13" i="47"/>
  <c r="BD13" i="47"/>
  <c r="BD12" i="47"/>
  <c r="F27" i="47"/>
  <c r="BC165" i="47" l="1"/>
  <c r="BC147" i="47"/>
  <c r="BC193" i="47"/>
  <c r="BC43" i="47"/>
  <c r="F85" i="47"/>
  <c r="D84" i="47" s="1"/>
  <c r="BC84" i="47"/>
  <c r="F26" i="47"/>
  <c r="BC26" i="47" s="1"/>
  <c r="BC25" i="47"/>
  <c r="F108" i="47"/>
  <c r="BN118" i="47" s="1"/>
  <c r="BC107" i="47"/>
  <c r="F90" i="47"/>
  <c r="BC90" i="47" s="1"/>
  <c r="BC89" i="47"/>
  <c r="F209" i="47"/>
  <c r="BC209" i="47" s="1"/>
  <c r="BC208" i="47"/>
  <c r="F80" i="47"/>
  <c r="BE81" i="47" s="1"/>
  <c r="BC79" i="47"/>
  <c r="F142" i="47"/>
  <c r="BC142" i="47" s="1"/>
  <c r="BC141" i="47"/>
  <c r="F75" i="47"/>
  <c r="BE80" i="47" s="1"/>
  <c r="BC74" i="47"/>
  <c r="BC153" i="47"/>
  <c r="F204" i="47"/>
  <c r="BE203" i="47" s="1"/>
  <c r="BC203" i="47"/>
  <c r="F219" i="47"/>
  <c r="BC219" i="47" s="1"/>
  <c r="BC218" i="47"/>
  <c r="F214" i="47"/>
  <c r="BE204" i="47" s="1"/>
  <c r="BC213" i="47"/>
  <c r="F70" i="47"/>
  <c r="BC70" i="47" s="1"/>
  <c r="BC69" i="47"/>
  <c r="F199" i="47"/>
  <c r="BC199" i="47" s="1"/>
  <c r="BC198" i="47"/>
  <c r="F21" i="47"/>
  <c r="BC21" i="47" s="1"/>
  <c r="BC20" i="47"/>
  <c r="F31" i="47"/>
  <c r="BE24" i="47" s="1"/>
  <c r="BC30" i="47"/>
  <c r="F95" i="47"/>
  <c r="D94" i="47" s="1"/>
  <c r="BC94" i="47"/>
  <c r="BC135" i="47"/>
  <c r="BC45" i="47"/>
  <c r="BC17" i="47"/>
  <c r="BC167" i="47"/>
  <c r="BC27" i="47"/>
  <c r="BC44" i="47"/>
  <c r="BC166" i="47"/>
  <c r="BC143" i="47"/>
  <c r="D213" i="47"/>
  <c r="BC148" i="47"/>
  <c r="BE54" i="47"/>
  <c r="D43" i="47"/>
  <c r="BE176" i="47"/>
  <c r="D165" i="47"/>
  <c r="P159" i="47"/>
  <c r="BE145" i="47"/>
  <c r="D147" i="47"/>
  <c r="BE21" i="47"/>
  <c r="D15" i="47"/>
  <c r="F136" i="47"/>
  <c r="BC136" i="47" s="1"/>
  <c r="F194" i="47"/>
  <c r="BE201" i="47" s="1"/>
  <c r="P36" i="47"/>
  <c r="F220" i="47"/>
  <c r="BC220" i="47" s="1"/>
  <c r="BC155" i="47"/>
  <c r="F32" i="47"/>
  <c r="BC32" i="47" s="1"/>
  <c r="F149" i="47"/>
  <c r="BC149" i="47" s="1"/>
  <c r="F137" i="47"/>
  <c r="BC137" i="47" s="1"/>
  <c r="F210" i="47"/>
  <c r="BC210" i="47" s="1"/>
  <c r="F215" i="47"/>
  <c r="BC215" i="47" s="1"/>
  <c r="F200" i="47"/>
  <c r="BC200" i="47" s="1"/>
  <c r="F205" i="47"/>
  <c r="BC205" i="47" s="1"/>
  <c r="F195" i="47"/>
  <c r="BC195" i="47" s="1"/>
  <c r="F96" i="47"/>
  <c r="F91" i="47"/>
  <c r="F86" i="47"/>
  <c r="F71" i="47"/>
  <c r="BC71" i="47" s="1"/>
  <c r="F76" i="47"/>
  <c r="BC76" i="47" s="1"/>
  <c r="F22" i="47"/>
  <c r="BC22" i="47" s="1"/>
  <c r="F81" i="47"/>
  <c r="BC81" i="47" s="1"/>
  <c r="K96" i="47"/>
  <c r="G86" i="47"/>
  <c r="I91" i="47"/>
  <c r="N81" i="47"/>
  <c r="BG82" i="47"/>
  <c r="H86" i="47"/>
  <c r="J91" i="47"/>
  <c r="N96" i="47"/>
  <c r="BC108" i="47" l="1"/>
  <c r="D208" i="47"/>
  <c r="BE202" i="47"/>
  <c r="BC85" i="47"/>
  <c r="BE82" i="47"/>
  <c r="BE84" i="47"/>
  <c r="BC95" i="47"/>
  <c r="D79" i="47"/>
  <c r="D198" i="47"/>
  <c r="D74" i="47"/>
  <c r="BC80" i="47"/>
  <c r="D218" i="47"/>
  <c r="BE206" i="47"/>
  <c r="BE23" i="47"/>
  <c r="D25" i="47"/>
  <c r="BC75" i="47"/>
  <c r="D20" i="47"/>
  <c r="BE22" i="47"/>
  <c r="D69" i="47"/>
  <c r="BC204" i="47"/>
  <c r="BC154" i="47"/>
  <c r="D89" i="47"/>
  <c r="BE83" i="47"/>
  <c r="BC214" i="47"/>
  <c r="BE79" i="47"/>
  <c r="D203" i="47"/>
  <c r="BE146" i="47"/>
  <c r="BE205" i="47"/>
  <c r="D141" i="47"/>
  <c r="D30" i="47"/>
  <c r="BC31" i="47"/>
  <c r="P100" i="47"/>
  <c r="D107" i="47"/>
  <c r="BE144" i="47"/>
  <c r="P8" i="47"/>
  <c r="BC96" i="47"/>
  <c r="BC86" i="47"/>
  <c r="BC91" i="47"/>
  <c r="D193" i="47"/>
  <c r="BC194" i="47"/>
  <c r="P128" i="47"/>
  <c r="P186" i="47"/>
  <c r="BE143" i="47"/>
  <c r="D135" i="47"/>
  <c r="P63" i="47"/>
  <c r="F27" i="42" l="1"/>
  <c r="BD12" i="42"/>
  <c r="BD13" i="42"/>
  <c r="BE13" i="42"/>
  <c r="BF13" i="42"/>
  <c r="BG13" i="42"/>
  <c r="BH13" i="42"/>
  <c r="BI13" i="42"/>
  <c r="BJ13" i="42"/>
  <c r="BD14" i="42"/>
  <c r="BE14" i="42"/>
  <c r="BF14" i="42"/>
  <c r="BG14" i="42"/>
  <c r="BH14" i="42"/>
  <c r="BI14" i="42"/>
  <c r="BJ14" i="42"/>
  <c r="F15" i="42"/>
  <c r="F16" i="42" s="1"/>
  <c r="G15" i="42"/>
  <c r="G16" i="42" s="1"/>
  <c r="BF21" i="42" s="1"/>
  <c r="H15" i="42"/>
  <c r="I15" i="42"/>
  <c r="I16" i="42" s="1"/>
  <c r="BH21" i="42" s="1"/>
  <c r="J15" i="42"/>
  <c r="J16" i="42" s="1"/>
  <c r="BI21" i="42" s="1"/>
  <c r="K15" i="42"/>
  <c r="BD15" i="42"/>
  <c r="BE15" i="42"/>
  <c r="BF15" i="42"/>
  <c r="BG15" i="42"/>
  <c r="BH15" i="42"/>
  <c r="BI15" i="42"/>
  <c r="BJ15" i="42"/>
  <c r="H16" i="42"/>
  <c r="BG21" i="42" s="1"/>
  <c r="K16" i="42"/>
  <c r="BJ21" i="42" s="1"/>
  <c r="BD16" i="42"/>
  <c r="BE16" i="42"/>
  <c r="BF16" i="42"/>
  <c r="BG16" i="42"/>
  <c r="BH16" i="42"/>
  <c r="BI16" i="42"/>
  <c r="BJ16" i="42"/>
  <c r="K17" i="42"/>
  <c r="BD17" i="42"/>
  <c r="BE17" i="42"/>
  <c r="BF17" i="42"/>
  <c r="BG17" i="42"/>
  <c r="BH17" i="42"/>
  <c r="BI17" i="42"/>
  <c r="BJ17" i="42"/>
  <c r="BD18" i="42"/>
  <c r="BE18" i="42"/>
  <c r="BF18" i="42"/>
  <c r="BG18" i="42"/>
  <c r="BH18" i="42"/>
  <c r="BI18" i="42"/>
  <c r="BJ18" i="42"/>
  <c r="BD19" i="42"/>
  <c r="BE19" i="42"/>
  <c r="BF19" i="42"/>
  <c r="BG19" i="42"/>
  <c r="BH19" i="42"/>
  <c r="BI19" i="42"/>
  <c r="BJ19" i="42"/>
  <c r="F20" i="42"/>
  <c r="G20" i="42"/>
  <c r="G21" i="42" s="1"/>
  <c r="BF22" i="42" s="1"/>
  <c r="H20" i="42"/>
  <c r="H21" i="42" s="1"/>
  <c r="BG22" i="42" s="1"/>
  <c r="I20" i="42"/>
  <c r="I21" i="42" s="1"/>
  <c r="BH22" i="42" s="1"/>
  <c r="J20" i="42"/>
  <c r="J21" i="42" s="1"/>
  <c r="BI22" i="42" s="1"/>
  <c r="K20" i="42"/>
  <c r="K21" i="42" s="1"/>
  <c r="BJ22" i="42" s="1"/>
  <c r="BD20" i="42"/>
  <c r="BE20" i="42"/>
  <c r="BF20" i="42"/>
  <c r="BG20" i="42"/>
  <c r="BH20" i="42"/>
  <c r="BI20" i="42"/>
  <c r="BJ20" i="42"/>
  <c r="BD21" i="42"/>
  <c r="G22" i="42"/>
  <c r="H22" i="42"/>
  <c r="I22" i="42"/>
  <c r="J22" i="42"/>
  <c r="K22" i="42"/>
  <c r="BD22" i="42"/>
  <c r="BD23" i="42"/>
  <c r="BD24" i="42"/>
  <c r="F25" i="42"/>
  <c r="G25" i="42"/>
  <c r="G26" i="42" s="1"/>
  <c r="BF23" i="42" s="1"/>
  <c r="H25" i="42"/>
  <c r="H26" i="42" s="1"/>
  <c r="BG23" i="42" s="1"/>
  <c r="I25" i="42"/>
  <c r="I26" i="42" s="1"/>
  <c r="BH23" i="42" s="1"/>
  <c r="J25" i="42"/>
  <c r="J26" i="42" s="1"/>
  <c r="BI23" i="42" s="1"/>
  <c r="K25" i="42"/>
  <c r="K26" i="42" s="1"/>
  <c r="BJ23" i="42" s="1"/>
  <c r="BD25" i="42"/>
  <c r="BE25" i="42"/>
  <c r="BF25" i="42"/>
  <c r="BG25" i="42"/>
  <c r="BH25" i="42"/>
  <c r="BI25" i="42"/>
  <c r="BJ25" i="42"/>
  <c r="BD26" i="42"/>
  <c r="BE26" i="42"/>
  <c r="BF26" i="42"/>
  <c r="BG26" i="42"/>
  <c r="BH26" i="42"/>
  <c r="BI26" i="42"/>
  <c r="BJ26" i="42"/>
  <c r="G27" i="42"/>
  <c r="H27" i="42"/>
  <c r="I27" i="42"/>
  <c r="J27" i="42"/>
  <c r="K27" i="42"/>
  <c r="BD27" i="42"/>
  <c r="BE27" i="42"/>
  <c r="BF27" i="42"/>
  <c r="BG27" i="42"/>
  <c r="BH27" i="42"/>
  <c r="BI27" i="42"/>
  <c r="BJ27" i="42"/>
  <c r="BD28" i="42"/>
  <c r="BE28" i="42"/>
  <c r="BF28" i="42"/>
  <c r="BG28" i="42"/>
  <c r="BH28" i="42"/>
  <c r="BI28" i="42"/>
  <c r="BJ28" i="42"/>
  <c r="F30" i="42"/>
  <c r="G30" i="42"/>
  <c r="G31" i="42" s="1"/>
  <c r="BF24" i="42" s="1"/>
  <c r="H30" i="42"/>
  <c r="H31" i="42" s="1"/>
  <c r="BG24" i="42" s="1"/>
  <c r="I30" i="42"/>
  <c r="I31" i="42" s="1"/>
  <c r="BH24" i="42" s="1"/>
  <c r="J30" i="42"/>
  <c r="J31" i="42" s="1"/>
  <c r="BI24" i="42" s="1"/>
  <c r="K30" i="42"/>
  <c r="K31" i="42" s="1"/>
  <c r="BJ24" i="42" s="1"/>
  <c r="G32" i="42"/>
  <c r="H32" i="42"/>
  <c r="I32" i="42"/>
  <c r="J32" i="42"/>
  <c r="K32" i="42"/>
  <c r="BD39" i="42"/>
  <c r="BD40" i="42"/>
  <c r="BE40" i="42"/>
  <c r="BF40" i="42"/>
  <c r="BG40" i="42"/>
  <c r="BH40" i="42"/>
  <c r="BI40" i="42"/>
  <c r="BJ40" i="42"/>
  <c r="BD41" i="42"/>
  <c r="BE41" i="42"/>
  <c r="BF41" i="42"/>
  <c r="BG41" i="42"/>
  <c r="BH41" i="42"/>
  <c r="BI41" i="42"/>
  <c r="BJ41" i="42"/>
  <c r="F42" i="42"/>
  <c r="G42" i="42"/>
  <c r="G43" i="42" s="1"/>
  <c r="BF52" i="42" s="1"/>
  <c r="H42" i="42"/>
  <c r="H43" i="42" s="1"/>
  <c r="BG52" i="42" s="1"/>
  <c r="I42" i="42"/>
  <c r="I43" i="42" s="1"/>
  <c r="BH52" i="42" s="1"/>
  <c r="J42" i="42"/>
  <c r="J43" i="42" s="1"/>
  <c r="BI52" i="42" s="1"/>
  <c r="K42" i="42"/>
  <c r="K43" i="42" s="1"/>
  <c r="BJ52" i="42" s="1"/>
  <c r="BD42" i="42"/>
  <c r="BE42" i="42"/>
  <c r="BF42" i="42"/>
  <c r="BG42" i="42"/>
  <c r="BH42" i="42"/>
  <c r="BI42" i="42"/>
  <c r="BJ42" i="42"/>
  <c r="BD43" i="42"/>
  <c r="BE43" i="42"/>
  <c r="BF43" i="42"/>
  <c r="BG43" i="42"/>
  <c r="BH43" i="42"/>
  <c r="BI43" i="42"/>
  <c r="BJ43" i="42"/>
  <c r="G44" i="42"/>
  <c r="H44" i="42"/>
  <c r="I44" i="42"/>
  <c r="J44" i="42"/>
  <c r="K44" i="42"/>
  <c r="BD44" i="42"/>
  <c r="BE44" i="42"/>
  <c r="BF44" i="42"/>
  <c r="BG44" i="42"/>
  <c r="BH44" i="42"/>
  <c r="BI44" i="42"/>
  <c r="BJ44" i="42"/>
  <c r="BD45" i="42"/>
  <c r="BE45" i="42"/>
  <c r="BF45" i="42"/>
  <c r="BG45" i="42"/>
  <c r="BH45" i="42"/>
  <c r="BI45" i="42"/>
  <c r="BJ45" i="42"/>
  <c r="BD46" i="42"/>
  <c r="BE46" i="42"/>
  <c r="BF46" i="42"/>
  <c r="BG46" i="42"/>
  <c r="BH46" i="42"/>
  <c r="BI46" i="42"/>
  <c r="BJ46" i="42"/>
  <c r="F47" i="42"/>
  <c r="G47" i="42"/>
  <c r="G48" i="42" s="1"/>
  <c r="BF53" i="42" s="1"/>
  <c r="H47" i="42"/>
  <c r="H48" i="42" s="1"/>
  <c r="BG53" i="42" s="1"/>
  <c r="I47" i="42"/>
  <c r="I48" i="42" s="1"/>
  <c r="BH53" i="42" s="1"/>
  <c r="J47" i="42"/>
  <c r="J48" i="42" s="1"/>
  <c r="BI53" i="42" s="1"/>
  <c r="K47" i="42"/>
  <c r="K48" i="42" s="1"/>
  <c r="BJ53" i="42" s="1"/>
  <c r="BD47" i="42"/>
  <c r="BE47" i="42"/>
  <c r="BF47" i="42"/>
  <c r="BG47" i="42"/>
  <c r="BH47" i="42"/>
  <c r="BI47" i="42"/>
  <c r="BJ47" i="42"/>
  <c r="BD48" i="42"/>
  <c r="BE48" i="42"/>
  <c r="BF48" i="42"/>
  <c r="BG48" i="42"/>
  <c r="BH48" i="42"/>
  <c r="BI48" i="42"/>
  <c r="BJ48" i="42"/>
  <c r="G49" i="42"/>
  <c r="H49" i="42"/>
  <c r="I49" i="42"/>
  <c r="J49" i="42"/>
  <c r="K49" i="42"/>
  <c r="BD49" i="42"/>
  <c r="BE49" i="42"/>
  <c r="BF49" i="42"/>
  <c r="BG49" i="42"/>
  <c r="BH49" i="42"/>
  <c r="BI49" i="42"/>
  <c r="BJ49" i="42"/>
  <c r="BD50" i="42"/>
  <c r="BE50" i="42"/>
  <c r="BF50" i="42"/>
  <c r="BG50" i="42"/>
  <c r="BH50" i="42"/>
  <c r="BI50" i="42"/>
  <c r="BJ50" i="42"/>
  <c r="BD51" i="42"/>
  <c r="BE51" i="42"/>
  <c r="BF51" i="42"/>
  <c r="BG51" i="42"/>
  <c r="BH51" i="42"/>
  <c r="BI51" i="42"/>
  <c r="BJ51" i="42"/>
  <c r="F52" i="42"/>
  <c r="G52" i="42"/>
  <c r="G53" i="42" s="1"/>
  <c r="BF54" i="42" s="1"/>
  <c r="H52" i="42"/>
  <c r="H53" i="42" s="1"/>
  <c r="BG54" i="42" s="1"/>
  <c r="I52" i="42"/>
  <c r="I53" i="42" s="1"/>
  <c r="BH54" i="42" s="1"/>
  <c r="J52" i="42"/>
  <c r="J53" i="42" s="1"/>
  <c r="BI54" i="42" s="1"/>
  <c r="K52" i="42"/>
  <c r="K53" i="42" s="1"/>
  <c r="BJ54" i="42" s="1"/>
  <c r="BD52" i="42"/>
  <c r="BD53" i="42"/>
  <c r="G54" i="42"/>
  <c r="H54" i="42"/>
  <c r="I54" i="42"/>
  <c r="J54" i="42"/>
  <c r="K54" i="42"/>
  <c r="BD54" i="42"/>
  <c r="BD55" i="42"/>
  <c r="BD56" i="42"/>
  <c r="F57" i="42"/>
  <c r="G57" i="42"/>
  <c r="G58" i="42" s="1"/>
  <c r="BF55" i="42" s="1"/>
  <c r="H57" i="42"/>
  <c r="H58" i="42" s="1"/>
  <c r="BG55" i="42" s="1"/>
  <c r="I57" i="42"/>
  <c r="I58" i="42" s="1"/>
  <c r="BH55" i="42" s="1"/>
  <c r="J57" i="42"/>
  <c r="J58" i="42" s="1"/>
  <c r="BI55" i="42" s="1"/>
  <c r="K57" i="42"/>
  <c r="K58" i="42" s="1"/>
  <c r="BJ55" i="42" s="1"/>
  <c r="N57" i="42"/>
  <c r="N58" i="42" s="1"/>
  <c r="BD57" i="42"/>
  <c r="BD58" i="42"/>
  <c r="BE58" i="42"/>
  <c r="BF58" i="42"/>
  <c r="BG58" i="42"/>
  <c r="BH58" i="42"/>
  <c r="BI58" i="42"/>
  <c r="BJ58" i="42"/>
  <c r="G59" i="42"/>
  <c r="H59" i="42"/>
  <c r="I59" i="42"/>
  <c r="J59" i="42"/>
  <c r="K59" i="42"/>
  <c r="N59" i="42"/>
  <c r="BD59" i="42"/>
  <c r="BE59" i="42"/>
  <c r="BF59" i="42"/>
  <c r="BG59" i="42"/>
  <c r="BH59" i="42"/>
  <c r="BI59" i="42"/>
  <c r="BJ59" i="42"/>
  <c r="BD60" i="42"/>
  <c r="BE60" i="42"/>
  <c r="BF60" i="42"/>
  <c r="BG60" i="42"/>
  <c r="BH60" i="42"/>
  <c r="BI60" i="42"/>
  <c r="BJ60" i="42"/>
  <c r="BD61" i="42"/>
  <c r="BE61" i="42"/>
  <c r="BF61" i="42"/>
  <c r="BG61" i="42"/>
  <c r="BH61" i="42"/>
  <c r="BI61" i="42"/>
  <c r="BJ61" i="42"/>
  <c r="F62" i="42"/>
  <c r="G62" i="42"/>
  <c r="G63" i="42" s="1"/>
  <c r="BF56" i="42" s="1"/>
  <c r="H62" i="42"/>
  <c r="H63" i="42" s="1"/>
  <c r="BG56" i="42" s="1"/>
  <c r="I62" i="42"/>
  <c r="I63" i="42" s="1"/>
  <c r="BH56" i="42" s="1"/>
  <c r="J62" i="42"/>
  <c r="J63" i="42" s="1"/>
  <c r="BI56" i="42" s="1"/>
  <c r="K62" i="42"/>
  <c r="K63" i="42" s="1"/>
  <c r="BJ56" i="42" s="1"/>
  <c r="N62" i="42"/>
  <c r="N63" i="42" s="1"/>
  <c r="BD62" i="42"/>
  <c r="BE62" i="42"/>
  <c r="BF62" i="42"/>
  <c r="BG62" i="42"/>
  <c r="BH62" i="42"/>
  <c r="BI62" i="42"/>
  <c r="BJ62" i="42"/>
  <c r="BD63" i="42"/>
  <c r="BE63" i="42"/>
  <c r="BF63" i="42"/>
  <c r="BG63" i="42"/>
  <c r="BH63" i="42"/>
  <c r="BI63" i="42"/>
  <c r="BJ63" i="42"/>
  <c r="G64" i="42"/>
  <c r="H64" i="42"/>
  <c r="I64" i="42"/>
  <c r="J64" i="42"/>
  <c r="K64" i="42"/>
  <c r="N64" i="42"/>
  <c r="F67" i="42"/>
  <c r="G67" i="42"/>
  <c r="G68" i="42" s="1"/>
  <c r="BF57" i="42" s="1"/>
  <c r="H67" i="42"/>
  <c r="H68" i="42" s="1"/>
  <c r="BG57" i="42" s="1"/>
  <c r="I67" i="42"/>
  <c r="I68" i="42" s="1"/>
  <c r="BH57" i="42" s="1"/>
  <c r="J67" i="42"/>
  <c r="J68" i="42" s="1"/>
  <c r="BI57" i="42" s="1"/>
  <c r="K67" i="42"/>
  <c r="K68" i="42" s="1"/>
  <c r="BJ57" i="42" s="1"/>
  <c r="N67" i="42"/>
  <c r="N68" i="42" s="1"/>
  <c r="G69" i="42"/>
  <c r="H69" i="42"/>
  <c r="I69" i="42"/>
  <c r="J69" i="42"/>
  <c r="K69" i="42"/>
  <c r="N69" i="42"/>
  <c r="F79" i="42"/>
  <c r="G79" i="42"/>
  <c r="G80" i="42" s="1"/>
  <c r="BF91" i="42" s="1"/>
  <c r="H79" i="42"/>
  <c r="H80" i="42" s="1"/>
  <c r="BG91" i="42" s="1"/>
  <c r="I79" i="42"/>
  <c r="I80" i="42" s="1"/>
  <c r="BH91" i="42" s="1"/>
  <c r="J79" i="42"/>
  <c r="J80" i="42" s="1"/>
  <c r="BI91" i="42" s="1"/>
  <c r="K79" i="42"/>
  <c r="K80" i="42" s="1"/>
  <c r="BJ91" i="42" s="1"/>
  <c r="N79" i="42"/>
  <c r="N80" i="42" s="1"/>
  <c r="G81" i="42"/>
  <c r="H81" i="42"/>
  <c r="I81" i="42"/>
  <c r="J81" i="42"/>
  <c r="K81" i="42"/>
  <c r="N81" i="42"/>
  <c r="BD82" i="42"/>
  <c r="BD83" i="42"/>
  <c r="BE83" i="42"/>
  <c r="BF83" i="42"/>
  <c r="BG83" i="42"/>
  <c r="BH83" i="42"/>
  <c r="BI83" i="42"/>
  <c r="BJ83" i="42"/>
  <c r="BD87" i="42"/>
  <c r="BE87" i="42"/>
  <c r="BF87" i="42"/>
  <c r="BG87" i="42"/>
  <c r="BH87" i="42"/>
  <c r="BI87" i="42"/>
  <c r="BJ87" i="42"/>
  <c r="BD91" i="42"/>
  <c r="BD95" i="42"/>
  <c r="BE95" i="42"/>
  <c r="BF95" i="42"/>
  <c r="BG95" i="42"/>
  <c r="BH95" i="42"/>
  <c r="BI95" i="42"/>
  <c r="BJ95" i="42"/>
  <c r="F106" i="42"/>
  <c r="G106" i="42"/>
  <c r="H106" i="42"/>
  <c r="I106" i="42"/>
  <c r="J106" i="42"/>
  <c r="K106" i="42"/>
  <c r="N106" i="42"/>
  <c r="G107" i="42"/>
  <c r="BF117" i="42" s="1"/>
  <c r="H107" i="42"/>
  <c r="BG117" i="42" s="1"/>
  <c r="I107" i="42"/>
  <c r="BH117" i="42" s="1"/>
  <c r="J107" i="42"/>
  <c r="BI117" i="42" s="1"/>
  <c r="K107" i="42"/>
  <c r="BJ117" i="42" s="1"/>
  <c r="N107" i="42"/>
  <c r="F108" i="42"/>
  <c r="G108" i="42"/>
  <c r="H108" i="42"/>
  <c r="I108" i="42"/>
  <c r="J108" i="42"/>
  <c r="K108" i="42"/>
  <c r="N108" i="42"/>
  <c r="BD108" i="42"/>
  <c r="BD109" i="42"/>
  <c r="BE109" i="42"/>
  <c r="BF109" i="42"/>
  <c r="BG109" i="42"/>
  <c r="BH109" i="42"/>
  <c r="BI109" i="42"/>
  <c r="BJ109" i="42"/>
  <c r="BD113" i="42"/>
  <c r="BE113" i="42"/>
  <c r="BF113" i="42"/>
  <c r="BG113" i="42"/>
  <c r="BH113" i="42"/>
  <c r="BI113" i="42"/>
  <c r="BJ113" i="42"/>
  <c r="BD117" i="42"/>
  <c r="BD121" i="42"/>
  <c r="BD129" i="42"/>
  <c r="BD130" i="42"/>
  <c r="BE130" i="42"/>
  <c r="BF130" i="42"/>
  <c r="BG130" i="42"/>
  <c r="BH130" i="42"/>
  <c r="BI130" i="42"/>
  <c r="BJ130" i="42"/>
  <c r="BD131" i="42"/>
  <c r="BE131" i="42"/>
  <c r="BF131" i="42"/>
  <c r="BG131" i="42"/>
  <c r="BH131" i="42"/>
  <c r="BI131" i="42"/>
  <c r="BJ131" i="42"/>
  <c r="F133" i="42"/>
  <c r="G133" i="42"/>
  <c r="G134" i="42" s="1"/>
  <c r="BF142" i="42" s="1"/>
  <c r="H133" i="42"/>
  <c r="H134" i="42" s="1"/>
  <c r="BG142" i="42" s="1"/>
  <c r="I133" i="42"/>
  <c r="I134" i="42" s="1"/>
  <c r="BH142" i="42" s="1"/>
  <c r="J133" i="42"/>
  <c r="J134" i="42" s="1"/>
  <c r="BI142" i="42" s="1"/>
  <c r="K133" i="42"/>
  <c r="K134" i="42" s="1"/>
  <c r="BJ142" i="42" s="1"/>
  <c r="N133" i="42"/>
  <c r="N134" i="42" s="1"/>
  <c r="G135" i="42"/>
  <c r="H135" i="42"/>
  <c r="I135" i="42"/>
  <c r="J135" i="42"/>
  <c r="K135" i="42"/>
  <c r="N135" i="42"/>
  <c r="BD136" i="42"/>
  <c r="BE136" i="42"/>
  <c r="BF136" i="42"/>
  <c r="BG136" i="42"/>
  <c r="BH136" i="42"/>
  <c r="BI136" i="42"/>
  <c r="BJ136" i="42"/>
  <c r="BD137" i="42"/>
  <c r="BE137" i="42"/>
  <c r="BF137" i="42"/>
  <c r="BG137" i="42"/>
  <c r="BH137" i="42"/>
  <c r="BI137" i="42"/>
  <c r="BJ137" i="42"/>
  <c r="F138" i="42"/>
  <c r="G138" i="42"/>
  <c r="G139" i="42" s="1"/>
  <c r="BF143" i="42" s="1"/>
  <c r="H138" i="42"/>
  <c r="H139" i="42" s="1"/>
  <c r="BG143" i="42" s="1"/>
  <c r="I138" i="42"/>
  <c r="I139" i="42" s="1"/>
  <c r="BH143" i="42" s="1"/>
  <c r="J138" i="42"/>
  <c r="J139" i="42" s="1"/>
  <c r="BI143" i="42" s="1"/>
  <c r="K138" i="42"/>
  <c r="K139" i="42" s="1"/>
  <c r="BJ143" i="42" s="1"/>
  <c r="N138" i="42"/>
  <c r="N139" i="42" s="1"/>
  <c r="G140" i="42"/>
  <c r="H140" i="42"/>
  <c r="I140" i="42"/>
  <c r="J140" i="42"/>
  <c r="K140" i="42"/>
  <c r="N140" i="42"/>
  <c r="BD142" i="42"/>
  <c r="BD143" i="42"/>
  <c r="BD148" i="42"/>
  <c r="BE148" i="42"/>
  <c r="BF148" i="42"/>
  <c r="BG148" i="42"/>
  <c r="BH148" i="42"/>
  <c r="BI148" i="42"/>
  <c r="BJ148" i="42"/>
  <c r="BD149" i="42"/>
  <c r="BE149" i="42"/>
  <c r="BF149" i="42"/>
  <c r="BG149" i="42"/>
  <c r="BH149" i="42"/>
  <c r="BI149" i="42"/>
  <c r="BJ149" i="42"/>
  <c r="BD156" i="42"/>
  <c r="BD157" i="42"/>
  <c r="BE157" i="42"/>
  <c r="BF157" i="42"/>
  <c r="BG157" i="42"/>
  <c r="BH157" i="42"/>
  <c r="BI157" i="42"/>
  <c r="BJ157" i="42"/>
  <c r="BD158" i="42"/>
  <c r="BE158" i="42"/>
  <c r="BF158" i="42"/>
  <c r="BG158" i="42"/>
  <c r="BH158" i="42"/>
  <c r="BI158" i="42"/>
  <c r="BJ158" i="42"/>
  <c r="BD159" i="42"/>
  <c r="BE159" i="42"/>
  <c r="BF159" i="42"/>
  <c r="BG159" i="42"/>
  <c r="BH159" i="42"/>
  <c r="BI159" i="42"/>
  <c r="BJ159" i="42"/>
  <c r="F160" i="42"/>
  <c r="G160" i="42"/>
  <c r="G161" i="42" s="1"/>
  <c r="BF169" i="42" s="1"/>
  <c r="H160" i="42"/>
  <c r="H161" i="42" s="1"/>
  <c r="BG169" i="42" s="1"/>
  <c r="I160" i="42"/>
  <c r="I161" i="42" s="1"/>
  <c r="BH169" i="42" s="1"/>
  <c r="J160" i="42"/>
  <c r="J161" i="42" s="1"/>
  <c r="K160" i="42"/>
  <c r="K161" i="42" s="1"/>
  <c r="BJ169" i="42" s="1"/>
  <c r="N160" i="42"/>
  <c r="N161" i="42" s="1"/>
  <c r="BD160" i="42"/>
  <c r="BE160" i="42"/>
  <c r="BF160" i="42"/>
  <c r="BG160" i="42"/>
  <c r="BH160" i="42"/>
  <c r="BI160" i="42"/>
  <c r="BJ160" i="42"/>
  <c r="BD161" i="42"/>
  <c r="BE161" i="42"/>
  <c r="BF161" i="42"/>
  <c r="BG161" i="42"/>
  <c r="BH161" i="42"/>
  <c r="BI161" i="42"/>
  <c r="BJ161" i="42"/>
  <c r="G162" i="42"/>
  <c r="H162" i="42"/>
  <c r="I162" i="42"/>
  <c r="J162" i="42"/>
  <c r="K162" i="42"/>
  <c r="N162" i="42"/>
  <c r="BD162" i="42"/>
  <c r="BE162" i="42"/>
  <c r="BF162" i="42"/>
  <c r="BG162" i="42"/>
  <c r="BH162" i="42"/>
  <c r="BI162" i="42"/>
  <c r="BJ162" i="42"/>
  <c r="BD163" i="42"/>
  <c r="BE163" i="42"/>
  <c r="BF163" i="42"/>
  <c r="BG163" i="42"/>
  <c r="BH163" i="42"/>
  <c r="BI163" i="42"/>
  <c r="BJ163" i="42"/>
  <c r="BD164" i="42"/>
  <c r="BE164" i="42"/>
  <c r="BF164" i="42"/>
  <c r="BG164" i="42"/>
  <c r="BH164" i="42"/>
  <c r="BI164" i="42"/>
  <c r="BJ164" i="42"/>
  <c r="F165" i="42"/>
  <c r="G165" i="42"/>
  <c r="G166" i="42" s="1"/>
  <c r="BF170" i="42" s="1"/>
  <c r="H165" i="42"/>
  <c r="H166" i="42" s="1"/>
  <c r="BG170" i="42" s="1"/>
  <c r="I165" i="42"/>
  <c r="I166" i="42" s="1"/>
  <c r="BH170" i="42" s="1"/>
  <c r="J165" i="42"/>
  <c r="J166" i="42" s="1"/>
  <c r="BI170" i="42" s="1"/>
  <c r="K165" i="42"/>
  <c r="K166" i="42" s="1"/>
  <c r="BJ170" i="42" s="1"/>
  <c r="N165" i="42"/>
  <c r="N166" i="42" s="1"/>
  <c r="BD165" i="42"/>
  <c r="BE165" i="42"/>
  <c r="BF165" i="42"/>
  <c r="BG165" i="42"/>
  <c r="BH165" i="42"/>
  <c r="BI165" i="42"/>
  <c r="BJ165" i="42"/>
  <c r="BD166" i="42"/>
  <c r="BE166" i="42"/>
  <c r="BF166" i="42"/>
  <c r="BG166" i="42"/>
  <c r="BH166" i="42"/>
  <c r="BI166" i="42"/>
  <c r="BJ166" i="42"/>
  <c r="G167" i="42"/>
  <c r="H167" i="42"/>
  <c r="I167" i="42"/>
  <c r="J167" i="42"/>
  <c r="K167" i="42"/>
  <c r="N167" i="42"/>
  <c r="BD167" i="42"/>
  <c r="BE167" i="42"/>
  <c r="BF167" i="42"/>
  <c r="BG167" i="42"/>
  <c r="BH167" i="42"/>
  <c r="BI167" i="42"/>
  <c r="BJ167" i="42"/>
  <c r="BD168" i="42"/>
  <c r="BE168" i="42"/>
  <c r="BF168" i="42"/>
  <c r="BG168" i="42"/>
  <c r="BH168" i="42"/>
  <c r="BI168" i="42"/>
  <c r="BJ168" i="42"/>
  <c r="BD169" i="42"/>
  <c r="F170" i="42"/>
  <c r="G170" i="42"/>
  <c r="G171" i="42" s="1"/>
  <c r="BF171" i="42" s="1"/>
  <c r="H170" i="42"/>
  <c r="H171" i="42" s="1"/>
  <c r="BG171" i="42" s="1"/>
  <c r="I170" i="42"/>
  <c r="I171" i="42" s="1"/>
  <c r="BH171" i="42" s="1"/>
  <c r="J170" i="42"/>
  <c r="J171" i="42" s="1"/>
  <c r="BI171" i="42" s="1"/>
  <c r="K170" i="42"/>
  <c r="K171" i="42" s="1"/>
  <c r="BJ171" i="42" s="1"/>
  <c r="N170" i="42"/>
  <c r="N171" i="42" s="1"/>
  <c r="BD170" i="42"/>
  <c r="BD171" i="42"/>
  <c r="G172" i="42"/>
  <c r="H172" i="42"/>
  <c r="I172" i="42"/>
  <c r="J172" i="42"/>
  <c r="K172" i="42"/>
  <c r="N172" i="42"/>
  <c r="BD172" i="42"/>
  <c r="BD173" i="42"/>
  <c r="BD174" i="42"/>
  <c r="F175" i="42"/>
  <c r="G175" i="42"/>
  <c r="G176" i="42" s="1"/>
  <c r="BF172" i="42" s="1"/>
  <c r="H175" i="42"/>
  <c r="H176" i="42" s="1"/>
  <c r="BG172" i="42" s="1"/>
  <c r="I175" i="42"/>
  <c r="I176" i="42" s="1"/>
  <c r="BH172" i="42" s="1"/>
  <c r="J175" i="42"/>
  <c r="J176" i="42" s="1"/>
  <c r="BI172" i="42" s="1"/>
  <c r="K175" i="42"/>
  <c r="K176" i="42" s="1"/>
  <c r="BJ172" i="42" s="1"/>
  <c r="N175" i="42"/>
  <c r="BD175" i="42"/>
  <c r="BE175" i="42"/>
  <c r="BF175" i="42"/>
  <c r="BG175" i="42"/>
  <c r="BH175" i="42"/>
  <c r="BI175" i="42"/>
  <c r="BJ175" i="42"/>
  <c r="N176" i="42"/>
  <c r="BD176" i="42"/>
  <c r="BE176" i="42"/>
  <c r="BF176" i="42"/>
  <c r="BG176" i="42"/>
  <c r="BH176" i="42"/>
  <c r="BI176" i="42"/>
  <c r="BJ176" i="42"/>
  <c r="G177" i="42"/>
  <c r="H177" i="42"/>
  <c r="I177" i="42"/>
  <c r="J177" i="42"/>
  <c r="K177" i="42"/>
  <c r="N177" i="42"/>
  <c r="BD177" i="42"/>
  <c r="BE177" i="42"/>
  <c r="BF177" i="42"/>
  <c r="BG177" i="42"/>
  <c r="BH177" i="42"/>
  <c r="BI177" i="42"/>
  <c r="BJ177" i="42"/>
  <c r="BD178" i="42"/>
  <c r="BE178" i="42"/>
  <c r="BF178" i="42"/>
  <c r="BG178" i="42"/>
  <c r="BH178" i="42"/>
  <c r="BI178" i="42"/>
  <c r="BJ178" i="42"/>
  <c r="BD179" i="42"/>
  <c r="BE179" i="42"/>
  <c r="BF179" i="42"/>
  <c r="BG179" i="42"/>
  <c r="BH179" i="42"/>
  <c r="BI179" i="42"/>
  <c r="BJ179" i="42"/>
  <c r="F180" i="42"/>
  <c r="G180" i="42"/>
  <c r="G181" i="42" s="1"/>
  <c r="BF173" i="42" s="1"/>
  <c r="H180" i="42"/>
  <c r="H181" i="42" s="1"/>
  <c r="BG173" i="42" s="1"/>
  <c r="I180" i="42"/>
  <c r="I181" i="42" s="1"/>
  <c r="BH173" i="42" s="1"/>
  <c r="J180" i="42"/>
  <c r="J181" i="42" s="1"/>
  <c r="BI173" i="42" s="1"/>
  <c r="K180" i="42"/>
  <c r="K181" i="42" s="1"/>
  <c r="BJ173" i="42" s="1"/>
  <c r="N180" i="42"/>
  <c r="N181" i="42" s="1"/>
  <c r="BD180" i="42"/>
  <c r="BE180" i="42"/>
  <c r="BF180" i="42"/>
  <c r="BG180" i="42"/>
  <c r="BH180" i="42"/>
  <c r="BI180" i="42"/>
  <c r="BJ180" i="42"/>
  <c r="G182" i="42"/>
  <c r="H182" i="42"/>
  <c r="I182" i="42"/>
  <c r="J182" i="42"/>
  <c r="K182" i="42"/>
  <c r="N182" i="42"/>
  <c r="F185" i="42"/>
  <c r="G185" i="42"/>
  <c r="G186" i="42" s="1"/>
  <c r="BF174" i="42" s="1"/>
  <c r="H185" i="42"/>
  <c r="H186" i="42" s="1"/>
  <c r="BG174" i="42" s="1"/>
  <c r="I185" i="42"/>
  <c r="I186" i="42" s="1"/>
  <c r="BH174" i="42" s="1"/>
  <c r="J185" i="42"/>
  <c r="J186" i="42" s="1"/>
  <c r="BI174" i="42" s="1"/>
  <c r="K185" i="42"/>
  <c r="K186" i="42" s="1"/>
  <c r="BJ174" i="42" s="1"/>
  <c r="N185" i="42"/>
  <c r="N186" i="42" s="1"/>
  <c r="G187" i="42"/>
  <c r="H187" i="42"/>
  <c r="I187" i="42"/>
  <c r="J187" i="42"/>
  <c r="K187" i="42"/>
  <c r="N187" i="42"/>
  <c r="BD13" i="41"/>
  <c r="BD14" i="41"/>
  <c r="BE14" i="41"/>
  <c r="BF14" i="41"/>
  <c r="BG14" i="41"/>
  <c r="BH14" i="41"/>
  <c r="BI14" i="41"/>
  <c r="BJ14" i="41"/>
  <c r="BD15" i="41"/>
  <c r="BE15" i="41"/>
  <c r="BF15" i="41"/>
  <c r="BG15" i="41"/>
  <c r="BH15" i="41"/>
  <c r="BI15" i="41"/>
  <c r="BJ15" i="41"/>
  <c r="F16" i="41"/>
  <c r="G16" i="41"/>
  <c r="G17" i="41" s="1"/>
  <c r="BF22" i="41" s="1"/>
  <c r="H16" i="41"/>
  <c r="H17" i="41" s="1"/>
  <c r="BG22" i="41" s="1"/>
  <c r="I16" i="41"/>
  <c r="J16" i="41"/>
  <c r="K16" i="41"/>
  <c r="K17" i="41" s="1"/>
  <c r="BJ22" i="41" s="1"/>
  <c r="BD16" i="41"/>
  <c r="BE16" i="41"/>
  <c r="BF16" i="41"/>
  <c r="BG16" i="41"/>
  <c r="BH16" i="41"/>
  <c r="BI16" i="41"/>
  <c r="BJ16" i="41"/>
  <c r="I17" i="41"/>
  <c r="BH22" i="41" s="1"/>
  <c r="J17" i="41"/>
  <c r="BI22" i="41" s="1"/>
  <c r="BD17" i="41"/>
  <c r="BE17" i="41"/>
  <c r="BF17" i="41"/>
  <c r="BG17" i="41"/>
  <c r="BH17" i="41"/>
  <c r="BI17" i="41"/>
  <c r="BJ17" i="41"/>
  <c r="G18" i="41"/>
  <c r="H18" i="41"/>
  <c r="I18" i="41"/>
  <c r="J18" i="41"/>
  <c r="K18" i="41"/>
  <c r="BD18" i="41"/>
  <c r="BE18" i="41"/>
  <c r="BF18" i="41"/>
  <c r="BG18" i="41"/>
  <c r="BH18" i="41"/>
  <c r="BI18" i="41"/>
  <c r="BJ18" i="41"/>
  <c r="BD19" i="41"/>
  <c r="BE19" i="41"/>
  <c r="BF19" i="41"/>
  <c r="BG19" i="41"/>
  <c r="BH19" i="41"/>
  <c r="BI19" i="41"/>
  <c r="BJ19" i="41"/>
  <c r="BD20" i="41"/>
  <c r="BE20" i="41"/>
  <c r="BF20" i="41"/>
  <c r="BG20" i="41"/>
  <c r="BH20" i="41"/>
  <c r="BI20" i="41"/>
  <c r="BJ20" i="41"/>
  <c r="F21" i="41"/>
  <c r="G21" i="41"/>
  <c r="G22" i="41" s="1"/>
  <c r="BF23" i="41" s="1"/>
  <c r="H21" i="41"/>
  <c r="H22" i="41" s="1"/>
  <c r="BG23" i="41" s="1"/>
  <c r="I21" i="41"/>
  <c r="I22" i="41" s="1"/>
  <c r="BH23" i="41" s="1"/>
  <c r="J21" i="41"/>
  <c r="J22" i="41" s="1"/>
  <c r="BI23" i="41" s="1"/>
  <c r="K21" i="41"/>
  <c r="K22" i="41" s="1"/>
  <c r="BJ23" i="41" s="1"/>
  <c r="BD21" i="41"/>
  <c r="BE21" i="41"/>
  <c r="BF21" i="41"/>
  <c r="BG21" i="41"/>
  <c r="BH21" i="41"/>
  <c r="BI21" i="41"/>
  <c r="BJ21" i="41"/>
  <c r="BD22" i="41"/>
  <c r="G23" i="41"/>
  <c r="H23" i="41"/>
  <c r="I23" i="41"/>
  <c r="J23" i="41"/>
  <c r="K23" i="41"/>
  <c r="BD23" i="41"/>
  <c r="BD24" i="41"/>
  <c r="BD25" i="41"/>
  <c r="F26" i="41"/>
  <c r="G26" i="41"/>
  <c r="G27" i="41" s="1"/>
  <c r="BF24" i="41" s="1"/>
  <c r="H26" i="41"/>
  <c r="H27" i="41" s="1"/>
  <c r="BG24" i="41" s="1"/>
  <c r="I26" i="41"/>
  <c r="I27" i="41" s="1"/>
  <c r="BH24" i="41" s="1"/>
  <c r="J26" i="41"/>
  <c r="J27" i="41" s="1"/>
  <c r="BI24" i="41" s="1"/>
  <c r="K26" i="41"/>
  <c r="K27" i="41" s="1"/>
  <c r="BJ24" i="41" s="1"/>
  <c r="BD26" i="41"/>
  <c r="BE26" i="41"/>
  <c r="BF26" i="41"/>
  <c r="BG26" i="41"/>
  <c r="BH26" i="41"/>
  <c r="BI26" i="41"/>
  <c r="BJ26" i="41"/>
  <c r="BD27" i="41"/>
  <c r="BE27" i="41"/>
  <c r="BF27" i="41"/>
  <c r="BG27" i="41"/>
  <c r="BH27" i="41"/>
  <c r="BI27" i="41"/>
  <c r="BJ27" i="41"/>
  <c r="G28" i="41"/>
  <c r="H28" i="41"/>
  <c r="I28" i="41"/>
  <c r="J28" i="41"/>
  <c r="K28" i="41"/>
  <c r="BD28" i="41"/>
  <c r="BE28" i="41"/>
  <c r="BF28" i="41"/>
  <c r="BG28" i="41"/>
  <c r="BH28" i="41"/>
  <c r="BI28" i="41"/>
  <c r="BJ28" i="41"/>
  <c r="BD29" i="41"/>
  <c r="BE29" i="41"/>
  <c r="BF29" i="41"/>
  <c r="BG29" i="41"/>
  <c r="BH29" i="41"/>
  <c r="BI29" i="41"/>
  <c r="BJ29" i="41"/>
  <c r="F31" i="41"/>
  <c r="G31" i="41"/>
  <c r="G32" i="41" s="1"/>
  <c r="BF25" i="41" s="1"/>
  <c r="H31" i="41"/>
  <c r="H32" i="41" s="1"/>
  <c r="BG25" i="41" s="1"/>
  <c r="I31" i="41"/>
  <c r="I32" i="41" s="1"/>
  <c r="BH25" i="41" s="1"/>
  <c r="J31" i="41"/>
  <c r="J32" i="41" s="1"/>
  <c r="BI25" i="41" s="1"/>
  <c r="K31" i="41"/>
  <c r="K32" i="41" s="1"/>
  <c r="BJ25" i="41" s="1"/>
  <c r="G33" i="41"/>
  <c r="H33" i="41"/>
  <c r="I33" i="41"/>
  <c r="J33" i="41"/>
  <c r="K33" i="41"/>
  <c r="BM41" i="41"/>
  <c r="BN41" i="41"/>
  <c r="BO41" i="41"/>
  <c r="BP41" i="41"/>
  <c r="BQ41" i="41"/>
  <c r="BR41" i="41"/>
  <c r="F43" i="41"/>
  <c r="G43" i="41"/>
  <c r="G44" i="41" s="1"/>
  <c r="BN49" i="41" s="1"/>
  <c r="H43" i="41"/>
  <c r="H44" i="41" s="1"/>
  <c r="BO49" i="41" s="1"/>
  <c r="I43" i="41"/>
  <c r="I44" i="41" s="1"/>
  <c r="BP49" i="41" s="1"/>
  <c r="J43" i="41"/>
  <c r="J44" i="41" s="1"/>
  <c r="BQ49" i="41" s="1"/>
  <c r="K43" i="41"/>
  <c r="K44" i="41" s="1"/>
  <c r="BR49" i="41" s="1"/>
  <c r="G45" i="41"/>
  <c r="H45" i="41"/>
  <c r="I45" i="41"/>
  <c r="J45" i="41"/>
  <c r="K45" i="41"/>
  <c r="BM45" i="41"/>
  <c r="BN45" i="41"/>
  <c r="BO45" i="41"/>
  <c r="BP45" i="41"/>
  <c r="BQ45" i="41"/>
  <c r="BR45" i="41"/>
  <c r="BM53" i="41"/>
  <c r="BN53" i="41"/>
  <c r="BO53" i="41"/>
  <c r="BP53" i="41"/>
  <c r="BQ53" i="41"/>
  <c r="BR53" i="41"/>
  <c r="BD67" i="41"/>
  <c r="BD68" i="41"/>
  <c r="BE68" i="41"/>
  <c r="BF68" i="41"/>
  <c r="BG68" i="41"/>
  <c r="BH68" i="41"/>
  <c r="BI68" i="41"/>
  <c r="BJ68" i="41"/>
  <c r="BD69" i="41"/>
  <c r="BE69" i="41"/>
  <c r="BF69" i="41"/>
  <c r="BG69" i="41"/>
  <c r="BH69" i="41"/>
  <c r="BI69" i="41"/>
  <c r="BJ69" i="41"/>
  <c r="F70" i="41"/>
  <c r="G70" i="41"/>
  <c r="G71" i="41" s="1"/>
  <c r="BF80" i="41" s="1"/>
  <c r="H70" i="41"/>
  <c r="H71" i="41" s="1"/>
  <c r="BG80" i="41" s="1"/>
  <c r="I70" i="41"/>
  <c r="I71" i="41" s="1"/>
  <c r="BH80" i="41" s="1"/>
  <c r="J70" i="41"/>
  <c r="J71" i="41" s="1"/>
  <c r="BI80" i="41" s="1"/>
  <c r="K70" i="41"/>
  <c r="K71" i="41" s="1"/>
  <c r="BJ80" i="41" s="1"/>
  <c r="BD70" i="41"/>
  <c r="BE70" i="41"/>
  <c r="BF70" i="41"/>
  <c r="BG70" i="41"/>
  <c r="BH70" i="41"/>
  <c r="BI70" i="41"/>
  <c r="BJ70" i="41"/>
  <c r="BD71" i="41"/>
  <c r="BE71" i="41"/>
  <c r="BF71" i="41"/>
  <c r="BG71" i="41"/>
  <c r="BH71" i="41"/>
  <c r="BI71" i="41"/>
  <c r="BJ71" i="41"/>
  <c r="G72" i="41"/>
  <c r="H72" i="41"/>
  <c r="I72" i="41"/>
  <c r="J72" i="41"/>
  <c r="K72" i="41"/>
  <c r="BD72" i="41"/>
  <c r="BE72" i="41"/>
  <c r="BF72" i="41"/>
  <c r="BG72" i="41"/>
  <c r="BH72" i="41"/>
  <c r="BI72" i="41"/>
  <c r="BJ72" i="41"/>
  <c r="BD73" i="41"/>
  <c r="BE73" i="41"/>
  <c r="BF73" i="41"/>
  <c r="BG73" i="41"/>
  <c r="BH73" i="41"/>
  <c r="BI73" i="41"/>
  <c r="BJ73" i="41"/>
  <c r="BD74" i="41"/>
  <c r="BE74" i="41"/>
  <c r="BF74" i="41"/>
  <c r="BG74" i="41"/>
  <c r="BH74" i="41"/>
  <c r="BI74" i="41"/>
  <c r="BJ74" i="41"/>
  <c r="F75" i="41"/>
  <c r="G75" i="41"/>
  <c r="G76" i="41" s="1"/>
  <c r="BF81" i="41" s="1"/>
  <c r="H75" i="41"/>
  <c r="H76" i="41" s="1"/>
  <c r="BG81" i="41" s="1"/>
  <c r="I75" i="41"/>
  <c r="I76" i="41" s="1"/>
  <c r="BH81" i="41" s="1"/>
  <c r="J75" i="41"/>
  <c r="J76" i="41" s="1"/>
  <c r="BI81" i="41" s="1"/>
  <c r="K75" i="41"/>
  <c r="K76" i="41" s="1"/>
  <c r="BJ81" i="41" s="1"/>
  <c r="BD75" i="41"/>
  <c r="BE75" i="41"/>
  <c r="BF75" i="41"/>
  <c r="BG75" i="41"/>
  <c r="BH75" i="41"/>
  <c r="BI75" i="41"/>
  <c r="BJ75" i="41"/>
  <c r="BD76" i="41"/>
  <c r="BE76" i="41"/>
  <c r="BF76" i="41"/>
  <c r="BG76" i="41"/>
  <c r="BH76" i="41"/>
  <c r="BI76" i="41"/>
  <c r="BJ76" i="41"/>
  <c r="G77" i="41"/>
  <c r="H77" i="41"/>
  <c r="I77" i="41"/>
  <c r="J77" i="41"/>
  <c r="K77" i="41"/>
  <c r="BD77" i="41"/>
  <c r="BE77" i="41"/>
  <c r="BF77" i="41"/>
  <c r="BG77" i="41"/>
  <c r="BH77" i="41"/>
  <c r="BI77" i="41"/>
  <c r="BJ77" i="41"/>
  <c r="BD78" i="41"/>
  <c r="BE78" i="41"/>
  <c r="BF78" i="41"/>
  <c r="BG78" i="41"/>
  <c r="BH78" i="41"/>
  <c r="BI78" i="41"/>
  <c r="BJ78" i="41"/>
  <c r="BD79" i="41"/>
  <c r="BE79" i="41"/>
  <c r="BF79" i="41"/>
  <c r="BG79" i="41"/>
  <c r="BH79" i="41"/>
  <c r="BI79" i="41"/>
  <c r="BJ79" i="41"/>
  <c r="F80" i="41"/>
  <c r="G80" i="41"/>
  <c r="G81" i="41" s="1"/>
  <c r="BF82" i="41" s="1"/>
  <c r="H80" i="41"/>
  <c r="H81" i="41" s="1"/>
  <c r="BG82" i="41" s="1"/>
  <c r="I80" i="41"/>
  <c r="I81" i="41" s="1"/>
  <c r="BH82" i="41" s="1"/>
  <c r="J80" i="41"/>
  <c r="J81" i="41" s="1"/>
  <c r="BI82" i="41" s="1"/>
  <c r="K80" i="41"/>
  <c r="K81" i="41" s="1"/>
  <c r="BJ82" i="41" s="1"/>
  <c r="BD80" i="41"/>
  <c r="BD81" i="41"/>
  <c r="G82" i="41"/>
  <c r="H82" i="41"/>
  <c r="I82" i="41"/>
  <c r="J82" i="41"/>
  <c r="K82" i="41"/>
  <c r="BD82" i="41"/>
  <c r="BD83" i="41"/>
  <c r="BD84" i="41"/>
  <c r="F85" i="41"/>
  <c r="G85" i="41"/>
  <c r="G86" i="41" s="1"/>
  <c r="BF83" i="41" s="1"/>
  <c r="H85" i="41"/>
  <c r="H86" i="41" s="1"/>
  <c r="BG83" i="41" s="1"/>
  <c r="I85" i="41"/>
  <c r="I86" i="41" s="1"/>
  <c r="BH83" i="41" s="1"/>
  <c r="J85" i="41"/>
  <c r="J86" i="41" s="1"/>
  <c r="BI83" i="41" s="1"/>
  <c r="K85" i="41"/>
  <c r="K86" i="41" s="1"/>
  <c r="BJ83" i="41" s="1"/>
  <c r="BD85" i="41"/>
  <c r="BD86" i="41"/>
  <c r="BE86" i="41"/>
  <c r="BF86" i="41"/>
  <c r="BG86" i="41"/>
  <c r="BH86" i="41"/>
  <c r="BI86" i="41"/>
  <c r="BJ86" i="41"/>
  <c r="G87" i="41"/>
  <c r="H87" i="41"/>
  <c r="I87" i="41"/>
  <c r="J87" i="41"/>
  <c r="K87" i="41"/>
  <c r="BD87" i="41"/>
  <c r="BE87" i="41"/>
  <c r="BF87" i="41"/>
  <c r="BG87" i="41"/>
  <c r="BH87" i="41"/>
  <c r="BI87" i="41"/>
  <c r="BJ87" i="41"/>
  <c r="BD88" i="41"/>
  <c r="BE88" i="41"/>
  <c r="BF88" i="41"/>
  <c r="BG88" i="41"/>
  <c r="BH88" i="41"/>
  <c r="BI88" i="41"/>
  <c r="BJ88" i="41"/>
  <c r="BD89" i="41"/>
  <c r="BE89" i="41"/>
  <c r="BF89" i="41"/>
  <c r="BG89" i="41"/>
  <c r="BH89" i="41"/>
  <c r="BI89" i="41"/>
  <c r="BJ89" i="41"/>
  <c r="F90" i="41"/>
  <c r="G90" i="41"/>
  <c r="G91" i="41" s="1"/>
  <c r="BF84" i="41" s="1"/>
  <c r="H90" i="41"/>
  <c r="H91" i="41" s="1"/>
  <c r="BG84" i="41" s="1"/>
  <c r="I90" i="41"/>
  <c r="I91" i="41" s="1"/>
  <c r="BH84" i="41" s="1"/>
  <c r="J90" i="41"/>
  <c r="J91" i="41" s="1"/>
  <c r="BI84" i="41" s="1"/>
  <c r="K90" i="41"/>
  <c r="K91" i="41" s="1"/>
  <c r="BJ84" i="41" s="1"/>
  <c r="BD90" i="41"/>
  <c r="BE90" i="41"/>
  <c r="BF90" i="41"/>
  <c r="BG90" i="41"/>
  <c r="BH90" i="41"/>
  <c r="BI90" i="41"/>
  <c r="BJ90" i="41"/>
  <c r="BD91" i="41"/>
  <c r="BE91" i="41"/>
  <c r="BF91" i="41"/>
  <c r="BG91" i="41"/>
  <c r="BH91" i="41"/>
  <c r="BI91" i="41"/>
  <c r="BJ91" i="41"/>
  <c r="G92" i="41"/>
  <c r="H92" i="41"/>
  <c r="I92" i="41"/>
  <c r="J92" i="41"/>
  <c r="K92" i="41"/>
  <c r="F95" i="41"/>
  <c r="G95" i="41"/>
  <c r="G96" i="41" s="1"/>
  <c r="BF85" i="41" s="1"/>
  <c r="H95" i="41"/>
  <c r="H96" i="41" s="1"/>
  <c r="BG85" i="41" s="1"/>
  <c r="I95" i="41"/>
  <c r="I96" i="41" s="1"/>
  <c r="BH85" i="41" s="1"/>
  <c r="J95" i="41"/>
  <c r="J96" i="41" s="1"/>
  <c r="BI85" i="41" s="1"/>
  <c r="K95" i="41"/>
  <c r="K96" i="41" s="1"/>
  <c r="BJ85" i="41" s="1"/>
  <c r="G97" i="41"/>
  <c r="H97" i="41"/>
  <c r="I97" i="41"/>
  <c r="J97" i="41"/>
  <c r="K97" i="41"/>
  <c r="F108" i="41"/>
  <c r="G108" i="41"/>
  <c r="H108" i="41"/>
  <c r="I108" i="41"/>
  <c r="J108" i="41"/>
  <c r="K108" i="41"/>
  <c r="G109" i="41"/>
  <c r="BF119" i="41" s="1"/>
  <c r="H109" i="41"/>
  <c r="BG119" i="41" s="1"/>
  <c r="I109" i="41"/>
  <c r="BH119" i="41" s="1"/>
  <c r="J109" i="41"/>
  <c r="BI119" i="41" s="1"/>
  <c r="K109" i="41"/>
  <c r="BJ119" i="41" s="1"/>
  <c r="G110" i="41"/>
  <c r="H110" i="41"/>
  <c r="I110" i="41"/>
  <c r="J110" i="41"/>
  <c r="K110" i="41"/>
  <c r="BD110" i="41"/>
  <c r="BD111" i="41"/>
  <c r="BE111" i="41"/>
  <c r="BF111" i="41"/>
  <c r="BG111" i="41"/>
  <c r="BH111" i="41"/>
  <c r="BI111" i="41"/>
  <c r="BJ111" i="41"/>
  <c r="BD112" i="41"/>
  <c r="BE112" i="41"/>
  <c r="BF112" i="41"/>
  <c r="BG112" i="41"/>
  <c r="BH112" i="41"/>
  <c r="BI112" i="41"/>
  <c r="BJ112" i="41"/>
  <c r="F114" i="41"/>
  <c r="G114" i="41"/>
  <c r="G115" i="41" s="1"/>
  <c r="BF120" i="41" s="1"/>
  <c r="H114" i="41"/>
  <c r="H115" i="41" s="1"/>
  <c r="BG120" i="41" s="1"/>
  <c r="I114" i="41"/>
  <c r="I115" i="41" s="1"/>
  <c r="BH120" i="41" s="1"/>
  <c r="J114" i="41"/>
  <c r="J115" i="41" s="1"/>
  <c r="BI120" i="41" s="1"/>
  <c r="K114" i="41"/>
  <c r="K115" i="41" s="1"/>
  <c r="BJ120" i="41" s="1"/>
  <c r="BD115" i="41"/>
  <c r="BE115" i="41"/>
  <c r="BF115" i="41"/>
  <c r="BG115" i="41"/>
  <c r="BH115" i="41"/>
  <c r="BI115" i="41"/>
  <c r="BJ115" i="41"/>
  <c r="F116" i="41"/>
  <c r="G116" i="41"/>
  <c r="H116" i="41"/>
  <c r="I116" i="41"/>
  <c r="J116" i="41"/>
  <c r="K116" i="41"/>
  <c r="BD116" i="41"/>
  <c r="BE116" i="41"/>
  <c r="BF116" i="41"/>
  <c r="BG116" i="41"/>
  <c r="BH116" i="41"/>
  <c r="BI116" i="41"/>
  <c r="BJ116" i="41"/>
  <c r="BD119" i="41"/>
  <c r="BD120" i="41"/>
  <c r="BD122" i="41"/>
  <c r="BE122" i="41"/>
  <c r="BF122" i="41"/>
  <c r="BG122" i="41"/>
  <c r="BH122" i="41"/>
  <c r="BI122" i="41"/>
  <c r="BJ122" i="41"/>
  <c r="BD123" i="41"/>
  <c r="BE123" i="41"/>
  <c r="BF123" i="41"/>
  <c r="BG123" i="41"/>
  <c r="BH123" i="41"/>
  <c r="BI123" i="41"/>
  <c r="BJ123" i="41"/>
  <c r="F135" i="41"/>
  <c r="G135" i="41"/>
  <c r="G136" i="41" s="1"/>
  <c r="BU146" i="41" s="1"/>
  <c r="H135" i="41"/>
  <c r="H136" i="41" s="1"/>
  <c r="BV146" i="41" s="1"/>
  <c r="I135" i="41"/>
  <c r="J135" i="41"/>
  <c r="J136" i="41" s="1"/>
  <c r="BX146" i="41" s="1"/>
  <c r="K135" i="41"/>
  <c r="BZ146" i="41"/>
  <c r="I136" i="41"/>
  <c r="BW146" i="41" s="1"/>
  <c r="K136" i="41"/>
  <c r="BY146" i="41" s="1"/>
  <c r="G137" i="41"/>
  <c r="H137" i="41"/>
  <c r="I137" i="41"/>
  <c r="J137" i="41"/>
  <c r="K137" i="41"/>
  <c r="BU138" i="41"/>
  <c r="BV138" i="41"/>
  <c r="BW138" i="41"/>
  <c r="BX138" i="41"/>
  <c r="BY138" i="41"/>
  <c r="BZ138" i="41"/>
  <c r="BU142" i="41"/>
  <c r="BV142" i="41"/>
  <c r="BW142" i="41"/>
  <c r="BX142" i="41"/>
  <c r="BY142" i="41"/>
  <c r="BZ142" i="41"/>
  <c r="BU150" i="41"/>
  <c r="BV150" i="41"/>
  <c r="BW150" i="41"/>
  <c r="BX150" i="41"/>
  <c r="BY150" i="41"/>
  <c r="BZ150" i="41"/>
  <c r="F162" i="41"/>
  <c r="G162" i="41"/>
  <c r="H162" i="41"/>
  <c r="I162" i="41"/>
  <c r="J162" i="41"/>
  <c r="K162" i="41"/>
  <c r="G163" i="41"/>
  <c r="BF173" i="41" s="1"/>
  <c r="H163" i="41"/>
  <c r="BG173" i="41" s="1"/>
  <c r="I163" i="41"/>
  <c r="BH173" i="41" s="1"/>
  <c r="J163" i="41"/>
  <c r="BI173" i="41" s="1"/>
  <c r="K163" i="41"/>
  <c r="BJ173" i="41" s="1"/>
  <c r="G164" i="41"/>
  <c r="H164" i="41"/>
  <c r="I164" i="41"/>
  <c r="J164" i="41"/>
  <c r="K164" i="41"/>
  <c r="BD164" i="41"/>
  <c r="BD165" i="41"/>
  <c r="BE165" i="41"/>
  <c r="BF165" i="41"/>
  <c r="BG165" i="41"/>
  <c r="BH165" i="41"/>
  <c r="BI165" i="41"/>
  <c r="BJ165" i="41"/>
  <c r="BD169" i="41"/>
  <c r="BE169" i="41"/>
  <c r="BF169" i="41"/>
  <c r="BG169" i="41"/>
  <c r="BH169" i="41"/>
  <c r="BI169" i="41"/>
  <c r="BJ169" i="41"/>
  <c r="BD173" i="41"/>
  <c r="BD177" i="41"/>
  <c r="BE177" i="41"/>
  <c r="BF177" i="41"/>
  <c r="BG177" i="41"/>
  <c r="BH177" i="41"/>
  <c r="BI177" i="41"/>
  <c r="BJ177" i="41"/>
  <c r="G191" i="41"/>
  <c r="BD185" i="41"/>
  <c r="BD186" i="41"/>
  <c r="BE186" i="41"/>
  <c r="BF186" i="41"/>
  <c r="BG186" i="41"/>
  <c r="BH186" i="41"/>
  <c r="BI186" i="41"/>
  <c r="BJ186" i="41"/>
  <c r="BD187" i="41"/>
  <c r="BE187" i="41"/>
  <c r="BF187" i="41"/>
  <c r="BG187" i="41"/>
  <c r="BH187" i="41"/>
  <c r="BI187" i="41"/>
  <c r="BJ187" i="41"/>
  <c r="F189" i="41"/>
  <c r="G189" i="41"/>
  <c r="G190" i="41" s="1"/>
  <c r="BF198" i="41" s="1"/>
  <c r="H189" i="41"/>
  <c r="H190" i="41" s="1"/>
  <c r="BG198" i="41" s="1"/>
  <c r="I189" i="41"/>
  <c r="I190" i="41" s="1"/>
  <c r="BH198" i="41" s="1"/>
  <c r="J189" i="41"/>
  <c r="J190" i="41" s="1"/>
  <c r="BI198" i="41" s="1"/>
  <c r="K189" i="41"/>
  <c r="K190" i="41" s="1"/>
  <c r="BJ198" i="41" s="1"/>
  <c r="H191" i="41"/>
  <c r="I191" i="41"/>
  <c r="J191" i="41"/>
  <c r="K191" i="41"/>
  <c r="BD192" i="41"/>
  <c r="BE192" i="41"/>
  <c r="BF192" i="41"/>
  <c r="BG192" i="41"/>
  <c r="BH192" i="41"/>
  <c r="BI192" i="41"/>
  <c r="BJ192" i="41"/>
  <c r="BD193" i="41"/>
  <c r="BE193" i="41"/>
  <c r="BF193" i="41"/>
  <c r="BG193" i="41"/>
  <c r="BH193" i="41"/>
  <c r="BI193" i="41"/>
  <c r="BJ193" i="41"/>
  <c r="F194" i="41"/>
  <c r="G194" i="41"/>
  <c r="G195" i="41" s="1"/>
  <c r="BF199" i="41" s="1"/>
  <c r="H194" i="41"/>
  <c r="H195" i="41" s="1"/>
  <c r="BG199" i="41" s="1"/>
  <c r="I194" i="41"/>
  <c r="I195" i="41" s="1"/>
  <c r="BH199" i="41" s="1"/>
  <c r="J194" i="41"/>
  <c r="J195" i="41" s="1"/>
  <c r="BI199" i="41" s="1"/>
  <c r="K194" i="41"/>
  <c r="K195" i="41" s="1"/>
  <c r="BJ199" i="41" s="1"/>
  <c r="H196" i="41"/>
  <c r="I196" i="41"/>
  <c r="J196" i="41"/>
  <c r="K196" i="41"/>
  <c r="BD198" i="41"/>
  <c r="BD199" i="41"/>
  <c r="BD204" i="41"/>
  <c r="BE204" i="41"/>
  <c r="BF204" i="41"/>
  <c r="BG204" i="41"/>
  <c r="BH204" i="41"/>
  <c r="BI204" i="41"/>
  <c r="BJ204" i="41"/>
  <c r="BD205" i="41"/>
  <c r="BE205" i="41"/>
  <c r="BF205" i="41"/>
  <c r="BG205" i="41"/>
  <c r="BH205" i="41"/>
  <c r="BI205" i="41"/>
  <c r="BJ205" i="41"/>
  <c r="BD212" i="41"/>
  <c r="BD213" i="41"/>
  <c r="BE213" i="41"/>
  <c r="BF213" i="41"/>
  <c r="BG213" i="41"/>
  <c r="BH213" i="41"/>
  <c r="BI213" i="41"/>
  <c r="BJ213" i="41"/>
  <c r="BD214" i="41"/>
  <c r="BE214" i="41"/>
  <c r="BF214" i="41"/>
  <c r="BG214" i="41"/>
  <c r="BH214" i="41"/>
  <c r="BI214" i="41"/>
  <c r="BJ214" i="41"/>
  <c r="BD215" i="41"/>
  <c r="BE215" i="41"/>
  <c r="BF215" i="41"/>
  <c r="BG215" i="41"/>
  <c r="BH215" i="41"/>
  <c r="BI215" i="41"/>
  <c r="BJ215" i="41"/>
  <c r="F216" i="41"/>
  <c r="G216" i="41"/>
  <c r="G217" i="41" s="1"/>
  <c r="BF225" i="41" s="1"/>
  <c r="H216" i="41"/>
  <c r="H217" i="41" s="1"/>
  <c r="BG225" i="41" s="1"/>
  <c r="I216" i="41"/>
  <c r="I217" i="41" s="1"/>
  <c r="BH225" i="41" s="1"/>
  <c r="J216" i="41"/>
  <c r="J217" i="41" s="1"/>
  <c r="BI225" i="41" s="1"/>
  <c r="K216" i="41"/>
  <c r="K217" i="41" s="1"/>
  <c r="BJ225" i="41" s="1"/>
  <c r="BD216" i="41"/>
  <c r="BE216" i="41"/>
  <c r="BF216" i="41"/>
  <c r="BG216" i="41"/>
  <c r="BH216" i="41"/>
  <c r="BI216" i="41"/>
  <c r="BJ216" i="41"/>
  <c r="BD217" i="41"/>
  <c r="BE217" i="41"/>
  <c r="BF217" i="41"/>
  <c r="BG217" i="41"/>
  <c r="BH217" i="41"/>
  <c r="BI217" i="41"/>
  <c r="BJ217" i="41"/>
  <c r="G218" i="41"/>
  <c r="H218" i="41"/>
  <c r="I218" i="41"/>
  <c r="J218" i="41"/>
  <c r="K218" i="41"/>
  <c r="BD218" i="41"/>
  <c r="BE218" i="41"/>
  <c r="BF218" i="41"/>
  <c r="BG218" i="41"/>
  <c r="BH218" i="41"/>
  <c r="BI218" i="41"/>
  <c r="BJ218" i="41"/>
  <c r="BD219" i="41"/>
  <c r="BE219" i="41"/>
  <c r="BF219" i="41"/>
  <c r="BG219" i="41"/>
  <c r="BH219" i="41"/>
  <c r="BI219" i="41"/>
  <c r="BJ219" i="41"/>
  <c r="BD220" i="41"/>
  <c r="BE220" i="41"/>
  <c r="BF220" i="41"/>
  <c r="BG220" i="41"/>
  <c r="BH220" i="41"/>
  <c r="BI220" i="41"/>
  <c r="BJ220" i="41"/>
  <c r="F221" i="41"/>
  <c r="G221" i="41"/>
  <c r="G222" i="41" s="1"/>
  <c r="BF226" i="41" s="1"/>
  <c r="H222" i="41"/>
  <c r="I221" i="41"/>
  <c r="I222" i="41" s="1"/>
  <c r="BH226" i="41" s="1"/>
  <c r="J221" i="41"/>
  <c r="J222" i="41" s="1"/>
  <c r="BI226" i="41" s="1"/>
  <c r="K221" i="41"/>
  <c r="K222" i="41" s="1"/>
  <c r="BJ226" i="41" s="1"/>
  <c r="BD221" i="41"/>
  <c r="BE221" i="41"/>
  <c r="BF221" i="41"/>
  <c r="BG221" i="41"/>
  <c r="BH221" i="41"/>
  <c r="BI221" i="41"/>
  <c r="BJ221" i="41"/>
  <c r="BD222" i="41"/>
  <c r="BE222" i="41"/>
  <c r="BF222" i="41"/>
  <c r="BG222" i="41"/>
  <c r="BH222" i="41"/>
  <c r="BI222" i="41"/>
  <c r="BJ222" i="41"/>
  <c r="G223" i="41"/>
  <c r="I223" i="41"/>
  <c r="J223" i="41"/>
  <c r="K223" i="41"/>
  <c r="BD223" i="41"/>
  <c r="BE223" i="41"/>
  <c r="BF223" i="41"/>
  <c r="BG223" i="41"/>
  <c r="BH223" i="41"/>
  <c r="BI223" i="41"/>
  <c r="BJ223" i="41"/>
  <c r="BD224" i="41"/>
  <c r="BE224" i="41"/>
  <c r="BF224" i="41"/>
  <c r="BG224" i="41"/>
  <c r="BH224" i="41"/>
  <c r="BI224" i="41"/>
  <c r="BJ224" i="41"/>
  <c r="BD225" i="41"/>
  <c r="F226" i="41"/>
  <c r="G226" i="41"/>
  <c r="G227" i="41" s="1"/>
  <c r="BF227" i="41" s="1"/>
  <c r="H226" i="41"/>
  <c r="H227" i="41" s="1"/>
  <c r="BG227" i="41" s="1"/>
  <c r="I226" i="41"/>
  <c r="I227" i="41" s="1"/>
  <c r="BH227" i="41" s="1"/>
  <c r="J226" i="41"/>
  <c r="J227" i="41" s="1"/>
  <c r="BI227" i="41" s="1"/>
  <c r="K226" i="41"/>
  <c r="K227" i="41" s="1"/>
  <c r="BJ227" i="41" s="1"/>
  <c r="BD226" i="41"/>
  <c r="BD227" i="41"/>
  <c r="G228" i="41"/>
  <c r="H228" i="41"/>
  <c r="I228" i="41"/>
  <c r="J228" i="41"/>
  <c r="K228" i="41"/>
  <c r="BD228" i="41"/>
  <c r="BD229" i="41"/>
  <c r="BD230" i="41"/>
  <c r="F231" i="41"/>
  <c r="G231" i="41"/>
  <c r="G232" i="41" s="1"/>
  <c r="BF228" i="41" s="1"/>
  <c r="H231" i="41"/>
  <c r="H232" i="41" s="1"/>
  <c r="BG228" i="41" s="1"/>
  <c r="I231" i="41"/>
  <c r="I232" i="41" s="1"/>
  <c r="BH228" i="41" s="1"/>
  <c r="J231" i="41"/>
  <c r="J232" i="41" s="1"/>
  <c r="BI228" i="41" s="1"/>
  <c r="K231" i="41"/>
  <c r="K232" i="41" s="1"/>
  <c r="BJ228" i="41" s="1"/>
  <c r="BD231" i="41"/>
  <c r="BE231" i="41"/>
  <c r="BF231" i="41"/>
  <c r="BG231" i="41"/>
  <c r="BH231" i="41"/>
  <c r="BI231" i="41"/>
  <c r="BJ231" i="41"/>
  <c r="BD232" i="41"/>
  <c r="BE232" i="41"/>
  <c r="BF232" i="41"/>
  <c r="BG232" i="41"/>
  <c r="BH232" i="41"/>
  <c r="BI232" i="41"/>
  <c r="BJ232" i="41"/>
  <c r="G233" i="41"/>
  <c r="H233" i="41"/>
  <c r="I233" i="41"/>
  <c r="J233" i="41"/>
  <c r="K233" i="41"/>
  <c r="BD233" i="41"/>
  <c r="BE233" i="41"/>
  <c r="BF233" i="41"/>
  <c r="BG233" i="41"/>
  <c r="BH233" i="41"/>
  <c r="BI233" i="41"/>
  <c r="BJ233" i="41"/>
  <c r="BD234" i="41"/>
  <c r="BE234" i="41"/>
  <c r="BF234" i="41"/>
  <c r="BG234" i="41"/>
  <c r="BH234" i="41"/>
  <c r="BI234" i="41"/>
  <c r="BJ234" i="41"/>
  <c r="BD235" i="41"/>
  <c r="BE235" i="41"/>
  <c r="BF235" i="41"/>
  <c r="BG235" i="41"/>
  <c r="BH235" i="41"/>
  <c r="BI235" i="41"/>
  <c r="BJ235" i="41"/>
  <c r="F236" i="41"/>
  <c r="G236" i="41"/>
  <c r="G237" i="41" s="1"/>
  <c r="BF229" i="41" s="1"/>
  <c r="H236" i="41"/>
  <c r="H237" i="41" s="1"/>
  <c r="BG229" i="41" s="1"/>
  <c r="I236" i="41"/>
  <c r="I237" i="41" s="1"/>
  <c r="BH229" i="41" s="1"/>
  <c r="J236" i="41"/>
  <c r="J237" i="41" s="1"/>
  <c r="BI229" i="41" s="1"/>
  <c r="K236" i="41"/>
  <c r="K237" i="41" s="1"/>
  <c r="BJ229" i="41" s="1"/>
  <c r="BD236" i="41"/>
  <c r="BE236" i="41"/>
  <c r="BF236" i="41"/>
  <c r="BG236" i="41"/>
  <c r="BH236" i="41"/>
  <c r="BI236" i="41"/>
  <c r="BJ236" i="41"/>
  <c r="G238" i="41"/>
  <c r="H238" i="41"/>
  <c r="I238" i="41"/>
  <c r="J238" i="41"/>
  <c r="K238" i="41"/>
  <c r="F241" i="41"/>
  <c r="G241" i="41"/>
  <c r="G242" i="41" s="1"/>
  <c r="BF230" i="41" s="1"/>
  <c r="H241" i="41"/>
  <c r="H242" i="41" s="1"/>
  <c r="BG230" i="41" s="1"/>
  <c r="I241" i="41"/>
  <c r="I242" i="41" s="1"/>
  <c r="BH230" i="41" s="1"/>
  <c r="J241" i="41"/>
  <c r="J242" i="41" s="1"/>
  <c r="BI230" i="41" s="1"/>
  <c r="K241" i="41"/>
  <c r="K242" i="41" s="1"/>
  <c r="BJ230" i="41" s="1"/>
  <c r="G243" i="41"/>
  <c r="H243" i="41"/>
  <c r="I243" i="41"/>
  <c r="J243" i="41"/>
  <c r="K243" i="41"/>
  <c r="F242" i="41" l="1"/>
  <c r="D241" i="41"/>
  <c r="F232" i="41"/>
  <c r="D231" i="41"/>
  <c r="F227" i="41"/>
  <c r="BE227" i="41" s="1"/>
  <c r="D226" i="41"/>
  <c r="F96" i="41"/>
  <c r="D95" i="41"/>
  <c r="F107" i="42"/>
  <c r="BC106" i="42"/>
  <c r="F91" i="41"/>
  <c r="BE84" i="41" s="1"/>
  <c r="D90" i="41"/>
  <c r="F86" i="41"/>
  <c r="BE83" i="41" s="1"/>
  <c r="D85" i="41"/>
  <c r="F81" i="41"/>
  <c r="BE82" i="41" s="1"/>
  <c r="D80" i="41"/>
  <c r="F22" i="41"/>
  <c r="D21" i="41"/>
  <c r="F17" i="41"/>
  <c r="D16" i="41"/>
  <c r="F181" i="42"/>
  <c r="BC180" i="42"/>
  <c r="F139" i="42"/>
  <c r="BC138" i="42"/>
  <c r="F76" i="41"/>
  <c r="D75" i="41"/>
  <c r="F237" i="41"/>
  <c r="D236" i="41"/>
  <c r="F176" i="42"/>
  <c r="BC175" i="42"/>
  <c r="F68" i="42"/>
  <c r="BC67" i="42"/>
  <c r="F21" i="42"/>
  <c r="BC20" i="42"/>
  <c r="F53" i="42"/>
  <c r="BC52" i="42"/>
  <c r="F44" i="41"/>
  <c r="D43" i="41"/>
  <c r="F27" i="41"/>
  <c r="BE24" i="41" s="1"/>
  <c r="D26" i="41"/>
  <c r="F43" i="42"/>
  <c r="BC42" i="42"/>
  <c r="F163" i="41"/>
  <c r="BE173" i="41" s="1"/>
  <c r="D162" i="41"/>
  <c r="F136" i="41"/>
  <c r="D135" i="41"/>
  <c r="F32" i="41"/>
  <c r="D31" i="41"/>
  <c r="F171" i="42"/>
  <c r="BC170" i="42"/>
  <c r="F134" i="42"/>
  <c r="BC133" i="42"/>
  <c r="F80" i="42"/>
  <c r="BC79" i="42"/>
  <c r="F26" i="42"/>
  <c r="BC25" i="42"/>
  <c r="F217" i="41"/>
  <c r="BE225" i="41" s="1"/>
  <c r="D216" i="41"/>
  <c r="F195" i="41"/>
  <c r="D194" i="41"/>
  <c r="F190" i="41"/>
  <c r="BE198" i="41" s="1"/>
  <c r="D189" i="41"/>
  <c r="F109" i="41"/>
  <c r="BE119" i="41" s="1"/>
  <c r="D108" i="41"/>
  <c r="F71" i="41"/>
  <c r="BE80" i="41" s="1"/>
  <c r="D70" i="41"/>
  <c r="F186" i="42"/>
  <c r="BC185" i="42"/>
  <c r="F63" i="42"/>
  <c r="BC62" i="42"/>
  <c r="F48" i="42"/>
  <c r="BC47" i="42"/>
  <c r="F31" i="42"/>
  <c r="BC30" i="42"/>
  <c r="F222" i="41"/>
  <c r="BE226" i="41" s="1"/>
  <c r="D221" i="41"/>
  <c r="F58" i="42"/>
  <c r="BC57" i="42"/>
  <c r="F115" i="41"/>
  <c r="BE120" i="41" s="1"/>
  <c r="D114" i="41"/>
  <c r="F166" i="42"/>
  <c r="BC165" i="42"/>
  <c r="F161" i="42"/>
  <c r="BC160" i="42"/>
  <c r="BC21" i="42"/>
  <c r="BC27" i="42"/>
  <c r="BC26" i="42"/>
  <c r="D62" i="42"/>
  <c r="BC63" i="42"/>
  <c r="D30" i="42"/>
  <c r="BC31" i="42"/>
  <c r="BC166" i="42"/>
  <c r="D165" i="42"/>
  <c r="BC161" i="42"/>
  <c r="D160" i="42"/>
  <c r="BE55" i="42"/>
  <c r="D57" i="42"/>
  <c r="BC58" i="42"/>
  <c r="BE54" i="42"/>
  <c r="BC53" i="42"/>
  <c r="D52" i="42"/>
  <c r="BE117" i="42"/>
  <c r="D106" i="42"/>
  <c r="BC107" i="42"/>
  <c r="BC181" i="42"/>
  <c r="D180" i="42"/>
  <c r="BC139" i="42"/>
  <c r="D138" i="42"/>
  <c r="BE174" i="42"/>
  <c r="BC186" i="42"/>
  <c r="D185" i="42"/>
  <c r="BE53" i="42"/>
  <c r="BC48" i="42"/>
  <c r="D47" i="42"/>
  <c r="P100" i="42"/>
  <c r="BC108" i="42"/>
  <c r="D42" i="42"/>
  <c r="BC43" i="42"/>
  <c r="BC176" i="42"/>
  <c r="D175" i="42"/>
  <c r="BC68" i="42"/>
  <c r="D67" i="42"/>
  <c r="BE171" i="42"/>
  <c r="D170" i="42"/>
  <c r="BC171" i="42"/>
  <c r="BE142" i="42"/>
  <c r="BC134" i="42"/>
  <c r="D133" i="42"/>
  <c r="D79" i="42"/>
  <c r="BC80" i="42"/>
  <c r="BI169" i="42"/>
  <c r="BE24" i="42"/>
  <c r="BE23" i="42"/>
  <c r="D25" i="42"/>
  <c r="BE22" i="42"/>
  <c r="D20" i="42"/>
  <c r="D15" i="42"/>
  <c r="BE21" i="42"/>
  <c r="BC116" i="41"/>
  <c r="BG226" i="41"/>
  <c r="BE22" i="41"/>
  <c r="F110" i="41"/>
  <c r="F17" i="42"/>
  <c r="G17" i="42"/>
  <c r="H17" i="42"/>
  <c r="I17" i="42"/>
  <c r="J17" i="42"/>
  <c r="F162" i="42"/>
  <c r="F140" i="42"/>
  <c r="BC140" i="42" s="1"/>
  <c r="F81" i="42"/>
  <c r="F44" i="42"/>
  <c r="F223" i="41"/>
  <c r="BC223" i="41" s="1"/>
  <c r="F196" i="41"/>
  <c r="F164" i="41"/>
  <c r="F92" i="41"/>
  <c r="BC92" i="41" s="1"/>
  <c r="F32" i="42"/>
  <c r="BC32" i="42" s="1"/>
  <c r="G196" i="41"/>
  <c r="F82" i="41"/>
  <c r="BC82" i="41" s="1"/>
  <c r="F87" i="41"/>
  <c r="BC87" i="41" s="1"/>
  <c r="F72" i="41"/>
  <c r="BC72" i="41" s="1"/>
  <c r="F77" i="41"/>
  <c r="BC77" i="41" s="1"/>
  <c r="F18" i="41"/>
  <c r="BC18" i="41" s="1"/>
  <c r="F69" i="42"/>
  <c r="BC69" i="42" s="1"/>
  <c r="F238" i="41"/>
  <c r="BC238" i="41" s="1"/>
  <c r="F97" i="41"/>
  <c r="BC97" i="41" s="1"/>
  <c r="F187" i="42"/>
  <c r="BC187" i="42" s="1"/>
  <c r="F182" i="42"/>
  <c r="BC182" i="42" s="1"/>
  <c r="BE173" i="42"/>
  <c r="F177" i="42"/>
  <c r="BC177" i="42" s="1"/>
  <c r="F172" i="42"/>
  <c r="BC172" i="42" s="1"/>
  <c r="F167" i="42"/>
  <c r="BC167" i="42" s="1"/>
  <c r="F135" i="42"/>
  <c r="BE91" i="42"/>
  <c r="F64" i="42"/>
  <c r="BC64" i="42" s="1"/>
  <c r="F59" i="42"/>
  <c r="BC59" i="42" s="1"/>
  <c r="F54" i="42"/>
  <c r="BC54" i="42" s="1"/>
  <c r="F49" i="42"/>
  <c r="BC49" i="42" s="1"/>
  <c r="F22" i="42"/>
  <c r="BC22" i="42" s="1"/>
  <c r="F243" i="41"/>
  <c r="BC243" i="41" s="1"/>
  <c r="F233" i="41"/>
  <c r="BC233" i="41" s="1"/>
  <c r="F228" i="41"/>
  <c r="BC228" i="41" s="1"/>
  <c r="F218" i="41"/>
  <c r="BC218" i="41" s="1"/>
  <c r="BE199" i="41"/>
  <c r="F191" i="41"/>
  <c r="BC191" i="41" s="1"/>
  <c r="F137" i="41"/>
  <c r="BE85" i="41"/>
  <c r="F45" i="41"/>
  <c r="F33" i="41"/>
  <c r="BC33" i="41" s="1"/>
  <c r="F28" i="41"/>
  <c r="BC28" i="41" s="1"/>
  <c r="F23" i="41"/>
  <c r="BC23" i="41" s="1"/>
  <c r="BE169" i="42"/>
  <c r="BE143" i="42"/>
  <c r="BE57" i="42"/>
  <c r="BE170" i="42"/>
  <c r="BE52" i="42"/>
  <c r="BE56" i="42"/>
  <c r="BE172" i="42"/>
  <c r="BE228" i="41"/>
  <c r="BE25" i="41"/>
  <c r="BM49" i="41"/>
  <c r="BE230" i="41"/>
  <c r="BE81" i="41"/>
  <c r="BE229" i="41"/>
  <c r="BE23" i="41"/>
  <c r="P8" i="42" l="1"/>
  <c r="P154" i="42"/>
  <c r="BC135" i="42"/>
  <c r="P127" i="42"/>
  <c r="BC162" i="42"/>
  <c r="BC81" i="42"/>
  <c r="P73" i="42"/>
  <c r="P36" i="42"/>
  <c r="BC44" i="42"/>
  <c r="BC17" i="42"/>
  <c r="P9" i="41"/>
  <c r="P37" i="41"/>
  <c r="BC45" i="41"/>
  <c r="P101" i="41"/>
  <c r="BC110" i="41"/>
  <c r="BC196" i="41"/>
  <c r="P156" i="41"/>
  <c r="BC164" i="41"/>
  <c r="P128" i="41"/>
  <c r="BC137" i="41"/>
  <c r="P64" i="41"/>
  <c r="P183" i="41"/>
  <c r="P210" i="41"/>
  <c r="S154" i="42"/>
  <c r="S210" i="41"/>
  <c r="B2" i="12" l="1"/>
  <c r="B9" i="12" l="1"/>
  <c r="B8" i="12"/>
  <c r="B7" i="12"/>
</calcChain>
</file>

<file path=xl/comments1.xml><?xml version="1.0" encoding="utf-8"?>
<comments xmlns="http://schemas.openxmlformats.org/spreadsheetml/2006/main">
  <authors>
    <author>Bajsini Amel (DGS-EC/EAA3)</author>
  </authors>
  <commentList>
    <comment ref="F24" authorId="0" shapeId="0">
      <text>
        <r>
          <rPr>
            <b/>
            <sz val="11"/>
            <color indexed="81"/>
            <rFont val="Segoe UI"/>
            <family val="2"/>
          </rPr>
          <t>Status- Definition:</t>
        </r>
        <r>
          <rPr>
            <sz val="9"/>
            <color indexed="81"/>
            <rFont val="Segoe UI"/>
            <family val="2"/>
          </rPr>
          <t xml:space="preserve">
- A -&gt; IEF target achieved
- # -&gt; IEF target not achieved, please select Status B or C 
- B -&gt; IEF taget not achieved, due to technical reason / restriction &lt; reaasoning to be documentec in Remark
- C -&gt; IEF target not achieved, reason can not be fully explained with technical reason / restriction &gt; Decision to be documented in remark
- 2nd -&gt; According to Codex: If IEF target not met with 1st measurement, 2nd measurement required in "Variant x - XXXX"
- n.a. -&gt; measurements not required according to "Release of Measurement Program"
</t>
        </r>
      </text>
    </comment>
  </commentList>
</comments>
</file>

<file path=xl/sharedStrings.xml><?xml version="1.0" encoding="utf-8"?>
<sst xmlns="http://schemas.openxmlformats.org/spreadsheetml/2006/main" count="10435" uniqueCount="402">
  <si>
    <t>1.2 NEDC Sequence warm</t>
  </si>
  <si>
    <t>7. RDE with PEMS</t>
  </si>
  <si>
    <t>Test case</t>
  </si>
  <si>
    <t>Decision approved by:</t>
  </si>
  <si>
    <t>Target
[IEF]</t>
  </si>
  <si>
    <t>-</t>
  </si>
  <si>
    <t>Software:</t>
  </si>
  <si>
    <t>[e.g. Ferrari F150 MEDC17]</t>
  </si>
  <si>
    <t>[PVER name]</t>
  </si>
  <si>
    <t>[Dataset / Container name(s)]</t>
  </si>
  <si>
    <t>Version</t>
  </si>
  <si>
    <t>Approval for project start:</t>
  </si>
  <si>
    <t>Customer:</t>
  </si>
  <si>
    <t>Chassis denomination:</t>
  </si>
  <si>
    <t>Engine:</t>
  </si>
  <si>
    <t>Market / Emission level:</t>
  </si>
  <si>
    <t>Dataset:</t>
  </si>
  <si>
    <t>Lead project: (if applicable)</t>
  </si>
  <si>
    <t>Yes</t>
  </si>
  <si>
    <t>No</t>
  </si>
  <si>
    <t>[BE-No. + project description]</t>
  </si>
  <si>
    <t>[Engine description]</t>
  </si>
  <si>
    <t>[e.g. Europe; EU6b]</t>
  </si>
  <si>
    <t>[Chassis name]</t>
  </si>
  <si>
    <r>
      <t xml:space="preserve">Emission robustness results 
</t>
    </r>
    <r>
      <rPr>
        <b/>
        <i/>
        <sz val="9"/>
        <rFont val="Arial"/>
        <family val="2"/>
      </rPr>
      <t>(if multiple number required, highest result is given)</t>
    </r>
  </si>
  <si>
    <r>
      <rPr>
        <b/>
        <u/>
        <sz val="18"/>
        <color theme="0"/>
        <rFont val="Bosch Office Sans"/>
        <family val="2"/>
      </rPr>
      <t>Gasoline</t>
    </r>
    <r>
      <rPr>
        <b/>
        <sz val="18"/>
        <color theme="0"/>
        <rFont val="Bosch Office Sans"/>
        <family val="2"/>
      </rPr>
      <t xml:space="preserve"> Emission Robustness evaluation confirmation sheet</t>
    </r>
  </si>
  <si>
    <t>Calibration</t>
  </si>
  <si>
    <t>5. Steady state emissions</t>
  </si>
  <si>
    <t>1.2 FTP75 Sequence warm</t>
  </si>
  <si>
    <t>Reference Procedure</t>
  </si>
  <si>
    <t>Status</t>
  </si>
  <si>
    <t>A</t>
  </si>
  <si>
    <t>B</t>
  </si>
  <si>
    <t>C</t>
  </si>
  <si>
    <t>1. NEDC - 4 tests in a row</t>
  </si>
  <si>
    <t>1.3 1st NEDC Sequence hot</t>
  </si>
  <si>
    <t>1.4 2nd NEDC Sequence hot</t>
  </si>
  <si>
    <t>3. WLTC 20°C</t>
  </si>
  <si>
    <t>6. RDE on chassis dyno</t>
  </si>
  <si>
    <t>1. FTP75 - 4 tests in a row</t>
  </si>
  <si>
    <t>1.3 1st FTP72 Sequence hot</t>
  </si>
  <si>
    <t>1.4 2nd FTP72 Sequence hot</t>
  </si>
  <si>
    <t>1. JC08 - 4 tests in a row</t>
  </si>
  <si>
    <t>1.2 JC08 Sequence warm</t>
  </si>
  <si>
    <t>1.3 1st JC08 Sequence hot</t>
  </si>
  <si>
    <t>1.4 2nd JC08 Sequence hot</t>
  </si>
  <si>
    <t>2. JC08 20°C in all drive modes</t>
  </si>
  <si>
    <t>1. MIDC - 4 tests in a row</t>
  </si>
  <si>
    <t>1.2 MIDC Sequence warm</t>
  </si>
  <si>
    <t>1.3 1st MIDC Sequence hot</t>
  </si>
  <si>
    <t>1.4 2nd MIDC Sequence hot</t>
  </si>
  <si>
    <t>2. MIDC 20°C in all drive modes</t>
  </si>
  <si>
    <t>RDE with PEMS</t>
  </si>
  <si>
    <t>2. NEDC 14°C</t>
  </si>
  <si>
    <t>3. NEDC 20°C in all drive modes</t>
  </si>
  <si>
    <t>4. WLTC 20°C</t>
  </si>
  <si>
    <t>1. WMTC - 4 tests in a row</t>
  </si>
  <si>
    <t>1. WLTC - 4 tests in a row</t>
  </si>
  <si>
    <t>1.2 WMTC Sequence warm</t>
  </si>
  <si>
    <t>1.3 1st WMTC Sequence hot</t>
  </si>
  <si>
    <t>1.4 2nd WMTC Sequence hot</t>
  </si>
  <si>
    <t>1.2 WLTC Sequence warm</t>
  </si>
  <si>
    <t>1.3 1st WLTC Sequence hot</t>
  </si>
  <si>
    <t>1.4 2nd WLTC Sequence hot</t>
  </si>
  <si>
    <t>CET</t>
  </si>
  <si>
    <t>1.1 FTP75 20°C Sequence cold</t>
  </si>
  <si>
    <t>1.1 JC08 20°C Sequence cold</t>
  </si>
  <si>
    <t>1.1 MIDC 20°C Sequence cold</t>
  </si>
  <si>
    <t>1.1 NEDC 20°C Sequence cold</t>
  </si>
  <si>
    <t>1.1 WMTC 20°C Sequence cold</t>
  </si>
  <si>
    <t>1.1 WLTC 20°C Sequence cold</t>
  </si>
  <si>
    <t>Regulation:</t>
  </si>
  <si>
    <t>NMHC 
[g/km]</t>
  </si>
  <si>
    <t>THC
[g/km]</t>
  </si>
  <si>
    <t>CO
[g/km]</t>
  </si>
  <si>
    <t>NOx
[g/km]</t>
  </si>
  <si>
    <t>PM
[mg/km]</t>
  </si>
  <si>
    <t>CO2
[g/km]</t>
  </si>
  <si>
    <t>NEDC</t>
  </si>
  <si>
    <t>Result:</t>
  </si>
  <si>
    <t>measurements:</t>
  </si>
  <si>
    <t>Insert result of measurement #1 and if necessary #2</t>
  </si>
  <si>
    <t>1st measurement</t>
  </si>
  <si>
    <t>Average 1st and 2nd measurement</t>
  </si>
  <si>
    <t>Test
type</t>
  </si>
  <si>
    <t>Emissionen</t>
  </si>
  <si>
    <t>NMHC</t>
  </si>
  <si>
    <t>THC</t>
  </si>
  <si>
    <t>CO</t>
  </si>
  <si>
    <t>NOx</t>
  </si>
  <si>
    <t>PM</t>
  </si>
  <si>
    <t>PN</t>
  </si>
  <si>
    <t>CO2</t>
  </si>
  <si>
    <t>Cold</t>
  </si>
  <si>
    <t>N1</t>
  </si>
  <si>
    <t>N2</t>
  </si>
  <si>
    <t>Durchschnitt</t>
  </si>
  <si>
    <t>Result</t>
  </si>
  <si>
    <t>Warm</t>
  </si>
  <si>
    <t>Hot 1</t>
  </si>
  <si>
    <t>Hot 2</t>
  </si>
  <si>
    <t>NEDC 14°C</t>
  </si>
  <si>
    <t>WLTC 20°C</t>
  </si>
  <si>
    <t>ECE -7°C</t>
  </si>
  <si>
    <t>Total (EMROAD)</t>
  </si>
  <si>
    <t>Total (unweighted)</t>
  </si>
  <si>
    <t>City (EMROAD)</t>
  </si>
  <si>
    <t>City (unweighted)</t>
  </si>
  <si>
    <t>s.s.e.t.</t>
  </si>
  <si>
    <t>Steady state emissions tailpipe</t>
  </si>
  <si>
    <t>NEDC in all drive modes</t>
  </si>
  <si>
    <t>14°C</t>
  </si>
  <si>
    <t>default</t>
  </si>
  <si>
    <t>Result [IEF]</t>
  </si>
  <si>
    <t>Target [IEF]</t>
  </si>
  <si>
    <t>aggressive</t>
  </si>
  <si>
    <t>normal</t>
  </si>
  <si>
    <t>Total Status:</t>
  </si>
  <si>
    <t>RDESi normal/ aggressive</t>
  </si>
  <si>
    <t>If individual CET for each component</t>
  </si>
  <si>
    <t>Drive Mode 6</t>
  </si>
  <si>
    <t>Drive Mode 5</t>
  </si>
  <si>
    <t>Drive Mode 4</t>
  </si>
  <si>
    <t>Drive Mode 3</t>
  </si>
  <si>
    <t>Drive Mode 2</t>
  </si>
  <si>
    <t>Drive Mode 1</t>
  </si>
  <si>
    <t>CODEX - Emission Robustness Evaluation</t>
  </si>
  <si>
    <t xml:space="preserve">Press "Import Data" </t>
  </si>
  <si>
    <t>Control Functions</t>
  </si>
  <si>
    <r>
      <t xml:space="preserve">Additional approval if </t>
    </r>
    <r>
      <rPr>
        <b/>
        <sz val="10"/>
        <color theme="1"/>
        <rFont val="Arial"/>
        <family val="2"/>
      </rPr>
      <t>IEF not met*</t>
    </r>
  </si>
  <si>
    <t>*Review required with CPO</t>
  </si>
  <si>
    <t>HWY</t>
  </si>
  <si>
    <t>FTP75 -7°C</t>
  </si>
  <si>
    <t xml:space="preserve">  </t>
  </si>
  <si>
    <t>Variante 1 - NEDC</t>
  </si>
  <si>
    <t>Variante 2 - FTP75</t>
  </si>
  <si>
    <t>Variante 3 - JC08</t>
  </si>
  <si>
    <t>Variante 4 - MIDC</t>
  </si>
  <si>
    <t>Variante 5 - WMTC</t>
  </si>
  <si>
    <t>Variante 6 - WLTC</t>
  </si>
  <si>
    <t>Total (SPF)</t>
  </si>
  <si>
    <t>City
 (SPF)</t>
  </si>
  <si>
    <t>Emission legislation limit -7°C</t>
  </si>
  <si>
    <t>Emission legislation limit 20°C</t>
  </si>
  <si>
    <t>1. NEDC 4 tests in a row</t>
  </si>
  <si>
    <t>1. FTP75 4 tests in a row</t>
  </si>
  <si>
    <t>2. FTP75 10°C</t>
  </si>
  <si>
    <t>3. FTP75 20°C in all drive modes</t>
  </si>
  <si>
    <t>4.1 US06</t>
  </si>
  <si>
    <t>4.2 HWY</t>
  </si>
  <si>
    <t>1. JC08 4 tests in a row</t>
  </si>
  <si>
    <t>1. MIDC 4 tests in a row</t>
  </si>
  <si>
    <t>1. WLTC 4 tests in a row</t>
  </si>
  <si>
    <t>NMHC 
[g/mi]</t>
  </si>
  <si>
    <t>THC
[g/mi]</t>
  </si>
  <si>
    <t>CO
[g/mi]</t>
  </si>
  <si>
    <t>NOx
[g/mi]</t>
  </si>
  <si>
    <t>PM
[mg/mi]</t>
  </si>
  <si>
    <t>PN
[#/mi]</t>
  </si>
  <si>
    <t>JC08</t>
  </si>
  <si>
    <t>JC08 in all drive modes</t>
  </si>
  <si>
    <t>WLTC 20°C (3 Phases)</t>
  </si>
  <si>
    <t>WLTC 20°C
(3 Phases)</t>
  </si>
  <si>
    <t>FTP75 20°C</t>
  </si>
  <si>
    <t>FTP75 10°C</t>
  </si>
  <si>
    <t>10°C</t>
  </si>
  <si>
    <t>FTP75 20°C in all drive modes</t>
  </si>
  <si>
    <t>US06, HWY</t>
  </si>
  <si>
    <t>US6</t>
  </si>
  <si>
    <t xml:space="preserve"> -7°C</t>
  </si>
  <si>
    <t>PN
[#/km]</t>
  </si>
  <si>
    <t>MIDC in all drive modes</t>
  </si>
  <si>
    <t>MIDC</t>
  </si>
  <si>
    <t>WMTC</t>
  </si>
  <si>
    <t>4. ECE -7°C</t>
  </si>
  <si>
    <t>WLTC</t>
  </si>
  <si>
    <t>WLTC 20°C cold, WLTC warm, 2x WLTC hot</t>
  </si>
  <si>
    <t>Average</t>
  </si>
  <si>
    <t>WLTC in all drive modes</t>
  </si>
  <si>
    <t>WLTC 14°C</t>
  </si>
  <si>
    <t>RDE on chassis dyno</t>
  </si>
  <si>
    <t>City (SPF)</t>
  </si>
  <si>
    <t>5. ECE -7°C</t>
  </si>
  <si>
    <t>5. FTP75 -7°C</t>
  </si>
  <si>
    <t>3. WLTC 20°C (3 Phases)</t>
  </si>
  <si>
    <t>GS/CPO</t>
  </si>
  <si>
    <t>n.a.</t>
  </si>
  <si>
    <t>4. US06, HWY</t>
  </si>
  <si>
    <t>2nd</t>
  </si>
  <si>
    <t>#</t>
  </si>
  <si>
    <t>1. WMTC 4 tests in a row</t>
  </si>
  <si>
    <t>Check</t>
  </si>
  <si>
    <r>
      <rPr>
        <b/>
        <sz val="14"/>
        <color theme="1"/>
        <rFont val="Arial"/>
        <family val="2"/>
      </rPr>
      <t>Boundary conditions:</t>
    </r>
    <r>
      <rPr>
        <b/>
        <u/>
        <sz val="10"/>
        <color theme="1"/>
        <rFont val="Arial"/>
        <family val="2"/>
      </rPr>
      <t xml:space="preserve">
</t>
    </r>
    <r>
      <rPr>
        <b/>
        <sz val="11"/>
        <color theme="1"/>
        <rFont val="Arial"/>
        <family val="2"/>
      </rPr>
      <t>1) Please select number of variants and the specific variant
2) Select which tests are realized; comment if tests are skipped
3) There are max. ten variants</t>
    </r>
    <r>
      <rPr>
        <sz val="10"/>
        <color theme="1"/>
        <rFont val="Arial"/>
        <family val="2"/>
      </rPr>
      <t xml:space="preserve">
</t>
    </r>
  </si>
  <si>
    <t>Number of Variants:</t>
  </si>
  <si>
    <t>If no, why is this test not realized</t>
  </si>
  <si>
    <t>[Project/ Variant]</t>
  </si>
  <si>
    <t>Übersetzung</t>
  </si>
  <si>
    <t>Tabellenblatt</t>
  </si>
  <si>
    <t>Release of Measurement Program</t>
  </si>
  <si>
    <t>Release of Results</t>
  </si>
  <si>
    <r>
      <t xml:space="preserve">Remark
</t>
    </r>
    <r>
      <rPr>
        <sz val="12"/>
        <color theme="1"/>
        <rFont val="Bosch Office Sans"/>
        <family val="2"/>
      </rPr>
      <t>(Mandatory for Status B and C)</t>
    </r>
  </si>
  <si>
    <t>B: IEF target not achieved, due to technical reason / restriction
C:IEF target not achieved, reason can not be fully explained with technical reason / restriction</t>
  </si>
  <si>
    <t>Results &amp; Remarks:</t>
  </si>
  <si>
    <t>!</t>
  </si>
  <si>
    <t>To keep your results and remarks when switching between different variants please push "Save"- button above</t>
  </si>
  <si>
    <t>Emission legislation limit 10°C</t>
  </si>
  <si>
    <t>Gesamtstatus</t>
  </si>
  <si>
    <t>Variante 2a - Brazil Flex Fuel</t>
  </si>
  <si>
    <t>4. HWY</t>
  </si>
  <si>
    <t>6. Steady state emissions</t>
  </si>
  <si>
    <t>7.1 RDESi normal</t>
  </si>
  <si>
    <t>7.2 RDESi aggressive</t>
  </si>
  <si>
    <t>8.1 City (unweighted)</t>
  </si>
  <si>
    <t>8.2 City (EMROAD)</t>
  </si>
  <si>
    <t>8.3 City (SPF)</t>
  </si>
  <si>
    <t>8.4 Total (unweighted)</t>
  </si>
  <si>
    <t>8.5 Total (EMROAD)</t>
  </si>
  <si>
    <t>8.6 Total (SPF)</t>
  </si>
  <si>
    <t>7. RDE on chassis dyno</t>
  </si>
  <si>
    <t>8. RDE with PEMS</t>
  </si>
  <si>
    <t xml:space="preserve">
Status
</t>
  </si>
  <si>
    <t>How- To Guide: Codex Sheets</t>
  </si>
  <si>
    <t xml:space="preserve">How- To Example is Variant 1 - NEDC, but for the other Variants it works the same way. </t>
  </si>
  <si>
    <t>A) Release of Measurement Program</t>
  </si>
  <si>
    <t>B) Release of Results</t>
  </si>
  <si>
    <t xml:space="preserve">C) Variant X - XXXX </t>
  </si>
  <si>
    <t>Daten Gasoline'!$B$3:$B$8</t>
  </si>
  <si>
    <t>Editor</t>
  </si>
  <si>
    <t>Content</t>
  </si>
  <si>
    <t>Amel Bajsini (DGS- EC/EAA3)</t>
  </si>
  <si>
    <t>How- To Guide, Release of Messurement Program, Release of Results, Variants 1-6, VBA Macro Programming</t>
  </si>
  <si>
    <t>Codex Measurement Program</t>
  </si>
  <si>
    <t>Emission Robustness Evaluation_V1.4 - Variant 1 - NEDC</t>
  </si>
  <si>
    <t>Emission Robustness Evaluation_V1.4 - Variant 2a - Brazil Flex Fuel</t>
  </si>
  <si>
    <t>V1.1</t>
  </si>
  <si>
    <t>V1.0</t>
  </si>
  <si>
    <t xml:space="preserve">Version: V1.1 </t>
  </si>
  <si>
    <t>WMTC 20°C</t>
  </si>
  <si>
    <t>WMTC 5°C</t>
  </si>
  <si>
    <t>WMTC 20°C in all drive modes</t>
  </si>
  <si>
    <t>RDE-RC-AGGR</t>
  </si>
  <si>
    <t>2. WMTC 5°C</t>
  </si>
  <si>
    <t>3. WMTC 20°C in all drive modes</t>
  </si>
  <si>
    <t>4. Steady state emissions</t>
  </si>
  <si>
    <t>5. RDE on chassis dyno</t>
  </si>
  <si>
    <t>5. RDE-RC-AGGR</t>
  </si>
  <si>
    <t>Result Fuel2
[IEF]</t>
  </si>
  <si>
    <t xml:space="preserve">Reference Procedure: </t>
  </si>
  <si>
    <t>Variant 1</t>
  </si>
  <si>
    <t>Variant 2</t>
  </si>
  <si>
    <t>Variant 3</t>
  </si>
  <si>
    <t>Variant 4</t>
  </si>
  <si>
    <t>Variant 5</t>
  </si>
  <si>
    <t>Variant 6</t>
  </si>
  <si>
    <t>Variant 2a</t>
  </si>
  <si>
    <t>Variant 2a - Brazil Flex Fuel, Variant 5 - WMTC Update, Flex Fuel Project, VBA Macro Programming</t>
  </si>
  <si>
    <t>Emissionsgrenzwerte</t>
  </si>
  <si>
    <t>Positive Ingnition (Gasoline)</t>
  </si>
  <si>
    <t>Euro 1</t>
  </si>
  <si>
    <t>Euro 2</t>
  </si>
  <si>
    <t>Euro 3</t>
  </si>
  <si>
    <t>Euro 4</t>
  </si>
  <si>
    <t>Euro 6b</t>
  </si>
  <si>
    <t>Euro 6c</t>
  </si>
  <si>
    <t>Euro 6d- TEMP</t>
  </si>
  <si>
    <t>Euro 6d</t>
  </si>
  <si>
    <t>Euro 5a</t>
  </si>
  <si>
    <t>FTP</t>
  </si>
  <si>
    <t>US EPA Tier 1</t>
  </si>
  <si>
    <t>Euro 5b</t>
  </si>
  <si>
    <t>US EPA Tier 2 Bin 5</t>
  </si>
  <si>
    <t>US EPA Tier 2 Bin 6</t>
  </si>
  <si>
    <t>US EPA Tier 2 Bin 7</t>
  </si>
  <si>
    <t>US EPA Tier 2 Bin 8</t>
  </si>
  <si>
    <t>US EPA Tier 2 Bin 9</t>
  </si>
  <si>
    <t>US EPA Tier 2 Bin 10</t>
  </si>
  <si>
    <t>US EPA Tier 2 Bin 11</t>
  </si>
  <si>
    <t>Daniel Klaiber (DGS-EC/EAM2)</t>
  </si>
  <si>
    <r>
      <t>Head of Department SPjM CAL (</t>
    </r>
    <r>
      <rPr>
        <sz val="10"/>
        <color rgb="FFFF0000"/>
        <rFont val="Arial"/>
        <family val="2"/>
      </rPr>
      <t>DGS-EC/EAX</t>
    </r>
    <r>
      <rPr>
        <sz val="10"/>
        <color theme="1"/>
        <rFont val="Arial"/>
        <family val="2"/>
      </rPr>
      <t>)</t>
    </r>
  </si>
  <si>
    <r>
      <t>SPjM CAL (</t>
    </r>
    <r>
      <rPr>
        <sz val="10"/>
        <color rgb="FFFF0000"/>
        <rFont val="Arial"/>
        <family val="2"/>
      </rPr>
      <t>DGS-EC/EAX</t>
    </r>
    <r>
      <rPr>
        <sz val="10"/>
        <color theme="1"/>
        <rFont val="Arial"/>
        <family val="2"/>
      </rPr>
      <t>)</t>
    </r>
  </si>
  <si>
    <r>
      <t>Subproject Manager Calibration (</t>
    </r>
    <r>
      <rPr>
        <sz val="10"/>
        <color rgb="FFFF0000"/>
        <rFont val="Arial"/>
        <family val="2"/>
      </rPr>
      <t>DGS-EC/EAX</t>
    </r>
    <r>
      <rPr>
        <sz val="10"/>
        <color theme="1"/>
        <rFont val="Arial"/>
        <family val="2"/>
      </rPr>
      <t>)</t>
    </r>
  </si>
  <si>
    <r>
      <t>Head of Department SPjM (</t>
    </r>
    <r>
      <rPr>
        <sz val="10"/>
        <color rgb="FFFF0000"/>
        <rFont val="Arial"/>
        <family val="2"/>
      </rPr>
      <t>DGS-EC/EAX</t>
    </r>
    <r>
      <rPr>
        <sz val="10"/>
        <color theme="1"/>
        <rFont val="Arial"/>
        <family val="2"/>
      </rPr>
      <t>)</t>
    </r>
  </si>
  <si>
    <r>
      <t>Vice President of Department Head
(</t>
    </r>
    <r>
      <rPr>
        <sz val="10"/>
        <color rgb="FFFF0000"/>
        <rFont val="Arial"/>
        <family val="2"/>
      </rPr>
      <t>DGS-EC/PA-CA</t>
    </r>
    <r>
      <rPr>
        <sz val="10"/>
        <color theme="1"/>
        <rFont val="Arial"/>
        <family val="2"/>
      </rPr>
      <t>)</t>
    </r>
  </si>
  <si>
    <r>
      <t>Head of Department Emission Optimization (</t>
    </r>
    <r>
      <rPr>
        <sz val="10"/>
        <color rgb="FFFF0000"/>
        <rFont val="Arial"/>
        <family val="2"/>
      </rPr>
      <t>DGS-EC/EAX</t>
    </r>
    <r>
      <rPr>
        <sz val="10"/>
        <color theme="1"/>
        <rFont val="Arial"/>
        <family val="2"/>
      </rPr>
      <t>)</t>
    </r>
  </si>
  <si>
    <t>Additional
component</t>
  </si>
  <si>
    <t>Additional
component 2</t>
  </si>
  <si>
    <t>Brazil Flex Fuel</t>
  </si>
  <si>
    <t>PROCONVE L4</t>
  </si>
  <si>
    <t>New Short Term</t>
  </si>
  <si>
    <t>PROCONVE L5</t>
  </si>
  <si>
    <t>New Long Term</t>
  </si>
  <si>
    <t>PROCONVE L6</t>
  </si>
  <si>
    <t>Post New Long Term</t>
  </si>
  <si>
    <t>Additional Components</t>
  </si>
  <si>
    <t>Additional Components 2</t>
  </si>
  <si>
    <t>Add. Component</t>
  </si>
  <si>
    <t>6. RDE with PEMS</t>
  </si>
  <si>
    <t>6. RDE extended conditions</t>
  </si>
  <si>
    <t>7. RDESi normal / aggressive</t>
  </si>
  <si>
    <t>5. RDESi normal / aggressive</t>
  </si>
  <si>
    <t>5.1 RDESi normal</t>
  </si>
  <si>
    <t>5.2 RDESi aggressive</t>
  </si>
  <si>
    <t>6.1 City (unweighted)</t>
  </si>
  <si>
    <t>6.2 City (EMROAD)</t>
  </si>
  <si>
    <t>6.3 City (SPF)</t>
  </si>
  <si>
    <t>6.4 Total (unweighted)</t>
  </si>
  <si>
    <t>6.5 Total (EMROAD)</t>
  </si>
  <si>
    <t>6.6 Total (SPF)</t>
  </si>
  <si>
    <t>Other</t>
  </si>
  <si>
    <t>6. RDESi (Brazil) normal / aggressive</t>
  </si>
  <si>
    <t>6.1 RDESi normal</t>
  </si>
  <si>
    <t>6.2 RDESi aggressive</t>
  </si>
  <si>
    <t>7. RDE on road with PEMS</t>
  </si>
  <si>
    <t>7.1 City (unweighted)</t>
  </si>
  <si>
    <t>7.2 City (EMROAD)</t>
  </si>
  <si>
    <t>7.3 City (SPF)</t>
  </si>
  <si>
    <t>7.4 Total (unweighted)</t>
  </si>
  <si>
    <t>7.5 Total (EMROAD)</t>
  </si>
  <si>
    <t>7.6 Total (SPF)</t>
  </si>
  <si>
    <t>India 2000</t>
  </si>
  <si>
    <t>BS 2</t>
  </si>
  <si>
    <t>BS 3</t>
  </si>
  <si>
    <t>BS 4</t>
  </si>
  <si>
    <t>BS 5</t>
  </si>
  <si>
    <t>BS 6</t>
  </si>
  <si>
    <t>BS 1 2-Wheeler</t>
  </si>
  <si>
    <t>BS 2 2-Wheeler</t>
  </si>
  <si>
    <t>BS 3 2-Wheeler</t>
  </si>
  <si>
    <t>BS 1 3-Wheeler</t>
  </si>
  <si>
    <t>BS 2 3-Wheeler</t>
  </si>
  <si>
    <t>BS 3 3-Wheeler</t>
  </si>
  <si>
    <t>Additional component</t>
  </si>
  <si>
    <t>Flex Fuel Project:</t>
  </si>
  <si>
    <t>VBA Macro update, VBA Macro robustness, 2 Extra emission limit column for all variants, easier formulas for all variants</t>
  </si>
  <si>
    <t>V1.4</t>
  </si>
  <si>
    <t>Emission Robustness Evaluation_V1.4 - Variant 2 - FTP75</t>
  </si>
  <si>
    <t>Emission Robustness Evaluation_V1.4 - Variant 3 - JC08</t>
  </si>
  <si>
    <t>Emission Robustness Evaluation_V1.4 - Variant 4 - MIDC</t>
  </si>
  <si>
    <t>Emission Robustness Evaluation_V1.4 - Variant 5 - WMTC</t>
  </si>
  <si>
    <t>Emission Robustness Evaluation_V1.4 - Variant 6 - WLTC</t>
  </si>
  <si>
    <t>2. WLTC 14°C</t>
  </si>
  <si>
    <t>3. WLTC 20°C in all drive modes</t>
  </si>
  <si>
    <t>RDESi</t>
  </si>
  <si>
    <t>aggressive @ minimum moderate temperature limit</t>
  </si>
  <si>
    <t>aggressive @ maximum moderate temperature limitt</t>
  </si>
  <si>
    <t>aggressive @ maximum moderate temperature limit and extended altitude</t>
  </si>
  <si>
    <t>5.1 RDESi aggressive@minimum moderate temperature limit</t>
  </si>
  <si>
    <t>5.2 RDES aggressive@maximum moderate temperature limit</t>
  </si>
  <si>
    <t>5.3 RDESi aggressive@maximum moderate temperature limit and extended altitude</t>
  </si>
  <si>
    <t>V1.4.1</t>
  </si>
  <si>
    <t>Daniel Klaiber (PS-EC/EBT1)</t>
  </si>
  <si>
    <t xml:space="preserve">VBA Macro update, VBA Macro robustness, WLTC program update </t>
  </si>
  <si>
    <t>V1.4.2</t>
  </si>
  <si>
    <t>VBA Macro update, VBA Macro robustness, WLTC limit -7° values</t>
  </si>
  <si>
    <t>test</t>
  </si>
  <si>
    <t>IEF target achieved</t>
  </si>
  <si>
    <t>iCDM Upload</t>
  </si>
  <si>
    <t>Category</t>
  </si>
  <si>
    <t>Name</t>
  </si>
  <si>
    <t>Column</t>
  </si>
  <si>
    <t>Measure</t>
  </si>
  <si>
    <t>Value</t>
  </si>
  <si>
    <t>Regulation</t>
  </si>
  <si>
    <t>NMHC [g/km]</t>
  </si>
  <si>
    <t>THC [g/km]</t>
  </si>
  <si>
    <t>Testcase</t>
  </si>
  <si>
    <t>'1.1 MIDC 20°C Sequence cold</t>
  </si>
  <si>
    <t>passed</t>
  </si>
  <si>
    <t>Total Status</t>
  </si>
  <si>
    <t>listed</t>
  </si>
  <si>
    <t>MD</t>
  </si>
  <si>
    <t>Variant Details</t>
  </si>
  <si>
    <t>Not necessary</t>
  </si>
  <si>
    <t>Fueltype</t>
  </si>
  <si>
    <t>Yes, 2nd Fuel</t>
  </si>
  <si>
    <t>Result Fuel1 [IEF]</t>
  </si>
  <si>
    <t>RoMP Check</t>
  </si>
  <si>
    <t>RoMP Remark</t>
  </si>
  <si>
    <t>RoR Target [IEF]</t>
  </si>
  <si>
    <t>RoR Result[IEF]</t>
  </si>
  <si>
    <t>RoR Result Fuel2 [IEF]</t>
  </si>
  <si>
    <t>RoR Status</t>
  </si>
  <si>
    <t>RoR Remark</t>
  </si>
  <si>
    <t>RoR Flex Fuel Project</t>
  </si>
  <si>
    <t>RoR Approval for project start Text</t>
  </si>
  <si>
    <t>[B - IEF …]</t>
  </si>
  <si>
    <t>RoR Approval for project start</t>
  </si>
  <si>
    <t>RoR Customer</t>
  </si>
  <si>
    <t>Audi</t>
  </si>
  <si>
    <t>RoR Chassis denomination</t>
  </si>
  <si>
    <t>Chassis XYZ</t>
  </si>
  <si>
    <t>RoR Engine</t>
  </si>
  <si>
    <t>EA888</t>
  </si>
  <si>
    <t>RoR Market</t>
  </si>
  <si>
    <t>EU</t>
  </si>
  <si>
    <t>RoR Lead Project</t>
  </si>
  <si>
    <t>EA888 EVO</t>
  </si>
  <si>
    <t>RoR Software</t>
  </si>
  <si>
    <t>DMD1688</t>
  </si>
  <si>
    <t>RoR Dataset</t>
  </si>
  <si>
    <t>DS1</t>
  </si>
  <si>
    <t>NEDC - 4 tests in a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</si>
</sst>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Bosch Office Sans"/>
      <family val="2"/>
    </font>
    <font>
      <b/>
      <sz val="18"/>
      <color theme="0"/>
      <name val="Bosch Office Sans"/>
      <family val="2"/>
    </font>
    <font>
      <b/>
      <sz val="14"/>
      <name val="Bosch Office Sans"/>
      <family val="2"/>
    </font>
    <font>
      <b/>
      <sz val="12"/>
      <name val="Bosch Office Sans"/>
      <family val="2"/>
    </font>
    <font>
      <sz val="10"/>
      <name val="Bosch Office Sans"/>
      <family val="2"/>
    </font>
    <font>
      <b/>
      <sz val="11"/>
      <color theme="1"/>
      <name val="Bosch Office Sans"/>
      <family val="2"/>
    </font>
    <font>
      <b/>
      <sz val="10"/>
      <name val="Bosch Office Sans"/>
      <family val="2"/>
    </font>
    <font>
      <sz val="10"/>
      <color rgb="FF0070C0"/>
      <name val="Arial"/>
      <family val="2"/>
    </font>
    <font>
      <b/>
      <sz val="10"/>
      <color theme="1"/>
      <name val="Bosch Office Sans"/>
      <family val="2"/>
    </font>
    <font>
      <b/>
      <sz val="12"/>
      <color theme="1"/>
      <name val="Bosch Office Sans"/>
      <family val="2"/>
    </font>
    <font>
      <b/>
      <sz val="12"/>
      <name val="Arial"/>
      <family val="2"/>
    </font>
    <font>
      <b/>
      <i/>
      <sz val="9"/>
      <name val="Arial"/>
      <family val="2"/>
    </font>
    <font>
      <sz val="7"/>
      <color theme="1"/>
      <name val="Arial"/>
      <family val="2"/>
    </font>
    <font>
      <b/>
      <u/>
      <sz val="18"/>
      <color theme="0"/>
      <name val="Bosch Office Sans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b/>
      <sz val="16"/>
      <color theme="1"/>
      <name val="Arial"/>
      <family val="2"/>
    </font>
    <font>
      <b/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4"/>
      <color theme="1"/>
      <name val="Bosch Office Sans"/>
      <family val="2"/>
    </font>
    <font>
      <sz val="12"/>
      <color theme="1"/>
      <name val="Bosch Office Sans"/>
      <family val="2"/>
    </font>
    <font>
      <sz val="10"/>
      <color rgb="FF9C6500"/>
      <name val="Arial"/>
      <family val="2"/>
    </font>
    <font>
      <b/>
      <sz val="10"/>
      <name val="Arial"/>
      <family val="2"/>
    </font>
    <font>
      <sz val="10"/>
      <color theme="0"/>
      <name val="Bosch Office Sans"/>
      <family val="2"/>
    </font>
    <font>
      <b/>
      <sz val="10"/>
      <color theme="0"/>
      <name val="Bosch Office Sans"/>
      <family val="2"/>
    </font>
    <font>
      <i/>
      <sz val="10"/>
      <color theme="1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sz val="10"/>
      <color theme="0" tint="-0.14999847407452621"/>
      <name val="Arial"/>
      <family val="2"/>
    </font>
    <font>
      <b/>
      <sz val="16"/>
      <name val="Arial"/>
      <family val="2"/>
    </font>
    <font>
      <b/>
      <sz val="20"/>
      <color theme="1"/>
      <name val="Arial"/>
      <family val="2"/>
    </font>
    <font>
      <sz val="9"/>
      <color indexed="81"/>
      <name val="Segoe UI"/>
      <family val="2"/>
    </font>
    <font>
      <b/>
      <sz val="11"/>
      <color indexed="81"/>
      <name val="Segoe UI"/>
      <family val="2"/>
    </font>
    <font>
      <b/>
      <sz val="11"/>
      <color theme="1"/>
      <name val="Arial"/>
      <family val="2"/>
    </font>
    <font>
      <u/>
      <sz val="10"/>
      <color theme="1"/>
      <name val="Arial"/>
      <family val="2"/>
    </font>
    <font>
      <sz val="48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24"/>
      <color theme="1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20"/>
      <color theme="1"/>
      <name val="Bosch Office Sans"/>
      <family val="2"/>
    </font>
    <font>
      <sz val="10"/>
      <color rgb="FFFF0000"/>
      <name val="Arial"/>
      <family val="2"/>
    </font>
    <font>
      <b/>
      <sz val="8"/>
      <color theme="1"/>
      <name val="Bosch Office Sans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4"/>
      </patternFill>
    </fill>
    <fill>
      <patternFill patternType="lightUp">
        <fgColor theme="2"/>
        <bgColor theme="0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7" fillId="0" borderId="0" applyNumberFormat="0" applyFill="0" applyBorder="0" applyAlignment="0" applyProtection="0"/>
    <xf numFmtId="0" fontId="21" fillId="0" borderId="0"/>
    <xf numFmtId="0" fontId="24" fillId="11" borderId="0" applyNumberFormat="0" applyBorder="0" applyAlignment="0" applyProtection="0"/>
    <xf numFmtId="0" fontId="22" fillId="0" borderId="2">
      <alignment horizontal="center" vertical="center"/>
      <protection locked="0"/>
    </xf>
  </cellStyleXfs>
  <cellXfs count="899">
    <xf numFmtId="0" fontId="0" fillId="0" borderId="0" xfId="0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0" xfId="0" applyFill="1" applyBorder="1"/>
    <xf numFmtId="0" fontId="3" fillId="2" borderId="0" xfId="0" applyFont="1" applyFill="1" applyBorder="1" applyAlignment="1">
      <alignment horizontal="left" wrapText="1"/>
    </xf>
    <xf numFmtId="0" fontId="3" fillId="2" borderId="0" xfId="0" applyFont="1" applyFill="1" applyBorder="1"/>
    <xf numFmtId="0" fontId="3" fillId="2" borderId="0" xfId="0" applyFont="1" applyFill="1" applyBorder="1" applyAlignment="1">
      <alignment horizontal="center" vertical="center"/>
    </xf>
    <xf numFmtId="0" fontId="3" fillId="2" borderId="8" xfId="0" applyFont="1" applyFill="1" applyBorder="1"/>
    <xf numFmtId="0" fontId="3" fillId="2" borderId="0" xfId="0" applyFont="1" applyFill="1" applyBorder="1" applyAlignment="1">
      <alignment wrapText="1"/>
    </xf>
    <xf numFmtId="0" fontId="6" fillId="2" borderId="8" xfId="0" applyFont="1" applyFill="1" applyBorder="1" applyAlignment="1">
      <alignment vertical="center"/>
    </xf>
    <xf numFmtId="0" fontId="0" fillId="0" borderId="0" xfId="0" applyBorder="1"/>
    <xf numFmtId="0" fontId="5" fillId="2" borderId="8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0" fillId="2" borderId="7" xfId="0" applyFill="1" applyBorder="1"/>
    <xf numFmtId="0" fontId="0" fillId="2" borderId="9" xfId="0" applyFill="1" applyBorder="1"/>
    <xf numFmtId="0" fontId="3" fillId="2" borderId="9" xfId="0" applyFont="1" applyFill="1" applyBorder="1"/>
    <xf numFmtId="0" fontId="3" fillId="2" borderId="9" xfId="0" applyFont="1" applyFill="1" applyBorder="1" applyAlignment="1">
      <alignment wrapText="1"/>
    </xf>
    <xf numFmtId="0" fontId="3" fillId="2" borderId="9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11" xfId="0" applyFont="1" applyFill="1" applyBorder="1" applyAlignment="1">
      <alignment horizontal="left"/>
    </xf>
    <xf numFmtId="0" fontId="0" fillId="2" borderId="11" xfId="0" applyFont="1" applyFill="1" applyBorder="1" applyAlignment="1">
      <alignment horizontal="left"/>
    </xf>
    <xf numFmtId="0" fontId="11" fillId="2" borderId="8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9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2" xfId="0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0" fontId="8" fillId="2" borderId="0" xfId="0" applyFont="1" applyFill="1" applyBorder="1" applyAlignment="1"/>
    <xf numFmtId="0" fontId="7" fillId="2" borderId="8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12" fillId="2" borderId="14" xfId="0" applyFont="1" applyFill="1" applyBorder="1" applyAlignment="1">
      <alignment horizontal="center" vertical="center" wrapText="1"/>
    </xf>
    <xf numFmtId="0" fontId="17" fillId="0" borderId="0" xfId="1"/>
    <xf numFmtId="0" fontId="3" fillId="2" borderId="18" xfId="0" applyFont="1" applyFill="1" applyBorder="1" applyAlignment="1">
      <alignment vertical="center" wrapText="1"/>
    </xf>
    <xf numFmtId="0" fontId="0" fillId="0" borderId="9" xfId="0" applyBorder="1"/>
    <xf numFmtId="0" fontId="3" fillId="0" borderId="0" xfId="2" applyFont="1" applyAlignment="1">
      <alignment horizontal="center" vertical="center"/>
    </xf>
    <xf numFmtId="0" fontId="3" fillId="0" borderId="0" xfId="2" applyFont="1"/>
    <xf numFmtId="0" fontId="21" fillId="0" borderId="0" xfId="2"/>
    <xf numFmtId="0" fontId="3" fillId="0" borderId="0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11" xfId="2" applyFont="1" applyBorder="1"/>
    <xf numFmtId="0" fontId="3" fillId="0" borderId="12" xfId="2" applyFont="1" applyBorder="1"/>
    <xf numFmtId="0" fontId="11" fillId="0" borderId="0" xfId="2" applyFont="1" applyBorder="1" applyAlignment="1">
      <alignment horizontal="center" vertical="center"/>
    </xf>
    <xf numFmtId="0" fontId="11" fillId="0" borderId="1" xfId="2" applyFont="1" applyBorder="1" applyAlignment="1">
      <alignment horizontal="center" vertical="center" wrapText="1"/>
    </xf>
    <xf numFmtId="0" fontId="12" fillId="4" borderId="1" xfId="2" applyFont="1" applyFill="1" applyBorder="1" applyAlignment="1">
      <alignment horizontal="center" vertical="center"/>
    </xf>
    <xf numFmtId="0" fontId="21" fillId="0" borderId="0" xfId="2" applyNumberFormat="1"/>
    <xf numFmtId="0" fontId="3" fillId="0" borderId="0" xfId="2" applyNumberFormat="1" applyFont="1" applyBorder="1" applyAlignment="1">
      <alignment horizontal="center" vertical="center"/>
    </xf>
    <xf numFmtId="0" fontId="3" fillId="0" borderId="0" xfId="2" applyNumberFormat="1" applyFont="1"/>
    <xf numFmtId="0" fontId="3" fillId="0" borderId="0" xfId="2" applyNumberFormat="1" applyFont="1" applyAlignment="1">
      <alignment horizontal="center" vertical="center"/>
    </xf>
    <xf numFmtId="0" fontId="3" fillId="2" borderId="12" xfId="2" applyFont="1" applyFill="1" applyBorder="1" applyAlignment="1">
      <alignment horizontal="center" vertical="center"/>
    </xf>
    <xf numFmtId="164" fontId="3" fillId="2" borderId="9" xfId="2" applyNumberFormat="1" applyFont="1" applyFill="1" applyBorder="1" applyAlignment="1">
      <alignment horizontal="center" vertical="center"/>
    </xf>
    <xf numFmtId="164" fontId="3" fillId="2" borderId="0" xfId="2" applyNumberFormat="1" applyFont="1" applyFill="1" applyBorder="1" applyAlignment="1">
      <alignment horizontal="center" vertical="center"/>
    </xf>
    <xf numFmtId="0" fontId="3" fillId="2" borderId="9" xfId="2" applyNumberFormat="1" applyFont="1" applyFill="1" applyBorder="1" applyAlignment="1">
      <alignment horizontal="center" vertical="center"/>
    </xf>
    <xf numFmtId="0" fontId="3" fillId="2" borderId="0" xfId="2" applyNumberFormat="1" applyFont="1" applyFill="1" applyBorder="1" applyAlignment="1">
      <alignment horizontal="center" vertical="center"/>
    </xf>
    <xf numFmtId="0" fontId="3" fillId="2" borderId="9" xfId="2" applyFont="1" applyFill="1" applyBorder="1" applyAlignment="1">
      <alignment horizontal="center" vertical="center"/>
    </xf>
    <xf numFmtId="0" fontId="21" fillId="2" borderId="0" xfId="2" applyFill="1" applyBorder="1"/>
    <xf numFmtId="0" fontId="3" fillId="0" borderId="0" xfId="2" applyFont="1" applyAlignment="1" applyProtection="1">
      <alignment horizontal="center" vertical="center"/>
      <protection locked="0"/>
    </xf>
    <xf numFmtId="0" fontId="11" fillId="2" borderId="1" xfId="2" applyFont="1" applyFill="1" applyBorder="1" applyAlignment="1">
      <alignment horizontal="center" vertical="center"/>
    </xf>
    <xf numFmtId="164" fontId="11" fillId="9" borderId="39" xfId="2" applyNumberFormat="1" applyFont="1" applyFill="1" applyBorder="1" applyAlignment="1">
      <alignment horizontal="center" vertical="center"/>
    </xf>
    <xf numFmtId="0" fontId="11" fillId="9" borderId="1" xfId="2" applyFont="1" applyFill="1" applyBorder="1" applyAlignment="1">
      <alignment horizontal="center" vertical="center"/>
    </xf>
    <xf numFmtId="0" fontId="11" fillId="10" borderId="39" xfId="2" applyNumberFormat="1" applyFont="1" applyFill="1" applyBorder="1" applyAlignment="1">
      <alignment horizontal="center" vertical="center"/>
    </xf>
    <xf numFmtId="0" fontId="11" fillId="10" borderId="1" xfId="2" applyNumberFormat="1" applyFont="1" applyFill="1" applyBorder="1" applyAlignment="1">
      <alignment horizontal="center" vertical="center"/>
    </xf>
    <xf numFmtId="0" fontId="11" fillId="6" borderId="40" xfId="2" applyFont="1" applyFill="1" applyBorder="1" applyAlignment="1">
      <alignment horizontal="center" vertical="center"/>
    </xf>
    <xf numFmtId="0" fontId="11" fillId="2" borderId="41" xfId="2" applyFont="1" applyFill="1" applyBorder="1" applyAlignment="1">
      <alignment horizontal="center" vertical="center"/>
    </xf>
    <xf numFmtId="0" fontId="11" fillId="2" borderId="1" xfId="2" applyFont="1" applyFill="1" applyBorder="1" applyAlignment="1">
      <alignment horizontal="center" vertical="center" wrapText="1"/>
    </xf>
    <xf numFmtId="0" fontId="12" fillId="2" borderId="1" xfId="2" applyFont="1" applyFill="1" applyBorder="1" applyAlignment="1">
      <alignment horizontal="center" vertical="center"/>
    </xf>
    <xf numFmtId="0" fontId="12" fillId="2" borderId="26" xfId="2" applyFont="1" applyFill="1" applyBorder="1" applyAlignment="1">
      <alignment horizontal="center" vertical="center"/>
    </xf>
    <xf numFmtId="0" fontId="3" fillId="0" borderId="0" xfId="2" applyFont="1" applyBorder="1" applyAlignment="1">
      <alignment vertical="center"/>
    </xf>
    <xf numFmtId="0" fontId="11" fillId="2" borderId="0" xfId="2" applyNumberFormat="1" applyFont="1" applyFill="1" applyBorder="1" applyAlignment="1">
      <alignment horizontal="center" vertical="center"/>
    </xf>
    <xf numFmtId="164" fontId="3" fillId="2" borderId="0" xfId="2" applyNumberFormat="1" applyFont="1" applyFill="1" applyBorder="1" applyAlignment="1">
      <alignment vertical="center"/>
    </xf>
    <xf numFmtId="0" fontId="3" fillId="2" borderId="0" xfId="2" applyFont="1" applyFill="1" applyBorder="1" applyAlignment="1">
      <alignment vertical="center"/>
    </xf>
    <xf numFmtId="0" fontId="11" fillId="2" borderId="0" xfId="2" applyFont="1" applyFill="1" applyBorder="1" applyAlignment="1">
      <alignment vertical="center" wrapText="1"/>
    </xf>
    <xf numFmtId="0" fontId="11" fillId="2" borderId="0" xfId="2" applyFont="1" applyFill="1" applyBorder="1" applyAlignment="1">
      <alignment horizontal="center" vertical="center"/>
    </xf>
    <xf numFmtId="0" fontId="11" fillId="2" borderId="0" xfId="2" applyNumberFormat="1" applyFont="1" applyFill="1" applyBorder="1" applyAlignment="1">
      <alignment vertical="center"/>
    </xf>
    <xf numFmtId="0" fontId="11" fillId="2" borderId="12" xfId="2" applyFont="1" applyFill="1" applyBorder="1" applyAlignment="1">
      <alignment horizontal="center" vertical="center"/>
    </xf>
    <xf numFmtId="0" fontId="11" fillId="2" borderId="11" xfId="2" applyFont="1" applyFill="1" applyBorder="1" applyAlignment="1">
      <alignment horizontal="center" vertical="center"/>
    </xf>
    <xf numFmtId="164" fontId="3" fillId="2" borderId="11" xfId="2" applyNumberFormat="1" applyFont="1" applyFill="1" applyBorder="1" applyAlignment="1">
      <alignment vertical="center"/>
    </xf>
    <xf numFmtId="0" fontId="3" fillId="2" borderId="11" xfId="2" applyFont="1" applyFill="1" applyBorder="1" applyAlignment="1">
      <alignment vertical="center"/>
    </xf>
    <xf numFmtId="0" fontId="11" fillId="2" borderId="10" xfId="2" applyFont="1" applyFill="1" applyBorder="1" applyAlignment="1">
      <alignment vertical="center" wrapText="1"/>
    </xf>
    <xf numFmtId="164" fontId="11" fillId="2" borderId="9" xfId="2" applyNumberFormat="1" applyFont="1" applyFill="1" applyBorder="1" applyAlignment="1">
      <alignment horizontal="center" vertical="center"/>
    </xf>
    <xf numFmtId="164" fontId="11" fillId="2" borderId="0" xfId="2" applyNumberFormat="1" applyFont="1" applyFill="1" applyBorder="1" applyAlignment="1">
      <alignment horizontal="center" vertical="center"/>
    </xf>
    <xf numFmtId="0" fontId="11" fillId="2" borderId="8" xfId="2" applyFont="1" applyFill="1" applyBorder="1" applyAlignment="1">
      <alignment vertical="center" wrapText="1"/>
    </xf>
    <xf numFmtId="0" fontId="11" fillId="2" borderId="9" xfId="2" applyNumberFormat="1" applyFont="1" applyFill="1" applyBorder="1" applyAlignment="1">
      <alignment horizontal="center" vertical="center"/>
    </xf>
    <xf numFmtId="0" fontId="11" fillId="2" borderId="9" xfId="2" applyFont="1" applyFill="1" applyBorder="1" applyAlignment="1">
      <alignment horizontal="center" vertical="center"/>
    </xf>
    <xf numFmtId="0" fontId="3" fillId="2" borderId="7" xfId="2" applyNumberFormat="1" applyFont="1" applyFill="1" applyBorder="1" applyAlignment="1">
      <alignment horizontal="center" vertical="center"/>
    </xf>
    <xf numFmtId="0" fontId="3" fillId="2" borderId="6" xfId="2" applyNumberFormat="1" applyFont="1" applyFill="1" applyBorder="1" applyAlignment="1">
      <alignment horizontal="center" vertical="center"/>
    </xf>
    <xf numFmtId="0" fontId="11" fillId="2" borderId="6" xfId="2" applyFont="1" applyFill="1" applyBorder="1" applyAlignment="1">
      <alignment horizontal="center" vertical="center"/>
    </xf>
    <xf numFmtId="0" fontId="11" fillId="2" borderId="6" xfId="2" applyNumberFormat="1" applyFont="1" applyFill="1" applyBorder="1" applyAlignment="1">
      <alignment vertical="center"/>
    </xf>
    <xf numFmtId="0" fontId="11" fillId="2" borderId="5" xfId="2" applyFont="1" applyFill="1" applyBorder="1" applyAlignment="1">
      <alignment vertical="center" wrapText="1"/>
    </xf>
    <xf numFmtId="0" fontId="11" fillId="2" borderId="42" xfId="2" applyNumberFormat="1" applyFont="1" applyFill="1" applyBorder="1" applyAlignment="1">
      <alignment vertical="center"/>
    </xf>
    <xf numFmtId="0" fontId="11" fillId="2" borderId="41" xfId="2" applyNumberFormat="1" applyFont="1" applyFill="1" applyBorder="1" applyAlignment="1">
      <alignment vertical="center"/>
    </xf>
    <xf numFmtId="0" fontId="11" fillId="9" borderId="1" xfId="2" applyNumberFormat="1" applyFont="1" applyFill="1" applyBorder="1" applyAlignment="1">
      <alignment horizontal="center" vertical="center"/>
    </xf>
    <xf numFmtId="0" fontId="3" fillId="0" borderId="39" xfId="2" applyNumberFormat="1" applyFont="1" applyBorder="1" applyAlignment="1" applyProtection="1">
      <alignment horizontal="center" vertical="center"/>
      <protection locked="0"/>
    </xf>
    <xf numFmtId="0" fontId="3" fillId="0" borderId="38" xfId="2" applyNumberFormat="1" applyFont="1" applyBorder="1" applyAlignment="1" applyProtection="1">
      <alignment horizontal="center" vertical="center"/>
      <protection locked="0"/>
    </xf>
    <xf numFmtId="0" fontId="11" fillId="4" borderId="1" xfId="2" applyFont="1" applyFill="1" applyBorder="1" applyAlignment="1">
      <alignment horizontal="center" vertical="center" wrapText="1"/>
    </xf>
    <xf numFmtId="0" fontId="0" fillId="0" borderId="0" xfId="0" applyBorder="1" applyAlignment="1"/>
    <xf numFmtId="0" fontId="25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center" vertical="center"/>
    </xf>
    <xf numFmtId="0" fontId="3" fillId="2" borderId="39" xfId="2" applyNumberFormat="1" applyFont="1" applyFill="1" applyBorder="1" applyAlignment="1" applyProtection="1">
      <alignment horizontal="center" vertical="center"/>
      <protection locked="0"/>
    </xf>
    <xf numFmtId="0" fontId="11" fillId="6" borderId="40" xfId="2" applyFont="1" applyFill="1" applyBorder="1" applyAlignment="1" applyProtection="1">
      <alignment horizontal="center" vertical="center"/>
      <protection locked="0"/>
    </xf>
    <xf numFmtId="0" fontId="3" fillId="2" borderId="38" xfId="2" applyNumberFormat="1" applyFont="1" applyFill="1" applyBorder="1" applyAlignment="1" applyProtection="1">
      <alignment horizontal="center" vertical="center"/>
      <protection locked="0"/>
    </xf>
    <xf numFmtId="0" fontId="11" fillId="7" borderId="38" xfId="2" applyFont="1" applyFill="1" applyBorder="1" applyAlignment="1" applyProtection="1">
      <alignment horizontal="center" vertical="center"/>
      <protection locked="0"/>
    </xf>
    <xf numFmtId="0" fontId="11" fillId="2" borderId="41" xfId="2" applyFont="1" applyFill="1" applyBorder="1" applyAlignment="1" applyProtection="1">
      <alignment horizontal="center" vertical="center" wrapText="1"/>
      <protection locked="0"/>
    </xf>
    <xf numFmtId="164" fontId="3" fillId="2" borderId="0" xfId="2" applyNumberFormat="1" applyFont="1" applyFill="1" applyBorder="1" applyAlignment="1" applyProtection="1">
      <alignment horizontal="center" vertical="center"/>
      <protection locked="0"/>
    </xf>
    <xf numFmtId="0" fontId="11" fillId="6" borderId="38" xfId="2" applyFont="1" applyFill="1" applyBorder="1" applyAlignment="1" applyProtection="1">
      <alignment horizontal="center" vertical="center"/>
      <protection locked="0"/>
    </xf>
    <xf numFmtId="0" fontId="11" fillId="7" borderId="43" xfId="2" applyFont="1" applyFill="1" applyBorder="1" applyAlignment="1" applyProtection="1">
      <alignment horizontal="center" vertical="center"/>
      <protection locked="0"/>
    </xf>
    <xf numFmtId="0" fontId="23" fillId="0" borderId="1" xfId="2" applyFont="1" applyBorder="1" applyAlignment="1" applyProtection="1">
      <alignment horizontal="center" vertical="center"/>
      <protection locked="0"/>
    </xf>
    <xf numFmtId="0" fontId="3" fillId="2" borderId="8" xfId="2" applyFont="1" applyFill="1" applyBorder="1" applyAlignment="1">
      <alignment vertical="center"/>
    </xf>
    <xf numFmtId="0" fontId="3" fillId="2" borderId="10" xfId="2" applyFont="1" applyFill="1" applyBorder="1" applyAlignment="1">
      <alignment vertical="center"/>
    </xf>
    <xf numFmtId="0" fontId="26" fillId="0" borderId="6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 wrapText="1"/>
    </xf>
    <xf numFmtId="0" fontId="3" fillId="2" borderId="0" xfId="2" applyFont="1" applyFill="1" applyBorder="1" applyAlignment="1">
      <alignment horizontal="center" vertical="center"/>
    </xf>
    <xf numFmtId="0" fontId="3" fillId="2" borderId="11" xfId="2" applyFont="1" applyFill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11" fillId="2" borderId="8" xfId="2" applyFont="1" applyFill="1" applyBorder="1" applyAlignment="1" applyProtection="1">
      <alignment horizontal="center" vertical="center"/>
      <protection locked="0"/>
    </xf>
    <xf numFmtId="0" fontId="11" fillId="2" borderId="0" xfId="2" applyFont="1" applyFill="1" applyBorder="1" applyAlignment="1">
      <alignment horizontal="center" vertical="center" wrapText="1"/>
    </xf>
    <xf numFmtId="0" fontId="11" fillId="2" borderId="0" xfId="2" applyFont="1" applyFill="1" applyBorder="1" applyAlignment="1" applyProtection="1">
      <alignment horizontal="center" vertical="center" wrapText="1"/>
      <protection locked="0"/>
    </xf>
    <xf numFmtId="0" fontId="11" fillId="2" borderId="9" xfId="2" applyFont="1" applyFill="1" applyBorder="1" applyAlignment="1" applyProtection="1">
      <alignment horizontal="center" vertical="center" wrapText="1"/>
      <protection locked="0"/>
    </xf>
    <xf numFmtId="0" fontId="11" fillId="2" borderId="0" xfId="2" applyFont="1" applyFill="1" applyBorder="1" applyAlignment="1" applyProtection="1">
      <alignment horizontal="center" vertical="center"/>
      <protection locked="0"/>
    </xf>
    <xf numFmtId="0" fontId="3" fillId="2" borderId="0" xfId="2" applyNumberFormat="1" applyFont="1" applyFill="1" applyBorder="1" applyAlignment="1" applyProtection="1">
      <alignment horizontal="center" vertical="center"/>
      <protection locked="0"/>
    </xf>
    <xf numFmtId="0" fontId="3" fillId="2" borderId="9" xfId="2" applyNumberFormat="1" applyFont="1" applyFill="1" applyBorder="1" applyAlignment="1" applyProtection="1">
      <alignment horizontal="center" vertical="center"/>
      <protection locked="0"/>
    </xf>
    <xf numFmtId="0" fontId="3" fillId="2" borderId="0" xfId="2" applyFont="1" applyFill="1" applyBorder="1" applyAlignment="1" applyProtection="1">
      <alignment horizontal="center" vertical="center"/>
      <protection locked="0"/>
    </xf>
    <xf numFmtId="0" fontId="11" fillId="2" borderId="5" xfId="2" applyFont="1" applyFill="1" applyBorder="1" applyAlignment="1" applyProtection="1">
      <alignment horizontal="center" vertical="center" wrapText="1"/>
      <protection locked="0"/>
    </xf>
    <xf numFmtId="0" fontId="3" fillId="2" borderId="34" xfId="2" applyNumberFormat="1" applyFont="1" applyFill="1" applyBorder="1" applyAlignment="1" applyProtection="1">
      <alignment horizontal="center" vertical="center"/>
      <protection locked="0"/>
    </xf>
    <xf numFmtId="0" fontId="3" fillId="2" borderId="33" xfId="2" applyNumberFormat="1" applyFont="1" applyFill="1" applyBorder="1" applyAlignment="1" applyProtection="1">
      <alignment horizontal="center" vertical="center"/>
      <protection locked="0"/>
    </xf>
    <xf numFmtId="0" fontId="11" fillId="10" borderId="33" xfId="2" applyNumberFormat="1" applyFont="1" applyFill="1" applyBorder="1" applyAlignment="1">
      <alignment horizontal="center" vertical="center"/>
    </xf>
    <xf numFmtId="164" fontId="11" fillId="9" borderId="33" xfId="2" applyNumberFormat="1" applyFont="1" applyFill="1" applyBorder="1" applyAlignment="1">
      <alignment horizontal="center" vertical="center"/>
    </xf>
    <xf numFmtId="0" fontId="0" fillId="0" borderId="0" xfId="0" quotePrefix="1"/>
    <xf numFmtId="0" fontId="38" fillId="0" borderId="0" xfId="0" applyFont="1" applyAlignment="1">
      <alignment horizontal="right" vertical="center"/>
    </xf>
    <xf numFmtId="0" fontId="38" fillId="0" borderId="0" xfId="0" applyFont="1" applyAlignment="1">
      <alignment vertical="center"/>
    </xf>
    <xf numFmtId="0" fontId="7" fillId="2" borderId="8" xfId="0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13" fillId="4" borderId="6" xfId="0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center" vertical="center" wrapText="1"/>
    </xf>
    <xf numFmtId="0" fontId="13" fillId="4" borderId="10" xfId="0" applyFont="1" applyFill="1" applyBorder="1" applyAlignment="1">
      <alignment horizontal="center" vertical="center" wrapText="1"/>
    </xf>
    <xf numFmtId="0" fontId="13" fillId="4" borderId="11" xfId="0" applyFont="1" applyFill="1" applyBorder="1" applyAlignment="1">
      <alignment horizontal="center" vertical="center" wrapText="1"/>
    </xf>
    <xf numFmtId="0" fontId="13" fillId="4" borderId="12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 wrapText="1"/>
    </xf>
    <xf numFmtId="0" fontId="40" fillId="0" borderId="0" xfId="0" applyFont="1"/>
    <xf numFmtId="0" fontId="41" fillId="0" borderId="0" xfId="0" applyFont="1"/>
    <xf numFmtId="0" fontId="42" fillId="0" borderId="0" xfId="0" applyFont="1" applyAlignment="1">
      <alignment vertical="center"/>
    </xf>
    <xf numFmtId="0" fontId="21" fillId="0" borderId="0" xfId="2" applyNumberFormat="1" applyProtection="1"/>
    <xf numFmtId="0" fontId="21" fillId="7" borderId="13" xfId="2" applyNumberFormat="1" applyFill="1" applyBorder="1" applyAlignment="1" applyProtection="1">
      <alignment horizontal="center" vertical="center"/>
    </xf>
    <xf numFmtId="0" fontId="21" fillId="8" borderId="13" xfId="2" applyNumberFormat="1" applyFill="1" applyBorder="1" applyAlignment="1" applyProtection="1">
      <alignment horizontal="center" vertical="center" wrapText="1"/>
    </xf>
    <xf numFmtId="0" fontId="21" fillId="0" borderId="13" xfId="2" applyNumberFormat="1" applyBorder="1" applyAlignment="1" applyProtection="1">
      <alignment horizontal="center" vertical="center"/>
    </xf>
    <xf numFmtId="0" fontId="0" fillId="14" borderId="0" xfId="0" applyFill="1"/>
    <xf numFmtId="0" fontId="21" fillId="0" borderId="0" xfId="2" applyProtection="1"/>
    <xf numFmtId="0" fontId="21" fillId="2" borderId="0" xfId="2" applyNumberFormat="1" applyFill="1" applyBorder="1" applyAlignment="1" applyProtection="1">
      <alignment horizontal="center" vertical="center"/>
    </xf>
    <xf numFmtId="0" fontId="21" fillId="2" borderId="0" xfId="2" applyNumberFormat="1" applyFill="1" applyBorder="1" applyProtection="1"/>
    <xf numFmtId="0" fontId="39" fillId="0" borderId="0" xfId="2" applyFont="1" applyProtection="1"/>
    <xf numFmtId="0" fontId="21" fillId="0" borderId="0" xfId="2" applyAlignment="1" applyProtection="1">
      <alignment horizontal="center" vertical="center"/>
    </xf>
    <xf numFmtId="11" fontId="3" fillId="0" borderId="0" xfId="2" applyNumberFormat="1" applyFont="1" applyAlignment="1">
      <alignment horizontal="center" vertical="center"/>
    </xf>
    <xf numFmtId="11" fontId="11" fillId="4" borderId="1" xfId="2" applyNumberFormat="1" applyFont="1" applyFill="1" applyBorder="1" applyAlignment="1">
      <alignment horizontal="center" vertical="center" wrapText="1"/>
    </xf>
    <xf numFmtId="11" fontId="3" fillId="0" borderId="11" xfId="2" applyNumberFormat="1" applyFont="1" applyBorder="1" applyAlignment="1">
      <alignment horizontal="center" vertical="center"/>
    </xf>
    <xf numFmtId="11" fontId="11" fillId="2" borderId="1" xfId="2" applyNumberFormat="1" applyFont="1" applyFill="1" applyBorder="1" applyAlignment="1">
      <alignment horizontal="center" vertical="center" wrapText="1"/>
    </xf>
    <xf numFmtId="11" fontId="11" fillId="2" borderId="41" xfId="2" applyNumberFormat="1" applyFont="1" applyFill="1" applyBorder="1" applyAlignment="1" applyProtection="1">
      <alignment horizontal="center" vertical="center" wrapText="1"/>
      <protection locked="0"/>
    </xf>
    <xf numFmtId="11" fontId="3" fillId="0" borderId="38" xfId="2" applyNumberFormat="1" applyFont="1" applyBorder="1" applyAlignment="1" applyProtection="1">
      <alignment horizontal="center" vertical="center"/>
      <protection locked="0"/>
    </xf>
    <xf numFmtId="11" fontId="3" fillId="0" borderId="39" xfId="2" applyNumberFormat="1" applyFont="1" applyBorder="1" applyAlignment="1" applyProtection="1">
      <alignment horizontal="center" vertical="center"/>
      <protection locked="0"/>
    </xf>
    <xf numFmtId="11" fontId="11" fillId="10" borderId="39" xfId="2" applyNumberFormat="1" applyFont="1" applyFill="1" applyBorder="1" applyAlignment="1">
      <alignment horizontal="center" vertical="center"/>
    </xf>
    <xf numFmtId="11" fontId="11" fillId="9" borderId="39" xfId="2" applyNumberFormat="1" applyFont="1" applyFill="1" applyBorder="1" applyAlignment="1">
      <alignment horizontal="center" vertical="center"/>
    </xf>
    <xf numFmtId="11" fontId="11" fillId="2" borderId="1" xfId="2" applyNumberFormat="1" applyFont="1" applyFill="1" applyBorder="1" applyAlignment="1">
      <alignment horizontal="center" vertical="center"/>
    </xf>
    <xf numFmtId="11" fontId="21" fillId="0" borderId="0" xfId="2" applyNumberFormat="1"/>
    <xf numFmtId="11" fontId="3" fillId="2" borderId="0" xfId="2" applyNumberFormat="1" applyFont="1" applyFill="1" applyBorder="1" applyAlignment="1">
      <alignment horizontal="center" vertical="center"/>
    </xf>
    <xf numFmtId="11" fontId="3" fillId="2" borderId="11" xfId="2" applyNumberFormat="1" applyFont="1" applyFill="1" applyBorder="1" applyAlignment="1">
      <alignment horizontal="center" vertical="center"/>
    </xf>
    <xf numFmtId="11" fontId="3" fillId="2" borderId="38" xfId="2" applyNumberFormat="1" applyFont="1" applyFill="1" applyBorder="1" applyAlignment="1" applyProtection="1">
      <alignment horizontal="center" vertical="center"/>
      <protection locked="0"/>
    </xf>
    <xf numFmtId="11" fontId="3" fillId="2" borderId="39" xfId="2" applyNumberFormat="1" applyFont="1" applyFill="1" applyBorder="1" applyAlignment="1" applyProtection="1">
      <alignment horizontal="center" vertical="center"/>
      <protection locked="0"/>
    </xf>
    <xf numFmtId="11" fontId="21" fillId="2" borderId="0" xfId="2" applyNumberFormat="1" applyFill="1" applyBorder="1"/>
    <xf numFmtId="11" fontId="3" fillId="2" borderId="6" xfId="2" applyNumberFormat="1" applyFont="1" applyFill="1" applyBorder="1" applyAlignment="1">
      <alignment horizontal="center" vertical="center"/>
    </xf>
    <xf numFmtId="11" fontId="11" fillId="2" borderId="0" xfId="2" applyNumberFormat="1" applyFont="1" applyFill="1" applyBorder="1" applyAlignment="1">
      <alignment horizontal="center" vertical="center"/>
    </xf>
    <xf numFmtId="11" fontId="11" fillId="2" borderId="11" xfId="2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11" fontId="11" fillId="2" borderId="0" xfId="2" applyNumberFormat="1" applyFont="1" applyFill="1" applyBorder="1" applyAlignment="1" applyProtection="1">
      <alignment horizontal="center" vertical="center" wrapText="1"/>
      <protection locked="0"/>
    </xf>
    <xf numFmtId="11" fontId="3" fillId="2" borderId="0" xfId="2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0" xfId="0" applyFont="1" applyProtection="1"/>
    <xf numFmtId="0" fontId="0" fillId="0" borderId="0" xfId="0" applyProtection="1"/>
    <xf numFmtId="0" fontId="22" fillId="0" borderId="1" xfId="2" applyFont="1" applyBorder="1" applyAlignment="1" applyProtection="1">
      <alignment horizontal="center" vertical="center"/>
    </xf>
    <xf numFmtId="0" fontId="9" fillId="2" borderId="8" xfId="0" applyFont="1" applyFill="1" applyBorder="1" applyAlignment="1" applyProtection="1">
      <alignment horizontal="center"/>
      <protection locked="0"/>
    </xf>
    <xf numFmtId="0" fontId="9" fillId="2" borderId="9" xfId="0" applyFont="1" applyFill="1" applyBorder="1" applyAlignment="1" applyProtection="1">
      <alignment horizontal="center"/>
      <protection locked="0"/>
    </xf>
    <xf numFmtId="0" fontId="9" fillId="2" borderId="10" xfId="0" applyFont="1" applyFill="1" applyBorder="1" applyAlignment="1" applyProtection="1">
      <alignment horizontal="right"/>
      <protection locked="0"/>
    </xf>
    <xf numFmtId="0" fontId="9" fillId="2" borderId="12" xfId="0" applyFont="1" applyFill="1" applyBorder="1" applyAlignment="1" applyProtection="1">
      <alignment horizontal="center"/>
      <protection locked="0"/>
    </xf>
    <xf numFmtId="2" fontId="3" fillId="4" borderId="13" xfId="0" applyNumberFormat="1" applyFont="1" applyFill="1" applyBorder="1" applyAlignment="1" applyProtection="1">
      <alignment horizontal="center" vertical="center" wrapText="1"/>
      <protection locked="0"/>
    </xf>
    <xf numFmtId="0" fontId="3" fillId="4" borderId="13" xfId="0" applyFont="1" applyFill="1" applyBorder="1" applyAlignment="1" applyProtection="1">
      <alignment horizontal="center" vertical="center" wrapText="1"/>
      <protection locked="0"/>
    </xf>
    <xf numFmtId="0" fontId="0" fillId="0" borderId="0" xfId="0" applyBorder="1" applyProtection="1">
      <protection locked="0"/>
    </xf>
    <xf numFmtId="0" fontId="0" fillId="0" borderId="0" xfId="0" applyBorder="1" applyAlignment="1" applyProtection="1">
      <alignment horizontal="center" vertical="center"/>
      <protection locked="0"/>
    </xf>
    <xf numFmtId="0" fontId="25" fillId="2" borderId="20" xfId="0" applyFont="1" applyFill="1" applyBorder="1" applyAlignment="1" applyProtection="1">
      <alignment horizontal="center" vertical="center"/>
      <protection locked="0"/>
    </xf>
    <xf numFmtId="0" fontId="25" fillId="2" borderId="21" xfId="0" applyFont="1" applyFill="1" applyBorder="1" applyAlignment="1" applyProtection="1">
      <alignment horizontal="center" vertical="center"/>
      <protection locked="0"/>
    </xf>
    <xf numFmtId="0" fontId="1" fillId="2" borderId="15" xfId="0" applyFont="1" applyFill="1" applyBorder="1" applyAlignment="1" applyProtection="1">
      <alignment horizontal="center" vertical="center"/>
      <protection locked="0"/>
    </xf>
    <xf numFmtId="0" fontId="0" fillId="0" borderId="16" xfId="0" applyFont="1" applyBorder="1" applyAlignment="1" applyProtection="1">
      <alignment vertical="center"/>
      <protection locked="0"/>
    </xf>
    <xf numFmtId="0" fontId="1" fillId="2" borderId="13" xfId="0" applyFont="1" applyFill="1" applyBorder="1" applyAlignment="1" applyProtection="1">
      <alignment horizontal="center" vertical="center"/>
      <protection locked="0"/>
    </xf>
    <xf numFmtId="0" fontId="0" fillId="0" borderId="18" xfId="0" applyFont="1" applyBorder="1" applyAlignment="1" applyProtection="1">
      <alignment vertical="center"/>
      <protection locked="0"/>
    </xf>
    <xf numFmtId="0" fontId="0" fillId="0" borderId="0" xfId="0" applyBorder="1" applyAlignment="1" applyProtection="1">
      <protection locked="0"/>
    </xf>
    <xf numFmtId="0" fontId="0" fillId="0" borderId="9" xfId="0" applyBorder="1" applyAlignment="1" applyProtection="1">
      <protection locked="0"/>
    </xf>
    <xf numFmtId="0" fontId="0" fillId="0" borderId="16" xfId="0" applyBorder="1" applyAlignment="1" applyProtection="1">
      <alignment vertical="center"/>
      <protection locked="0"/>
    </xf>
    <xf numFmtId="0" fontId="31" fillId="0" borderId="18" xfId="0" applyFont="1" applyFill="1" applyBorder="1" applyAlignment="1" applyProtection="1">
      <alignment vertical="center"/>
      <protection locked="0"/>
    </xf>
    <xf numFmtId="0" fontId="0" fillId="0" borderId="18" xfId="0" applyBorder="1" applyAlignment="1" applyProtection="1">
      <alignment vertical="center"/>
      <protection locked="0"/>
    </xf>
    <xf numFmtId="0" fontId="20" fillId="0" borderId="0" xfId="0" applyFont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1" fillId="0" borderId="0" xfId="0" applyFont="1" applyProtection="1">
      <protection locked="0"/>
    </xf>
    <xf numFmtId="0" fontId="12" fillId="0" borderId="0" xfId="0" applyFont="1" applyFill="1" applyBorder="1" applyAlignment="1" applyProtection="1">
      <alignment horizontal="right" vertical="center" wrapText="1"/>
      <protection locked="0"/>
    </xf>
    <xf numFmtId="0" fontId="12" fillId="0" borderId="0" xfId="0" applyFont="1" applyFill="1" applyBorder="1" applyAlignment="1" applyProtection="1">
      <alignment vertical="center" wrapText="1"/>
      <protection locked="0"/>
    </xf>
    <xf numFmtId="0" fontId="20" fillId="0" borderId="0" xfId="0" applyFont="1" applyBorder="1" applyProtection="1">
      <protection locked="0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Protection="1">
      <protection locked="0"/>
    </xf>
    <xf numFmtId="0" fontId="0" fillId="0" borderId="0" xfId="0" quotePrefix="1" applyProtection="1">
      <protection locked="0"/>
    </xf>
    <xf numFmtId="0" fontId="0" fillId="0" borderId="8" xfId="0" applyBorder="1" applyProtection="1">
      <protection locked="0"/>
    </xf>
    <xf numFmtId="0" fontId="0" fillId="0" borderId="36" xfId="0" applyFill="1" applyBorder="1" applyProtection="1">
      <protection locked="0"/>
    </xf>
    <xf numFmtId="0" fontId="3" fillId="2" borderId="0" xfId="0" applyFont="1" applyFill="1" applyBorder="1" applyAlignment="1" applyProtection="1">
      <alignment vertical="center" wrapText="1"/>
      <protection locked="0"/>
    </xf>
    <xf numFmtId="2" fontId="3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Alignment="1" applyProtection="1">
      <alignment horizontal="center" vertical="center"/>
      <protection locked="0"/>
    </xf>
    <xf numFmtId="0" fontId="0" fillId="0" borderId="9" xfId="0" applyBorder="1" applyProtection="1">
      <protection locked="0"/>
    </xf>
    <xf numFmtId="0" fontId="3" fillId="2" borderId="5" xfId="0" applyFont="1" applyFill="1" applyBorder="1" applyAlignment="1" applyProtection="1">
      <alignment vertical="center" wrapText="1"/>
      <protection locked="0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3" fillId="2" borderId="7" xfId="0" applyFont="1" applyFill="1" applyBorder="1" applyAlignment="1" applyProtection="1">
      <alignment horizontal="center" vertical="center" wrapText="1"/>
      <protection locked="0"/>
    </xf>
    <xf numFmtId="0" fontId="3" fillId="2" borderId="8" xfId="0" applyFont="1" applyFill="1" applyBorder="1" applyAlignment="1" applyProtection="1">
      <alignment vertical="center" wrapText="1"/>
      <protection locked="0"/>
    </xf>
    <xf numFmtId="0" fontId="3" fillId="2" borderId="9" xfId="0" applyFont="1" applyFill="1" applyBorder="1" applyAlignment="1" applyProtection="1">
      <alignment horizontal="center" vertical="center" wrapText="1"/>
      <protection locked="0"/>
    </xf>
    <xf numFmtId="0" fontId="0" fillId="2" borderId="0" xfId="0" applyFill="1" applyProtection="1"/>
    <xf numFmtId="0" fontId="19" fillId="2" borderId="0" xfId="0" applyFont="1" applyFill="1" applyBorder="1" applyAlignment="1" applyProtection="1">
      <alignment vertical="center"/>
    </xf>
    <xf numFmtId="0" fontId="0" fillId="2" borderId="0" xfId="0" quotePrefix="1" applyFill="1" applyBorder="1" applyAlignment="1" applyProtection="1">
      <alignment vertical="top" wrapText="1"/>
    </xf>
    <xf numFmtId="0" fontId="33" fillId="2" borderId="0" xfId="0" applyFont="1" applyFill="1" applyAlignment="1" applyProtection="1">
      <alignment horizontal="center"/>
    </xf>
    <xf numFmtId="0" fontId="30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2" borderId="11" xfId="0" applyFont="1" applyFill="1" applyBorder="1" applyAlignment="1" applyProtection="1">
      <alignment vertical="center"/>
    </xf>
    <xf numFmtId="0" fontId="25" fillId="2" borderId="11" xfId="0" applyFont="1" applyFill="1" applyBorder="1" applyAlignment="1" applyProtection="1">
      <alignment horizontal="center" vertical="center"/>
    </xf>
    <xf numFmtId="0" fontId="0" fillId="0" borderId="14" xfId="0" applyFont="1" applyBorder="1" applyAlignment="1" applyProtection="1">
      <alignment vertical="center"/>
    </xf>
    <xf numFmtId="0" fontId="0" fillId="0" borderId="17" xfId="0" applyFont="1" applyBorder="1" applyAlignment="1" applyProtection="1">
      <alignment vertical="center"/>
    </xf>
    <xf numFmtId="0" fontId="31" fillId="13" borderId="48" xfId="0" applyFont="1" applyFill="1" applyBorder="1" applyAlignment="1" applyProtection="1">
      <alignment vertical="center"/>
    </xf>
    <xf numFmtId="0" fontId="31" fillId="13" borderId="23" xfId="0" applyFont="1" applyFill="1" applyBorder="1" applyAlignment="1" applyProtection="1">
      <alignment vertical="center"/>
    </xf>
    <xf numFmtId="0" fontId="31" fillId="13" borderId="49" xfId="0" applyFont="1" applyFill="1" applyBorder="1" applyAlignment="1" applyProtection="1">
      <alignment vertical="center"/>
    </xf>
    <xf numFmtId="0" fontId="31" fillId="13" borderId="8" xfId="0" applyFont="1" applyFill="1" applyBorder="1" applyAlignment="1" applyProtection="1">
      <alignment vertical="center"/>
    </xf>
    <xf numFmtId="0" fontId="31" fillId="13" borderId="0" xfId="0" applyFont="1" applyFill="1" applyBorder="1" applyAlignment="1" applyProtection="1">
      <alignment vertical="center"/>
    </xf>
    <xf numFmtId="0" fontId="31" fillId="13" borderId="9" xfId="0" applyFont="1" applyFill="1" applyBorder="1" applyAlignment="1" applyProtection="1">
      <alignment vertical="center"/>
    </xf>
    <xf numFmtId="0" fontId="0" fillId="2" borderId="0" xfId="0" applyFill="1" applyBorder="1" applyProtection="1"/>
    <xf numFmtId="0" fontId="31" fillId="13" borderId="10" xfId="0" applyFont="1" applyFill="1" applyBorder="1" applyAlignment="1" applyProtection="1">
      <alignment vertical="center"/>
    </xf>
    <xf numFmtId="0" fontId="31" fillId="13" borderId="11" xfId="0" applyFont="1" applyFill="1" applyBorder="1" applyAlignment="1" applyProtection="1">
      <alignment vertical="center"/>
    </xf>
    <xf numFmtId="0" fontId="31" fillId="13" borderId="12" xfId="0" applyFont="1" applyFill="1" applyBorder="1" applyAlignment="1" applyProtection="1">
      <alignment vertical="center"/>
    </xf>
    <xf numFmtId="0" fontId="0" fillId="2" borderId="5" xfId="0" applyFill="1" applyBorder="1" applyProtection="1"/>
    <xf numFmtId="0" fontId="0" fillId="2" borderId="6" xfId="0" applyFill="1" applyBorder="1" applyProtection="1"/>
    <xf numFmtId="0" fontId="0" fillId="2" borderId="7" xfId="0" applyFill="1" applyBorder="1" applyAlignment="1" applyProtection="1"/>
    <xf numFmtId="0" fontId="0" fillId="2" borderId="8" xfId="0" applyFill="1" applyBorder="1" applyProtection="1"/>
    <xf numFmtId="0" fontId="3" fillId="2" borderId="0" xfId="0" applyFont="1" applyFill="1" applyBorder="1" applyAlignment="1" applyProtection="1">
      <alignment horizontal="center" vertical="center" wrapText="1"/>
    </xf>
    <xf numFmtId="0" fontId="0" fillId="2" borderId="9" xfId="0" applyFill="1" applyBorder="1" applyAlignment="1" applyProtection="1"/>
    <xf numFmtId="0" fontId="37" fillId="0" borderId="8" xfId="0" applyFont="1" applyBorder="1" applyProtection="1"/>
    <xf numFmtId="0" fontId="37" fillId="0" borderId="8" xfId="0" applyFont="1" applyBorder="1" applyAlignment="1" applyProtection="1">
      <alignment vertical="center"/>
    </xf>
    <xf numFmtId="0" fontId="0" fillId="2" borderId="0" xfId="0" applyFill="1" applyBorder="1" applyAlignment="1" applyProtection="1">
      <alignment horizontal="left" vertical="top"/>
    </xf>
    <xf numFmtId="0" fontId="0" fillId="0" borderId="0" xfId="0" applyBorder="1" applyProtection="1"/>
    <xf numFmtId="0" fontId="0" fillId="2" borderId="10" xfId="0" applyFill="1" applyBorder="1" applyProtection="1"/>
    <xf numFmtId="0" fontId="0" fillId="2" borderId="11" xfId="0" applyFill="1" applyBorder="1" applyProtection="1"/>
    <xf numFmtId="0" fontId="0" fillId="2" borderId="12" xfId="0" applyFill="1" applyBorder="1" applyProtection="1"/>
    <xf numFmtId="0" fontId="2" fillId="2" borderId="0" xfId="0" applyFont="1" applyFill="1" applyProtection="1"/>
    <xf numFmtId="0" fontId="0" fillId="0" borderId="14" xfId="0" applyBorder="1" applyAlignment="1" applyProtection="1">
      <alignment vertical="center"/>
    </xf>
    <xf numFmtId="0" fontId="0" fillId="0" borderId="17" xfId="0" applyBorder="1" applyAlignment="1" applyProtection="1">
      <alignment vertical="center"/>
    </xf>
    <xf numFmtId="0" fontId="2" fillId="0" borderId="17" xfId="0" applyFont="1" applyBorder="1" applyAlignment="1" applyProtection="1">
      <alignment vertical="center"/>
    </xf>
    <xf numFmtId="0" fontId="3" fillId="2" borderId="0" xfId="0" applyFont="1" applyFill="1" applyBorder="1" applyAlignment="1" applyProtection="1">
      <alignment horizontal="left" vertical="center" wrapText="1"/>
    </xf>
    <xf numFmtId="0" fontId="3" fillId="2" borderId="17" xfId="0" quotePrefix="1" applyFont="1" applyFill="1" applyBorder="1" applyAlignment="1" applyProtection="1">
      <alignment vertical="center" wrapText="1"/>
    </xf>
    <xf numFmtId="0" fontId="3" fillId="2" borderId="17" xfId="0" quotePrefix="1" applyFont="1" applyFill="1" applyBorder="1" applyAlignment="1" applyProtection="1">
      <alignment horizontal="left" vertical="center" wrapText="1" indent="1"/>
    </xf>
    <xf numFmtId="0" fontId="3" fillId="2" borderId="17" xfId="0" applyFont="1" applyFill="1" applyBorder="1" applyAlignment="1" applyProtection="1">
      <alignment horizontal="left" vertical="center" wrapText="1" indent="1"/>
    </xf>
    <xf numFmtId="14" fontId="3" fillId="2" borderId="17" xfId="0" applyNumberFormat="1" applyFont="1" applyFill="1" applyBorder="1" applyAlignment="1" applyProtection="1">
      <alignment horizontal="left" vertical="center" wrapText="1" indent="1"/>
    </xf>
    <xf numFmtId="0" fontId="3" fillId="0" borderId="8" xfId="0" applyFont="1" applyBorder="1" applyAlignment="1" applyProtection="1">
      <alignment horizontal="left" vertical="center"/>
    </xf>
    <xf numFmtId="0" fontId="3" fillId="2" borderId="17" xfId="0" applyFont="1" applyFill="1" applyBorder="1" applyAlignment="1" applyProtection="1">
      <alignment horizontal="left" vertical="center" wrapText="1"/>
    </xf>
    <xf numFmtId="16" fontId="3" fillId="2" borderId="17" xfId="0" applyNumberFormat="1" applyFont="1" applyFill="1" applyBorder="1" applyAlignment="1" applyProtection="1">
      <alignment horizontal="left" vertical="center" wrapText="1" indent="1"/>
    </xf>
    <xf numFmtId="0" fontId="3" fillId="2" borderId="17" xfId="0" applyFont="1" applyFill="1" applyBorder="1" applyAlignment="1" applyProtection="1">
      <alignment vertical="center" wrapText="1"/>
    </xf>
    <xf numFmtId="0" fontId="3" fillId="2" borderId="19" xfId="0" applyFont="1" applyFill="1" applyBorder="1" applyAlignment="1" applyProtection="1">
      <alignment vertical="center" wrapText="1"/>
    </xf>
    <xf numFmtId="0" fontId="3" fillId="0" borderId="0" xfId="2" applyFont="1" applyAlignment="1" applyProtection="1">
      <alignment horizontal="center" vertical="center"/>
    </xf>
    <xf numFmtId="11" fontId="3" fillId="0" borderId="0" xfId="2" applyNumberFormat="1" applyFont="1" applyAlignment="1" applyProtection="1">
      <alignment horizontal="center" vertical="center"/>
    </xf>
    <xf numFmtId="0" fontId="3" fillId="2" borderId="0" xfId="0" applyFont="1" applyFill="1" applyBorder="1" applyAlignment="1" applyProtection="1">
      <alignment horizontal="center" vertical="center" wrapText="1"/>
      <protection locked="0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0" fillId="2" borderId="0" xfId="0" applyFill="1" applyProtection="1">
      <protection locked="0"/>
    </xf>
    <xf numFmtId="16" fontId="3" fillId="2" borderId="17" xfId="0" applyNumberFormat="1" applyFont="1" applyFill="1" applyBorder="1" applyAlignment="1" applyProtection="1">
      <alignment horizontal="left" vertical="center" wrapText="1"/>
    </xf>
    <xf numFmtId="0" fontId="0" fillId="2" borderId="1" xfId="0" applyFill="1" applyBorder="1" applyProtection="1"/>
    <xf numFmtId="0" fontId="0" fillId="2" borderId="1" xfId="0" applyFill="1" applyBorder="1" applyAlignment="1" applyProtection="1">
      <alignment vertical="center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20" xfId="0" applyFont="1" applyFill="1" applyBorder="1" applyAlignment="1" applyProtection="1">
      <alignment horizontal="center" vertical="center" wrapText="1"/>
    </xf>
    <xf numFmtId="0" fontId="1" fillId="0" borderId="13" xfId="0" applyFont="1" applyFill="1" applyBorder="1" applyProtection="1"/>
    <xf numFmtId="0" fontId="0" fillId="0" borderId="0" xfId="0" applyAlignment="1" applyProtection="1">
      <alignment horizontal="center" vertical="center"/>
    </xf>
    <xf numFmtId="0" fontId="1" fillId="4" borderId="13" xfId="0" applyFont="1" applyFill="1" applyBorder="1" applyAlignment="1" applyProtection="1">
      <alignment horizontal="center" vertical="center"/>
    </xf>
    <xf numFmtId="0" fontId="0" fillId="0" borderId="13" xfId="0" applyFill="1" applyBorder="1" applyProtection="1"/>
    <xf numFmtId="0" fontId="0" fillId="0" borderId="0" xfId="0" applyAlignment="1" applyProtection="1">
      <alignment horizontal="left"/>
    </xf>
    <xf numFmtId="0" fontId="0" fillId="4" borderId="13" xfId="0" applyFill="1" applyBorder="1" applyAlignment="1" applyProtection="1">
      <alignment horizontal="center" vertical="center"/>
    </xf>
    <xf numFmtId="0" fontId="3" fillId="2" borderId="3" xfId="0" applyFont="1" applyFill="1" applyBorder="1" applyAlignment="1" applyProtection="1">
      <alignment horizontal="center" vertical="center" wrapText="1"/>
    </xf>
    <xf numFmtId="0" fontId="3" fillId="2" borderId="4" xfId="0" applyFont="1" applyFill="1" applyBorder="1" applyAlignment="1" applyProtection="1">
      <alignment horizontal="center" vertical="center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0" fillId="2" borderId="0" xfId="0" applyFill="1" applyBorder="1" applyAlignment="1" applyProtection="1">
      <alignment horizontal="left" vertical="top"/>
    </xf>
    <xf numFmtId="0" fontId="0" fillId="0" borderId="6" xfId="0" applyBorder="1" applyProtection="1"/>
    <xf numFmtId="0" fontId="0" fillId="0" borderId="6" xfId="0" applyBorder="1" applyAlignment="1" applyProtection="1">
      <alignment horizontal="center" vertical="center"/>
    </xf>
    <xf numFmtId="0" fontId="0" fillId="2" borderId="7" xfId="0" applyFill="1" applyBorder="1" applyProtection="1"/>
    <xf numFmtId="0" fontId="0" fillId="0" borderId="0" xfId="0" applyBorder="1" applyAlignment="1" applyProtection="1">
      <alignment horizontal="center" vertical="center"/>
    </xf>
    <xf numFmtId="0" fontId="0" fillId="2" borderId="9" xfId="0" applyFill="1" applyBorder="1" applyProtection="1"/>
    <xf numFmtId="0" fontId="0" fillId="2" borderId="9" xfId="0" applyFill="1" applyBorder="1" applyAlignment="1" applyProtection="1">
      <alignment horizontal="left" vertical="top"/>
    </xf>
    <xf numFmtId="0" fontId="0" fillId="2" borderId="11" xfId="0" applyFill="1" applyBorder="1" applyAlignment="1" applyProtection="1">
      <alignment horizontal="left"/>
    </xf>
    <xf numFmtId="0" fontId="0" fillId="2" borderId="0" xfId="0" applyFill="1" applyBorder="1" applyAlignment="1" applyProtection="1">
      <alignment vertical="top"/>
    </xf>
    <xf numFmtId="0" fontId="0" fillId="2" borderId="0" xfId="0" applyFill="1" applyBorder="1" applyAlignment="1" applyProtection="1">
      <alignment horizontal="left"/>
    </xf>
    <xf numFmtId="0" fontId="28" fillId="2" borderId="11" xfId="0" applyFont="1" applyFill="1" applyBorder="1" applyProtection="1"/>
    <xf numFmtId="0" fontId="15" fillId="2" borderId="11" xfId="0" applyFont="1" applyFill="1" applyBorder="1" applyProtection="1"/>
    <xf numFmtId="0" fontId="15" fillId="2" borderId="12" xfId="0" applyFont="1" applyFill="1" applyBorder="1" applyProtection="1"/>
    <xf numFmtId="2" fontId="0" fillId="0" borderId="0" xfId="0" applyNumberFormat="1" applyProtection="1"/>
    <xf numFmtId="0" fontId="30" fillId="0" borderId="0" xfId="0" applyFont="1"/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horizontal="center" vertical="center" wrapText="1"/>
      <protection locked="0"/>
    </xf>
    <xf numFmtId="0" fontId="0" fillId="2" borderId="0" xfId="0" applyFill="1" applyBorder="1" applyAlignment="1" applyProtection="1">
      <alignment horizontal="left" vertical="top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12" fillId="2" borderId="1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20" xfId="0" applyFont="1" applyFill="1" applyBorder="1" applyAlignment="1" applyProtection="1">
      <alignment horizontal="center" vertical="center" wrapText="1"/>
    </xf>
    <xf numFmtId="0" fontId="11" fillId="0" borderId="2" xfId="2" applyFont="1" applyBorder="1" applyAlignment="1">
      <alignment horizontal="center" vertical="center" wrapText="1"/>
    </xf>
    <xf numFmtId="0" fontId="3" fillId="0" borderId="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1" fillId="2" borderId="0" xfId="2" applyNumberFormat="1" applyFont="1" applyFill="1" applyBorder="1" applyAlignment="1">
      <alignment horizontal="center" vertical="center"/>
    </xf>
    <xf numFmtId="0" fontId="3" fillId="2" borderId="0" xfId="2" applyNumberFormat="1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vertical="center"/>
    </xf>
    <xf numFmtId="0" fontId="1" fillId="2" borderId="0" xfId="0" quotePrefix="1" applyFont="1" applyFill="1" applyBorder="1" applyAlignment="1" applyProtection="1">
      <alignment vertical="top" wrapText="1"/>
    </xf>
    <xf numFmtId="0" fontId="32" fillId="2" borderId="0" xfId="0" applyFont="1" applyFill="1" applyBorder="1" applyAlignment="1" applyProtection="1">
      <alignment vertical="center"/>
    </xf>
    <xf numFmtId="0" fontId="30" fillId="0" borderId="0" xfId="0" applyFont="1" applyProtection="1">
      <protection locked="0"/>
    </xf>
    <xf numFmtId="11" fontId="0" fillId="0" borderId="0" xfId="0" applyNumberFormat="1" applyProtection="1">
      <protection locked="0"/>
    </xf>
    <xf numFmtId="0" fontId="3" fillId="2" borderId="0" xfId="2" applyFont="1" applyFill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3" fillId="2" borderId="11" xfId="2" applyFont="1" applyFill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1" fillId="2" borderId="0" xfId="2" applyNumberFormat="1" applyFont="1" applyFill="1" applyBorder="1" applyAlignment="1">
      <alignment horizontal="center" vertical="center"/>
    </xf>
    <xf numFmtId="0" fontId="3" fillId="2" borderId="0" xfId="2" applyNumberFormat="1" applyFont="1" applyFill="1" applyBorder="1" applyAlignment="1">
      <alignment horizontal="center" vertical="center"/>
    </xf>
    <xf numFmtId="0" fontId="3" fillId="2" borderId="6" xfId="2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1" fontId="11" fillId="2" borderId="41" xfId="2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 wrapText="1"/>
    </xf>
    <xf numFmtId="0" fontId="3" fillId="2" borderId="11" xfId="2" applyFont="1" applyFill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3" fillId="2" borderId="6" xfId="2" applyFont="1" applyFill="1" applyBorder="1" applyAlignment="1">
      <alignment horizontal="center" vertical="center"/>
    </xf>
    <xf numFmtId="0" fontId="11" fillId="2" borderId="0" xfId="2" applyNumberFormat="1" applyFont="1" applyFill="1" applyBorder="1" applyAlignment="1">
      <alignment horizontal="center" vertical="center"/>
    </xf>
    <xf numFmtId="0" fontId="3" fillId="2" borderId="0" xfId="2" applyNumberFormat="1" applyFont="1" applyFill="1" applyBorder="1" applyAlignment="1">
      <alignment horizontal="center" vertical="center"/>
    </xf>
    <xf numFmtId="0" fontId="3" fillId="0" borderId="41" xfId="2" applyFont="1" applyBorder="1" applyAlignment="1" applyProtection="1">
      <alignment horizontal="center" vertical="center"/>
      <protection locked="0" hidden="1"/>
    </xf>
    <xf numFmtId="0" fontId="3" fillId="0" borderId="1" xfId="2" applyFont="1" applyBorder="1" applyAlignment="1" applyProtection="1">
      <alignment horizontal="center" vertical="center"/>
      <protection locked="0" hidden="1"/>
    </xf>
    <xf numFmtId="0" fontId="11" fillId="4" borderId="1" xfId="2" applyFont="1" applyFill="1" applyBorder="1" applyAlignment="1" applyProtection="1">
      <alignment horizontal="center" vertical="center" wrapText="1"/>
      <protection locked="0"/>
    </xf>
    <xf numFmtId="0" fontId="0" fillId="0" borderId="6" xfId="0" applyBorder="1"/>
    <xf numFmtId="0" fontId="23" fillId="0" borderId="1" xfId="2" applyFont="1" applyBorder="1" applyAlignment="1" applyProtection="1">
      <alignment horizontal="center" vertical="center"/>
      <protection hidden="1"/>
    </xf>
    <xf numFmtId="0" fontId="11" fillId="4" borderId="1" xfId="2" applyFont="1" applyFill="1" applyBorder="1" applyAlignment="1" applyProtection="1">
      <alignment horizontal="center" vertical="center" wrapText="1"/>
      <protection hidden="1"/>
    </xf>
    <xf numFmtId="0" fontId="3" fillId="0" borderId="41" xfId="2" applyFont="1" applyBorder="1" applyAlignment="1" applyProtection="1">
      <alignment horizontal="center" vertical="center"/>
      <protection hidden="1"/>
    </xf>
    <xf numFmtId="0" fontId="3" fillId="0" borderId="1" xfId="2" applyFont="1" applyBorder="1" applyAlignment="1" applyProtection="1">
      <alignment horizontal="center" vertical="center"/>
      <protection hidden="1"/>
    </xf>
    <xf numFmtId="0" fontId="3" fillId="0" borderId="0" xfId="2" applyFont="1" applyAlignment="1">
      <alignment horizontal="center" vertical="center"/>
    </xf>
    <xf numFmtId="11" fontId="3" fillId="0" borderId="1" xfId="2" applyNumberFormat="1" applyFont="1" applyBorder="1" applyAlignment="1" applyProtection="1">
      <alignment horizontal="center" vertical="center"/>
      <protection hidden="1"/>
    </xf>
    <xf numFmtId="0" fontId="11" fillId="2" borderId="26" xfId="2" applyFont="1" applyFill="1" applyBorder="1" applyAlignment="1">
      <alignment horizontal="center" vertical="center" wrapText="1"/>
    </xf>
    <xf numFmtId="0" fontId="47" fillId="4" borderId="1" xfId="2" applyFont="1" applyFill="1" applyBorder="1" applyAlignment="1" applyProtection="1">
      <alignment horizontal="center" vertical="center" wrapText="1"/>
      <protection locked="0"/>
    </xf>
    <xf numFmtId="0" fontId="47" fillId="2" borderId="1" xfId="2" applyFont="1" applyFill="1" applyBorder="1" applyAlignment="1">
      <alignment horizontal="center" vertical="center" wrapText="1"/>
    </xf>
    <xf numFmtId="0" fontId="47" fillId="4" borderId="1" xfId="2" applyFont="1" applyFill="1" applyBorder="1" applyAlignment="1" applyProtection="1">
      <alignment horizontal="center" vertical="center" wrapText="1"/>
      <protection hidden="1"/>
    </xf>
    <xf numFmtId="0" fontId="47" fillId="4" borderId="1" xfId="2" applyNumberFormat="1" applyFont="1" applyFill="1" applyBorder="1" applyAlignment="1" applyProtection="1">
      <alignment horizontal="center" vertical="center" wrapText="1"/>
      <protection locked="0"/>
    </xf>
    <xf numFmtId="11" fontId="3" fillId="0" borderId="1" xfId="2" applyNumberFormat="1" applyFont="1" applyBorder="1" applyAlignment="1" applyProtection="1">
      <alignment horizontal="center" vertical="center"/>
      <protection locked="0" hidden="1"/>
    </xf>
    <xf numFmtId="0" fontId="11" fillId="0" borderId="2" xfId="2" applyFont="1" applyBorder="1" applyAlignment="1">
      <alignment horizontal="center" vertical="center" wrapText="1"/>
    </xf>
    <xf numFmtId="0" fontId="3" fillId="0" borderId="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3" fillId="2" borderId="11" xfId="2" applyFont="1" applyFill="1" applyBorder="1" applyAlignment="1">
      <alignment horizontal="center" vertical="center"/>
    </xf>
    <xf numFmtId="0" fontId="11" fillId="2" borderId="26" xfId="2" applyFont="1" applyFill="1" applyBorder="1" applyAlignment="1">
      <alignment horizontal="center" vertical="center" wrapText="1"/>
    </xf>
    <xf numFmtId="0" fontId="11" fillId="2" borderId="0" xfId="2" applyNumberFormat="1" applyFont="1" applyFill="1" applyBorder="1" applyAlignment="1">
      <alignment horizontal="center" vertical="center"/>
    </xf>
    <xf numFmtId="0" fontId="3" fillId="2" borderId="0" xfId="2" applyNumberFormat="1" applyFont="1" applyFill="1" applyBorder="1" applyAlignment="1">
      <alignment horizontal="center" vertical="center"/>
    </xf>
    <xf numFmtId="11" fontId="47" fillId="2" borderId="1" xfId="2" applyNumberFormat="1" applyFont="1" applyFill="1" applyBorder="1" applyAlignment="1">
      <alignment horizontal="center" vertical="center" wrapText="1"/>
    </xf>
    <xf numFmtId="0" fontId="3" fillId="0" borderId="41" xfId="2" applyFont="1" applyBorder="1" applyAlignment="1" applyProtection="1">
      <alignment horizontal="center" vertical="center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20" xfId="0" applyFont="1" applyFill="1" applyBorder="1" applyAlignment="1" applyProtection="1">
      <alignment horizontal="center" vertical="center" wrapText="1"/>
    </xf>
    <xf numFmtId="0" fontId="0" fillId="0" borderId="0" xfId="0" applyProtection="1">
      <protection locked="0" hidden="1"/>
    </xf>
    <xf numFmtId="0" fontId="0" fillId="0" borderId="0" xfId="0" applyBorder="1" applyProtection="1">
      <protection locked="0" hidden="1"/>
    </xf>
    <xf numFmtId="0" fontId="0" fillId="0" borderId="0" xfId="0" applyBorder="1" applyAlignment="1" applyProtection="1">
      <protection locked="0" hidden="1"/>
    </xf>
    <xf numFmtId="0" fontId="3" fillId="0" borderId="1" xfId="2" applyFont="1" applyBorder="1" applyAlignment="1" applyProtection="1">
      <alignment horizontal="center" vertical="center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0" borderId="20" xfId="0" applyFont="1" applyFill="1" applyBorder="1" applyAlignment="1" applyProtection="1">
      <alignment horizontal="center" vertical="center" wrapText="1"/>
    </xf>
    <xf numFmtId="0" fontId="11" fillId="4" borderId="1" xfId="2" applyFont="1" applyFill="1" applyBorder="1" applyAlignment="1" applyProtection="1">
      <alignment horizontal="center" vertical="center" wrapText="1"/>
    </xf>
    <xf numFmtId="11" fontId="11" fillId="4" borderId="1" xfId="2" applyNumberFormat="1" applyFont="1" applyFill="1" applyBorder="1" applyAlignment="1" applyProtection="1">
      <alignment horizontal="center" vertical="center" wrapText="1"/>
    </xf>
    <xf numFmtId="0" fontId="47" fillId="4" borderId="1" xfId="2" applyNumberFormat="1" applyFont="1" applyFill="1" applyBorder="1" applyAlignment="1" applyProtection="1">
      <alignment horizontal="center" vertical="center" wrapText="1"/>
    </xf>
    <xf numFmtId="0" fontId="47" fillId="4" borderId="1" xfId="2" applyFont="1" applyFill="1" applyBorder="1" applyAlignment="1" applyProtection="1">
      <alignment horizontal="center" vertical="center" wrapText="1"/>
    </xf>
    <xf numFmtId="0" fontId="23" fillId="0" borderId="1" xfId="2" applyFont="1" applyBorder="1" applyAlignment="1" applyProtection="1">
      <alignment horizontal="center" vertical="center"/>
    </xf>
    <xf numFmtId="0" fontId="3" fillId="0" borderId="0" xfId="2" applyFont="1" applyAlignment="1" applyProtection="1">
      <alignment horizontal="center" vertical="center"/>
      <protection hidden="1"/>
    </xf>
    <xf numFmtId="0" fontId="3" fillId="2" borderId="0" xfId="2" applyFont="1" applyFill="1" applyBorder="1" applyAlignment="1" applyProtection="1">
      <alignment horizontal="center" vertical="center"/>
      <protection hidden="1"/>
    </xf>
    <xf numFmtId="0" fontId="12" fillId="2" borderId="26" xfId="2" applyFont="1" applyFill="1" applyBorder="1" applyAlignment="1" applyProtection="1">
      <alignment horizontal="center" vertical="center"/>
      <protection hidden="1"/>
    </xf>
    <xf numFmtId="0" fontId="12" fillId="2" borderId="1" xfId="2" applyFont="1" applyFill="1" applyBorder="1" applyAlignment="1" applyProtection="1">
      <alignment horizontal="center" vertical="center"/>
      <protection hidden="1"/>
    </xf>
    <xf numFmtId="0" fontId="3" fillId="0" borderId="11" xfId="2" applyFont="1" applyBorder="1" applyAlignment="1" applyProtection="1">
      <alignment horizontal="center" vertical="center"/>
      <protection hidden="1"/>
    </xf>
    <xf numFmtId="0" fontId="21" fillId="0" borderId="0" xfId="2" applyProtection="1">
      <protection hidden="1"/>
    </xf>
    <xf numFmtId="0" fontId="21" fillId="2" borderId="0" xfId="2" applyFill="1" applyBorder="1" applyProtection="1">
      <protection hidden="1"/>
    </xf>
    <xf numFmtId="0" fontId="3" fillId="0" borderId="0" xfId="2" applyFont="1" applyBorder="1" applyAlignment="1" applyProtection="1">
      <alignment vertical="center"/>
      <protection hidden="1"/>
    </xf>
    <xf numFmtId="0" fontId="3" fillId="0" borderId="0" xfId="2" applyFont="1" applyProtection="1">
      <protection hidden="1"/>
    </xf>
    <xf numFmtId="0" fontId="21" fillId="0" borderId="0" xfId="2" applyNumberFormat="1" applyProtection="1">
      <protection hidden="1"/>
    </xf>
    <xf numFmtId="11" fontId="3" fillId="0" borderId="0" xfId="2" applyNumberFormat="1" applyFont="1" applyAlignment="1" applyProtection="1">
      <alignment horizontal="center" vertical="center"/>
      <protection hidden="1"/>
    </xf>
    <xf numFmtId="0" fontId="23" fillId="0" borderId="1" xfId="2" applyFont="1" applyBorder="1" applyAlignment="1" applyProtection="1">
      <alignment horizontal="center" vertical="center"/>
      <protection locked="0" hidden="1"/>
    </xf>
    <xf numFmtId="11" fontId="11" fillId="4" borderId="1" xfId="2" applyNumberFormat="1" applyFont="1" applyFill="1" applyBorder="1" applyAlignment="1" applyProtection="1">
      <alignment horizontal="center" vertical="center" wrapText="1"/>
      <protection hidden="1"/>
    </xf>
    <xf numFmtId="0" fontId="47" fillId="4" borderId="1" xfId="2" applyNumberFormat="1" applyFont="1" applyFill="1" applyBorder="1" applyAlignment="1" applyProtection="1">
      <alignment horizontal="center" vertical="center" wrapText="1"/>
      <protection locked="0" hidden="1"/>
    </xf>
    <xf numFmtId="0" fontId="47" fillId="4" borderId="1" xfId="2" applyFont="1" applyFill="1" applyBorder="1" applyAlignment="1" applyProtection="1">
      <alignment horizontal="center" vertical="center" wrapText="1"/>
      <protection locked="0" hidden="1"/>
    </xf>
    <xf numFmtId="0" fontId="3" fillId="2" borderId="0" xfId="2" applyFont="1" applyFill="1" applyBorder="1" applyAlignment="1" applyProtection="1">
      <alignment horizontal="center" vertical="center"/>
      <protection hidden="1"/>
    </xf>
    <xf numFmtId="0" fontId="23" fillId="2" borderId="0" xfId="2" applyFont="1" applyFill="1" applyBorder="1" applyAlignment="1" applyProtection="1">
      <alignment horizontal="center" vertical="center"/>
      <protection hidden="1"/>
    </xf>
    <xf numFmtId="11" fontId="23" fillId="2" borderId="0" xfId="2" applyNumberFormat="1" applyFont="1" applyFill="1" applyBorder="1" applyAlignment="1" applyProtection="1">
      <alignment horizontal="center" vertical="center"/>
      <protection hidden="1"/>
    </xf>
    <xf numFmtId="0" fontId="3" fillId="0" borderId="0" xfId="2" applyFont="1" applyBorder="1" applyProtection="1">
      <protection hidden="1"/>
    </xf>
    <xf numFmtId="0" fontId="22" fillId="0" borderId="1" xfId="2" applyFont="1" applyBorder="1" applyAlignment="1" applyProtection="1">
      <alignment horizontal="center" vertical="center"/>
      <protection hidden="1"/>
    </xf>
    <xf numFmtId="0" fontId="12" fillId="4" borderId="1" xfId="2" applyFont="1" applyFill="1" applyBorder="1" applyAlignment="1" applyProtection="1">
      <alignment horizontal="center" vertical="center"/>
      <protection hidden="1"/>
    </xf>
    <xf numFmtId="0" fontId="3" fillId="0" borderId="6" xfId="2" applyFont="1" applyBorder="1" applyAlignment="1" applyProtection="1">
      <alignment horizontal="center" vertical="center"/>
      <protection hidden="1"/>
    </xf>
    <xf numFmtId="0" fontId="3" fillId="0" borderId="6" xfId="2" applyFont="1" applyBorder="1" applyProtection="1">
      <protection hidden="1"/>
    </xf>
    <xf numFmtId="0" fontId="3" fillId="0" borderId="7" xfId="2" applyFont="1" applyBorder="1" applyProtection="1">
      <protection hidden="1"/>
    </xf>
    <xf numFmtId="0" fontId="3" fillId="0" borderId="10" xfId="2" applyFont="1" applyBorder="1" applyAlignment="1" applyProtection="1">
      <alignment horizontal="center" vertical="center"/>
      <protection hidden="1"/>
    </xf>
    <xf numFmtId="11" fontId="3" fillId="0" borderId="11" xfId="2" applyNumberFormat="1" applyFont="1" applyBorder="1" applyAlignment="1" applyProtection="1">
      <alignment horizontal="center" vertical="center"/>
      <protection hidden="1"/>
    </xf>
    <xf numFmtId="0" fontId="3" fillId="0" borderId="11" xfId="2" applyFont="1" applyBorder="1" applyProtection="1">
      <protection hidden="1"/>
    </xf>
    <xf numFmtId="0" fontId="3" fillId="0" borderId="12" xfId="2" applyFont="1" applyBorder="1" applyProtection="1">
      <protection hidden="1"/>
    </xf>
    <xf numFmtId="0" fontId="11" fillId="0" borderId="0" xfId="2" applyFont="1" applyBorder="1" applyAlignment="1" applyProtection="1">
      <alignment horizontal="center" vertical="center"/>
      <protection hidden="1"/>
    </xf>
    <xf numFmtId="0" fontId="11" fillId="2" borderId="1" xfId="2" applyFont="1" applyFill="1" applyBorder="1" applyAlignment="1" applyProtection="1">
      <alignment horizontal="center" vertical="center" wrapText="1"/>
      <protection hidden="1"/>
    </xf>
    <xf numFmtId="0" fontId="47" fillId="2" borderId="1" xfId="2" applyFont="1" applyFill="1" applyBorder="1" applyAlignment="1" applyProtection="1">
      <alignment horizontal="center" vertical="center" wrapText="1"/>
      <protection hidden="1"/>
    </xf>
    <xf numFmtId="0" fontId="3" fillId="0" borderId="6" xfId="2" applyFont="1" applyBorder="1" applyAlignment="1" applyProtection="1">
      <alignment horizontal="center" vertical="center"/>
      <protection hidden="1"/>
    </xf>
    <xf numFmtId="0" fontId="3" fillId="0" borderId="0" xfId="2" applyFont="1" applyBorder="1" applyAlignment="1" applyProtection="1">
      <alignment horizontal="center" vertical="center"/>
      <protection hidden="1"/>
    </xf>
    <xf numFmtId="0" fontId="21" fillId="7" borderId="13" xfId="2" applyNumberFormat="1" applyFill="1" applyBorder="1" applyAlignment="1" applyProtection="1">
      <alignment horizontal="center" vertical="center"/>
      <protection hidden="1"/>
    </xf>
    <xf numFmtId="0" fontId="21" fillId="8" borderId="13" xfId="2" applyNumberFormat="1" applyFill="1" applyBorder="1" applyAlignment="1" applyProtection="1">
      <alignment horizontal="center" vertical="center" wrapText="1"/>
      <protection hidden="1"/>
    </xf>
    <xf numFmtId="0" fontId="11" fillId="0" borderId="1" xfId="2" applyFont="1" applyBorder="1" applyAlignment="1" applyProtection="1">
      <alignment horizontal="center" vertical="center" wrapText="1"/>
      <protection hidden="1"/>
    </xf>
    <xf numFmtId="0" fontId="11" fillId="2" borderId="41" xfId="2" applyFont="1" applyFill="1" applyBorder="1" applyAlignment="1" applyProtection="1">
      <alignment horizontal="center" vertical="center" wrapText="1"/>
      <protection locked="0" hidden="1"/>
    </xf>
    <xf numFmtId="11" fontId="11" fillId="2" borderId="41" xfId="2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0" xfId="2" applyFont="1" applyBorder="1" applyAlignment="1" applyProtection="1">
      <alignment horizontal="center" vertical="center"/>
      <protection hidden="1"/>
    </xf>
    <xf numFmtId="0" fontId="21" fillId="0" borderId="13" xfId="2" applyNumberFormat="1" applyBorder="1" applyAlignment="1" applyProtection="1">
      <alignment horizontal="center" vertical="center"/>
      <protection hidden="1"/>
    </xf>
    <xf numFmtId="0" fontId="11" fillId="7" borderId="43" xfId="2" applyFont="1" applyFill="1" applyBorder="1" applyAlignment="1" applyProtection="1">
      <alignment horizontal="center" vertical="center"/>
      <protection locked="0" hidden="1"/>
    </xf>
    <xf numFmtId="0" fontId="3" fillId="0" borderId="38" xfId="2" applyNumberFormat="1" applyFont="1" applyBorder="1" applyAlignment="1" applyProtection="1">
      <alignment horizontal="center" vertical="center"/>
      <protection locked="0" hidden="1"/>
    </xf>
    <xf numFmtId="11" fontId="3" fillId="0" borderId="38" xfId="2" applyNumberFormat="1" applyFont="1" applyBorder="1" applyAlignment="1" applyProtection="1">
      <alignment horizontal="center" vertical="center"/>
      <protection locked="0" hidden="1"/>
    </xf>
    <xf numFmtId="0" fontId="3" fillId="0" borderId="0" xfId="2" applyNumberFormat="1" applyFont="1" applyAlignment="1" applyProtection="1">
      <alignment horizontal="center" vertical="center"/>
      <protection hidden="1"/>
    </xf>
    <xf numFmtId="0" fontId="11" fillId="6" borderId="40" xfId="2" applyFont="1" applyFill="1" applyBorder="1" applyAlignment="1" applyProtection="1">
      <alignment horizontal="center" vertical="center"/>
      <protection locked="0" hidden="1"/>
    </xf>
    <xf numFmtId="0" fontId="3" fillId="0" borderId="39" xfId="2" applyNumberFormat="1" applyFont="1" applyBorder="1" applyAlignment="1" applyProtection="1">
      <alignment horizontal="center" vertical="center"/>
      <protection locked="0" hidden="1"/>
    </xf>
    <xf numFmtId="11" fontId="3" fillId="0" borderId="39" xfId="2" applyNumberFormat="1" applyFont="1" applyBorder="1" applyAlignment="1" applyProtection="1">
      <alignment horizontal="center" vertical="center"/>
      <protection locked="0" hidden="1"/>
    </xf>
    <xf numFmtId="0" fontId="3" fillId="0" borderId="0" xfId="2" applyNumberFormat="1" applyFont="1" applyBorder="1" applyAlignment="1" applyProtection="1">
      <alignment horizontal="center" vertical="center"/>
      <protection hidden="1"/>
    </xf>
    <xf numFmtId="0" fontId="11" fillId="10" borderId="1" xfId="2" applyNumberFormat="1" applyFont="1" applyFill="1" applyBorder="1" applyAlignment="1" applyProtection="1">
      <alignment horizontal="center" vertical="center"/>
      <protection hidden="1"/>
    </xf>
    <xf numFmtId="0" fontId="11" fillId="10" borderId="39" xfId="2" applyNumberFormat="1" applyFont="1" applyFill="1" applyBorder="1" applyAlignment="1" applyProtection="1">
      <alignment horizontal="center" vertical="center"/>
      <protection hidden="1"/>
    </xf>
    <xf numFmtId="11" fontId="11" fillId="10" borderId="39" xfId="2" applyNumberFormat="1" applyFont="1" applyFill="1" applyBorder="1" applyAlignment="1" applyProtection="1">
      <alignment horizontal="center" vertical="center"/>
      <protection hidden="1"/>
    </xf>
    <xf numFmtId="0" fontId="11" fillId="9" borderId="1" xfId="2" applyFont="1" applyFill="1" applyBorder="1" applyAlignment="1" applyProtection="1">
      <alignment horizontal="center" vertical="center"/>
      <protection hidden="1"/>
    </xf>
    <xf numFmtId="164" fontId="11" fillId="9" borderId="39" xfId="2" applyNumberFormat="1" applyFont="1" applyFill="1" applyBorder="1" applyAlignment="1" applyProtection="1">
      <alignment horizontal="center" vertical="center"/>
      <protection hidden="1"/>
    </xf>
    <xf numFmtId="11" fontId="11" fillId="9" borderId="39" xfId="2" applyNumberFormat="1" applyFont="1" applyFill="1" applyBorder="1" applyAlignment="1" applyProtection="1">
      <alignment horizontal="center" vertical="center"/>
      <protection hidden="1"/>
    </xf>
    <xf numFmtId="0" fontId="11" fillId="2" borderId="41" xfId="2" applyFont="1" applyFill="1" applyBorder="1" applyAlignment="1" applyProtection="1">
      <alignment horizontal="center" vertical="center"/>
      <protection hidden="1"/>
    </xf>
    <xf numFmtId="0" fontId="11" fillId="2" borderId="1" xfId="2" applyFont="1" applyFill="1" applyBorder="1" applyAlignment="1" applyProtection="1">
      <alignment horizontal="center" vertical="center"/>
      <protection hidden="1"/>
    </xf>
    <xf numFmtId="11" fontId="11" fillId="2" borderId="1" xfId="2" applyNumberFormat="1" applyFont="1" applyFill="1" applyBorder="1" applyAlignment="1" applyProtection="1">
      <alignment horizontal="center" vertical="center"/>
      <protection hidden="1"/>
    </xf>
    <xf numFmtId="0" fontId="11" fillId="7" borderId="38" xfId="2" applyFont="1" applyFill="1" applyBorder="1" applyAlignment="1" applyProtection="1">
      <alignment horizontal="center" vertical="center"/>
      <protection locked="0" hidden="1"/>
    </xf>
    <xf numFmtId="0" fontId="3" fillId="0" borderId="0" xfId="2" applyNumberFormat="1" applyFont="1" applyProtection="1">
      <protection hidden="1"/>
    </xf>
    <xf numFmtId="0" fontId="11" fillId="6" borderId="38" xfId="2" applyFont="1" applyFill="1" applyBorder="1" applyAlignment="1" applyProtection="1">
      <alignment horizontal="center" vertical="center"/>
      <protection locked="0" hidden="1"/>
    </xf>
    <xf numFmtId="0" fontId="3" fillId="0" borderId="10" xfId="2" applyFont="1" applyBorder="1" applyAlignment="1" applyProtection="1">
      <alignment horizontal="center" vertical="center"/>
      <protection hidden="1"/>
    </xf>
    <xf numFmtId="0" fontId="3" fillId="0" borderId="11" xfId="2" applyFont="1" applyBorder="1" applyAlignment="1" applyProtection="1">
      <alignment horizontal="center" vertical="center"/>
      <protection hidden="1"/>
    </xf>
    <xf numFmtId="11" fontId="21" fillId="0" borderId="0" xfId="2" applyNumberFormat="1" applyProtection="1">
      <protection hidden="1"/>
    </xf>
    <xf numFmtId="0" fontId="21" fillId="2" borderId="0" xfId="2" applyNumberFormat="1" applyFill="1" applyBorder="1" applyAlignment="1" applyProtection="1">
      <alignment horizontal="center" vertical="center"/>
      <protection hidden="1"/>
    </xf>
    <xf numFmtId="0" fontId="21" fillId="2" borderId="0" xfId="2" applyNumberFormat="1" applyFill="1" applyBorder="1" applyProtection="1">
      <protection hidden="1"/>
    </xf>
    <xf numFmtId="0" fontId="11" fillId="6" borderId="40" xfId="2" applyFont="1" applyFill="1" applyBorder="1" applyAlignment="1" applyProtection="1">
      <alignment horizontal="center" vertical="center"/>
      <protection hidden="1"/>
    </xf>
    <xf numFmtId="0" fontId="11" fillId="10" borderId="1" xfId="2" applyNumberFormat="1" applyFont="1" applyFill="1" applyBorder="1" applyAlignment="1" applyProtection="1">
      <alignment horizontal="center" vertical="center"/>
      <protection locked="0" hidden="1"/>
    </xf>
    <xf numFmtId="0" fontId="3" fillId="2" borderId="0" xfId="2" applyNumberFormat="1" applyFont="1" applyFill="1" applyBorder="1" applyAlignment="1" applyProtection="1">
      <alignment horizontal="center" vertical="center"/>
      <protection hidden="1"/>
    </xf>
    <xf numFmtId="11" fontId="3" fillId="2" borderId="0" xfId="2" applyNumberFormat="1" applyFont="1" applyFill="1" applyBorder="1" applyAlignment="1" applyProtection="1">
      <alignment horizontal="center" vertical="center"/>
      <protection hidden="1"/>
    </xf>
    <xf numFmtId="0" fontId="3" fillId="2" borderId="9" xfId="2" applyNumberFormat="1" applyFont="1" applyFill="1" applyBorder="1" applyAlignment="1" applyProtection="1">
      <alignment horizontal="center" vertical="center"/>
      <protection hidden="1"/>
    </xf>
    <xf numFmtId="164" fontId="3" fillId="2" borderId="0" xfId="2" applyNumberFormat="1" applyFont="1" applyFill="1" applyBorder="1" applyAlignment="1" applyProtection="1">
      <alignment horizontal="center" vertical="center"/>
      <protection hidden="1"/>
    </xf>
    <xf numFmtId="164" fontId="3" fillId="2" borderId="9" xfId="2" applyNumberFormat="1" applyFont="1" applyFill="1" applyBorder="1" applyAlignment="1" applyProtection="1">
      <alignment horizontal="center" vertical="center"/>
      <protection hidden="1"/>
    </xf>
    <xf numFmtId="0" fontId="3" fillId="2" borderId="9" xfId="2" applyFont="1" applyFill="1" applyBorder="1" applyAlignment="1" applyProtection="1">
      <alignment horizontal="center" vertical="center"/>
      <protection hidden="1"/>
    </xf>
    <xf numFmtId="0" fontId="3" fillId="2" borderId="11" xfId="2" applyFont="1" applyFill="1" applyBorder="1" applyAlignment="1" applyProtection="1">
      <alignment horizontal="center" vertical="center"/>
      <protection hidden="1"/>
    </xf>
    <xf numFmtId="11" fontId="3" fillId="2" borderId="11" xfId="2" applyNumberFormat="1" applyFont="1" applyFill="1" applyBorder="1" applyAlignment="1" applyProtection="1">
      <alignment horizontal="center" vertical="center"/>
      <protection hidden="1"/>
    </xf>
    <xf numFmtId="0" fontId="3" fillId="2" borderId="12" xfId="2" applyFont="1" applyFill="1" applyBorder="1" applyAlignment="1" applyProtection="1">
      <alignment horizontal="center" vertical="center"/>
      <protection hidden="1"/>
    </xf>
    <xf numFmtId="11" fontId="21" fillId="2" borderId="0" xfId="2" applyNumberFormat="1" applyFill="1" applyBorder="1" applyProtection="1">
      <protection hidden="1"/>
    </xf>
    <xf numFmtId="0" fontId="3" fillId="2" borderId="38" xfId="2" applyNumberFormat="1" applyFont="1" applyFill="1" applyBorder="1" applyAlignment="1" applyProtection="1">
      <alignment horizontal="center" vertical="center"/>
      <protection locked="0" hidden="1"/>
    </xf>
    <xf numFmtId="11" fontId="3" fillId="2" borderId="38" xfId="2" applyNumberFormat="1" applyFont="1" applyFill="1" applyBorder="1" applyAlignment="1" applyProtection="1">
      <alignment horizontal="center" vertical="center"/>
      <protection locked="0" hidden="1"/>
    </xf>
    <xf numFmtId="0" fontId="3" fillId="2" borderId="39" xfId="2" applyNumberFormat="1" applyFont="1" applyFill="1" applyBorder="1" applyAlignment="1" applyProtection="1">
      <alignment horizontal="center" vertical="center"/>
      <protection locked="0" hidden="1"/>
    </xf>
    <xf numFmtId="11" fontId="3" fillId="2" borderId="39" xfId="2" applyNumberFormat="1" applyFont="1" applyFill="1" applyBorder="1" applyAlignment="1" applyProtection="1">
      <alignment horizontal="center" vertical="center"/>
      <protection locked="0" hidden="1"/>
    </xf>
    <xf numFmtId="164" fontId="21" fillId="0" borderId="13" xfId="2" applyNumberFormat="1" applyBorder="1" applyAlignment="1" applyProtection="1">
      <alignment horizontal="center" vertical="center"/>
      <protection hidden="1"/>
    </xf>
    <xf numFmtId="0" fontId="11" fillId="2" borderId="5" xfId="2" applyFont="1" applyFill="1" applyBorder="1" applyAlignment="1" applyProtection="1">
      <alignment vertical="center" wrapText="1"/>
      <protection hidden="1"/>
    </xf>
    <xf numFmtId="0" fontId="11" fillId="2" borderId="6" xfId="2" applyNumberFormat="1" applyFont="1" applyFill="1" applyBorder="1" applyAlignment="1" applyProtection="1">
      <alignment vertical="center"/>
      <protection hidden="1"/>
    </xf>
    <xf numFmtId="0" fontId="11" fillId="2" borderId="6" xfId="2" applyFont="1" applyFill="1" applyBorder="1" applyAlignment="1" applyProtection="1">
      <alignment horizontal="center" vertical="center"/>
      <protection hidden="1"/>
    </xf>
    <xf numFmtId="0" fontId="3" fillId="2" borderId="6" xfId="2" applyNumberFormat="1" applyFont="1" applyFill="1" applyBorder="1" applyAlignment="1" applyProtection="1">
      <alignment horizontal="center" vertical="center"/>
      <protection hidden="1"/>
    </xf>
    <xf numFmtId="11" fontId="3" fillId="2" borderId="6" xfId="2" applyNumberFormat="1" applyFont="1" applyFill="1" applyBorder="1" applyAlignment="1" applyProtection="1">
      <alignment horizontal="center" vertical="center"/>
      <protection hidden="1"/>
    </xf>
    <xf numFmtId="0" fontId="3" fillId="2" borderId="7" xfId="2" applyNumberFormat="1" applyFont="1" applyFill="1" applyBorder="1" applyAlignment="1" applyProtection="1">
      <alignment horizontal="center" vertical="center"/>
      <protection hidden="1"/>
    </xf>
    <xf numFmtId="0" fontId="11" fillId="2" borderId="8" xfId="2" applyFont="1" applyFill="1" applyBorder="1" applyAlignment="1" applyProtection="1">
      <alignment vertical="center" wrapText="1"/>
      <protection hidden="1"/>
    </xf>
    <xf numFmtId="0" fontId="11" fillId="2" borderId="0" xfId="2" applyNumberFormat="1" applyFont="1" applyFill="1" applyBorder="1" applyAlignment="1" applyProtection="1">
      <alignment vertical="center"/>
      <protection hidden="1"/>
    </xf>
    <xf numFmtId="0" fontId="11" fillId="2" borderId="0" xfId="2" applyFont="1" applyFill="1" applyBorder="1" applyAlignment="1" applyProtection="1">
      <alignment horizontal="center" vertical="center"/>
      <protection hidden="1"/>
    </xf>
    <xf numFmtId="0" fontId="3" fillId="2" borderId="0" xfId="2" applyFont="1" applyFill="1" applyBorder="1" applyAlignment="1" applyProtection="1">
      <alignment vertical="center"/>
      <protection hidden="1"/>
    </xf>
    <xf numFmtId="164" fontId="3" fillId="2" borderId="0" xfId="2" applyNumberFormat="1" applyFont="1" applyFill="1" applyBorder="1" applyAlignment="1" applyProtection="1">
      <alignment vertical="center"/>
      <protection hidden="1"/>
    </xf>
    <xf numFmtId="0" fontId="11" fillId="2" borderId="0" xfId="2" applyNumberFormat="1" applyFont="1" applyFill="1" applyBorder="1" applyAlignment="1" applyProtection="1">
      <alignment horizontal="center" vertical="center"/>
      <protection hidden="1"/>
    </xf>
    <xf numFmtId="11" fontId="11" fillId="2" borderId="0" xfId="2" applyNumberFormat="1" applyFont="1" applyFill="1" applyBorder="1" applyAlignment="1" applyProtection="1">
      <alignment horizontal="center" vertical="center"/>
      <protection hidden="1"/>
    </xf>
    <xf numFmtId="0" fontId="11" fillId="2" borderId="9" xfId="2" applyNumberFormat="1" applyFont="1" applyFill="1" applyBorder="1" applyAlignment="1" applyProtection="1">
      <alignment horizontal="center" vertical="center"/>
      <protection hidden="1"/>
    </xf>
    <xf numFmtId="164" fontId="11" fillId="2" borderId="0" xfId="2" applyNumberFormat="1" applyFont="1" applyFill="1" applyBorder="1" applyAlignment="1" applyProtection="1">
      <alignment horizontal="center" vertical="center"/>
      <protection hidden="1"/>
    </xf>
    <xf numFmtId="164" fontId="11" fillId="2" borderId="9" xfId="2" applyNumberFormat="1" applyFont="1" applyFill="1" applyBorder="1" applyAlignment="1" applyProtection="1">
      <alignment horizontal="center" vertical="center"/>
      <protection hidden="1"/>
    </xf>
    <xf numFmtId="0" fontId="11" fillId="2" borderId="9" xfId="2" applyFont="1" applyFill="1" applyBorder="1" applyAlignment="1" applyProtection="1">
      <alignment horizontal="center" vertical="center"/>
      <protection hidden="1"/>
    </xf>
    <xf numFmtId="0" fontId="11" fillId="2" borderId="10" xfId="2" applyFont="1" applyFill="1" applyBorder="1" applyAlignment="1" applyProtection="1">
      <alignment vertical="center" wrapText="1"/>
      <protection hidden="1"/>
    </xf>
    <xf numFmtId="0" fontId="3" fillId="2" borderId="11" xfId="2" applyFont="1" applyFill="1" applyBorder="1" applyAlignment="1" applyProtection="1">
      <alignment vertical="center"/>
      <protection hidden="1"/>
    </xf>
    <xf numFmtId="164" fontId="3" fillId="2" borderId="11" xfId="2" applyNumberFormat="1" applyFont="1" applyFill="1" applyBorder="1" applyAlignment="1" applyProtection="1">
      <alignment vertical="center"/>
      <protection hidden="1"/>
    </xf>
    <xf numFmtId="0" fontId="11" fillId="2" borderId="11" xfId="2" applyFont="1" applyFill="1" applyBorder="1" applyAlignment="1" applyProtection="1">
      <alignment horizontal="center" vertical="center"/>
      <protection hidden="1"/>
    </xf>
    <xf numFmtId="11" fontId="11" fillId="2" borderId="11" xfId="2" applyNumberFormat="1" applyFont="1" applyFill="1" applyBorder="1" applyAlignment="1" applyProtection="1">
      <alignment horizontal="center" vertical="center"/>
      <protection hidden="1"/>
    </xf>
    <xf numFmtId="0" fontId="11" fillId="2" borderId="12" xfId="2" applyFont="1" applyFill="1" applyBorder="1" applyAlignment="1" applyProtection="1">
      <alignment horizontal="center" vertical="center"/>
      <protection hidden="1"/>
    </xf>
    <xf numFmtId="0" fontId="11" fillId="2" borderId="0" xfId="2" applyFont="1" applyFill="1" applyBorder="1" applyAlignment="1" applyProtection="1">
      <alignment vertical="center" wrapText="1"/>
      <protection hidden="1"/>
    </xf>
    <xf numFmtId="0" fontId="26" fillId="0" borderId="6" xfId="2" applyFont="1" applyBorder="1" applyAlignment="1" applyProtection="1">
      <alignment horizontal="center" vertical="center"/>
      <protection hidden="1"/>
    </xf>
    <xf numFmtId="0" fontId="3" fillId="2" borderId="0" xfId="2" applyFont="1" applyFill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 wrapText="1"/>
    </xf>
    <xf numFmtId="0" fontId="3" fillId="2" borderId="11" xfId="2" applyFont="1" applyFill="1" applyBorder="1" applyAlignment="1">
      <alignment horizontal="center" vertical="center"/>
    </xf>
    <xf numFmtId="0" fontId="3" fillId="2" borderId="0" xfId="2" applyFont="1" applyFill="1" applyBorder="1" applyAlignment="1" applyProtection="1">
      <alignment horizontal="center" vertical="center"/>
      <protection hidden="1"/>
    </xf>
    <xf numFmtId="0" fontId="3" fillId="0" borderId="6" xfId="2" applyFont="1" applyBorder="1" applyAlignment="1" applyProtection="1">
      <alignment horizontal="center" vertical="center"/>
      <protection hidden="1"/>
    </xf>
    <xf numFmtId="0" fontId="3" fillId="0" borderId="0" xfId="2" applyFont="1" applyBorder="1" applyAlignment="1" applyProtection="1">
      <alignment horizontal="center" vertical="center"/>
      <protection hidden="1"/>
    </xf>
    <xf numFmtId="0" fontId="3" fillId="0" borderId="10" xfId="2" applyFont="1" applyBorder="1" applyAlignment="1" applyProtection="1">
      <alignment horizontal="center" vertical="center"/>
      <protection hidden="1"/>
    </xf>
    <xf numFmtId="0" fontId="3" fillId="0" borderId="11" xfId="2" applyFont="1" applyBorder="1" applyAlignment="1" applyProtection="1">
      <alignment horizontal="center" vertical="center"/>
      <protection hidden="1"/>
    </xf>
    <xf numFmtId="0" fontId="11" fillId="0" borderId="2" xfId="2" applyFont="1" applyBorder="1" applyAlignment="1" applyProtection="1">
      <alignment horizontal="center" vertical="center" wrapText="1"/>
      <protection hidden="1"/>
    </xf>
    <xf numFmtId="0" fontId="3" fillId="2" borderId="11" xfId="2" applyFont="1" applyFill="1" applyBorder="1" applyAlignment="1" applyProtection="1">
      <alignment horizontal="center" vertical="center"/>
      <protection hidden="1"/>
    </xf>
    <xf numFmtId="0" fontId="11" fillId="2" borderId="26" xfId="2" applyFont="1" applyFill="1" applyBorder="1" applyAlignment="1" applyProtection="1">
      <alignment horizontal="center" vertical="center" wrapText="1"/>
      <protection hidden="1"/>
    </xf>
    <xf numFmtId="0" fontId="11" fillId="2" borderId="0" xfId="2" applyNumberFormat="1" applyFont="1" applyFill="1" applyBorder="1" applyAlignment="1">
      <alignment horizontal="center" vertical="center"/>
    </xf>
    <xf numFmtId="0" fontId="3" fillId="2" borderId="0" xfId="2" applyFont="1" applyFill="1" applyBorder="1" applyAlignment="1" applyProtection="1">
      <alignment horizontal="center" vertical="center"/>
      <protection locked="0"/>
    </xf>
    <xf numFmtId="0" fontId="3" fillId="2" borderId="0" xfId="2" applyNumberFormat="1" applyFont="1" applyFill="1" applyBorder="1" applyAlignment="1">
      <alignment horizontal="center" vertical="center"/>
    </xf>
    <xf numFmtId="0" fontId="47" fillId="4" borderId="1" xfId="2" applyNumberFormat="1" applyFont="1" applyFill="1" applyBorder="1" applyAlignment="1" applyProtection="1">
      <alignment horizontal="center" vertical="center" wrapText="1"/>
      <protection hidden="1"/>
    </xf>
    <xf numFmtId="0" fontId="11" fillId="0" borderId="0" xfId="2" applyFont="1" applyFill="1" applyBorder="1" applyAlignment="1" applyProtection="1">
      <alignment horizontal="center" vertical="center"/>
      <protection locked="0" hidden="1"/>
    </xf>
    <xf numFmtId="0" fontId="3" fillId="0" borderId="0" xfId="2" applyNumberFormat="1" applyFont="1" applyFill="1" applyBorder="1" applyAlignment="1" applyProtection="1">
      <alignment horizontal="center" vertical="center"/>
      <protection locked="0" hidden="1"/>
    </xf>
    <xf numFmtId="11" fontId="3" fillId="0" borderId="0" xfId="2" applyNumberFormat="1" applyFont="1" applyFill="1" applyBorder="1" applyAlignment="1" applyProtection="1">
      <alignment horizontal="center" vertical="center"/>
      <protection locked="0" hidden="1"/>
    </xf>
    <xf numFmtId="0" fontId="3" fillId="0" borderId="9" xfId="2" applyNumberFormat="1" applyFont="1" applyFill="1" applyBorder="1" applyAlignment="1" applyProtection="1">
      <alignment horizontal="center" vertical="center"/>
      <protection locked="0" hidden="1"/>
    </xf>
    <xf numFmtId="0" fontId="11" fillId="0" borderId="0" xfId="2" applyNumberFormat="1" applyFont="1" applyFill="1" applyBorder="1" applyAlignment="1" applyProtection="1">
      <alignment horizontal="center" vertical="center"/>
      <protection hidden="1"/>
    </xf>
    <xf numFmtId="11" fontId="11" fillId="0" borderId="0" xfId="2" applyNumberFormat="1" applyFont="1" applyFill="1" applyBorder="1" applyAlignment="1" applyProtection="1">
      <alignment horizontal="center" vertical="center"/>
      <protection hidden="1"/>
    </xf>
    <xf numFmtId="0" fontId="11" fillId="0" borderId="9" xfId="2" applyNumberFormat="1" applyFont="1" applyFill="1" applyBorder="1" applyAlignment="1" applyProtection="1">
      <alignment horizontal="center" vertical="center"/>
      <protection hidden="1"/>
    </xf>
    <xf numFmtId="0" fontId="11" fillId="0" borderId="0" xfId="2" applyFont="1" applyFill="1" applyBorder="1" applyAlignment="1" applyProtection="1">
      <alignment horizontal="center" vertical="center"/>
      <protection hidden="1"/>
    </xf>
    <xf numFmtId="164" fontId="11" fillId="0" borderId="0" xfId="2" applyNumberFormat="1" applyFont="1" applyFill="1" applyBorder="1" applyAlignment="1" applyProtection="1">
      <alignment horizontal="center" vertical="center"/>
      <protection hidden="1"/>
    </xf>
    <xf numFmtId="164" fontId="11" fillId="0" borderId="9" xfId="2" applyNumberFormat="1" applyFont="1" applyFill="1" applyBorder="1" applyAlignment="1" applyProtection="1">
      <alignment horizontal="center" vertical="center"/>
      <protection hidden="1"/>
    </xf>
    <xf numFmtId="0" fontId="11" fillId="0" borderId="9" xfId="2" applyFont="1" applyFill="1" applyBorder="1" applyAlignment="1" applyProtection="1">
      <alignment horizontal="center" vertical="center"/>
      <protection hidden="1"/>
    </xf>
    <xf numFmtId="0" fontId="39" fillId="0" borderId="0" xfId="2" applyFont="1" applyProtection="1">
      <protection hidden="1"/>
    </xf>
    <xf numFmtId="11" fontId="11" fillId="2" borderId="1" xfId="2" applyNumberFormat="1" applyFont="1" applyFill="1" applyBorder="1" applyAlignment="1" applyProtection="1">
      <alignment horizontal="center" vertical="center" wrapText="1"/>
      <protection hidden="1"/>
    </xf>
    <xf numFmtId="11" fontId="47" fillId="2" borderId="1" xfId="2" applyNumberFormat="1" applyFont="1" applyFill="1" applyBorder="1" applyAlignment="1" applyProtection="1">
      <alignment horizontal="center" vertical="center" wrapText="1"/>
      <protection hidden="1"/>
    </xf>
    <xf numFmtId="0" fontId="21" fillId="0" borderId="0" xfId="2" applyAlignment="1" applyProtection="1">
      <alignment horizontal="center" vertical="center"/>
      <protection hidden="1"/>
    </xf>
    <xf numFmtId="0" fontId="11" fillId="9" borderId="1" xfId="2" applyNumberFormat="1" applyFont="1" applyFill="1" applyBorder="1" applyAlignment="1" applyProtection="1">
      <alignment horizontal="center" vertical="center"/>
      <protection hidden="1"/>
    </xf>
    <xf numFmtId="164" fontId="3" fillId="2" borderId="0" xfId="2" applyNumberFormat="1" applyFont="1" applyFill="1" applyBorder="1" applyAlignment="1" applyProtection="1">
      <alignment horizontal="center" vertical="center"/>
      <protection locked="0" hidden="1"/>
    </xf>
    <xf numFmtId="0" fontId="3" fillId="2" borderId="8" xfId="2" applyFont="1" applyFill="1" applyBorder="1" applyAlignment="1" applyProtection="1">
      <alignment vertical="center"/>
      <protection hidden="1"/>
    </xf>
    <xf numFmtId="0" fontId="3" fillId="2" borderId="10" xfId="2" applyFont="1" applyFill="1" applyBorder="1" applyAlignment="1" applyProtection="1">
      <alignment vertical="center"/>
      <protection hidden="1"/>
    </xf>
    <xf numFmtId="0" fontId="11" fillId="0" borderId="0" xfId="2" applyFont="1" applyFill="1" applyBorder="1" applyAlignment="1" applyProtection="1">
      <alignment horizontal="center" vertical="center" wrapText="1"/>
      <protection hidden="1"/>
    </xf>
    <xf numFmtId="0" fontId="11" fillId="0" borderId="0" xfId="2" applyFont="1" applyFill="1" applyBorder="1" applyAlignment="1" applyProtection="1">
      <alignment horizontal="center" vertical="center" wrapText="1"/>
      <protection locked="0" hidden="1"/>
    </xf>
    <xf numFmtId="11" fontId="11" fillId="0" borderId="0" xfId="2" applyNumberFormat="1" applyFont="1" applyFill="1" applyBorder="1" applyAlignment="1" applyProtection="1">
      <alignment horizontal="center" vertical="center" wrapText="1"/>
      <protection locked="0" hidden="1"/>
    </xf>
    <xf numFmtId="0" fontId="11" fillId="0" borderId="9" xfId="2" applyFont="1" applyFill="1" applyBorder="1" applyAlignment="1" applyProtection="1">
      <alignment horizontal="center" vertical="center" wrapText="1"/>
      <protection locked="0" hidden="1"/>
    </xf>
    <xf numFmtId="0" fontId="12" fillId="0" borderId="0" xfId="2" applyFont="1" applyFill="1" applyBorder="1" applyAlignment="1" applyProtection="1">
      <alignment horizontal="center" vertical="center"/>
      <protection hidden="1"/>
    </xf>
    <xf numFmtId="0" fontId="3" fillId="0" borderId="0" xfId="2" applyFont="1" applyBorder="1" applyAlignment="1" applyProtection="1">
      <alignment horizontal="center" vertical="center"/>
      <protection hidden="1"/>
    </xf>
    <xf numFmtId="0" fontId="23" fillId="2" borderId="0" xfId="2" applyFont="1" applyFill="1" applyBorder="1" applyAlignment="1" applyProtection="1">
      <alignment horizontal="center" vertical="center"/>
      <protection locked="0" hidden="1"/>
    </xf>
    <xf numFmtId="11" fontId="23" fillId="2" borderId="0" xfId="2" applyNumberFormat="1" applyFont="1" applyFill="1" applyBorder="1" applyAlignment="1" applyProtection="1">
      <alignment horizontal="center" vertical="center"/>
      <protection locked="0" hidden="1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11" fillId="4" borderId="1" xfId="2" applyFont="1" applyFill="1" applyBorder="1" applyAlignment="1" applyProtection="1">
      <alignment horizontal="center" vertical="center" wrapText="1"/>
      <protection locked="0" hidden="1"/>
    </xf>
    <xf numFmtId="16" fontId="3" fillId="2" borderId="17" xfId="0" applyNumberFormat="1" applyFont="1" applyFill="1" applyBorder="1" applyAlignment="1" applyProtection="1">
      <alignment horizontal="left" vertical="top" wrapText="1"/>
    </xf>
    <xf numFmtId="16" fontId="3" fillId="2" borderId="17" xfId="0" applyNumberFormat="1" applyFont="1" applyFill="1" applyBorder="1" applyAlignment="1" applyProtection="1">
      <alignment vertical="center" wrapText="1"/>
    </xf>
    <xf numFmtId="16" fontId="3" fillId="2" borderId="19" xfId="0" applyNumberFormat="1" applyFont="1" applyFill="1" applyBorder="1" applyAlignment="1" applyProtection="1">
      <alignment vertical="center" wrapText="1"/>
    </xf>
    <xf numFmtId="0" fontId="11" fillId="0" borderId="0" xfId="2" applyFont="1" applyFill="1" applyBorder="1" applyAlignment="1" applyProtection="1">
      <alignment horizontal="center" vertical="center"/>
      <protection locked="0"/>
    </xf>
    <xf numFmtId="0" fontId="3" fillId="0" borderId="0" xfId="2" applyNumberFormat="1" applyFont="1" applyFill="1" applyBorder="1" applyAlignment="1" applyProtection="1">
      <alignment horizontal="center" vertical="center"/>
      <protection locked="0"/>
    </xf>
    <xf numFmtId="11" fontId="3" fillId="0" borderId="0" xfId="2" applyNumberFormat="1" applyFont="1" applyFill="1" applyBorder="1" applyAlignment="1" applyProtection="1">
      <alignment horizontal="center" vertical="center"/>
      <protection locked="0"/>
    </xf>
    <xf numFmtId="0" fontId="11" fillId="0" borderId="0" xfId="2" applyNumberFormat="1" applyFont="1" applyFill="1" applyBorder="1" applyAlignment="1">
      <alignment horizontal="center" vertical="center"/>
    </xf>
    <xf numFmtId="11" fontId="11" fillId="0" borderId="0" xfId="2" applyNumberFormat="1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164" fontId="11" fillId="0" borderId="0" xfId="2" applyNumberFormat="1" applyFont="1" applyFill="1" applyBorder="1" applyAlignment="1">
      <alignment horizontal="center" vertical="center"/>
    </xf>
    <xf numFmtId="0" fontId="11" fillId="0" borderId="6" xfId="2" applyFont="1" applyFill="1" applyBorder="1" applyAlignment="1">
      <alignment horizontal="center" vertical="center" wrapText="1"/>
    </xf>
    <xf numFmtId="0" fontId="11" fillId="0" borderId="6" xfId="2" applyFont="1" applyFill="1" applyBorder="1" applyAlignment="1" applyProtection="1">
      <alignment horizontal="center" vertical="center" wrapText="1"/>
      <protection locked="0"/>
    </xf>
    <xf numFmtId="11" fontId="11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11" fillId="0" borderId="7" xfId="2" applyFont="1" applyFill="1" applyBorder="1" applyAlignment="1" applyProtection="1">
      <alignment horizontal="center" vertical="center" wrapText="1"/>
      <protection locked="0"/>
    </xf>
    <xf numFmtId="0" fontId="3" fillId="0" borderId="9" xfId="2" applyNumberFormat="1" applyFont="1" applyFill="1" applyBorder="1" applyAlignment="1" applyProtection="1">
      <alignment horizontal="center" vertical="center"/>
      <protection locked="0"/>
    </xf>
    <xf numFmtId="0" fontId="11" fillId="0" borderId="9" xfId="2" applyNumberFormat="1" applyFont="1" applyFill="1" applyBorder="1" applyAlignment="1">
      <alignment horizontal="center" vertical="center"/>
    </xf>
    <xf numFmtId="164" fontId="11" fillId="0" borderId="9" xfId="2" applyNumberFormat="1" applyFont="1" applyFill="1" applyBorder="1" applyAlignment="1">
      <alignment horizontal="center" vertical="center"/>
    </xf>
    <xf numFmtId="0" fontId="11" fillId="0" borderId="11" xfId="2" applyFont="1" applyFill="1" applyBorder="1" applyAlignment="1">
      <alignment horizontal="center" vertical="center"/>
    </xf>
    <xf numFmtId="11" fontId="11" fillId="0" borderId="11" xfId="2" applyNumberFormat="1" applyFont="1" applyFill="1" applyBorder="1" applyAlignment="1">
      <alignment horizontal="center" vertical="center"/>
    </xf>
    <xf numFmtId="0" fontId="11" fillId="0" borderId="12" xfId="2" applyFont="1" applyFill="1" applyBorder="1" applyAlignment="1">
      <alignment horizontal="center" vertical="center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20" xfId="0" applyFont="1" applyFill="1" applyBorder="1" applyAlignment="1" applyProtection="1">
      <alignment horizontal="center" vertical="center" wrapText="1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Border="1"/>
    <xf numFmtId="0" fontId="0" fillId="0" borderId="0" xfId="0" applyFill="1" applyBorder="1"/>
    <xf numFmtId="0" fontId="0" fillId="2" borderId="0" xfId="0" applyFill="1" applyBorder="1" applyAlignment="1" applyProtection="1">
      <alignment horizontal="left" vertical="top"/>
    </xf>
    <xf numFmtId="0" fontId="0" fillId="2" borderId="0" xfId="0" applyFill="1" applyBorder="1" applyAlignment="1" applyProtection="1">
      <alignment horizontal="left"/>
    </xf>
    <xf numFmtId="0" fontId="42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2" borderId="45" xfId="0" applyFont="1" applyFill="1" applyBorder="1" applyAlignment="1" applyProtection="1">
      <alignment horizontal="center" vertical="center"/>
      <protection locked="0"/>
    </xf>
    <xf numFmtId="0" fontId="29" fillId="2" borderId="46" xfId="0" applyFont="1" applyFill="1" applyBorder="1" applyAlignment="1" applyProtection="1">
      <alignment horizontal="center" vertical="center"/>
      <protection locked="0"/>
    </xf>
    <xf numFmtId="0" fontId="30" fillId="12" borderId="44" xfId="0" applyFont="1" applyFill="1" applyBorder="1" applyAlignment="1" applyProtection="1">
      <alignment horizontal="center" vertical="center"/>
      <protection locked="0"/>
    </xf>
    <xf numFmtId="0" fontId="30" fillId="12" borderId="47" xfId="0" applyFont="1" applyFill="1" applyBorder="1" applyAlignment="1" applyProtection="1">
      <alignment horizontal="center" vertical="center"/>
      <protection locked="0"/>
    </xf>
    <xf numFmtId="0" fontId="3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26" xfId="0" applyFont="1" applyFill="1" applyBorder="1" applyAlignment="1" applyProtection="1">
      <alignment horizontal="center" vertical="center" wrapText="1"/>
      <protection locked="0"/>
    </xf>
    <xf numFmtId="0" fontId="19" fillId="0" borderId="2" xfId="0" applyFont="1" applyBorder="1" applyAlignment="1" applyProtection="1">
      <alignment horizontal="center" vertical="center"/>
    </xf>
    <xf numFmtId="0" fontId="19" fillId="0" borderId="25" xfId="0" applyFont="1" applyBorder="1" applyAlignment="1" applyProtection="1">
      <alignment horizontal="center" vertical="center"/>
    </xf>
    <xf numFmtId="0" fontId="19" fillId="0" borderId="26" xfId="0" applyFont="1" applyBorder="1" applyAlignment="1" applyProtection="1">
      <alignment horizontal="center" vertical="center"/>
    </xf>
    <xf numFmtId="0" fontId="1" fillId="5" borderId="2" xfId="0" quotePrefix="1" applyFont="1" applyFill="1" applyBorder="1" applyAlignment="1" applyProtection="1">
      <alignment horizontal="center" vertical="top" wrapText="1"/>
    </xf>
    <xf numFmtId="0" fontId="1" fillId="5" borderId="25" xfId="0" quotePrefix="1" applyFont="1" applyFill="1" applyBorder="1" applyAlignment="1" applyProtection="1">
      <alignment horizontal="center" vertical="top" wrapText="1"/>
    </xf>
    <xf numFmtId="0" fontId="1" fillId="5" borderId="26" xfId="0" quotePrefix="1" applyFont="1" applyFill="1" applyBorder="1" applyAlignment="1" applyProtection="1">
      <alignment horizontal="center" vertical="top" wrapText="1"/>
    </xf>
    <xf numFmtId="0" fontId="3" fillId="2" borderId="0" xfId="0" applyFont="1" applyFill="1" applyBorder="1" applyAlignment="1" applyProtection="1">
      <alignment horizontal="center" vertical="center" wrapText="1"/>
      <protection locked="0"/>
    </xf>
    <xf numFmtId="0" fontId="0" fillId="2" borderId="22" xfId="0" applyFill="1" applyBorder="1" applyAlignment="1" applyProtection="1">
      <alignment horizontal="left" vertical="top"/>
      <protection locked="0"/>
    </xf>
    <xf numFmtId="0" fontId="0" fillId="2" borderId="24" xfId="0" applyFill="1" applyBorder="1" applyAlignment="1" applyProtection="1">
      <alignment horizontal="left" vertical="top"/>
      <protection locked="0"/>
    </xf>
    <xf numFmtId="0" fontId="0" fillId="2" borderId="30" xfId="0" applyFill="1" applyBorder="1" applyAlignment="1" applyProtection="1">
      <alignment horizontal="left" vertical="top"/>
      <protection locked="0"/>
    </xf>
    <xf numFmtId="0" fontId="0" fillId="2" borderId="31" xfId="0" applyFill="1" applyBorder="1" applyAlignment="1" applyProtection="1">
      <alignment horizontal="left" vertical="top"/>
      <protection locked="0"/>
    </xf>
    <xf numFmtId="0" fontId="0" fillId="2" borderId="27" xfId="0" applyFill="1" applyBorder="1" applyAlignment="1" applyProtection="1">
      <alignment horizontal="left" vertical="top"/>
      <protection locked="0"/>
    </xf>
    <xf numFmtId="0" fontId="0" fillId="2" borderId="29" xfId="0" applyFill="1" applyBorder="1" applyAlignment="1" applyProtection="1">
      <alignment horizontal="left" vertical="top"/>
      <protection locked="0"/>
    </xf>
    <xf numFmtId="0" fontId="0" fillId="2" borderId="0" xfId="0" applyFill="1" applyBorder="1" applyAlignment="1" applyProtection="1">
      <alignment horizontal="left" vertical="top"/>
    </xf>
    <xf numFmtId="0" fontId="11" fillId="4" borderId="0" xfId="0" applyFont="1" applyFill="1" applyBorder="1" applyAlignment="1">
      <alignment horizontal="left" vertical="center"/>
    </xf>
    <xf numFmtId="0" fontId="2" fillId="15" borderId="0" xfId="3" applyFont="1" applyFill="1" applyBorder="1" applyAlignment="1">
      <alignment horizontal="left" vertical="center" wrapText="1"/>
    </xf>
    <xf numFmtId="0" fontId="22" fillId="4" borderId="5" xfId="0" applyFont="1" applyFill="1" applyBorder="1" applyAlignment="1" applyProtection="1">
      <alignment horizontal="center" vertical="center"/>
      <protection locked="0"/>
    </xf>
    <xf numFmtId="0" fontId="22" fillId="4" borderId="7" xfId="0" applyFont="1" applyFill="1" applyBorder="1" applyAlignment="1" applyProtection="1">
      <alignment horizontal="center" vertical="center"/>
      <protection locked="0"/>
    </xf>
    <xf numFmtId="0" fontId="22" fillId="4" borderId="10" xfId="0" applyFont="1" applyFill="1" applyBorder="1" applyAlignment="1" applyProtection="1">
      <alignment horizontal="center" vertical="center"/>
      <protection locked="0"/>
    </xf>
    <xf numFmtId="0" fontId="22" fillId="4" borderId="12" xfId="0" applyFont="1" applyFill="1" applyBorder="1" applyAlignment="1" applyProtection="1">
      <alignment horizontal="center" vertical="center"/>
      <protection locked="0"/>
    </xf>
    <xf numFmtId="0" fontId="22" fillId="0" borderId="0" xfId="0" applyFont="1" applyBorder="1" applyAlignment="1">
      <alignment horizontal="right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3" fillId="2" borderId="4" xfId="0" applyFont="1" applyFill="1" applyBorder="1" applyAlignment="1" applyProtection="1">
      <alignment horizontal="center" vertical="center" wrapText="1"/>
      <protection locked="0"/>
    </xf>
    <xf numFmtId="0" fontId="3" fillId="2" borderId="35" xfId="0" applyFont="1" applyFill="1" applyBorder="1" applyAlignment="1" applyProtection="1">
      <alignment horizontal="center" vertical="center" wrapText="1"/>
      <protection locked="0"/>
    </xf>
    <xf numFmtId="0" fontId="5" fillId="2" borderId="8" xfId="0" applyFont="1" applyFill="1" applyBorder="1" applyAlignment="1" applyProtection="1">
      <alignment horizontal="center" vertical="center" wrapText="1"/>
      <protection locked="0"/>
    </xf>
    <xf numFmtId="0" fontId="3" fillId="2" borderId="13" xfId="0" applyFont="1" applyFill="1" applyBorder="1" applyAlignment="1" applyProtection="1">
      <alignment horizontal="center" vertical="center" wrapText="1"/>
      <protection locked="0"/>
    </xf>
    <xf numFmtId="0" fontId="3" fillId="2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27" fillId="3" borderId="2" xfId="0" applyFont="1" applyFill="1" applyBorder="1" applyAlignment="1">
      <alignment horizontal="center" vertical="center" wrapText="1"/>
    </xf>
    <xf numFmtId="0" fontId="27" fillId="3" borderId="25" xfId="0" applyFont="1" applyFill="1" applyBorder="1" applyAlignment="1">
      <alignment horizontal="center" vertical="center" wrapText="1"/>
    </xf>
    <xf numFmtId="0" fontId="27" fillId="3" borderId="26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10" fillId="2" borderId="28" xfId="0" applyFont="1" applyFill="1" applyBorder="1" applyAlignment="1" applyProtection="1">
      <alignment horizontal="left"/>
      <protection locked="0"/>
    </xf>
    <xf numFmtId="0" fontId="4" fillId="3" borderId="2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5" fillId="4" borderId="25" xfId="0" applyFont="1" applyFill="1" applyBorder="1" applyAlignment="1">
      <alignment horizontal="center"/>
    </xf>
    <xf numFmtId="0" fontId="5" fillId="4" borderId="26" xfId="0" applyFont="1" applyFill="1" applyBorder="1" applyAlignment="1">
      <alignment horizontal="center"/>
    </xf>
    <xf numFmtId="0" fontId="8" fillId="2" borderId="2" xfId="0" applyFont="1" applyFill="1" applyBorder="1" applyAlignment="1" applyProtection="1">
      <alignment horizontal="center" vertical="center"/>
      <protection locked="0"/>
    </xf>
    <xf numFmtId="0" fontId="8" fillId="2" borderId="25" xfId="0" applyFont="1" applyFill="1" applyBorder="1" applyAlignment="1" applyProtection="1">
      <alignment horizontal="center" vertical="center"/>
      <protection locked="0"/>
    </xf>
    <xf numFmtId="0" fontId="8" fillId="2" borderId="26" xfId="0" applyFont="1" applyFill="1" applyBorder="1" applyAlignment="1" applyProtection="1">
      <alignment horizontal="center" vertical="center"/>
      <protection locked="0"/>
    </xf>
    <xf numFmtId="0" fontId="12" fillId="2" borderId="0" xfId="0" applyFont="1" applyFill="1" applyBorder="1" applyAlignment="1">
      <alignment horizontal="right" vertical="center"/>
    </xf>
    <xf numFmtId="0" fontId="12" fillId="2" borderId="2" xfId="0" applyFont="1" applyFill="1" applyBorder="1" applyAlignment="1" applyProtection="1">
      <alignment horizontal="center" vertical="center"/>
      <protection locked="0"/>
    </xf>
    <xf numFmtId="0" fontId="12" fillId="2" borderId="25" xfId="0" applyFont="1" applyFill="1" applyBorder="1" applyAlignment="1" applyProtection="1">
      <alignment horizontal="center" vertical="center"/>
      <protection locked="0"/>
    </xf>
    <xf numFmtId="0" fontId="12" fillId="2" borderId="26" xfId="0" applyFont="1" applyFill="1" applyBorder="1" applyAlignment="1" applyProtection="1">
      <alignment horizontal="center" vertical="center"/>
      <protection locked="0"/>
    </xf>
    <xf numFmtId="0" fontId="12" fillId="2" borderId="9" xfId="0" applyFont="1" applyFill="1" applyBorder="1" applyAlignment="1">
      <alignment horizontal="right" vertical="center"/>
    </xf>
    <xf numFmtId="0" fontId="38" fillId="0" borderId="0" xfId="0" applyFont="1" applyAlignment="1">
      <alignment horizontal="left" vertical="center"/>
    </xf>
    <xf numFmtId="0" fontId="30" fillId="0" borderId="0" xfId="0" applyFont="1" applyAlignment="1">
      <alignment horizontal="center" vertical="center" wrapText="1"/>
    </xf>
    <xf numFmtId="0" fontId="38" fillId="0" borderId="0" xfId="0" applyFont="1" applyAlignment="1">
      <alignment horizontal="right" vertical="center"/>
    </xf>
    <xf numFmtId="0" fontId="0" fillId="2" borderId="11" xfId="0" applyFill="1" applyBorder="1" applyAlignment="1" applyProtection="1">
      <alignment horizontal="left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18" xfId="0" applyFont="1" applyFill="1" applyBorder="1" applyAlignment="1" applyProtection="1">
      <alignment horizontal="center" vertical="center" wrapText="1"/>
    </xf>
    <xf numFmtId="0" fontId="0" fillId="2" borderId="23" xfId="0" applyFill="1" applyBorder="1" applyAlignment="1" applyProtection="1">
      <alignment horizontal="left" vertical="top"/>
      <protection locked="0"/>
    </xf>
    <xf numFmtId="0" fontId="0" fillId="2" borderId="0" xfId="0" applyFill="1" applyBorder="1" applyAlignment="1" applyProtection="1">
      <alignment horizontal="left" vertical="top"/>
      <protection locked="0"/>
    </xf>
    <xf numFmtId="0" fontId="0" fillId="2" borderId="28" xfId="0" applyFill="1" applyBorder="1" applyAlignment="1" applyProtection="1">
      <alignment horizontal="left" vertical="top"/>
      <protection locked="0"/>
    </xf>
    <xf numFmtId="0" fontId="3" fillId="2" borderId="20" xfId="0" applyFont="1" applyFill="1" applyBorder="1" applyAlignment="1" applyProtection="1">
      <alignment horizontal="center" vertical="center" wrapText="1"/>
    </xf>
    <xf numFmtId="0" fontId="3" fillId="2" borderId="21" xfId="0" applyFont="1" applyFill="1" applyBorder="1" applyAlignment="1" applyProtection="1">
      <alignment horizontal="center" vertical="center" wrapText="1"/>
    </xf>
    <xf numFmtId="0" fontId="3" fillId="2" borderId="3" xfId="0" applyFont="1" applyFill="1" applyBorder="1" applyAlignment="1" applyProtection="1">
      <alignment horizontal="center" vertical="center" wrapText="1"/>
    </xf>
    <xf numFmtId="0" fontId="3" fillId="2" borderId="4" xfId="0" applyFont="1" applyFill="1" applyBorder="1" applyAlignment="1" applyProtection="1">
      <alignment horizontal="center" vertical="center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22" fillId="0" borderId="5" xfId="2" applyFont="1" applyBorder="1" applyAlignment="1" applyProtection="1">
      <alignment horizontal="center" vertical="center"/>
      <protection locked="0" hidden="1"/>
    </xf>
    <xf numFmtId="0" fontId="22" fillId="0" borderId="6" xfId="2" applyFont="1" applyBorder="1" applyAlignment="1" applyProtection="1">
      <alignment horizontal="center" vertical="center"/>
      <protection locked="0" hidden="1"/>
    </xf>
    <xf numFmtId="0" fontId="22" fillId="0" borderId="7" xfId="2" applyFont="1" applyBorder="1" applyAlignment="1" applyProtection="1">
      <alignment horizontal="center" vertical="center"/>
      <protection locked="0" hidden="1"/>
    </xf>
    <xf numFmtId="0" fontId="22" fillId="0" borderId="10" xfId="2" applyFont="1" applyBorder="1" applyAlignment="1" applyProtection="1">
      <alignment horizontal="center" vertical="center"/>
      <protection locked="0" hidden="1"/>
    </xf>
    <xf numFmtId="0" fontId="22" fillId="0" borderId="11" xfId="2" applyFont="1" applyBorder="1" applyAlignment="1" applyProtection="1">
      <alignment horizontal="center" vertical="center"/>
      <protection locked="0" hidden="1"/>
    </xf>
    <xf numFmtId="0" fontId="22" fillId="0" borderId="12" xfId="2" applyFont="1" applyBorder="1" applyAlignment="1" applyProtection="1">
      <alignment horizontal="center" vertical="center"/>
      <protection locked="0" hidden="1"/>
    </xf>
    <xf numFmtId="0" fontId="12" fillId="4" borderId="2" xfId="2" applyFont="1" applyFill="1" applyBorder="1" applyAlignment="1" applyProtection="1">
      <alignment horizontal="center" vertical="center"/>
      <protection hidden="1"/>
    </xf>
    <xf numFmtId="0" fontId="12" fillId="4" borderId="25" xfId="2" applyFont="1" applyFill="1" applyBorder="1" applyAlignment="1" applyProtection="1">
      <alignment horizontal="center" vertical="center"/>
      <protection hidden="1"/>
    </xf>
    <xf numFmtId="0" fontId="12" fillId="4" borderId="26" xfId="2" applyFont="1" applyFill="1" applyBorder="1" applyAlignment="1" applyProtection="1">
      <alignment horizontal="center" vertical="center"/>
      <protection hidden="1"/>
    </xf>
    <xf numFmtId="0" fontId="12" fillId="2" borderId="0" xfId="2" applyFont="1" applyFill="1" applyBorder="1" applyAlignment="1" applyProtection="1">
      <alignment horizontal="center" vertical="center"/>
      <protection hidden="1"/>
    </xf>
    <xf numFmtId="0" fontId="3" fillId="2" borderId="0" xfId="2" applyFont="1" applyFill="1" applyBorder="1" applyAlignment="1" applyProtection="1">
      <alignment horizontal="center" vertical="center"/>
      <protection hidden="1"/>
    </xf>
    <xf numFmtId="0" fontId="3" fillId="0" borderId="5" xfId="2" applyFont="1" applyBorder="1" applyAlignment="1" applyProtection="1">
      <alignment horizontal="center" vertical="center"/>
      <protection hidden="1"/>
    </xf>
    <xf numFmtId="0" fontId="3" fillId="0" borderId="6" xfId="2" applyFont="1" applyBorder="1" applyAlignment="1" applyProtection="1">
      <alignment horizontal="center" vertical="center"/>
      <protection hidden="1"/>
    </xf>
    <xf numFmtId="0" fontId="3" fillId="0" borderId="7" xfId="2" applyFont="1" applyBorder="1" applyAlignment="1" applyProtection="1">
      <alignment horizontal="center" vertical="center"/>
      <protection hidden="1"/>
    </xf>
    <xf numFmtId="0" fontId="3" fillId="0" borderId="8" xfId="2" applyFont="1" applyBorder="1" applyAlignment="1" applyProtection="1">
      <alignment horizontal="center" vertical="center"/>
      <protection hidden="1"/>
    </xf>
    <xf numFmtId="0" fontId="3" fillId="0" borderId="0" xfId="2" applyFont="1" applyBorder="1" applyAlignment="1" applyProtection="1">
      <alignment horizontal="center" vertical="center"/>
      <protection hidden="1"/>
    </xf>
    <xf numFmtId="0" fontId="3" fillId="0" borderId="9" xfId="2" applyFont="1" applyBorder="1" applyAlignment="1" applyProtection="1">
      <alignment horizontal="center" vertical="center"/>
      <protection hidden="1"/>
    </xf>
    <xf numFmtId="0" fontId="3" fillId="0" borderId="10" xfId="2" applyFont="1" applyBorder="1" applyAlignment="1" applyProtection="1">
      <alignment horizontal="center" vertical="center"/>
      <protection hidden="1"/>
    </xf>
    <xf numFmtId="0" fontId="3" fillId="0" borderId="11" xfId="2" applyFont="1" applyBorder="1" applyAlignment="1" applyProtection="1">
      <alignment horizontal="center" vertical="center"/>
      <protection hidden="1"/>
    </xf>
    <xf numFmtId="0" fontId="3" fillId="0" borderId="12" xfId="2" applyFont="1" applyBorder="1" applyAlignment="1" applyProtection="1">
      <alignment horizontal="center" vertical="center"/>
      <protection hidden="1"/>
    </xf>
    <xf numFmtId="0" fontId="3" fillId="0" borderId="0" xfId="2" applyFont="1" applyBorder="1" applyAlignment="1" applyProtection="1">
      <alignment horizontal="center"/>
      <protection hidden="1"/>
    </xf>
    <xf numFmtId="0" fontId="11" fillId="4" borderId="41" xfId="2" applyNumberFormat="1" applyFont="1" applyFill="1" applyBorder="1" applyAlignment="1" applyProtection="1">
      <alignment horizontal="center" vertical="center"/>
      <protection hidden="1"/>
    </xf>
    <xf numFmtId="0" fontId="11" fillId="4" borderId="42" xfId="2" applyNumberFormat="1" applyFont="1" applyFill="1" applyBorder="1" applyAlignment="1" applyProtection="1">
      <alignment horizontal="center" vertical="center"/>
      <protection hidden="1"/>
    </xf>
    <xf numFmtId="0" fontId="11" fillId="4" borderId="37" xfId="2" applyNumberFormat="1" applyFont="1" applyFill="1" applyBorder="1" applyAlignment="1" applyProtection="1">
      <alignment horizontal="center" vertical="center"/>
      <protection hidden="1"/>
    </xf>
    <xf numFmtId="0" fontId="11" fillId="0" borderId="25" xfId="2" applyFont="1" applyBorder="1" applyAlignment="1" applyProtection="1">
      <alignment horizontal="center" vertical="center" wrapText="1"/>
      <protection hidden="1"/>
    </xf>
    <xf numFmtId="0" fontId="11" fillId="0" borderId="26" xfId="2" applyFont="1" applyBorder="1" applyAlignment="1" applyProtection="1">
      <alignment horizontal="center" vertical="center" wrapText="1"/>
      <protection hidden="1"/>
    </xf>
    <xf numFmtId="0" fontId="11" fillId="2" borderId="41" xfId="2" applyNumberFormat="1" applyFont="1" applyFill="1" applyBorder="1" applyAlignment="1" applyProtection="1">
      <alignment horizontal="center" vertical="center"/>
      <protection hidden="1"/>
    </xf>
    <xf numFmtId="0" fontId="11" fillId="2" borderId="37" xfId="2" applyNumberFormat="1" applyFont="1" applyFill="1" applyBorder="1" applyAlignment="1" applyProtection="1">
      <alignment horizontal="center" vertical="center"/>
      <protection hidden="1"/>
    </xf>
    <xf numFmtId="0" fontId="3" fillId="2" borderId="38" xfId="2" applyFont="1" applyFill="1" applyBorder="1" applyAlignment="1" applyProtection="1">
      <alignment horizontal="center" vertical="center"/>
      <protection locked="0" hidden="1"/>
    </xf>
    <xf numFmtId="0" fontId="3" fillId="2" borderId="39" xfId="2" applyFont="1" applyFill="1" applyBorder="1" applyAlignment="1" applyProtection="1">
      <alignment horizontal="center" vertical="center"/>
      <protection locked="0" hidden="1"/>
    </xf>
    <xf numFmtId="0" fontId="3" fillId="2" borderId="40" xfId="2" applyFont="1" applyFill="1" applyBorder="1" applyAlignment="1" applyProtection="1">
      <alignment horizontal="center" vertical="center"/>
      <protection locked="0" hidden="1"/>
    </xf>
    <xf numFmtId="0" fontId="3" fillId="2" borderId="41" xfId="2" applyNumberFormat="1" applyFont="1" applyFill="1" applyBorder="1" applyAlignment="1" applyProtection="1">
      <alignment horizontal="center" vertical="center"/>
      <protection hidden="1"/>
    </xf>
    <xf numFmtId="0" fontId="3" fillId="2" borderId="42" xfId="2" applyNumberFormat="1" applyFont="1" applyFill="1" applyBorder="1" applyAlignment="1" applyProtection="1">
      <alignment horizontal="center" vertical="center"/>
      <protection hidden="1"/>
    </xf>
    <xf numFmtId="0" fontId="3" fillId="2" borderId="37" xfId="2" applyNumberFormat="1" applyFont="1" applyFill="1" applyBorder="1" applyAlignment="1" applyProtection="1">
      <alignment horizontal="center" vertical="center"/>
      <protection hidden="1"/>
    </xf>
    <xf numFmtId="0" fontId="22" fillId="2" borderId="2" xfId="2" applyFont="1" applyFill="1" applyBorder="1" applyAlignment="1" applyProtection="1">
      <alignment horizontal="center" vertical="center"/>
      <protection hidden="1"/>
    </xf>
    <xf numFmtId="0" fontId="22" fillId="2" borderId="25" xfId="2" applyFont="1" applyFill="1" applyBorder="1" applyAlignment="1" applyProtection="1">
      <alignment horizontal="center" vertical="center"/>
      <protection hidden="1"/>
    </xf>
    <xf numFmtId="0" fontId="22" fillId="2" borderId="26" xfId="2" applyFont="1" applyFill="1" applyBorder="1" applyAlignment="1" applyProtection="1">
      <alignment horizontal="center" vertical="center"/>
      <protection hidden="1"/>
    </xf>
    <xf numFmtId="0" fontId="11" fillId="0" borderId="2" xfId="2" applyFont="1" applyBorder="1" applyAlignment="1" applyProtection="1">
      <alignment horizontal="center" vertical="center"/>
      <protection hidden="1"/>
    </xf>
    <xf numFmtId="0" fontId="11" fillId="0" borderId="25" xfId="2" applyFont="1" applyBorder="1" applyAlignment="1" applyProtection="1">
      <alignment horizontal="center" vertical="center"/>
      <protection hidden="1"/>
    </xf>
    <xf numFmtId="0" fontId="11" fillId="0" borderId="26" xfId="2" applyFont="1" applyBorder="1" applyAlignment="1" applyProtection="1">
      <alignment horizontal="center" vertical="center"/>
      <protection hidden="1"/>
    </xf>
    <xf numFmtId="0" fontId="11" fillId="0" borderId="0" xfId="2" applyFont="1" applyBorder="1" applyAlignment="1" applyProtection="1">
      <alignment horizontal="center"/>
      <protection hidden="1"/>
    </xf>
    <xf numFmtId="0" fontId="11" fillId="0" borderId="54" xfId="2" applyNumberFormat="1" applyFont="1" applyFill="1" applyBorder="1" applyAlignment="1" applyProtection="1">
      <alignment horizontal="center" vertical="center"/>
      <protection hidden="1"/>
    </xf>
    <xf numFmtId="0" fontId="11" fillId="0" borderId="42" xfId="2" applyNumberFormat="1" applyFont="1" applyFill="1" applyBorder="1" applyAlignment="1" applyProtection="1">
      <alignment horizontal="center" vertical="center"/>
      <protection hidden="1"/>
    </xf>
    <xf numFmtId="0" fontId="11" fillId="0" borderId="37" xfId="2" applyNumberFormat="1" applyFont="1" applyFill="1" applyBorder="1" applyAlignment="1" applyProtection="1">
      <alignment horizontal="center" vertical="center"/>
      <protection hidden="1"/>
    </xf>
    <xf numFmtId="0" fontId="11" fillId="2" borderId="42" xfId="2" applyNumberFormat="1" applyFont="1" applyFill="1" applyBorder="1" applyAlignment="1" applyProtection="1">
      <alignment horizontal="center" vertical="center"/>
      <protection hidden="1"/>
    </xf>
    <xf numFmtId="0" fontId="11" fillId="0" borderId="5" xfId="2" applyFont="1" applyBorder="1" applyAlignment="1" applyProtection="1">
      <alignment horizontal="center" vertical="center" wrapText="1"/>
      <protection hidden="1"/>
    </xf>
    <xf numFmtId="0" fontId="11" fillId="0" borderId="6" xfId="2" applyFont="1" applyBorder="1" applyAlignment="1" applyProtection="1">
      <alignment horizontal="center" vertical="center" wrapText="1"/>
      <protection hidden="1"/>
    </xf>
    <xf numFmtId="0" fontId="11" fillId="0" borderId="7" xfId="2" applyFont="1" applyBorder="1" applyAlignment="1" applyProtection="1">
      <alignment horizontal="center" vertical="center" wrapText="1"/>
      <protection hidden="1"/>
    </xf>
    <xf numFmtId="0" fontId="22" fillId="0" borderId="2" xfId="2" applyFont="1" applyBorder="1" applyAlignment="1" applyProtection="1">
      <alignment horizontal="center" vertical="center"/>
      <protection hidden="1"/>
    </xf>
    <xf numFmtId="0" fontId="22" fillId="0" borderId="25" xfId="2" applyFont="1" applyBorder="1" applyAlignment="1" applyProtection="1">
      <alignment horizontal="center" vertical="center"/>
      <protection hidden="1"/>
    </xf>
    <xf numFmtId="0" fontId="22" fillId="0" borderId="26" xfId="2" applyFont="1" applyBorder="1" applyAlignment="1" applyProtection="1">
      <alignment horizontal="center" vertical="center"/>
      <protection hidden="1"/>
    </xf>
    <xf numFmtId="0" fontId="11" fillId="0" borderId="2" xfId="2" applyFont="1" applyBorder="1" applyAlignment="1" applyProtection="1">
      <alignment horizontal="center" vertical="center" wrapText="1"/>
      <protection hidden="1"/>
    </xf>
    <xf numFmtId="0" fontId="11" fillId="4" borderId="41" xfId="2" applyNumberFormat="1" applyFont="1" applyFill="1" applyBorder="1" applyAlignment="1" applyProtection="1">
      <alignment horizontal="center" vertical="center"/>
      <protection locked="0" hidden="1"/>
    </xf>
    <xf numFmtId="0" fontId="11" fillId="4" borderId="42" xfId="2" applyNumberFormat="1" applyFont="1" applyFill="1" applyBorder="1" applyAlignment="1" applyProtection="1">
      <alignment horizontal="center" vertical="center"/>
      <protection locked="0" hidden="1"/>
    </xf>
    <xf numFmtId="0" fontId="11" fillId="4" borderId="37" xfId="2" applyNumberFormat="1" applyFont="1" applyFill="1" applyBorder="1" applyAlignment="1" applyProtection="1">
      <alignment horizontal="center" vertical="center"/>
      <protection locked="0" hidden="1"/>
    </xf>
    <xf numFmtId="0" fontId="11" fillId="2" borderId="5" xfId="2" applyNumberFormat="1" applyFont="1" applyFill="1" applyBorder="1" applyAlignment="1" applyProtection="1">
      <alignment horizontal="center" vertical="center"/>
      <protection hidden="1"/>
    </xf>
    <xf numFmtId="0" fontId="11" fillId="2" borderId="8" xfId="2" applyNumberFormat="1" applyFont="1" applyFill="1" applyBorder="1" applyAlignment="1" applyProtection="1">
      <alignment horizontal="center" vertical="center"/>
      <protection hidden="1"/>
    </xf>
    <xf numFmtId="0" fontId="3" fillId="2" borderId="34" xfId="2" applyFont="1" applyFill="1" applyBorder="1" applyAlignment="1" applyProtection="1">
      <alignment horizontal="center" vertical="center"/>
      <protection locked="0" hidden="1"/>
    </xf>
    <xf numFmtId="0" fontId="3" fillId="2" borderId="33" xfId="2" applyFont="1" applyFill="1" applyBorder="1" applyAlignment="1" applyProtection="1">
      <alignment horizontal="center" vertical="center"/>
      <protection locked="0" hidden="1"/>
    </xf>
    <xf numFmtId="0" fontId="3" fillId="2" borderId="32" xfId="2" applyFont="1" applyFill="1" applyBorder="1" applyAlignment="1" applyProtection="1">
      <alignment horizontal="center" vertical="center"/>
      <protection locked="0" hidden="1"/>
    </xf>
    <xf numFmtId="0" fontId="11" fillId="4" borderId="38" xfId="2" applyFont="1" applyFill="1" applyBorder="1" applyAlignment="1" applyProtection="1">
      <alignment horizontal="center" vertical="center"/>
      <protection hidden="1"/>
    </xf>
    <xf numFmtId="0" fontId="11" fillId="4" borderId="39" xfId="2" applyFont="1" applyFill="1" applyBorder="1" applyAlignment="1" applyProtection="1">
      <alignment horizontal="center" vertical="center"/>
      <protection hidden="1"/>
    </xf>
    <xf numFmtId="0" fontId="11" fillId="4" borderId="40" xfId="2" applyFont="1" applyFill="1" applyBorder="1" applyAlignment="1" applyProtection="1">
      <alignment horizontal="center" vertical="center"/>
      <protection hidden="1"/>
    </xf>
    <xf numFmtId="0" fontId="3" fillId="2" borderId="8" xfId="2" applyFont="1" applyFill="1" applyBorder="1" applyAlignment="1" applyProtection="1">
      <alignment horizontal="center" vertical="center"/>
      <protection hidden="1"/>
    </xf>
    <xf numFmtId="0" fontId="3" fillId="2" borderId="10" xfId="2" applyFont="1" applyFill="1" applyBorder="1" applyAlignment="1" applyProtection="1">
      <alignment horizontal="center" vertical="center"/>
      <protection hidden="1"/>
    </xf>
    <xf numFmtId="0" fontId="3" fillId="2" borderId="11" xfId="2" applyFont="1" applyFill="1" applyBorder="1" applyAlignment="1" applyProtection="1">
      <alignment horizontal="center" vertical="center"/>
      <protection hidden="1"/>
    </xf>
    <xf numFmtId="0" fontId="11" fillId="4" borderId="38" xfId="2" applyFont="1" applyFill="1" applyBorder="1" applyAlignment="1" applyProtection="1">
      <alignment horizontal="center" vertical="center" wrapText="1"/>
      <protection hidden="1"/>
    </xf>
    <xf numFmtId="0" fontId="11" fillId="4" borderId="39" xfId="2" applyFont="1" applyFill="1" applyBorder="1" applyAlignment="1" applyProtection="1">
      <alignment horizontal="center" vertical="center" wrapText="1"/>
      <protection hidden="1"/>
    </xf>
    <xf numFmtId="0" fontId="11" fillId="4" borderId="40" xfId="2" applyFont="1" applyFill="1" applyBorder="1" applyAlignment="1" applyProtection="1">
      <alignment horizontal="center" vertical="center" wrapText="1"/>
      <protection hidden="1"/>
    </xf>
    <xf numFmtId="0" fontId="11" fillId="0" borderId="8" xfId="2" applyFont="1" applyFill="1" applyBorder="1" applyAlignment="1" applyProtection="1">
      <alignment horizontal="center" vertical="center" wrapText="1"/>
      <protection hidden="1"/>
    </xf>
    <xf numFmtId="0" fontId="11" fillId="0" borderId="0" xfId="2" applyNumberFormat="1" applyFont="1" applyFill="1" applyBorder="1" applyAlignment="1" applyProtection="1">
      <alignment horizontal="center" vertical="center"/>
      <protection hidden="1"/>
    </xf>
    <xf numFmtId="0" fontId="3" fillId="0" borderId="0" xfId="2" applyFont="1" applyFill="1" applyBorder="1" applyAlignment="1" applyProtection="1">
      <alignment horizontal="center" vertical="center"/>
      <protection locked="0" hidden="1"/>
    </xf>
    <xf numFmtId="0" fontId="3" fillId="0" borderId="0" xfId="2" applyNumberFormat="1" applyFont="1" applyFill="1" applyBorder="1" applyAlignment="1" applyProtection="1">
      <alignment horizontal="center" vertical="center"/>
      <protection hidden="1"/>
    </xf>
    <xf numFmtId="0" fontId="11" fillId="2" borderId="2" xfId="2" applyFont="1" applyFill="1" applyBorder="1" applyAlignment="1" applyProtection="1">
      <alignment horizontal="center" vertical="center" wrapText="1"/>
      <protection hidden="1"/>
    </xf>
    <xf numFmtId="0" fontId="11" fillId="2" borderId="25" xfId="2" applyFont="1" applyFill="1" applyBorder="1" applyAlignment="1" applyProtection="1">
      <alignment horizontal="center" vertical="center" wrapText="1"/>
      <protection hidden="1"/>
    </xf>
    <xf numFmtId="0" fontId="11" fillId="2" borderId="26" xfId="2" applyFont="1" applyFill="1" applyBorder="1" applyAlignment="1" applyProtection="1">
      <alignment horizontal="center" vertical="center" wrapText="1"/>
      <protection hidden="1"/>
    </xf>
    <xf numFmtId="0" fontId="22" fillId="0" borderId="5" xfId="2" applyFont="1" applyBorder="1" applyAlignment="1" applyProtection="1">
      <alignment horizontal="center" vertical="center"/>
      <protection hidden="1"/>
    </xf>
    <xf numFmtId="0" fontId="22" fillId="0" borderId="6" xfId="2" applyFont="1" applyBorder="1" applyAlignment="1" applyProtection="1">
      <alignment horizontal="center" vertical="center"/>
      <protection hidden="1"/>
    </xf>
    <xf numFmtId="0" fontId="22" fillId="0" borderId="7" xfId="2" applyFont="1" applyBorder="1" applyAlignment="1" applyProtection="1">
      <alignment horizontal="center" vertical="center"/>
      <protection hidden="1"/>
    </xf>
    <xf numFmtId="0" fontId="22" fillId="0" borderId="10" xfId="2" applyFont="1" applyBorder="1" applyAlignment="1" applyProtection="1">
      <alignment horizontal="center" vertical="center"/>
      <protection hidden="1"/>
    </xf>
    <xf numFmtId="0" fontId="22" fillId="0" borderId="11" xfId="2" applyFont="1" applyBorder="1" applyAlignment="1" applyProtection="1">
      <alignment horizontal="center" vertical="center"/>
      <protection hidden="1"/>
    </xf>
    <xf numFmtId="0" fontId="22" fillId="0" borderId="12" xfId="2" applyFont="1" applyBorder="1" applyAlignment="1" applyProtection="1">
      <alignment horizontal="center" vertical="center"/>
      <protection hidden="1"/>
    </xf>
    <xf numFmtId="0" fontId="11" fillId="2" borderId="54" xfId="2" applyNumberFormat="1" applyFont="1" applyFill="1" applyBorder="1" applyAlignment="1">
      <alignment horizontal="center" vertical="center"/>
    </xf>
    <xf numFmtId="0" fontId="11" fillId="2" borderId="42" xfId="2" applyNumberFormat="1" applyFont="1" applyFill="1" applyBorder="1" applyAlignment="1">
      <alignment horizontal="center" vertical="center"/>
    </xf>
    <xf numFmtId="0" fontId="11" fillId="2" borderId="37" xfId="2" applyNumberFormat="1" applyFont="1" applyFill="1" applyBorder="1" applyAlignment="1">
      <alignment horizontal="center" vertical="center"/>
    </xf>
    <xf numFmtId="0" fontId="3" fillId="0" borderId="0" xfId="2" applyFont="1" applyBorder="1" applyAlignment="1">
      <alignment horizontal="center"/>
    </xf>
    <xf numFmtId="0" fontId="11" fillId="0" borderId="2" xfId="2" applyFont="1" applyBorder="1" applyAlignment="1">
      <alignment horizontal="center" vertical="center"/>
    </xf>
    <xf numFmtId="0" fontId="11" fillId="0" borderId="25" xfId="2" applyFont="1" applyBorder="1" applyAlignment="1">
      <alignment horizontal="center" vertical="center"/>
    </xf>
    <xf numFmtId="0" fontId="11" fillId="0" borderId="26" xfId="2" applyFont="1" applyBorder="1" applyAlignment="1">
      <alignment horizontal="center" vertical="center"/>
    </xf>
    <xf numFmtId="0" fontId="3" fillId="0" borderId="5" xfId="2" applyFont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3" fillId="0" borderId="8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11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3" fillId="0" borderId="9" xfId="2" applyFont="1" applyBorder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11" fillId="0" borderId="0" xfId="2" applyFont="1" applyBorder="1" applyAlignment="1">
      <alignment horizontal="center"/>
    </xf>
    <xf numFmtId="0" fontId="22" fillId="0" borderId="2" xfId="2" applyFont="1" applyBorder="1" applyAlignment="1" applyProtection="1">
      <alignment horizontal="center" vertical="center"/>
    </xf>
    <xf numFmtId="0" fontId="22" fillId="0" borderId="25" xfId="2" applyFont="1" applyBorder="1" applyAlignment="1" applyProtection="1">
      <alignment horizontal="center" vertical="center"/>
    </xf>
    <xf numFmtId="0" fontId="22" fillId="0" borderId="26" xfId="2" applyFont="1" applyBorder="1" applyAlignment="1" applyProtection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3" fillId="2" borderId="8" xfId="2" applyFont="1" applyFill="1" applyBorder="1" applyAlignment="1">
      <alignment horizontal="center" vertical="center"/>
    </xf>
    <xf numFmtId="0" fontId="3" fillId="2" borderId="5" xfId="2" applyFont="1" applyFill="1" applyBorder="1" applyAlignment="1">
      <alignment horizontal="center" vertical="center"/>
    </xf>
    <xf numFmtId="0" fontId="3" fillId="2" borderId="6" xfId="2" applyFont="1" applyFill="1" applyBorder="1" applyAlignment="1">
      <alignment horizontal="center" vertical="center"/>
    </xf>
    <xf numFmtId="0" fontId="3" fillId="2" borderId="38" xfId="2" applyFont="1" applyFill="1" applyBorder="1" applyAlignment="1" applyProtection="1">
      <alignment horizontal="center" vertical="center"/>
      <protection locked="0"/>
    </xf>
    <xf numFmtId="0" fontId="3" fillId="2" borderId="39" xfId="2" applyFont="1" applyFill="1" applyBorder="1" applyAlignment="1" applyProtection="1">
      <alignment horizontal="center" vertical="center"/>
      <protection locked="0"/>
    </xf>
    <xf numFmtId="0" fontId="3" fillId="2" borderId="54" xfId="2" applyFont="1" applyFill="1" applyBorder="1" applyAlignment="1" applyProtection="1">
      <alignment horizontal="center" vertical="center"/>
      <protection locked="0"/>
    </xf>
    <xf numFmtId="0" fontId="11" fillId="0" borderId="2" xfId="2" applyFont="1" applyBorder="1" applyAlignment="1">
      <alignment horizontal="center" vertical="center" wrapText="1"/>
    </xf>
    <xf numFmtId="0" fontId="11" fillId="0" borderId="25" xfId="2" applyFont="1" applyBorder="1" applyAlignment="1">
      <alignment horizontal="center" vertical="center" wrapText="1"/>
    </xf>
    <xf numFmtId="0" fontId="11" fillId="0" borderId="26" xfId="2" applyFont="1" applyBorder="1" applyAlignment="1">
      <alignment horizontal="center" vertical="center" wrapText="1"/>
    </xf>
    <xf numFmtId="0" fontId="11" fillId="2" borderId="41" xfId="2" applyNumberFormat="1" applyFont="1" applyFill="1" applyBorder="1" applyAlignment="1">
      <alignment horizontal="center" vertical="center"/>
    </xf>
    <xf numFmtId="0" fontId="3" fillId="2" borderId="40" xfId="2" applyFont="1" applyFill="1" applyBorder="1" applyAlignment="1" applyProtection="1">
      <alignment horizontal="center" vertical="center"/>
      <protection locked="0"/>
    </xf>
    <xf numFmtId="0" fontId="3" fillId="2" borderId="41" xfId="2" applyNumberFormat="1" applyFont="1" applyFill="1" applyBorder="1" applyAlignment="1">
      <alignment horizontal="center" vertical="center"/>
    </xf>
    <xf numFmtId="0" fontId="3" fillId="2" borderId="42" xfId="2" applyNumberFormat="1" applyFont="1" applyFill="1" applyBorder="1" applyAlignment="1">
      <alignment horizontal="center" vertical="center"/>
    </xf>
    <xf numFmtId="0" fontId="3" fillId="2" borderId="37" xfId="2" applyNumberFormat="1" applyFont="1" applyFill="1" applyBorder="1" applyAlignment="1">
      <alignment horizontal="center" vertical="center"/>
    </xf>
    <xf numFmtId="0" fontId="11" fillId="4" borderId="41" xfId="2" applyNumberFormat="1" applyFont="1" applyFill="1" applyBorder="1" applyAlignment="1" applyProtection="1">
      <alignment horizontal="center" vertical="center"/>
      <protection locked="0"/>
    </xf>
    <xf numFmtId="0" fontId="11" fillId="4" borderId="42" xfId="2" applyNumberFormat="1" applyFont="1" applyFill="1" applyBorder="1" applyAlignment="1" applyProtection="1">
      <alignment horizontal="center" vertical="center"/>
      <protection locked="0"/>
    </xf>
    <xf numFmtId="0" fontId="11" fillId="4" borderId="37" xfId="2" applyNumberFormat="1" applyFont="1" applyFill="1" applyBorder="1" applyAlignment="1" applyProtection="1">
      <alignment horizontal="center" vertical="center"/>
      <protection locked="0"/>
    </xf>
    <xf numFmtId="0" fontId="3" fillId="2" borderId="11" xfId="2" applyFont="1" applyFill="1" applyBorder="1" applyAlignment="1">
      <alignment horizontal="center" vertical="center"/>
    </xf>
    <xf numFmtId="0" fontId="11" fillId="4" borderId="41" xfId="2" applyNumberFormat="1" applyFont="1" applyFill="1" applyBorder="1" applyAlignment="1" applyProtection="1">
      <alignment horizontal="center" vertical="center"/>
    </xf>
    <xf numFmtId="0" fontId="11" fillId="4" borderId="42" xfId="2" applyNumberFormat="1" applyFont="1" applyFill="1" applyBorder="1" applyAlignment="1" applyProtection="1">
      <alignment horizontal="center" vertical="center"/>
    </xf>
    <xf numFmtId="0" fontId="11" fillId="4" borderId="37" xfId="2" applyNumberFormat="1" applyFont="1" applyFill="1" applyBorder="1" applyAlignment="1" applyProtection="1">
      <alignment horizontal="center" vertical="center"/>
    </xf>
    <xf numFmtId="0" fontId="12" fillId="2" borderId="8" xfId="2" applyFont="1" applyFill="1" applyBorder="1" applyAlignment="1">
      <alignment horizontal="center" vertical="center"/>
    </xf>
    <xf numFmtId="0" fontId="12" fillId="2" borderId="0" xfId="2" applyFont="1" applyFill="1" applyBorder="1" applyAlignment="1">
      <alignment horizontal="center" vertical="center"/>
    </xf>
    <xf numFmtId="0" fontId="22" fillId="2" borderId="2" xfId="2" applyFont="1" applyFill="1" applyBorder="1" applyAlignment="1" applyProtection="1">
      <alignment horizontal="center" vertical="center"/>
    </xf>
    <xf numFmtId="0" fontId="22" fillId="2" borderId="25" xfId="2" applyFont="1" applyFill="1" applyBorder="1" applyAlignment="1" applyProtection="1">
      <alignment horizontal="center" vertical="center"/>
    </xf>
    <xf numFmtId="0" fontId="22" fillId="2" borderId="26" xfId="2" applyFont="1" applyFill="1" applyBorder="1" applyAlignment="1" applyProtection="1">
      <alignment horizontal="center" vertical="center"/>
    </xf>
    <xf numFmtId="0" fontId="11" fillId="0" borderId="5" xfId="2" applyFont="1" applyBorder="1" applyAlignment="1">
      <alignment horizontal="center" vertical="center" wrapText="1"/>
    </xf>
    <xf numFmtId="0" fontId="11" fillId="0" borderId="6" xfId="2" applyFont="1" applyBorder="1" applyAlignment="1">
      <alignment horizontal="center" vertical="center" wrapText="1"/>
    </xf>
    <xf numFmtId="0" fontId="11" fillId="0" borderId="7" xfId="2" applyFont="1" applyBorder="1" applyAlignment="1">
      <alignment horizontal="center" vertical="center" wrapText="1"/>
    </xf>
    <xf numFmtId="0" fontId="12" fillId="4" borderId="2" xfId="2" applyFont="1" applyFill="1" applyBorder="1" applyAlignment="1">
      <alignment horizontal="center" vertical="center"/>
    </xf>
    <xf numFmtId="0" fontId="12" fillId="4" borderId="25" xfId="2" applyFont="1" applyFill="1" applyBorder="1" applyAlignment="1">
      <alignment horizontal="center" vertical="center"/>
    </xf>
    <xf numFmtId="0" fontId="12" fillId="4" borderId="26" xfId="2" applyFont="1" applyFill="1" applyBorder="1" applyAlignment="1">
      <alignment horizontal="center" vertical="center"/>
    </xf>
    <xf numFmtId="0" fontId="12" fillId="4" borderId="5" xfId="2" applyFont="1" applyFill="1" applyBorder="1" applyAlignment="1">
      <alignment horizontal="center" vertical="center"/>
    </xf>
    <xf numFmtId="0" fontId="12" fillId="4" borderId="6" xfId="2" applyFont="1" applyFill="1" applyBorder="1" applyAlignment="1">
      <alignment horizontal="center" vertical="center"/>
    </xf>
    <xf numFmtId="0" fontId="12" fillId="4" borderId="7" xfId="2" applyFont="1" applyFill="1" applyBorder="1" applyAlignment="1">
      <alignment horizontal="center" vertical="center"/>
    </xf>
    <xf numFmtId="0" fontId="3" fillId="2" borderId="10" xfId="2" applyFont="1" applyFill="1" applyBorder="1" applyAlignment="1">
      <alignment horizontal="center" vertical="center"/>
    </xf>
    <xf numFmtId="0" fontId="11" fillId="4" borderId="38" xfId="2" applyFont="1" applyFill="1" applyBorder="1" applyAlignment="1" applyProtection="1">
      <alignment horizontal="center" vertical="center"/>
    </xf>
    <xf numFmtId="0" fontId="11" fillId="4" borderId="39" xfId="2" applyFont="1" applyFill="1" applyBorder="1" applyAlignment="1" applyProtection="1">
      <alignment horizontal="center" vertical="center"/>
    </xf>
    <xf numFmtId="0" fontId="11" fillId="4" borderId="40" xfId="2" applyFont="1" applyFill="1" applyBorder="1" applyAlignment="1" applyProtection="1">
      <alignment horizontal="center" vertical="center"/>
    </xf>
    <xf numFmtId="0" fontId="11" fillId="4" borderId="38" xfId="2" applyFont="1" applyFill="1" applyBorder="1" applyAlignment="1" applyProtection="1">
      <alignment horizontal="center" vertical="center" wrapText="1"/>
    </xf>
    <xf numFmtId="0" fontId="11" fillId="4" borderId="39" xfId="2" applyFont="1" applyFill="1" applyBorder="1" applyAlignment="1" applyProtection="1">
      <alignment horizontal="center" vertical="center" wrapText="1"/>
    </xf>
    <xf numFmtId="0" fontId="11" fillId="4" borderId="40" xfId="2" applyFont="1" applyFill="1" applyBorder="1" applyAlignment="1" applyProtection="1">
      <alignment horizontal="center" vertical="center" wrapText="1"/>
    </xf>
    <xf numFmtId="0" fontId="11" fillId="4" borderId="54" xfId="2" applyFont="1" applyFill="1" applyBorder="1" applyAlignment="1" applyProtection="1">
      <alignment horizontal="center" vertical="center" wrapText="1"/>
    </xf>
    <xf numFmtId="0" fontId="11" fillId="4" borderId="54" xfId="2" applyFont="1" applyFill="1" applyBorder="1" applyAlignment="1" applyProtection="1">
      <alignment horizontal="center" vertical="center"/>
    </xf>
    <xf numFmtId="0" fontId="11" fillId="4" borderId="41" xfId="2" applyNumberFormat="1" applyFont="1" applyFill="1" applyBorder="1" applyAlignment="1" applyProtection="1">
      <alignment horizontal="center" vertical="center" wrapText="1"/>
      <protection locked="0"/>
    </xf>
    <xf numFmtId="0" fontId="11" fillId="4" borderId="41" xfId="2" applyFont="1" applyFill="1" applyBorder="1" applyAlignment="1" applyProtection="1">
      <alignment horizontal="center" vertical="center"/>
    </xf>
    <xf numFmtId="0" fontId="11" fillId="4" borderId="42" xfId="2" applyFont="1" applyFill="1" applyBorder="1" applyAlignment="1" applyProtection="1">
      <alignment horizontal="center" vertical="center"/>
    </xf>
    <xf numFmtId="0" fontId="3" fillId="2" borderId="34" xfId="2" applyFont="1" applyFill="1" applyBorder="1" applyAlignment="1" applyProtection="1">
      <alignment horizontal="center" vertical="center"/>
      <protection locked="0"/>
    </xf>
    <xf numFmtId="0" fontId="3" fillId="2" borderId="33" xfId="2" applyFont="1" applyFill="1" applyBorder="1" applyAlignment="1" applyProtection="1">
      <alignment horizontal="center" vertical="center"/>
      <protection locked="0"/>
    </xf>
    <xf numFmtId="0" fontId="3" fillId="2" borderId="32" xfId="2" applyFont="1" applyFill="1" applyBorder="1" applyAlignment="1" applyProtection="1">
      <alignment horizontal="center" vertical="center"/>
      <protection locked="0"/>
    </xf>
    <xf numFmtId="0" fontId="11" fillId="2" borderId="2" xfId="2" applyFont="1" applyFill="1" applyBorder="1" applyAlignment="1">
      <alignment horizontal="center" vertical="center" wrapText="1"/>
    </xf>
    <xf numFmtId="0" fontId="11" fillId="2" borderId="25" xfId="2" applyFont="1" applyFill="1" applyBorder="1" applyAlignment="1">
      <alignment horizontal="center" vertical="center" wrapText="1"/>
    </xf>
    <xf numFmtId="0" fontId="11" fillId="2" borderId="26" xfId="2" applyFont="1" applyFill="1" applyBorder="1" applyAlignment="1">
      <alignment horizontal="center" vertical="center" wrapText="1"/>
    </xf>
    <xf numFmtId="0" fontId="11" fillId="2" borderId="5" xfId="2" applyNumberFormat="1" applyFont="1" applyFill="1" applyBorder="1" applyAlignment="1">
      <alignment horizontal="center" vertical="center"/>
    </xf>
    <xf numFmtId="0" fontId="11" fillId="2" borderId="8" xfId="2" applyNumberFormat="1" applyFont="1" applyFill="1" applyBorder="1" applyAlignment="1">
      <alignment horizontal="center" vertical="center"/>
    </xf>
    <xf numFmtId="0" fontId="22" fillId="0" borderId="5" xfId="2" applyFont="1" applyBorder="1" applyAlignment="1" applyProtection="1">
      <alignment horizontal="center" vertical="center"/>
      <protection locked="0"/>
    </xf>
    <xf numFmtId="0" fontId="22" fillId="0" borderId="6" xfId="2" applyFont="1" applyBorder="1" applyAlignment="1" applyProtection="1">
      <alignment horizontal="center" vertical="center"/>
      <protection locked="0"/>
    </xf>
    <xf numFmtId="0" fontId="22" fillId="0" borderId="7" xfId="2" applyFont="1" applyBorder="1" applyAlignment="1" applyProtection="1">
      <alignment horizontal="center" vertical="center"/>
      <protection locked="0"/>
    </xf>
    <xf numFmtId="0" fontId="22" fillId="0" borderId="10" xfId="2" applyFont="1" applyBorder="1" applyAlignment="1" applyProtection="1">
      <alignment horizontal="center" vertical="center"/>
      <protection locked="0"/>
    </xf>
    <xf numFmtId="0" fontId="22" fillId="0" borderId="11" xfId="2" applyFont="1" applyBorder="1" applyAlignment="1" applyProtection="1">
      <alignment horizontal="center" vertical="center"/>
      <protection locked="0"/>
    </xf>
    <xf numFmtId="0" fontId="22" fillId="0" borderId="12" xfId="2" applyFont="1" applyBorder="1" applyAlignment="1" applyProtection="1">
      <alignment horizontal="center" vertical="center"/>
      <protection locked="0"/>
    </xf>
    <xf numFmtId="0" fontId="11" fillId="2" borderId="54" xfId="2" applyNumberFormat="1" applyFont="1" applyFill="1" applyBorder="1" applyAlignment="1" applyProtection="1">
      <alignment horizontal="center" vertical="center"/>
    </xf>
    <xf numFmtId="0" fontId="11" fillId="2" borderId="42" xfId="2" applyNumberFormat="1" applyFont="1" applyFill="1" applyBorder="1" applyAlignment="1" applyProtection="1">
      <alignment horizontal="center" vertical="center"/>
    </xf>
    <xf numFmtId="0" fontId="11" fillId="2" borderId="37" xfId="2" applyNumberFormat="1" applyFont="1" applyFill="1" applyBorder="1" applyAlignment="1" applyProtection="1">
      <alignment horizontal="center" vertical="center"/>
    </xf>
    <xf numFmtId="0" fontId="12" fillId="4" borderId="5" xfId="2" applyFont="1" applyFill="1" applyBorder="1" applyAlignment="1" applyProtection="1">
      <alignment horizontal="center" vertical="center"/>
      <protection hidden="1"/>
    </xf>
    <xf numFmtId="0" fontId="12" fillId="4" borderId="6" xfId="2" applyFont="1" applyFill="1" applyBorder="1" applyAlignment="1" applyProtection="1">
      <alignment horizontal="center" vertical="center"/>
      <protection hidden="1"/>
    </xf>
    <xf numFmtId="0" fontId="12" fillId="4" borderId="7" xfId="2" applyFont="1" applyFill="1" applyBorder="1" applyAlignment="1" applyProtection="1">
      <alignment horizontal="center" vertical="center"/>
      <protection hidden="1"/>
    </xf>
    <xf numFmtId="0" fontId="11" fillId="2" borderId="54" xfId="2" applyNumberFormat="1" applyFont="1" applyFill="1" applyBorder="1" applyAlignment="1" applyProtection="1">
      <alignment horizontal="center" vertical="center"/>
      <protection hidden="1"/>
    </xf>
    <xf numFmtId="0" fontId="11" fillId="0" borderId="9" xfId="2" applyNumberFormat="1" applyFont="1" applyFill="1" applyBorder="1" applyAlignment="1" applyProtection="1">
      <alignment horizontal="center" vertical="center"/>
      <protection hidden="1"/>
    </xf>
    <xf numFmtId="0" fontId="11" fillId="0" borderId="8" xfId="2" applyFont="1" applyFill="1" applyBorder="1" applyAlignment="1" applyProtection="1">
      <alignment horizontal="center" vertical="center"/>
      <protection hidden="1"/>
    </xf>
    <xf numFmtId="0" fontId="11" fillId="0" borderId="0" xfId="2" applyFont="1" applyFill="1" applyBorder="1" applyAlignment="1" applyProtection="1">
      <alignment horizontal="center" vertical="center" wrapText="1"/>
      <protection hidden="1"/>
    </xf>
    <xf numFmtId="0" fontId="3" fillId="2" borderId="41" xfId="2" applyFont="1" applyFill="1" applyBorder="1" applyAlignment="1" applyProtection="1">
      <alignment horizontal="center" vertical="center"/>
      <protection locked="0" hidden="1"/>
    </xf>
    <xf numFmtId="0" fontId="3" fillId="2" borderId="42" xfId="2" applyFont="1" applyFill="1" applyBorder="1" applyAlignment="1" applyProtection="1">
      <alignment horizontal="center" vertical="center"/>
      <protection locked="0" hidden="1"/>
    </xf>
    <xf numFmtId="0" fontId="3" fillId="2" borderId="37" xfId="2" applyFont="1" applyFill="1" applyBorder="1" applyAlignment="1" applyProtection="1">
      <alignment horizontal="center" vertical="center"/>
      <protection locked="0" hidden="1"/>
    </xf>
    <xf numFmtId="0" fontId="11" fillId="4" borderId="41" xfId="2" applyFont="1" applyFill="1" applyBorder="1" applyAlignment="1" applyProtection="1">
      <alignment horizontal="center" vertical="center"/>
      <protection hidden="1"/>
    </xf>
    <xf numFmtId="0" fontId="11" fillId="4" borderId="42" xfId="2" applyFont="1" applyFill="1" applyBorder="1" applyAlignment="1" applyProtection="1">
      <alignment horizontal="center" vertical="center"/>
      <protection hidden="1"/>
    </xf>
    <xf numFmtId="0" fontId="11" fillId="4" borderId="37" xfId="2" applyFont="1" applyFill="1" applyBorder="1" applyAlignment="1" applyProtection="1">
      <alignment horizontal="center" vertical="center"/>
      <protection hidden="1"/>
    </xf>
    <xf numFmtId="0" fontId="22" fillId="0" borderId="2" xfId="4" applyProtection="1">
      <alignment horizontal="center" vertical="center"/>
      <protection hidden="1"/>
    </xf>
    <xf numFmtId="0" fontId="22" fillId="0" borderId="2" xfId="4" applyBorder="1" applyProtection="1">
      <alignment horizontal="center" vertical="center"/>
      <protection hidden="1"/>
    </xf>
    <xf numFmtId="0" fontId="22" fillId="0" borderId="25" xfId="4" applyBorder="1" applyProtection="1">
      <alignment horizontal="center" vertical="center"/>
      <protection hidden="1"/>
    </xf>
    <xf numFmtId="0" fontId="22" fillId="0" borderId="26" xfId="4" applyBorder="1" applyProtection="1">
      <alignment horizontal="center" vertical="center"/>
      <protection hidden="1"/>
    </xf>
    <xf numFmtId="0" fontId="11" fillId="4" borderId="41" xfId="2" applyNumberFormat="1" applyFont="1" applyFill="1" applyBorder="1" applyAlignment="1" applyProtection="1">
      <alignment horizontal="center" vertical="center" wrapText="1"/>
      <protection locked="0" hidden="1"/>
    </xf>
    <xf numFmtId="0" fontId="22" fillId="0" borderId="2" xfId="4" applyBorder="1" applyProtection="1">
      <alignment horizontal="center" vertical="center"/>
    </xf>
    <xf numFmtId="0" fontId="22" fillId="0" borderId="25" xfId="4" applyBorder="1" applyProtection="1">
      <alignment horizontal="center" vertical="center"/>
    </xf>
    <xf numFmtId="0" fontId="22" fillId="0" borderId="26" xfId="4" applyBorder="1" applyProtection="1">
      <alignment horizontal="center" vertical="center"/>
    </xf>
    <xf numFmtId="0" fontId="22" fillId="0" borderId="5" xfId="2" applyFont="1" applyBorder="1" applyAlignment="1" applyProtection="1">
      <alignment horizontal="center" vertical="center"/>
    </xf>
    <xf numFmtId="0" fontId="22" fillId="0" borderId="6" xfId="2" applyFont="1" applyBorder="1" applyAlignment="1" applyProtection="1">
      <alignment horizontal="center" vertical="center"/>
    </xf>
    <xf numFmtId="0" fontId="22" fillId="0" borderId="7" xfId="2" applyFont="1" applyBorder="1" applyAlignment="1" applyProtection="1">
      <alignment horizontal="center" vertical="center"/>
    </xf>
    <xf numFmtId="0" fontId="22" fillId="0" borderId="10" xfId="2" applyFont="1" applyBorder="1" applyAlignment="1" applyProtection="1">
      <alignment horizontal="center" vertical="center"/>
    </xf>
    <xf numFmtId="0" fontId="22" fillId="0" borderId="11" xfId="2" applyFont="1" applyBorder="1" applyAlignment="1" applyProtection="1">
      <alignment horizontal="center" vertical="center"/>
    </xf>
    <xf numFmtId="0" fontId="22" fillId="0" borderId="12" xfId="2" applyFont="1" applyBorder="1" applyAlignment="1" applyProtection="1">
      <alignment horizontal="center" vertical="center"/>
    </xf>
    <xf numFmtId="0" fontId="22" fillId="0" borderId="2" xfId="4" applyProtection="1">
      <alignment horizontal="center" vertical="center"/>
    </xf>
    <xf numFmtId="0" fontId="11" fillId="4" borderId="37" xfId="2" applyFont="1" applyFill="1" applyBorder="1" applyAlignment="1" applyProtection="1">
      <alignment horizontal="center" vertical="center"/>
    </xf>
    <xf numFmtId="0" fontId="3" fillId="2" borderId="41" xfId="2" applyFont="1" applyFill="1" applyBorder="1" applyAlignment="1" applyProtection="1">
      <alignment horizontal="center" vertical="center"/>
      <protection locked="0"/>
    </xf>
    <xf numFmtId="0" fontId="3" fillId="2" borderId="42" xfId="2" applyFont="1" applyFill="1" applyBorder="1" applyAlignment="1" applyProtection="1">
      <alignment horizontal="center" vertical="center"/>
      <protection locked="0"/>
    </xf>
    <xf numFmtId="0" fontId="3" fillId="2" borderId="37" xfId="2" applyFont="1" applyFill="1" applyBorder="1" applyAlignment="1" applyProtection="1">
      <alignment horizontal="center" vertical="center"/>
      <protection locked="0"/>
    </xf>
    <xf numFmtId="0" fontId="0" fillId="2" borderId="49" xfId="0" applyFill="1" applyBorder="1" applyAlignment="1" applyProtection="1">
      <alignment horizontal="left" vertical="top"/>
      <protection locked="0"/>
    </xf>
    <xf numFmtId="0" fontId="0" fillId="2" borderId="9" xfId="0" applyFill="1" applyBorder="1" applyAlignment="1" applyProtection="1">
      <alignment horizontal="left" vertical="top"/>
      <protection locked="0"/>
    </xf>
    <xf numFmtId="0" fontId="0" fillId="2" borderId="50" xfId="0" applyFill="1" applyBorder="1" applyAlignment="1" applyProtection="1">
      <alignment horizontal="left" vertical="top"/>
      <protection locked="0"/>
    </xf>
    <xf numFmtId="0" fontId="3" fillId="2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 applyProtection="1">
      <alignment horizontal="center" vertical="center" wrapText="1"/>
    </xf>
    <xf numFmtId="0" fontId="3" fillId="2" borderId="53" xfId="0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/>
      <protection locked="0"/>
    </xf>
    <xf numFmtId="0" fontId="0" fillId="2" borderId="22" xfId="0" applyFill="1" applyBorder="1" applyAlignment="1" applyProtection="1">
      <alignment horizontal="left" vertical="top" wrapText="1"/>
      <protection locked="0"/>
    </xf>
    <xf numFmtId="0" fontId="0" fillId="2" borderId="23" xfId="0" applyFill="1" applyBorder="1" applyAlignment="1" applyProtection="1">
      <alignment horizontal="left" vertical="top" wrapText="1"/>
      <protection locked="0"/>
    </xf>
    <xf numFmtId="0" fontId="0" fillId="2" borderId="0" xfId="0" applyFill="1" applyBorder="1" applyAlignment="1" applyProtection="1">
      <alignment horizontal="left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0" fontId="29" fillId="0" borderId="0" xfId="0" applyFont="1" applyBorder="1" applyAlignment="1">
      <alignment horizontal="left"/>
    </xf>
    <xf numFmtId="0" fontId="11" fillId="0" borderId="5" xfId="2" applyFont="1" applyBorder="1" applyAlignment="1">
      <alignment horizontal="center" vertical="center"/>
    </xf>
    <xf numFmtId="0" fontId="11" fillId="0" borderId="6" xfId="2" applyFont="1" applyBorder="1" applyAlignment="1">
      <alignment horizontal="center" vertical="center"/>
    </xf>
    <xf numFmtId="0" fontId="11" fillId="0" borderId="7" xfId="2" applyFont="1" applyBorder="1" applyAlignment="1">
      <alignment horizontal="center" vertical="center"/>
    </xf>
    <xf numFmtId="0" fontId="11" fillId="4" borderId="41" xfId="2" applyFont="1" applyFill="1" applyBorder="1" applyAlignment="1" applyProtection="1">
      <alignment horizontal="center" vertical="center" wrapText="1"/>
    </xf>
    <xf numFmtId="0" fontId="11" fillId="4" borderId="42" xfId="2" applyFont="1" applyFill="1" applyBorder="1" applyAlignment="1" applyProtection="1">
      <alignment horizontal="center" vertical="center" wrapText="1"/>
    </xf>
    <xf numFmtId="0" fontId="11" fillId="4" borderId="37" xfId="2" applyFont="1" applyFill="1" applyBorder="1" applyAlignment="1" applyProtection="1">
      <alignment horizontal="center" vertical="center" wrapText="1"/>
    </xf>
    <xf numFmtId="0" fontId="3" fillId="0" borderId="0" xfId="2" applyFont="1" applyFill="1" applyBorder="1" applyAlignment="1" applyProtection="1">
      <alignment horizontal="center" vertical="center" wrapText="1"/>
      <protection locked="0"/>
    </xf>
    <xf numFmtId="0" fontId="3" fillId="0" borderId="11" xfId="2" applyFont="1" applyFill="1" applyBorder="1" applyAlignment="1" applyProtection="1">
      <alignment horizontal="center" vertical="center" wrapText="1"/>
      <protection locked="0"/>
    </xf>
    <xf numFmtId="0" fontId="3" fillId="0" borderId="0" xfId="2" applyNumberFormat="1" applyFont="1" applyFill="1" applyBorder="1" applyAlignment="1">
      <alignment horizontal="center" vertical="center"/>
    </xf>
    <xf numFmtId="0" fontId="3" fillId="0" borderId="11" xfId="2" applyNumberFormat="1" applyFont="1" applyFill="1" applyBorder="1" applyAlignment="1">
      <alignment horizontal="center" vertical="center"/>
    </xf>
    <xf numFmtId="0" fontId="3" fillId="2" borderId="41" xfId="2" applyFont="1" applyFill="1" applyBorder="1" applyAlignment="1" applyProtection="1">
      <alignment horizontal="center" vertical="center" wrapText="1"/>
      <protection locked="0"/>
    </xf>
    <xf numFmtId="0" fontId="3" fillId="2" borderId="42" xfId="2" applyFont="1" applyFill="1" applyBorder="1" applyAlignment="1" applyProtection="1">
      <alignment horizontal="center" vertical="center" wrapText="1"/>
      <protection locked="0"/>
    </xf>
    <xf numFmtId="0" fontId="3" fillId="0" borderId="5" xfId="2" applyFont="1" applyBorder="1" applyAlignment="1">
      <alignment horizontal="center" vertical="center" wrapText="1"/>
    </xf>
    <xf numFmtId="0" fontId="3" fillId="0" borderId="6" xfId="2" applyFont="1" applyBorder="1" applyAlignment="1">
      <alignment horizontal="center" vertical="center" wrapText="1"/>
    </xf>
    <xf numFmtId="0" fontId="3" fillId="0" borderId="7" xfId="2" applyFont="1" applyBorder="1" applyAlignment="1">
      <alignment horizontal="center" vertical="center" wrapText="1"/>
    </xf>
    <xf numFmtId="0" fontId="3" fillId="0" borderId="8" xfId="2" applyFont="1" applyBorder="1" applyAlignment="1">
      <alignment horizontal="center" vertical="center" wrapText="1"/>
    </xf>
    <xf numFmtId="0" fontId="3" fillId="0" borderId="0" xfId="2" applyFont="1" applyBorder="1" applyAlignment="1">
      <alignment horizontal="center" vertical="center" wrapText="1"/>
    </xf>
    <xf numFmtId="0" fontId="3" fillId="0" borderId="9" xfId="2" applyFont="1" applyBorder="1" applyAlignment="1">
      <alignment horizontal="center" vertical="center" wrapText="1"/>
    </xf>
    <xf numFmtId="0" fontId="3" fillId="0" borderId="11" xfId="2" applyFont="1" applyBorder="1" applyAlignment="1">
      <alignment horizontal="center" vertical="center" wrapText="1"/>
    </xf>
    <xf numFmtId="0" fontId="3" fillId="0" borderId="12" xfId="2" applyFont="1" applyBorder="1" applyAlignment="1">
      <alignment horizontal="center" vertical="center" wrapText="1"/>
    </xf>
    <xf numFmtId="0" fontId="11" fillId="0" borderId="5" xfId="2" applyFont="1" applyFill="1" applyBorder="1" applyAlignment="1" applyProtection="1">
      <alignment horizontal="center" vertical="center" wrapText="1"/>
    </xf>
    <xf numFmtId="0" fontId="11" fillId="0" borderId="8" xfId="2" applyFont="1" applyFill="1" applyBorder="1" applyAlignment="1" applyProtection="1">
      <alignment horizontal="center" vertical="center" wrapText="1"/>
    </xf>
    <xf numFmtId="0" fontId="11" fillId="0" borderId="10" xfId="2" applyFont="1" applyFill="1" applyBorder="1" applyAlignment="1" applyProtection="1">
      <alignment horizontal="center" vertical="center" wrapText="1"/>
    </xf>
    <xf numFmtId="0" fontId="11" fillId="0" borderId="6" xfId="2" applyFont="1" applyFill="1" applyBorder="1" applyAlignment="1">
      <alignment horizontal="center" vertical="center" wrapText="1"/>
    </xf>
    <xf numFmtId="0" fontId="11" fillId="0" borderId="0" xfId="2" applyNumberFormat="1" applyFont="1" applyFill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</cellXfs>
  <cellStyles count="5">
    <cellStyle name="Link" xfId="1" builtinId="8"/>
    <cellStyle name="NameDrive" xfId="4"/>
    <cellStyle name="Neutral" xfId="3" builtinId="28"/>
    <cellStyle name="Standard" xfId="0" builtinId="0"/>
    <cellStyle name="Standard 2" xfId="2"/>
  </cellStyles>
  <dxfs count="31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A88000"/>
      <color rgb="FF820000"/>
      <color rgb="FFFF66FF"/>
      <color rgb="FFFF3300"/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Relationship Id="rId30" Type="http://schemas.microsoft.com/office/2006/relationships/vbaProject" Target="vbaProject.bin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0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1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2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3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4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6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7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8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9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0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1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2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3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4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5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6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7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8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9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0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1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2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3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4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5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6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7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8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9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0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1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2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3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4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5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6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7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8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9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0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1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2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3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4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5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6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7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8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9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0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1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2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3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4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5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6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7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8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9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0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1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2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3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4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5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6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7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8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9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0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1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2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3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4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5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6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7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8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9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0.xml"/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1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2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3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4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5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6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7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8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9.xml"/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0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1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2.xml"/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3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4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5.xml"/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6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7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8.xml"/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9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0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1.xml"/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2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3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4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5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6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7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8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9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0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1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2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3.xml"/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4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5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6.xml"/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7.xml"/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8.xml"/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9.xml"/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0.xml"/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1.xml"/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2.xml"/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3.xml"/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4.xml"/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5.xml"/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6.xml"/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WMTC'!$BE$13:$BL$13</c:f>
            </c:numRef>
          </c:val>
          <c:extLst>
            <c:ext xmlns:c16="http://schemas.microsoft.com/office/drawing/2014/chart" uri="{C3380CC4-5D6E-409C-BE32-E72D297353CC}">
              <c16:uniqueId val="{00000000-88CC-4E46-8107-70DBBB3F0B25}"/>
            </c:ext>
          </c:extLst>
        </c:ser>
        <c:ser>
          <c:idx val="1"/>
          <c:order val="1"/>
          <c:tx>
            <c:strRef>
              <c:f>'Variant 5 - WMTC'!$BD$14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WMTC'!$BE$14:$BL$14</c:f>
            </c:numRef>
          </c:val>
          <c:extLst>
            <c:ext xmlns:c16="http://schemas.microsoft.com/office/drawing/2014/chart" uri="{C3380CC4-5D6E-409C-BE32-E72D297353CC}">
              <c16:uniqueId val="{00000001-88CC-4E46-8107-70DBBB3F0B25}"/>
            </c:ext>
          </c:extLst>
        </c:ser>
        <c:ser>
          <c:idx val="2"/>
          <c:order val="2"/>
          <c:tx>
            <c:strRef>
              <c:f>'Variant 5 - WMTC'!$BD$15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WMTC'!$BE$15:$BL$15</c:f>
            </c:numRef>
          </c:val>
          <c:extLst>
            <c:ext xmlns:c16="http://schemas.microsoft.com/office/drawing/2014/chart" uri="{C3380CC4-5D6E-409C-BE32-E72D297353CC}">
              <c16:uniqueId val="{00000002-88CC-4E46-8107-70DBBB3F0B25}"/>
            </c:ext>
          </c:extLst>
        </c:ser>
        <c:ser>
          <c:idx val="3"/>
          <c:order val="3"/>
          <c:tx>
            <c:strRef>
              <c:f>'Variant 5 - WMTC'!$BD$16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WMTC'!$BE$16:$BL$16</c:f>
            </c:numRef>
          </c:val>
          <c:extLst>
            <c:ext xmlns:c16="http://schemas.microsoft.com/office/drawing/2014/chart" uri="{C3380CC4-5D6E-409C-BE32-E72D297353CC}">
              <c16:uniqueId val="{00000003-88CC-4E46-8107-70DBBB3F0B25}"/>
            </c:ext>
          </c:extLst>
        </c:ser>
        <c:ser>
          <c:idx val="4"/>
          <c:order val="4"/>
          <c:tx>
            <c:strRef>
              <c:f>'Variant 5 - WMTC'!$BD$17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WMTC'!$BE$17:$BL$17</c:f>
            </c:numRef>
          </c:val>
          <c:extLst>
            <c:ext xmlns:c16="http://schemas.microsoft.com/office/drawing/2014/chart" uri="{C3380CC4-5D6E-409C-BE32-E72D297353CC}">
              <c16:uniqueId val="{00000004-88CC-4E46-8107-70DBBB3F0B25}"/>
            </c:ext>
          </c:extLst>
        </c:ser>
        <c:ser>
          <c:idx val="5"/>
          <c:order val="5"/>
          <c:tx>
            <c:strRef>
              <c:f>'Variant 5 - WMTC'!$BD$18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WMTC'!$BE$18:$BL$18</c:f>
            </c:numRef>
          </c:val>
          <c:extLst>
            <c:ext xmlns:c16="http://schemas.microsoft.com/office/drawing/2014/chart" uri="{C3380CC4-5D6E-409C-BE32-E72D297353CC}">
              <c16:uniqueId val="{00000005-88CC-4E46-8107-70DBBB3F0B25}"/>
            </c:ext>
          </c:extLst>
        </c:ser>
        <c:ser>
          <c:idx val="6"/>
          <c:order val="6"/>
          <c:tx>
            <c:strRef>
              <c:f>'Variant 5 - WMTC'!$BD$19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WMTC'!$BE$19:$BL$19</c:f>
            </c:numRef>
          </c:val>
          <c:extLst>
            <c:ext xmlns:c16="http://schemas.microsoft.com/office/drawing/2014/chart" uri="{C3380CC4-5D6E-409C-BE32-E72D297353CC}">
              <c16:uniqueId val="{00000006-88CC-4E46-8107-70DBBB3F0B25}"/>
            </c:ext>
          </c:extLst>
        </c:ser>
        <c:ser>
          <c:idx val="7"/>
          <c:order val="7"/>
          <c:tx>
            <c:strRef>
              <c:f>'Variant 5 - WMTC'!$BD$20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WMTC'!$BE$20:$BL$20</c:f>
            </c:numRef>
          </c:val>
          <c:extLst>
            <c:ext xmlns:c16="http://schemas.microsoft.com/office/drawing/2014/chart" uri="{C3380CC4-5D6E-409C-BE32-E72D297353CC}">
              <c16:uniqueId val="{00000007-88CC-4E46-8107-70DBBB3F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6768"/>
        <c:axId val="333412712"/>
      </c:radarChart>
      <c:catAx>
        <c:axId val="2136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12712"/>
        <c:crosses val="autoZero"/>
        <c:auto val="1"/>
        <c:lblAlgn val="ctr"/>
        <c:lblOffset val="100"/>
        <c:noMultiLvlLbl val="0"/>
      </c:catAx>
      <c:valAx>
        <c:axId val="33341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WMTC'!$BE$21:$BL$21</c:f>
            </c:numRef>
          </c:val>
          <c:extLst>
            <c:ext xmlns:c16="http://schemas.microsoft.com/office/drawing/2014/chart" uri="{C3380CC4-5D6E-409C-BE32-E72D297353CC}">
              <c16:uniqueId val="{00000000-A598-4E44-A4F9-97C11F624FE0}"/>
            </c:ext>
          </c:extLst>
        </c:ser>
        <c:ser>
          <c:idx val="1"/>
          <c:order val="1"/>
          <c:tx>
            <c:strRef>
              <c:f>'Variant 5 - WMTC'!$BD$22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WMTC'!$BE$22:$BL$22</c:f>
            </c:numRef>
          </c:val>
          <c:extLst>
            <c:ext xmlns:c16="http://schemas.microsoft.com/office/drawing/2014/chart" uri="{C3380CC4-5D6E-409C-BE32-E72D297353CC}">
              <c16:uniqueId val="{00000001-A598-4E44-A4F9-97C11F624FE0}"/>
            </c:ext>
          </c:extLst>
        </c:ser>
        <c:ser>
          <c:idx val="2"/>
          <c:order val="2"/>
          <c:tx>
            <c:strRef>
              <c:f>'Variant 5 - WMTC'!$BD$23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WMTC'!$BE$23:$BL$23</c:f>
            </c:numRef>
          </c:val>
          <c:extLst>
            <c:ext xmlns:c16="http://schemas.microsoft.com/office/drawing/2014/chart" uri="{C3380CC4-5D6E-409C-BE32-E72D297353CC}">
              <c16:uniqueId val="{00000002-A598-4E44-A4F9-97C11F624FE0}"/>
            </c:ext>
          </c:extLst>
        </c:ser>
        <c:ser>
          <c:idx val="3"/>
          <c:order val="3"/>
          <c:tx>
            <c:strRef>
              <c:f>'Variant 5 - WMTC'!$BD$24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WMTC'!$BE$11:$BL$11</c:f>
            </c:multiLvlStrRef>
          </c:cat>
          <c:val>
            <c:numRef>
              <c:f>'Variant 5 - WMTC'!$BE$24:$BL$24</c:f>
            </c:numRef>
          </c:val>
          <c:extLst>
            <c:ext xmlns:c16="http://schemas.microsoft.com/office/drawing/2014/chart" uri="{C3380CC4-5D6E-409C-BE32-E72D297353CC}">
              <c16:uniqueId val="{00000003-A598-4E44-A4F9-97C11F624FE0}"/>
            </c:ext>
          </c:extLst>
        </c:ser>
        <c:ser>
          <c:idx val="4"/>
          <c:order val="4"/>
          <c:tx>
            <c:strRef>
              <c:f>'Variant 5 - WMTC'!$BD$25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WMTC'!$BE$25:$BL$25</c:f>
            </c:numRef>
          </c:val>
          <c:extLst>
            <c:ext xmlns:c16="http://schemas.microsoft.com/office/drawing/2014/chart" uri="{C3380CC4-5D6E-409C-BE32-E72D297353CC}">
              <c16:uniqueId val="{00000004-A598-4E44-A4F9-97C11F624FE0}"/>
            </c:ext>
          </c:extLst>
        </c:ser>
        <c:ser>
          <c:idx val="5"/>
          <c:order val="5"/>
          <c:tx>
            <c:strRef>
              <c:f>'Variant 5 - WMTC'!$BD$26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WMTC'!$BE$26:$BL$26</c:f>
            </c:numRef>
          </c:val>
          <c:extLst>
            <c:ext xmlns:c16="http://schemas.microsoft.com/office/drawing/2014/chart" uri="{C3380CC4-5D6E-409C-BE32-E72D297353CC}">
              <c16:uniqueId val="{00000005-A598-4E44-A4F9-97C11F624FE0}"/>
            </c:ext>
          </c:extLst>
        </c:ser>
        <c:ser>
          <c:idx val="6"/>
          <c:order val="6"/>
          <c:tx>
            <c:strRef>
              <c:f>'Variant 5 - WMTC'!$BD$27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WMTC'!$BE$27:$BL$27</c:f>
            </c:numRef>
          </c:val>
          <c:extLst>
            <c:ext xmlns:c16="http://schemas.microsoft.com/office/drawing/2014/chart" uri="{C3380CC4-5D6E-409C-BE32-E72D297353CC}">
              <c16:uniqueId val="{00000006-A598-4E44-A4F9-97C11F624FE0}"/>
            </c:ext>
          </c:extLst>
        </c:ser>
        <c:ser>
          <c:idx val="7"/>
          <c:order val="7"/>
          <c:tx>
            <c:strRef>
              <c:f>'Variant 5 - WMTC'!$BD$28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WMTC'!$BE$11:$BL$11</c:f>
            </c:multiLvlStrRef>
          </c:cat>
          <c:val>
            <c:numRef>
              <c:f>'Variant 5 - WMTC'!$BE$28:$BL$28</c:f>
            </c:numRef>
          </c:val>
          <c:extLst>
            <c:ext xmlns:c16="http://schemas.microsoft.com/office/drawing/2014/chart" uri="{C3380CC4-5D6E-409C-BE32-E72D297353CC}">
              <c16:uniqueId val="{00000007-A598-4E44-A4F9-97C11F62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778872"/>
        <c:axId val="332852160"/>
      </c:radarChart>
      <c:catAx>
        <c:axId val="32877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52160"/>
        <c:crosses val="autoZero"/>
        <c:auto val="1"/>
        <c:lblAlgn val="ctr"/>
        <c:lblOffset val="100"/>
        <c:noMultiLvlLbl val="0"/>
      </c:catAx>
      <c:valAx>
        <c:axId val="3328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WMTC'!$BE$67:$BL$67</c:f>
            </c:numRef>
          </c:val>
          <c:extLst>
            <c:ext xmlns:c16="http://schemas.microsoft.com/office/drawing/2014/chart" uri="{C3380CC4-5D6E-409C-BE32-E72D297353CC}">
              <c16:uniqueId val="{00000000-E8B6-4183-9502-81500EBFC016}"/>
            </c:ext>
          </c:extLst>
        </c:ser>
        <c:ser>
          <c:idx val="1"/>
          <c:order val="1"/>
          <c:tx>
            <c:strRef>
              <c:f>'Variant 5 - WMTC'!$BD$68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WMTC'!$BE$68:$BL$68</c:f>
            </c:numRef>
          </c:val>
          <c:extLst>
            <c:ext xmlns:c16="http://schemas.microsoft.com/office/drawing/2014/chart" uri="{C3380CC4-5D6E-409C-BE32-E72D297353CC}">
              <c16:uniqueId val="{00000001-E8B6-4183-9502-81500EBFC016}"/>
            </c:ext>
          </c:extLst>
        </c:ser>
        <c:ser>
          <c:idx val="2"/>
          <c:order val="2"/>
          <c:tx>
            <c:strRef>
              <c:f>'Variant 5 - WMTC'!$BD$69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WMTC'!$BE$69:$BL$69</c:f>
            </c:numRef>
          </c:val>
          <c:extLst>
            <c:ext xmlns:c16="http://schemas.microsoft.com/office/drawing/2014/chart" uri="{C3380CC4-5D6E-409C-BE32-E72D297353CC}">
              <c16:uniqueId val="{00000002-E8B6-4183-9502-81500EBFC016}"/>
            </c:ext>
          </c:extLst>
        </c:ser>
        <c:ser>
          <c:idx val="3"/>
          <c:order val="3"/>
          <c:tx>
            <c:strRef>
              <c:f>'Variant 5 - WMTC'!$BD$70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WMTC'!$BE$70:$BL$70</c:f>
            </c:numRef>
          </c:val>
          <c:extLst>
            <c:ext xmlns:c16="http://schemas.microsoft.com/office/drawing/2014/chart" uri="{C3380CC4-5D6E-409C-BE32-E72D297353CC}">
              <c16:uniqueId val="{00000003-E8B6-4183-9502-81500EBFC016}"/>
            </c:ext>
          </c:extLst>
        </c:ser>
        <c:ser>
          <c:idx val="4"/>
          <c:order val="4"/>
          <c:tx>
            <c:strRef>
              <c:f>'Variant 5 - WMTC'!$BD$71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WMTC'!$BE$71:$BL$71</c:f>
            </c:numRef>
          </c:val>
          <c:extLst>
            <c:ext xmlns:c16="http://schemas.microsoft.com/office/drawing/2014/chart" uri="{C3380CC4-5D6E-409C-BE32-E72D297353CC}">
              <c16:uniqueId val="{00000004-E8B6-4183-9502-81500EBFC016}"/>
            </c:ext>
          </c:extLst>
        </c:ser>
        <c:ser>
          <c:idx val="5"/>
          <c:order val="5"/>
          <c:tx>
            <c:strRef>
              <c:f>'Variant 5 - WMTC'!$BD$72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WMTC'!$BE$72:$BL$72</c:f>
            </c:numRef>
          </c:val>
          <c:extLst>
            <c:ext xmlns:c16="http://schemas.microsoft.com/office/drawing/2014/chart" uri="{C3380CC4-5D6E-409C-BE32-E72D297353CC}">
              <c16:uniqueId val="{00000005-E8B6-4183-9502-81500EBFC016}"/>
            </c:ext>
          </c:extLst>
        </c:ser>
        <c:ser>
          <c:idx val="6"/>
          <c:order val="6"/>
          <c:tx>
            <c:strRef>
              <c:f>'Variant 5 - WMTC'!$BD$73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WMTC'!$BE$73:$BL$73</c:f>
            </c:numRef>
          </c:val>
          <c:extLst>
            <c:ext xmlns:c16="http://schemas.microsoft.com/office/drawing/2014/chart" uri="{C3380CC4-5D6E-409C-BE32-E72D297353CC}">
              <c16:uniqueId val="{00000006-E8B6-4183-9502-81500EBFC016}"/>
            </c:ext>
          </c:extLst>
        </c:ser>
        <c:ser>
          <c:idx val="7"/>
          <c:order val="7"/>
          <c:tx>
            <c:strRef>
              <c:f>'Variant 5 - WMTC'!$BD$74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WMTC'!$BE$74:$BL$74</c:f>
            </c:numRef>
          </c:val>
          <c:extLst>
            <c:ext xmlns:c16="http://schemas.microsoft.com/office/drawing/2014/chart" uri="{C3380CC4-5D6E-409C-BE32-E72D297353CC}">
              <c16:uniqueId val="{00000007-E8B6-4183-9502-81500EBFC016}"/>
            </c:ext>
          </c:extLst>
        </c:ser>
        <c:ser>
          <c:idx val="8"/>
          <c:order val="8"/>
          <c:tx>
            <c:strRef>
              <c:f>'Variant 5 - WMTC'!$BD$75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WMTC'!$BE$75:$BL$75</c:f>
            </c:numRef>
          </c:val>
          <c:extLst>
            <c:ext xmlns:c16="http://schemas.microsoft.com/office/drawing/2014/chart" uri="{C3380CC4-5D6E-409C-BE32-E72D297353CC}">
              <c16:uniqueId val="{00000008-E8B6-4183-9502-81500EBFC016}"/>
            </c:ext>
          </c:extLst>
        </c:ser>
        <c:ser>
          <c:idx val="9"/>
          <c:order val="9"/>
          <c:tx>
            <c:strRef>
              <c:f>'Variant 5 - WMTC'!$BD$76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WMTC'!$BE$76:$BL$76</c:f>
            </c:numRef>
          </c:val>
          <c:extLst>
            <c:ext xmlns:c16="http://schemas.microsoft.com/office/drawing/2014/chart" uri="{C3380CC4-5D6E-409C-BE32-E72D297353CC}">
              <c16:uniqueId val="{00000009-E8B6-4183-9502-81500EBFC016}"/>
            </c:ext>
          </c:extLst>
        </c:ser>
        <c:ser>
          <c:idx val="10"/>
          <c:order val="10"/>
          <c:tx>
            <c:strRef>
              <c:f>'Variant 5 - WMTC'!$BD$77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WMTC'!$BE$77:$BL$77</c:f>
            </c:numRef>
          </c:val>
          <c:extLst>
            <c:ext xmlns:c16="http://schemas.microsoft.com/office/drawing/2014/chart" uri="{C3380CC4-5D6E-409C-BE32-E72D297353CC}">
              <c16:uniqueId val="{0000000A-E8B6-4183-9502-81500EBFC016}"/>
            </c:ext>
          </c:extLst>
        </c:ser>
        <c:ser>
          <c:idx val="11"/>
          <c:order val="11"/>
          <c:tx>
            <c:strRef>
              <c:f>'Variant 5 - WMTC'!$BD$78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WMTC'!$BE$78:$BL$78</c:f>
            </c:numRef>
          </c:val>
          <c:extLst>
            <c:ext xmlns:c16="http://schemas.microsoft.com/office/drawing/2014/chart" uri="{C3380CC4-5D6E-409C-BE32-E72D297353CC}">
              <c16:uniqueId val="{0000000B-E8B6-4183-9502-81500EBF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48000"/>
        <c:axId val="333924480"/>
      </c:radarChart>
      <c:catAx>
        <c:axId val="3340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24480"/>
        <c:crosses val="autoZero"/>
        <c:auto val="1"/>
        <c:lblAlgn val="ctr"/>
        <c:lblOffset val="100"/>
        <c:noMultiLvlLbl val="0"/>
      </c:catAx>
      <c:valAx>
        <c:axId val="3339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WMTC'!$BE$79:$BL$79</c:f>
            </c:numRef>
          </c:val>
          <c:extLst>
            <c:ext xmlns:c16="http://schemas.microsoft.com/office/drawing/2014/chart" uri="{C3380CC4-5D6E-409C-BE32-E72D297353CC}">
              <c16:uniqueId val="{00000000-F258-415C-82F6-53587B3E2BF2}"/>
            </c:ext>
          </c:extLst>
        </c:ser>
        <c:ser>
          <c:idx val="1"/>
          <c:order val="1"/>
          <c:tx>
            <c:strRef>
              <c:f>'Variant 5 - WMTC'!$BD$80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WMTC'!$BE$80:$BL$80</c:f>
            </c:numRef>
          </c:val>
          <c:extLst>
            <c:ext xmlns:c16="http://schemas.microsoft.com/office/drawing/2014/chart" uri="{C3380CC4-5D6E-409C-BE32-E72D297353CC}">
              <c16:uniqueId val="{00000001-F258-415C-82F6-53587B3E2BF2}"/>
            </c:ext>
          </c:extLst>
        </c:ser>
        <c:ser>
          <c:idx val="2"/>
          <c:order val="2"/>
          <c:tx>
            <c:strRef>
              <c:f>'Variant 5 - WMTC'!$BD$81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WMTC'!$BE$81:$BL$81</c:f>
            </c:numRef>
          </c:val>
          <c:extLst>
            <c:ext xmlns:c16="http://schemas.microsoft.com/office/drawing/2014/chart" uri="{C3380CC4-5D6E-409C-BE32-E72D297353CC}">
              <c16:uniqueId val="{00000002-F258-415C-82F6-53587B3E2BF2}"/>
            </c:ext>
          </c:extLst>
        </c:ser>
        <c:ser>
          <c:idx val="3"/>
          <c:order val="3"/>
          <c:tx>
            <c:strRef>
              <c:f>'Variant 5 - WMTC'!$BD$82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WMTC'!$BE$82:$BL$82</c:f>
            </c:numRef>
          </c:val>
          <c:extLst>
            <c:ext xmlns:c16="http://schemas.microsoft.com/office/drawing/2014/chart" uri="{C3380CC4-5D6E-409C-BE32-E72D297353CC}">
              <c16:uniqueId val="{00000003-F258-415C-82F6-53587B3E2BF2}"/>
            </c:ext>
          </c:extLst>
        </c:ser>
        <c:ser>
          <c:idx val="4"/>
          <c:order val="4"/>
          <c:tx>
            <c:strRef>
              <c:f>'Variant 5 - WMTC'!$BD$83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WMTC'!$BE$83:$BL$83</c:f>
            </c:numRef>
          </c:val>
          <c:extLst>
            <c:ext xmlns:c16="http://schemas.microsoft.com/office/drawing/2014/chart" uri="{C3380CC4-5D6E-409C-BE32-E72D297353CC}">
              <c16:uniqueId val="{00000004-F258-415C-82F6-53587B3E2BF2}"/>
            </c:ext>
          </c:extLst>
        </c:ser>
        <c:ser>
          <c:idx val="5"/>
          <c:order val="5"/>
          <c:tx>
            <c:strRef>
              <c:f>'Variant 5 - WMTC'!$BD$84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WMTC'!$BE$65:$BL$65</c:f>
            </c:multiLvlStrRef>
          </c:cat>
          <c:val>
            <c:numRef>
              <c:f>'Variant 5 - WMTC'!$BE$84:$BL$84</c:f>
            </c:numRef>
          </c:val>
          <c:extLst>
            <c:ext xmlns:c16="http://schemas.microsoft.com/office/drawing/2014/chart" uri="{C3380CC4-5D6E-409C-BE32-E72D297353CC}">
              <c16:uniqueId val="{00000005-F258-415C-82F6-53587B3E2BF2}"/>
            </c:ext>
          </c:extLst>
        </c:ser>
        <c:ser>
          <c:idx val="6"/>
          <c:order val="6"/>
          <c:tx>
            <c:strRef>
              <c:f>'Variant 5 - WMTC'!$BD$85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WMTC'!$BE$85:$BL$85</c:f>
            </c:numRef>
          </c:val>
          <c:extLst>
            <c:ext xmlns:c16="http://schemas.microsoft.com/office/drawing/2014/chart" uri="{C3380CC4-5D6E-409C-BE32-E72D297353CC}">
              <c16:uniqueId val="{00000006-F258-415C-82F6-53587B3E2BF2}"/>
            </c:ext>
          </c:extLst>
        </c:ser>
        <c:ser>
          <c:idx val="7"/>
          <c:order val="7"/>
          <c:tx>
            <c:strRef>
              <c:f>'Variant 5 - WMTC'!$BD$86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WMTC'!$BE$86:$BL$86</c:f>
            </c:numRef>
          </c:val>
          <c:extLst>
            <c:ext xmlns:c16="http://schemas.microsoft.com/office/drawing/2014/chart" uri="{C3380CC4-5D6E-409C-BE32-E72D297353CC}">
              <c16:uniqueId val="{00000007-F258-415C-82F6-53587B3E2BF2}"/>
            </c:ext>
          </c:extLst>
        </c:ser>
        <c:ser>
          <c:idx val="8"/>
          <c:order val="8"/>
          <c:tx>
            <c:strRef>
              <c:f>'Variant 5 - WMTC'!$BD$87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WMTC'!$BE$87:$BL$87</c:f>
            </c:numRef>
          </c:val>
          <c:extLst>
            <c:ext xmlns:c16="http://schemas.microsoft.com/office/drawing/2014/chart" uri="{C3380CC4-5D6E-409C-BE32-E72D297353CC}">
              <c16:uniqueId val="{00000008-F258-415C-82F6-53587B3E2BF2}"/>
            </c:ext>
          </c:extLst>
        </c:ser>
        <c:ser>
          <c:idx val="9"/>
          <c:order val="9"/>
          <c:tx>
            <c:strRef>
              <c:f>'Variant 5 - WMTC'!$BD$88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WMTC'!$BE$88:$BL$88</c:f>
            </c:numRef>
          </c:val>
          <c:extLst>
            <c:ext xmlns:c16="http://schemas.microsoft.com/office/drawing/2014/chart" uri="{C3380CC4-5D6E-409C-BE32-E72D297353CC}">
              <c16:uniqueId val="{00000009-F258-415C-82F6-53587B3E2BF2}"/>
            </c:ext>
          </c:extLst>
        </c:ser>
        <c:ser>
          <c:idx val="10"/>
          <c:order val="10"/>
          <c:tx>
            <c:strRef>
              <c:f>'Variant 5 - WMTC'!$BD$89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WMTC'!$BE$89:$BL$89</c:f>
            </c:numRef>
          </c:val>
          <c:extLst>
            <c:ext xmlns:c16="http://schemas.microsoft.com/office/drawing/2014/chart" uri="{C3380CC4-5D6E-409C-BE32-E72D297353CC}">
              <c16:uniqueId val="{0000000A-F258-415C-82F6-53587B3E2BF2}"/>
            </c:ext>
          </c:extLst>
        </c:ser>
        <c:ser>
          <c:idx val="11"/>
          <c:order val="11"/>
          <c:tx>
            <c:strRef>
              <c:f>'Variant 5 - WMTC'!$BD$90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WMTC'!$BE$65:$BL$65</c:f>
            </c:multiLvlStrRef>
          </c:cat>
          <c:val>
            <c:numRef>
              <c:f>'Variant 5 - WMTC'!$BE$90:$BL$90</c:f>
            </c:numRef>
          </c:val>
          <c:extLst>
            <c:ext xmlns:c16="http://schemas.microsoft.com/office/drawing/2014/chart" uri="{C3380CC4-5D6E-409C-BE32-E72D297353CC}">
              <c16:uniqueId val="{0000000B-F258-415C-82F6-53587B3E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157832"/>
        <c:axId val="334158216"/>
      </c:radarChart>
      <c:catAx>
        <c:axId val="33415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158216"/>
        <c:crosses val="autoZero"/>
        <c:auto val="1"/>
        <c:lblAlgn val="ctr"/>
        <c:lblOffset val="100"/>
        <c:noMultiLvlLbl val="0"/>
      </c:catAx>
      <c:valAx>
        <c:axId val="3341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15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WMTC'!$BD$130</c:f>
              <c:strCache>
                <c:ptCount val="1"/>
                <c:pt idx="0">
                  <c:v>1st RDE-RC-AGGR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WMTC'!$BE$128:$BL$128</c:f>
            </c:multiLvlStrRef>
          </c:cat>
          <c:val>
            <c:numRef>
              <c:f>'Variant 5 - WMTC'!$BE$130:$BL$130</c:f>
            </c:numRef>
          </c:val>
          <c:extLst>
            <c:ext xmlns:c16="http://schemas.microsoft.com/office/drawing/2014/chart" uri="{C3380CC4-5D6E-409C-BE32-E72D297353CC}">
              <c16:uniqueId val="{00000000-1AA4-4C52-9F09-D133910F8789}"/>
            </c:ext>
          </c:extLst>
        </c:ser>
        <c:ser>
          <c:idx val="4"/>
          <c:order val="1"/>
          <c:tx>
            <c:strRef>
              <c:f>'Variant 5 - WMTC'!$BD$136</c:f>
              <c:strCache>
                <c:ptCount val="1"/>
                <c:pt idx="0">
                  <c:v>0.7*IEF RDE-RC-AGGR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WMTC'!$BE$128:$BL$128</c:f>
            </c:multiLvlStrRef>
          </c:cat>
          <c:val>
            <c:numRef>
              <c:f>'Variant 5 - WMTC'!$BE$136:$BL$136</c:f>
            </c:numRef>
          </c:val>
          <c:extLst>
            <c:ext xmlns:c16="http://schemas.microsoft.com/office/drawing/2014/chart" uri="{C3380CC4-5D6E-409C-BE32-E72D297353CC}">
              <c16:uniqueId val="{00000001-1AA4-4C52-9F09-D133910F8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05912"/>
        <c:axId val="334506304"/>
      </c:radarChart>
      <c:catAx>
        <c:axId val="33450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6304"/>
        <c:crosses val="autoZero"/>
        <c:auto val="1"/>
        <c:lblAlgn val="ctr"/>
        <c:lblOffset val="100"/>
        <c:noMultiLvlLbl val="0"/>
      </c:catAx>
      <c:valAx>
        <c:axId val="3345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WMTC'!$BD$142</c:f>
              <c:strCache>
                <c:ptCount val="1"/>
                <c:pt idx="0">
                  <c:v>RDE-RC-AGGR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WMTC'!$BE$128:$BL$128</c:f>
            </c:multiLvlStrRef>
          </c:cat>
          <c:val>
            <c:numRef>
              <c:f>'Variant 5 - WMTC'!$BE$142:$BL$142</c:f>
            </c:numRef>
          </c:val>
          <c:extLst>
            <c:ext xmlns:c16="http://schemas.microsoft.com/office/drawing/2014/chart" uri="{C3380CC4-5D6E-409C-BE32-E72D297353CC}">
              <c16:uniqueId val="{00000000-B630-45F6-B689-10BD69D18987}"/>
            </c:ext>
          </c:extLst>
        </c:ser>
        <c:ser>
          <c:idx val="4"/>
          <c:order val="1"/>
          <c:tx>
            <c:strRef>
              <c:f>'Variant 5 - WMTC'!$BD$148</c:f>
              <c:strCache>
                <c:ptCount val="1"/>
                <c:pt idx="0">
                  <c:v>IEF RDE-RC-AGGR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WMTC'!$BE$128:$BL$128</c:f>
            </c:multiLvlStrRef>
          </c:cat>
          <c:val>
            <c:numRef>
              <c:f>'Variant 5 - WMTC'!$BE$148:$BL$148</c:f>
            </c:numRef>
          </c:val>
          <c:extLst>
            <c:ext xmlns:c16="http://schemas.microsoft.com/office/drawing/2014/chart" uri="{C3380CC4-5D6E-409C-BE32-E72D297353CC}">
              <c16:uniqueId val="{00000001-B630-45F6-B689-10BD69D18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05520"/>
        <c:axId val="334505128"/>
      </c:radarChart>
      <c:catAx>
        <c:axId val="3345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5128"/>
        <c:crosses val="autoZero"/>
        <c:auto val="1"/>
        <c:lblAlgn val="ctr"/>
        <c:lblOffset val="100"/>
        <c:noMultiLvlLbl val="0"/>
      </c:catAx>
      <c:valAx>
        <c:axId val="33450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WMTC'!$BE$107:$BL$107</c:f>
            </c:multiLvlStrRef>
          </c:cat>
          <c:val>
            <c:numRef>
              <c:f>'Variant 5 - WMTC'!$BE$109:$BL$109</c:f>
            </c:numRef>
          </c:val>
          <c:extLst>
            <c:ext xmlns:c16="http://schemas.microsoft.com/office/drawing/2014/chart" uri="{C3380CC4-5D6E-409C-BE32-E72D297353CC}">
              <c16:uniqueId val="{00000000-685D-4F82-B82E-014D2E178635}"/>
            </c:ext>
          </c:extLst>
        </c:ser>
        <c:ser>
          <c:idx val="4"/>
          <c:order val="1"/>
          <c:tx>
            <c:strRef>
              <c:f>'Variant 5 - WMTC'!$BD$113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WMTC'!$BE$107:$BL$107</c:f>
            </c:multiLvlStrRef>
          </c:cat>
          <c:val>
            <c:numRef>
              <c:f>'Variant 5 - WMTC'!$BE$113:$BL$113</c:f>
            </c:numRef>
          </c:val>
          <c:extLst>
            <c:ext xmlns:c16="http://schemas.microsoft.com/office/drawing/2014/chart" uri="{C3380CC4-5D6E-409C-BE32-E72D297353CC}">
              <c16:uniqueId val="{00000001-685D-4F82-B82E-014D2E178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04344"/>
        <c:axId val="334503952"/>
      </c:radarChart>
      <c:catAx>
        <c:axId val="33450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3952"/>
        <c:crosses val="autoZero"/>
        <c:auto val="1"/>
        <c:lblAlgn val="ctr"/>
        <c:lblOffset val="100"/>
        <c:noMultiLvlLbl val="0"/>
      </c:catAx>
      <c:valAx>
        <c:axId val="3345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434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WMTC'!$BE$107:$BL$107</c:f>
            </c:multiLvlStrRef>
          </c:cat>
          <c:val>
            <c:numRef>
              <c:f>'Variant 5 - WMTC'!$BE$117:$BL$117</c:f>
            </c:numRef>
          </c:val>
          <c:extLst>
            <c:ext xmlns:c16="http://schemas.microsoft.com/office/drawing/2014/chart" uri="{C3380CC4-5D6E-409C-BE32-E72D297353CC}">
              <c16:uniqueId val="{00000000-3EAB-4822-90FB-AFF14C5A8FB0}"/>
            </c:ext>
          </c:extLst>
        </c:ser>
        <c:ser>
          <c:idx val="4"/>
          <c:order val="1"/>
          <c:tx>
            <c:strRef>
              <c:f>'Variant 5 - WMTC'!$BD$121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WMTC'!$BE$107:$BL$107</c:f>
            </c:multiLvlStrRef>
          </c:cat>
          <c:val>
            <c:numRef>
              <c:f>'Variant 5 - WMTC'!$BE$121:$BL$121</c:f>
            </c:numRef>
          </c:val>
          <c:extLst>
            <c:ext xmlns:c16="http://schemas.microsoft.com/office/drawing/2014/chart" uri="{C3380CC4-5D6E-409C-BE32-E72D297353CC}">
              <c16:uniqueId val="{00000001-3EAB-4822-90FB-AFF14C5A8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07480"/>
        <c:axId val="334507872"/>
      </c:radarChart>
      <c:catAx>
        <c:axId val="33450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7872"/>
        <c:crosses val="autoZero"/>
        <c:auto val="1"/>
        <c:lblAlgn val="ctr"/>
        <c:lblOffset val="100"/>
        <c:noMultiLvlLbl val="0"/>
      </c:catAx>
      <c:valAx>
        <c:axId val="3345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0748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E17-40B7-AB94-2B62F1F22514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E17-40B7-AB94-2B62F1F22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11008"/>
        <c:axId val="335172120"/>
      </c:radarChart>
      <c:catAx>
        <c:axId val="33451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2120"/>
        <c:crosses val="autoZero"/>
        <c:auto val="1"/>
        <c:lblAlgn val="ctr"/>
        <c:lblOffset val="100"/>
        <c:noMultiLvlLbl val="0"/>
      </c:catAx>
      <c:valAx>
        <c:axId val="33517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1100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BA5-4341-A703-8E226F908CEB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BA5-4341-A703-8E226F908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2904"/>
        <c:axId val="335173296"/>
      </c:radarChart>
      <c:catAx>
        <c:axId val="33517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3296"/>
        <c:crosses val="autoZero"/>
        <c:auto val="1"/>
        <c:lblAlgn val="ctr"/>
        <c:lblOffset val="100"/>
        <c:noMultiLvlLbl val="0"/>
      </c:catAx>
      <c:valAx>
        <c:axId val="3351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290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(Fuel2)'!$BE$13:$BL$13</c:f>
            </c:numRef>
          </c:val>
          <c:extLst>
            <c:ext xmlns:c16="http://schemas.microsoft.com/office/drawing/2014/chart" uri="{C3380CC4-5D6E-409C-BE32-E72D297353CC}">
              <c16:uniqueId val="{00000000-B443-42D3-BFEC-B476FA13B374}"/>
            </c:ext>
          </c:extLst>
        </c:ser>
        <c:ser>
          <c:idx val="1"/>
          <c:order val="1"/>
          <c:tx>
            <c:strRef>
              <c:f>'Variant 5 - WMTC (Fuel2)'!$BD$14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(Fuel2)'!$BE$14:$BL$14</c:f>
            </c:numRef>
          </c:val>
          <c:extLst>
            <c:ext xmlns:c16="http://schemas.microsoft.com/office/drawing/2014/chart" uri="{C3380CC4-5D6E-409C-BE32-E72D297353CC}">
              <c16:uniqueId val="{00000001-B443-42D3-BFEC-B476FA13B374}"/>
            </c:ext>
          </c:extLst>
        </c:ser>
        <c:ser>
          <c:idx val="2"/>
          <c:order val="2"/>
          <c:tx>
            <c:strRef>
              <c:f>'Variant 5 - WMTC (Fuel2)'!$BD$15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(Fuel2)'!$BE$15:$BL$15</c:f>
            </c:numRef>
          </c:val>
          <c:extLst>
            <c:ext xmlns:c16="http://schemas.microsoft.com/office/drawing/2014/chart" uri="{C3380CC4-5D6E-409C-BE32-E72D297353CC}">
              <c16:uniqueId val="{00000002-B443-42D3-BFEC-B476FA13B374}"/>
            </c:ext>
          </c:extLst>
        </c:ser>
        <c:ser>
          <c:idx val="3"/>
          <c:order val="3"/>
          <c:tx>
            <c:strRef>
              <c:f>'Variant 5 - WMTC (Fuel2)'!$BD$16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(Fuel2)'!$BE$16:$BL$16</c:f>
            </c:numRef>
          </c:val>
          <c:extLst>
            <c:ext xmlns:c16="http://schemas.microsoft.com/office/drawing/2014/chart" uri="{C3380CC4-5D6E-409C-BE32-E72D297353CC}">
              <c16:uniqueId val="{00000003-B443-42D3-BFEC-B476FA13B374}"/>
            </c:ext>
          </c:extLst>
        </c:ser>
        <c:ser>
          <c:idx val="4"/>
          <c:order val="4"/>
          <c:tx>
            <c:strRef>
              <c:f>'Variant 5 - WMTC (Fuel2)'!$BD$17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(Fuel2)'!$BE$17:$BL$17</c:f>
            </c:numRef>
          </c:val>
          <c:extLst>
            <c:ext xmlns:c16="http://schemas.microsoft.com/office/drawing/2014/chart" uri="{C3380CC4-5D6E-409C-BE32-E72D297353CC}">
              <c16:uniqueId val="{00000004-B443-42D3-BFEC-B476FA13B374}"/>
            </c:ext>
          </c:extLst>
        </c:ser>
        <c:ser>
          <c:idx val="5"/>
          <c:order val="5"/>
          <c:tx>
            <c:strRef>
              <c:f>'Variant 5 - WMTC (Fuel2)'!$BD$18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(Fuel2)'!$BE$18:$BL$18</c:f>
            </c:numRef>
          </c:val>
          <c:extLst>
            <c:ext xmlns:c16="http://schemas.microsoft.com/office/drawing/2014/chart" uri="{C3380CC4-5D6E-409C-BE32-E72D297353CC}">
              <c16:uniqueId val="{00000005-B443-42D3-BFEC-B476FA13B374}"/>
            </c:ext>
          </c:extLst>
        </c:ser>
        <c:ser>
          <c:idx val="6"/>
          <c:order val="6"/>
          <c:tx>
            <c:strRef>
              <c:f>'Variant 5 - WMTC (Fuel2)'!$BD$19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(Fuel2)'!$BE$19:$BL$19</c:f>
            </c:numRef>
          </c:val>
          <c:extLst>
            <c:ext xmlns:c16="http://schemas.microsoft.com/office/drawing/2014/chart" uri="{C3380CC4-5D6E-409C-BE32-E72D297353CC}">
              <c16:uniqueId val="{00000006-B443-42D3-BFEC-B476FA13B374}"/>
            </c:ext>
          </c:extLst>
        </c:ser>
        <c:ser>
          <c:idx val="7"/>
          <c:order val="7"/>
          <c:tx>
            <c:strRef>
              <c:f>'Variant 5 - WMTC (Fuel2)'!$BD$20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(Fuel2)'!$BE$20:$BL$20</c:f>
            </c:numRef>
          </c:val>
          <c:extLst>
            <c:ext xmlns:c16="http://schemas.microsoft.com/office/drawing/2014/chart" uri="{C3380CC4-5D6E-409C-BE32-E72D297353CC}">
              <c16:uniqueId val="{00000007-B443-42D3-BFEC-B476FA13B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4080"/>
        <c:axId val="335174472"/>
      </c:radarChart>
      <c:catAx>
        <c:axId val="3351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4472"/>
        <c:crosses val="autoZero"/>
        <c:auto val="1"/>
        <c:lblAlgn val="ctr"/>
        <c:lblOffset val="100"/>
        <c:noMultiLvlLbl val="0"/>
      </c:catAx>
      <c:valAx>
        <c:axId val="33517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(Fuel2)'!$BE$21:$BL$21</c:f>
            </c:numRef>
          </c:val>
          <c:extLst>
            <c:ext xmlns:c16="http://schemas.microsoft.com/office/drawing/2014/chart" uri="{C3380CC4-5D6E-409C-BE32-E72D297353CC}">
              <c16:uniqueId val="{00000000-503E-4716-BC7E-E59F0839B9DC}"/>
            </c:ext>
          </c:extLst>
        </c:ser>
        <c:ser>
          <c:idx val="1"/>
          <c:order val="1"/>
          <c:tx>
            <c:strRef>
              <c:f>'Variant 5 - WMTC (Fuel2)'!$BD$22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(Fuel2)'!$BE$22:$BL$22</c:f>
            </c:numRef>
          </c:val>
          <c:extLst>
            <c:ext xmlns:c16="http://schemas.microsoft.com/office/drawing/2014/chart" uri="{C3380CC4-5D6E-409C-BE32-E72D297353CC}">
              <c16:uniqueId val="{00000001-503E-4716-BC7E-E59F0839B9DC}"/>
            </c:ext>
          </c:extLst>
        </c:ser>
        <c:ser>
          <c:idx val="2"/>
          <c:order val="2"/>
          <c:tx>
            <c:strRef>
              <c:f>'Variant 5 - WMTC (Fuel2)'!$BD$23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(Fuel2)'!$BE$23:$BL$23</c:f>
            </c:numRef>
          </c:val>
          <c:extLst>
            <c:ext xmlns:c16="http://schemas.microsoft.com/office/drawing/2014/chart" uri="{C3380CC4-5D6E-409C-BE32-E72D297353CC}">
              <c16:uniqueId val="{00000002-503E-4716-BC7E-E59F0839B9DC}"/>
            </c:ext>
          </c:extLst>
        </c:ser>
        <c:ser>
          <c:idx val="3"/>
          <c:order val="3"/>
          <c:tx>
            <c:strRef>
              <c:f>'Variant 5 - WMTC (Fuel2)'!$BD$24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(Fuel2)'!$BE$24:$BL$24</c:f>
            </c:numRef>
          </c:val>
          <c:extLst>
            <c:ext xmlns:c16="http://schemas.microsoft.com/office/drawing/2014/chart" uri="{C3380CC4-5D6E-409C-BE32-E72D297353CC}">
              <c16:uniqueId val="{00000003-503E-4716-BC7E-E59F0839B9DC}"/>
            </c:ext>
          </c:extLst>
        </c:ser>
        <c:ser>
          <c:idx val="4"/>
          <c:order val="4"/>
          <c:tx>
            <c:strRef>
              <c:f>'Variant 5 - WMTC (Fuel2)'!$BD$25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(Fuel2)'!$BE$25:$BL$25</c:f>
            </c:numRef>
          </c:val>
          <c:extLst>
            <c:ext xmlns:c16="http://schemas.microsoft.com/office/drawing/2014/chart" uri="{C3380CC4-5D6E-409C-BE32-E72D297353CC}">
              <c16:uniqueId val="{00000004-503E-4716-BC7E-E59F0839B9DC}"/>
            </c:ext>
          </c:extLst>
        </c:ser>
        <c:ser>
          <c:idx val="5"/>
          <c:order val="5"/>
          <c:tx>
            <c:strRef>
              <c:f>'Variant 5 - WMTC (Fuel2)'!$BD$26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(Fuel2)'!$BE$26:$BL$26</c:f>
            </c:numRef>
          </c:val>
          <c:extLst>
            <c:ext xmlns:c16="http://schemas.microsoft.com/office/drawing/2014/chart" uri="{C3380CC4-5D6E-409C-BE32-E72D297353CC}">
              <c16:uniqueId val="{00000005-503E-4716-BC7E-E59F0839B9DC}"/>
            </c:ext>
          </c:extLst>
        </c:ser>
        <c:ser>
          <c:idx val="6"/>
          <c:order val="6"/>
          <c:tx>
            <c:strRef>
              <c:f>'Variant 5 - WMTC (Fuel2)'!$BD$27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(Fuel2)'!$BE$27:$BL$27</c:f>
            </c:numRef>
          </c:val>
          <c:extLst>
            <c:ext xmlns:c16="http://schemas.microsoft.com/office/drawing/2014/chart" uri="{C3380CC4-5D6E-409C-BE32-E72D297353CC}">
              <c16:uniqueId val="{00000006-503E-4716-BC7E-E59F0839B9DC}"/>
            </c:ext>
          </c:extLst>
        </c:ser>
        <c:ser>
          <c:idx val="7"/>
          <c:order val="7"/>
          <c:tx>
            <c:strRef>
              <c:f>'Variant 5 - WMTC (Fuel2)'!$BD$28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(Fuel2)'!$BE$11:$BL$11</c:f>
            </c:multiLvlStrRef>
          </c:cat>
          <c:val>
            <c:numRef>
              <c:f>'Variant 5 - WMTC (Fuel2)'!$BE$28:$BL$28</c:f>
            </c:numRef>
          </c:val>
          <c:extLst>
            <c:ext xmlns:c16="http://schemas.microsoft.com/office/drawing/2014/chart" uri="{C3380CC4-5D6E-409C-BE32-E72D297353CC}">
              <c16:uniqueId val="{00000007-503E-4716-BC7E-E59F0839B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5256"/>
        <c:axId val="335175648"/>
      </c:radarChart>
      <c:catAx>
        <c:axId val="33517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5648"/>
        <c:crosses val="autoZero"/>
        <c:auto val="1"/>
        <c:lblAlgn val="ctr"/>
        <c:lblOffset val="100"/>
        <c:noMultiLvlLbl val="0"/>
      </c:catAx>
      <c:valAx>
        <c:axId val="3351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(Fuel2)'!$BE$67:$BL$67</c:f>
            </c:numRef>
          </c:val>
          <c:extLst>
            <c:ext xmlns:c16="http://schemas.microsoft.com/office/drawing/2014/chart" uri="{C3380CC4-5D6E-409C-BE32-E72D297353CC}">
              <c16:uniqueId val="{00000000-D8D2-4FBD-8FE9-D799EC62ECE1}"/>
            </c:ext>
          </c:extLst>
        </c:ser>
        <c:ser>
          <c:idx val="1"/>
          <c:order val="1"/>
          <c:tx>
            <c:strRef>
              <c:f>'Variant 5 - WMTC (Fuel2)'!$BD$68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(Fuel2)'!$BE$68:$BL$68</c:f>
            </c:numRef>
          </c:val>
          <c:extLst>
            <c:ext xmlns:c16="http://schemas.microsoft.com/office/drawing/2014/chart" uri="{C3380CC4-5D6E-409C-BE32-E72D297353CC}">
              <c16:uniqueId val="{00000001-D8D2-4FBD-8FE9-D799EC62ECE1}"/>
            </c:ext>
          </c:extLst>
        </c:ser>
        <c:ser>
          <c:idx val="2"/>
          <c:order val="2"/>
          <c:tx>
            <c:strRef>
              <c:f>'Variant 5 - WMTC (Fuel2)'!$BD$69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(Fuel2)'!$BE$69:$BL$69</c:f>
            </c:numRef>
          </c:val>
          <c:extLst>
            <c:ext xmlns:c16="http://schemas.microsoft.com/office/drawing/2014/chart" uri="{C3380CC4-5D6E-409C-BE32-E72D297353CC}">
              <c16:uniqueId val="{00000002-D8D2-4FBD-8FE9-D799EC62ECE1}"/>
            </c:ext>
          </c:extLst>
        </c:ser>
        <c:ser>
          <c:idx val="3"/>
          <c:order val="3"/>
          <c:tx>
            <c:strRef>
              <c:f>'Variant 5 - WMTC (Fuel2)'!$BD$70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(Fuel2)'!$BE$70:$BL$70</c:f>
            </c:numRef>
          </c:val>
          <c:extLst>
            <c:ext xmlns:c16="http://schemas.microsoft.com/office/drawing/2014/chart" uri="{C3380CC4-5D6E-409C-BE32-E72D297353CC}">
              <c16:uniqueId val="{00000003-D8D2-4FBD-8FE9-D799EC62ECE1}"/>
            </c:ext>
          </c:extLst>
        </c:ser>
        <c:ser>
          <c:idx val="4"/>
          <c:order val="4"/>
          <c:tx>
            <c:strRef>
              <c:f>'Variant 5 - WMTC (Fuel2)'!$BD$71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(Fuel2)'!$BE$71:$BL$71</c:f>
            </c:numRef>
          </c:val>
          <c:extLst>
            <c:ext xmlns:c16="http://schemas.microsoft.com/office/drawing/2014/chart" uri="{C3380CC4-5D6E-409C-BE32-E72D297353CC}">
              <c16:uniqueId val="{00000004-D8D2-4FBD-8FE9-D799EC62ECE1}"/>
            </c:ext>
          </c:extLst>
        </c:ser>
        <c:ser>
          <c:idx val="5"/>
          <c:order val="5"/>
          <c:tx>
            <c:strRef>
              <c:f>'Variant 5 - WMTC (Fuel2)'!$BD$72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(Fuel2)'!$BE$72:$BL$72</c:f>
            </c:numRef>
          </c:val>
          <c:extLst>
            <c:ext xmlns:c16="http://schemas.microsoft.com/office/drawing/2014/chart" uri="{C3380CC4-5D6E-409C-BE32-E72D297353CC}">
              <c16:uniqueId val="{00000005-D8D2-4FBD-8FE9-D799EC62ECE1}"/>
            </c:ext>
          </c:extLst>
        </c:ser>
        <c:ser>
          <c:idx val="6"/>
          <c:order val="6"/>
          <c:tx>
            <c:strRef>
              <c:f>'Variant 5 - WMTC (Fuel2)'!$BD$73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(Fuel2)'!$BE$73:$BL$73</c:f>
            </c:numRef>
          </c:val>
          <c:extLst>
            <c:ext xmlns:c16="http://schemas.microsoft.com/office/drawing/2014/chart" uri="{C3380CC4-5D6E-409C-BE32-E72D297353CC}">
              <c16:uniqueId val="{00000006-D8D2-4FBD-8FE9-D799EC62ECE1}"/>
            </c:ext>
          </c:extLst>
        </c:ser>
        <c:ser>
          <c:idx val="7"/>
          <c:order val="7"/>
          <c:tx>
            <c:strRef>
              <c:f>'Variant 5 - WMTC (Fuel2)'!$BD$74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(Fuel2)'!$BE$74:$BL$74</c:f>
            </c:numRef>
          </c:val>
          <c:extLst>
            <c:ext xmlns:c16="http://schemas.microsoft.com/office/drawing/2014/chart" uri="{C3380CC4-5D6E-409C-BE32-E72D297353CC}">
              <c16:uniqueId val="{00000007-D8D2-4FBD-8FE9-D799EC62ECE1}"/>
            </c:ext>
          </c:extLst>
        </c:ser>
        <c:ser>
          <c:idx val="8"/>
          <c:order val="8"/>
          <c:tx>
            <c:strRef>
              <c:f>'Variant 5 - WMTC (Fuel2)'!$BD$75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(Fuel2)'!$BE$75:$BL$75</c:f>
            </c:numRef>
          </c:val>
          <c:extLst>
            <c:ext xmlns:c16="http://schemas.microsoft.com/office/drawing/2014/chart" uri="{C3380CC4-5D6E-409C-BE32-E72D297353CC}">
              <c16:uniqueId val="{00000008-D8D2-4FBD-8FE9-D799EC62ECE1}"/>
            </c:ext>
          </c:extLst>
        </c:ser>
        <c:ser>
          <c:idx val="9"/>
          <c:order val="9"/>
          <c:tx>
            <c:strRef>
              <c:f>'Variant 5 - WMTC (Fuel2)'!$BD$76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(Fuel2)'!$BE$76:$BL$76</c:f>
            </c:numRef>
          </c:val>
          <c:extLst>
            <c:ext xmlns:c16="http://schemas.microsoft.com/office/drawing/2014/chart" uri="{C3380CC4-5D6E-409C-BE32-E72D297353CC}">
              <c16:uniqueId val="{00000009-D8D2-4FBD-8FE9-D799EC62ECE1}"/>
            </c:ext>
          </c:extLst>
        </c:ser>
        <c:ser>
          <c:idx val="10"/>
          <c:order val="10"/>
          <c:tx>
            <c:strRef>
              <c:f>'Variant 5 - WMTC (Fuel2)'!$BD$77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(Fuel2)'!$BE$77:$BL$77</c:f>
            </c:numRef>
          </c:val>
          <c:extLst>
            <c:ext xmlns:c16="http://schemas.microsoft.com/office/drawing/2014/chart" uri="{C3380CC4-5D6E-409C-BE32-E72D297353CC}">
              <c16:uniqueId val="{0000000A-D8D2-4FBD-8FE9-D799EC62ECE1}"/>
            </c:ext>
          </c:extLst>
        </c:ser>
        <c:ser>
          <c:idx val="11"/>
          <c:order val="11"/>
          <c:tx>
            <c:strRef>
              <c:f>'Variant 5 - WMTC (Fuel2)'!$BD$78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(Fuel2)'!$BE$78:$BL$78</c:f>
            </c:numRef>
          </c:val>
          <c:extLst>
            <c:ext xmlns:c16="http://schemas.microsoft.com/office/drawing/2014/chart" uri="{C3380CC4-5D6E-409C-BE32-E72D297353CC}">
              <c16:uniqueId val="{0000000B-D8D2-4FBD-8FE9-D799EC62E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6432"/>
        <c:axId val="335176824"/>
      </c:radarChart>
      <c:catAx>
        <c:axId val="33517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6824"/>
        <c:crosses val="autoZero"/>
        <c:auto val="1"/>
        <c:lblAlgn val="ctr"/>
        <c:lblOffset val="100"/>
        <c:noMultiLvlLbl val="0"/>
      </c:catAx>
      <c:valAx>
        <c:axId val="33517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(Fuel2)'!$BE$79:$BL$79</c:f>
            </c:numRef>
          </c:val>
          <c:extLst>
            <c:ext xmlns:c16="http://schemas.microsoft.com/office/drawing/2014/chart" uri="{C3380CC4-5D6E-409C-BE32-E72D297353CC}">
              <c16:uniqueId val="{00000000-1924-4B92-8050-53E69C4985F9}"/>
            </c:ext>
          </c:extLst>
        </c:ser>
        <c:ser>
          <c:idx val="1"/>
          <c:order val="1"/>
          <c:tx>
            <c:strRef>
              <c:f>'Variant 5 - WMTC (Fuel2)'!$BD$80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(Fuel2)'!$BE$80:$BL$80</c:f>
            </c:numRef>
          </c:val>
          <c:extLst>
            <c:ext xmlns:c16="http://schemas.microsoft.com/office/drawing/2014/chart" uri="{C3380CC4-5D6E-409C-BE32-E72D297353CC}">
              <c16:uniqueId val="{00000001-1924-4B92-8050-53E69C4985F9}"/>
            </c:ext>
          </c:extLst>
        </c:ser>
        <c:ser>
          <c:idx val="2"/>
          <c:order val="2"/>
          <c:tx>
            <c:strRef>
              <c:f>'Variant 5 - WMTC (Fuel2)'!$BD$81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(Fuel2)'!$BE$81:$BL$81</c:f>
            </c:numRef>
          </c:val>
          <c:extLst>
            <c:ext xmlns:c16="http://schemas.microsoft.com/office/drawing/2014/chart" uri="{C3380CC4-5D6E-409C-BE32-E72D297353CC}">
              <c16:uniqueId val="{00000002-1924-4B92-8050-53E69C4985F9}"/>
            </c:ext>
          </c:extLst>
        </c:ser>
        <c:ser>
          <c:idx val="3"/>
          <c:order val="3"/>
          <c:tx>
            <c:strRef>
              <c:f>'Variant 5 - WMTC (Fuel2)'!$BD$82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(Fuel2)'!$BE$82:$BL$82</c:f>
            </c:numRef>
          </c:val>
          <c:extLst>
            <c:ext xmlns:c16="http://schemas.microsoft.com/office/drawing/2014/chart" uri="{C3380CC4-5D6E-409C-BE32-E72D297353CC}">
              <c16:uniqueId val="{00000003-1924-4B92-8050-53E69C4985F9}"/>
            </c:ext>
          </c:extLst>
        </c:ser>
        <c:ser>
          <c:idx val="4"/>
          <c:order val="4"/>
          <c:tx>
            <c:strRef>
              <c:f>'Variant 5 - WMTC (Fuel2)'!$BD$83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(Fuel2)'!$BE$83:$BL$83</c:f>
            </c:numRef>
          </c:val>
          <c:extLst>
            <c:ext xmlns:c16="http://schemas.microsoft.com/office/drawing/2014/chart" uri="{C3380CC4-5D6E-409C-BE32-E72D297353CC}">
              <c16:uniqueId val="{00000004-1924-4B92-8050-53E69C4985F9}"/>
            </c:ext>
          </c:extLst>
        </c:ser>
        <c:ser>
          <c:idx val="5"/>
          <c:order val="5"/>
          <c:tx>
            <c:strRef>
              <c:f>'Variant 5 - WMTC (Fuel2)'!$BD$84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(Fuel2)'!$BE$84:$BL$84</c:f>
            </c:numRef>
          </c:val>
          <c:extLst>
            <c:ext xmlns:c16="http://schemas.microsoft.com/office/drawing/2014/chart" uri="{C3380CC4-5D6E-409C-BE32-E72D297353CC}">
              <c16:uniqueId val="{00000005-1924-4B92-8050-53E69C4985F9}"/>
            </c:ext>
          </c:extLst>
        </c:ser>
        <c:ser>
          <c:idx val="6"/>
          <c:order val="6"/>
          <c:tx>
            <c:strRef>
              <c:f>'Variant 5 - WMTC (Fuel2)'!$BD$85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(Fuel2)'!$BE$85:$BL$85</c:f>
            </c:numRef>
          </c:val>
          <c:extLst>
            <c:ext xmlns:c16="http://schemas.microsoft.com/office/drawing/2014/chart" uri="{C3380CC4-5D6E-409C-BE32-E72D297353CC}">
              <c16:uniqueId val="{00000006-1924-4B92-8050-53E69C4985F9}"/>
            </c:ext>
          </c:extLst>
        </c:ser>
        <c:ser>
          <c:idx val="7"/>
          <c:order val="7"/>
          <c:tx>
            <c:strRef>
              <c:f>'Variant 5 - WMTC (Fuel2)'!$BD$86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(Fuel2)'!$BE$86:$BL$86</c:f>
            </c:numRef>
          </c:val>
          <c:extLst>
            <c:ext xmlns:c16="http://schemas.microsoft.com/office/drawing/2014/chart" uri="{C3380CC4-5D6E-409C-BE32-E72D297353CC}">
              <c16:uniqueId val="{00000007-1924-4B92-8050-53E69C4985F9}"/>
            </c:ext>
          </c:extLst>
        </c:ser>
        <c:ser>
          <c:idx val="8"/>
          <c:order val="8"/>
          <c:tx>
            <c:strRef>
              <c:f>'Variant 5 - WMTC (Fuel2)'!$BD$87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(Fuel2)'!$BE$87:$BL$87</c:f>
            </c:numRef>
          </c:val>
          <c:extLst>
            <c:ext xmlns:c16="http://schemas.microsoft.com/office/drawing/2014/chart" uri="{C3380CC4-5D6E-409C-BE32-E72D297353CC}">
              <c16:uniqueId val="{00000008-1924-4B92-8050-53E69C4985F9}"/>
            </c:ext>
          </c:extLst>
        </c:ser>
        <c:ser>
          <c:idx val="9"/>
          <c:order val="9"/>
          <c:tx>
            <c:strRef>
              <c:f>'Variant 5 - WMTC (Fuel2)'!$BD$88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(Fuel2)'!$BE$88:$BL$88</c:f>
            </c:numRef>
          </c:val>
          <c:extLst>
            <c:ext xmlns:c16="http://schemas.microsoft.com/office/drawing/2014/chart" uri="{C3380CC4-5D6E-409C-BE32-E72D297353CC}">
              <c16:uniqueId val="{00000009-1924-4B92-8050-53E69C4985F9}"/>
            </c:ext>
          </c:extLst>
        </c:ser>
        <c:ser>
          <c:idx val="10"/>
          <c:order val="10"/>
          <c:tx>
            <c:strRef>
              <c:f>'Variant 5 - WMTC (Fuel2)'!$BD$89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(Fuel2)'!$BE$89:$BL$89</c:f>
            </c:numRef>
          </c:val>
          <c:extLst>
            <c:ext xmlns:c16="http://schemas.microsoft.com/office/drawing/2014/chart" uri="{C3380CC4-5D6E-409C-BE32-E72D297353CC}">
              <c16:uniqueId val="{0000000A-1924-4B92-8050-53E69C4985F9}"/>
            </c:ext>
          </c:extLst>
        </c:ser>
        <c:ser>
          <c:idx val="11"/>
          <c:order val="11"/>
          <c:tx>
            <c:strRef>
              <c:f>'Variant 5 - WMTC (Fuel2)'!$BD$90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(Fuel2)'!$BE$65:$BL$65</c:f>
            </c:multiLvlStrRef>
          </c:cat>
          <c:val>
            <c:numRef>
              <c:f>'Variant 5 - WMTC (Fuel2)'!$BE$90:$BL$90</c:f>
            </c:numRef>
          </c:val>
          <c:extLst>
            <c:ext xmlns:c16="http://schemas.microsoft.com/office/drawing/2014/chart" uri="{C3380CC4-5D6E-409C-BE32-E72D297353CC}">
              <c16:uniqueId val="{0000000B-1924-4B92-8050-53E69C49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7608"/>
        <c:axId val="335178000"/>
      </c:radarChart>
      <c:catAx>
        <c:axId val="33517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8000"/>
        <c:crosses val="autoZero"/>
        <c:auto val="1"/>
        <c:lblAlgn val="ctr"/>
        <c:lblOffset val="100"/>
        <c:noMultiLvlLbl val="0"/>
      </c:catAx>
      <c:valAx>
        <c:axId val="3351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(Fuel2)'!$BD$130</c:f>
              <c:strCache>
                <c:ptCount val="1"/>
                <c:pt idx="0">
                  <c:v>1st RDE-RC-AGGR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(Fuel2)'!$BE$128:$BL$128</c:f>
            </c:multiLvlStrRef>
          </c:cat>
          <c:val>
            <c:numRef>
              <c:f>'Variant 5 - WMTC (Fuel2)'!$BE$130:$BL$130</c:f>
            </c:numRef>
          </c:val>
          <c:extLst>
            <c:ext xmlns:c16="http://schemas.microsoft.com/office/drawing/2014/chart" uri="{C3380CC4-5D6E-409C-BE32-E72D297353CC}">
              <c16:uniqueId val="{00000000-9391-49D6-A246-7CAC82535638}"/>
            </c:ext>
          </c:extLst>
        </c:ser>
        <c:ser>
          <c:idx val="4"/>
          <c:order val="1"/>
          <c:tx>
            <c:strRef>
              <c:f>'Variant 5 - WMTC (Fuel2)'!$BD$136</c:f>
              <c:strCache>
                <c:ptCount val="1"/>
                <c:pt idx="0">
                  <c:v>0.7*IEF RDE-RC-AGGR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(Fuel2)'!$BE$128:$BL$128</c:f>
            </c:multiLvlStrRef>
          </c:cat>
          <c:val>
            <c:numRef>
              <c:f>'Variant 5 - WMTC (Fuel2)'!$BE$136:$BL$136</c:f>
            </c:numRef>
          </c:val>
          <c:extLst>
            <c:ext xmlns:c16="http://schemas.microsoft.com/office/drawing/2014/chart" uri="{C3380CC4-5D6E-409C-BE32-E72D297353CC}">
              <c16:uniqueId val="{00000001-9391-49D6-A246-7CAC8253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9176"/>
        <c:axId val="335179568"/>
      </c:radarChart>
      <c:catAx>
        <c:axId val="33517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9568"/>
        <c:crosses val="autoZero"/>
        <c:auto val="1"/>
        <c:lblAlgn val="ctr"/>
        <c:lblOffset val="100"/>
        <c:noMultiLvlLbl val="0"/>
      </c:catAx>
      <c:valAx>
        <c:axId val="3351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7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(Fuel2)'!$BD$142</c:f>
              <c:strCache>
                <c:ptCount val="1"/>
                <c:pt idx="0">
                  <c:v>RDE-RC-AGGR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(Fuel2)'!$BE$128:$BL$128</c:f>
            </c:multiLvlStrRef>
          </c:cat>
          <c:val>
            <c:numRef>
              <c:f>'Variant 5 - WMTC (Fuel2)'!$BE$142:$BL$142</c:f>
            </c:numRef>
          </c:val>
          <c:extLst>
            <c:ext xmlns:c16="http://schemas.microsoft.com/office/drawing/2014/chart" uri="{C3380CC4-5D6E-409C-BE32-E72D297353CC}">
              <c16:uniqueId val="{00000000-3509-4C13-85B2-30A7DD027344}"/>
            </c:ext>
          </c:extLst>
        </c:ser>
        <c:ser>
          <c:idx val="4"/>
          <c:order val="1"/>
          <c:tx>
            <c:strRef>
              <c:f>'Variant 5 - WMTC (Fuel2)'!$BD$148</c:f>
              <c:strCache>
                <c:ptCount val="1"/>
                <c:pt idx="0">
                  <c:v>IEF RDE-RC-AGGR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(Fuel2)'!$BE$128:$BL$128</c:f>
            </c:multiLvlStrRef>
          </c:cat>
          <c:val>
            <c:numRef>
              <c:f>'Variant 5 - WMTC (Fuel2)'!$BE$148:$BL$148</c:f>
            </c:numRef>
          </c:val>
          <c:extLst>
            <c:ext xmlns:c16="http://schemas.microsoft.com/office/drawing/2014/chart" uri="{C3380CC4-5D6E-409C-BE32-E72D297353CC}">
              <c16:uniqueId val="{00000001-3509-4C13-85B2-30A7DD027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59768"/>
        <c:axId val="374760160"/>
      </c:radarChart>
      <c:catAx>
        <c:axId val="374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0160"/>
        <c:crosses val="autoZero"/>
        <c:auto val="1"/>
        <c:lblAlgn val="ctr"/>
        <c:lblOffset val="100"/>
        <c:noMultiLvlLbl val="0"/>
      </c:catAx>
      <c:valAx>
        <c:axId val="3747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(Fuel2)'!$BE$107:$BL$107</c:f>
            </c:multiLvlStrRef>
          </c:cat>
          <c:val>
            <c:numRef>
              <c:f>'Variant 5 - WMTC (Fuel2)'!$BE$109:$BL$109</c:f>
            </c:numRef>
          </c:val>
          <c:extLst>
            <c:ext xmlns:c16="http://schemas.microsoft.com/office/drawing/2014/chart" uri="{C3380CC4-5D6E-409C-BE32-E72D297353CC}">
              <c16:uniqueId val="{00000000-1FB0-4638-AAF9-B28FC58202C8}"/>
            </c:ext>
          </c:extLst>
        </c:ser>
        <c:ser>
          <c:idx val="4"/>
          <c:order val="1"/>
          <c:tx>
            <c:strRef>
              <c:f>'Variant 5 - WMTC (Fuel2)'!$BD$113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(Fuel2)'!$BE$107:$BL$107</c:f>
            </c:multiLvlStrRef>
          </c:cat>
          <c:val>
            <c:numRef>
              <c:f>'Variant 5 - WMTC (Fuel2)'!$BE$113:$BL$113</c:f>
            </c:numRef>
          </c:val>
          <c:extLst>
            <c:ext xmlns:c16="http://schemas.microsoft.com/office/drawing/2014/chart" uri="{C3380CC4-5D6E-409C-BE32-E72D297353CC}">
              <c16:uniqueId val="{00000001-1FB0-4638-AAF9-B28FC5820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0944"/>
        <c:axId val="374761336"/>
      </c:radarChart>
      <c:catAx>
        <c:axId val="3747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1336"/>
        <c:crosses val="autoZero"/>
        <c:auto val="1"/>
        <c:lblAlgn val="ctr"/>
        <c:lblOffset val="100"/>
        <c:noMultiLvlLbl val="0"/>
      </c:catAx>
      <c:valAx>
        <c:axId val="37476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094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5 - WMTC (Fuel2)'!$BD$117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5 - WMTC (Fuel2)'!$BE$107:$BL$107</c:f>
            </c:multiLvlStrRef>
          </c:cat>
          <c:val>
            <c:numRef>
              <c:f>'Variant 5 - WMTC (Fuel2)'!$BE$117:$BL$117</c:f>
            </c:numRef>
          </c:val>
          <c:extLst>
            <c:ext xmlns:c16="http://schemas.microsoft.com/office/drawing/2014/chart" uri="{C3380CC4-5D6E-409C-BE32-E72D297353CC}">
              <c16:uniqueId val="{00000000-7274-4E32-AEC4-DF303A13808E}"/>
            </c:ext>
          </c:extLst>
        </c:ser>
        <c:ser>
          <c:idx val="4"/>
          <c:order val="1"/>
          <c:tx>
            <c:strRef>
              <c:f>'Variant 5 - WMTC (Fuel2)'!$BD$121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5 - WMTC (Fuel2)'!$BE$107:$BL$107</c:f>
            </c:multiLvlStrRef>
          </c:cat>
          <c:val>
            <c:numRef>
              <c:f>'Variant 5 - WMTC (Fuel2)'!$BE$121:$BL$121</c:f>
            </c:numRef>
          </c:val>
          <c:extLst>
            <c:ext xmlns:c16="http://schemas.microsoft.com/office/drawing/2014/chart" uri="{C3380CC4-5D6E-409C-BE32-E72D297353CC}">
              <c16:uniqueId val="{00000001-7274-4E32-AEC4-DF303A13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2120"/>
        <c:axId val="374762512"/>
      </c:radarChart>
      <c:catAx>
        <c:axId val="37476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2512"/>
        <c:crosses val="autoZero"/>
        <c:auto val="1"/>
        <c:lblAlgn val="ctr"/>
        <c:lblOffset val="100"/>
        <c:noMultiLvlLbl val="0"/>
      </c:catAx>
      <c:valAx>
        <c:axId val="37476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212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44-40D7-BB4A-27BEDA5FAB72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644-40D7-BB4A-27BEDA5FA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5648"/>
        <c:axId val="374766040"/>
      </c:radarChart>
      <c:catAx>
        <c:axId val="3747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6040"/>
        <c:crosses val="autoZero"/>
        <c:auto val="1"/>
        <c:lblAlgn val="ctr"/>
        <c:lblOffset val="100"/>
        <c:noMultiLvlLbl val="0"/>
      </c:catAx>
      <c:valAx>
        <c:axId val="37476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564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202-42C1-9D77-E1BB2E050F89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5 - WMTC'!#REF!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'Variant 5 - WMTC'!#REF!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202-42C1-9D77-E1BB2E050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6824"/>
        <c:axId val="375274432"/>
      </c:radarChart>
      <c:catAx>
        <c:axId val="37476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4432"/>
        <c:crosses val="autoZero"/>
        <c:auto val="1"/>
        <c:lblAlgn val="ctr"/>
        <c:lblOffset val="100"/>
        <c:noMultiLvlLbl val="0"/>
      </c:catAx>
      <c:valAx>
        <c:axId val="3752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682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MIDC'!$BE$13:$BL$13</c:f>
              <c:numCache>
                <c:formatCode>General</c:formatCode>
                <c:ptCount val="6"/>
                <c:pt idx="0">
                  <c:v>1.38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D-4334-B927-CCD03DEE7774}"/>
            </c:ext>
          </c:extLst>
        </c:ser>
        <c:ser>
          <c:idx val="1"/>
          <c:order val="1"/>
          <c:tx>
            <c:strRef>
              <c:f>'Variant 4 - MIDC'!$BD$14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MIDC'!$BE$14:$BL$14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D-4334-B927-CCD03DEE7774}"/>
            </c:ext>
          </c:extLst>
        </c:ser>
        <c:ser>
          <c:idx val="2"/>
          <c:order val="2"/>
          <c:tx>
            <c:strRef>
              <c:f>'Variant 4 - MIDC'!$BD$15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D-4334-B927-CCD03DEE7774}"/>
            </c:ext>
          </c:extLst>
        </c:ser>
        <c:ser>
          <c:idx val="3"/>
          <c:order val="3"/>
          <c:tx>
            <c:strRef>
              <c:f>'Variant 4 - MIDC'!$BD$16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D-4334-B927-CCD03DEE7774}"/>
            </c:ext>
          </c:extLst>
        </c:ser>
        <c:ser>
          <c:idx val="4"/>
          <c:order val="4"/>
          <c:tx>
            <c:strRef>
              <c:f>'Variant 4 - MIDC'!$BD$17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MIDC'!$BE$17:$BL$17</c:f>
              <c:numCache>
                <c:formatCode>General</c:formatCode>
                <c:ptCount val="6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0D-4334-B927-CCD03DEE7774}"/>
            </c:ext>
          </c:extLst>
        </c:ser>
        <c:ser>
          <c:idx val="5"/>
          <c:order val="5"/>
          <c:tx>
            <c:strRef>
              <c:f>'Variant 4 - MIDC'!$BD$18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0D-4334-B927-CCD03DEE7774}"/>
            </c:ext>
          </c:extLst>
        </c:ser>
        <c:ser>
          <c:idx val="6"/>
          <c:order val="6"/>
          <c:tx>
            <c:strRef>
              <c:f>'Variant 4 - MIDC'!$BD$19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0D-4334-B927-CCD03DEE7774}"/>
            </c:ext>
          </c:extLst>
        </c:ser>
        <c:ser>
          <c:idx val="7"/>
          <c:order val="7"/>
          <c:tx>
            <c:strRef>
              <c:f>'Variant 4 - MIDC'!$BD$20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0D-4334-B927-CCD03DEE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75608"/>
        <c:axId val="375276000"/>
      </c:radarChart>
      <c:catAx>
        <c:axId val="37527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6000"/>
        <c:crosses val="autoZero"/>
        <c:auto val="1"/>
        <c:lblAlgn val="ctr"/>
        <c:lblOffset val="100"/>
        <c:noMultiLvlLbl val="0"/>
      </c:catAx>
      <c:valAx>
        <c:axId val="3752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MIDC'!$BE$21:$BL$21</c:f>
              <c:numCache>
                <c:formatCode>General</c:formatCode>
                <c:ptCount val="6"/>
                <c:pt idx="0">
                  <c:v>1.38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A-4DA3-8E10-1ADF5BA0F270}"/>
            </c:ext>
          </c:extLst>
        </c:ser>
        <c:ser>
          <c:idx val="1"/>
          <c:order val="1"/>
          <c:tx>
            <c:strRef>
              <c:f>'Variant 4 - MIDC'!$BD$22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MIDC'!$BE$22:$BL$22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A-4DA3-8E10-1ADF5BA0F270}"/>
            </c:ext>
          </c:extLst>
        </c:ser>
        <c:ser>
          <c:idx val="2"/>
          <c:order val="2"/>
          <c:tx>
            <c:strRef>
              <c:f>'Variant 4 - MIDC'!$BD$23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A-4DA3-8E10-1ADF5BA0F270}"/>
            </c:ext>
          </c:extLst>
        </c:ser>
        <c:ser>
          <c:idx val="3"/>
          <c:order val="3"/>
          <c:tx>
            <c:strRef>
              <c:f>'Variant 4 - MIDC'!$BD$24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A-4DA3-8E10-1ADF5BA0F270}"/>
            </c:ext>
          </c:extLst>
        </c:ser>
        <c:ser>
          <c:idx val="4"/>
          <c:order val="4"/>
          <c:tx>
            <c:strRef>
              <c:f>'Variant 4 - MIDC'!$BD$25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MIDC'!$BE$25:$BL$25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A-4DA3-8E10-1ADF5BA0F270}"/>
            </c:ext>
          </c:extLst>
        </c:ser>
        <c:ser>
          <c:idx val="5"/>
          <c:order val="5"/>
          <c:tx>
            <c:strRef>
              <c:f>'Variant 4 - MIDC'!$BD$26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AA-4DA3-8E10-1ADF5BA0F270}"/>
            </c:ext>
          </c:extLst>
        </c:ser>
        <c:ser>
          <c:idx val="6"/>
          <c:order val="6"/>
          <c:tx>
            <c:strRef>
              <c:f>'Variant 4 - MIDC'!$BD$27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AA-4DA3-8E10-1ADF5BA0F270}"/>
            </c:ext>
          </c:extLst>
        </c:ser>
        <c:ser>
          <c:idx val="7"/>
          <c:order val="7"/>
          <c:tx>
            <c:strRef>
              <c:f>'Variant 4 - MIDC'!$BD$28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AA-4DA3-8E10-1ADF5BA0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76784"/>
        <c:axId val="375277176"/>
      </c:radarChart>
      <c:catAx>
        <c:axId val="3752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7176"/>
        <c:crosses val="autoZero"/>
        <c:auto val="1"/>
        <c:lblAlgn val="ctr"/>
        <c:lblOffset val="100"/>
        <c:noMultiLvlLbl val="0"/>
      </c:catAx>
      <c:valAx>
        <c:axId val="37527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MIDC'!$BD$40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MIDC'!$BE$40:$BL$40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C-438C-A0CD-0CB1EAF08C46}"/>
            </c:ext>
          </c:extLst>
        </c:ser>
        <c:ser>
          <c:idx val="1"/>
          <c:order val="1"/>
          <c:tx>
            <c:strRef>
              <c:f>'Variant 4 - MIDC'!$BD$41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MIDC'!$BE$41:$BL$41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C-438C-A0CD-0CB1EAF08C46}"/>
            </c:ext>
          </c:extLst>
        </c:ser>
        <c:ser>
          <c:idx val="2"/>
          <c:order val="2"/>
          <c:tx>
            <c:strRef>
              <c:f>'Variant 4 - MIDC'!$BD$42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MIDC'!$BE$42:$BL$42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3C-438C-A0CD-0CB1EAF08C46}"/>
            </c:ext>
          </c:extLst>
        </c:ser>
        <c:ser>
          <c:idx val="3"/>
          <c:order val="3"/>
          <c:tx>
            <c:strRef>
              <c:f>'Variant 4 - MIDC'!$BD$43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MIDC'!$BE$43:$BL$43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3C-438C-A0CD-0CB1EAF08C46}"/>
            </c:ext>
          </c:extLst>
        </c:ser>
        <c:ser>
          <c:idx val="4"/>
          <c:order val="4"/>
          <c:tx>
            <c:strRef>
              <c:f>'Variant 4 - MIDC'!$BD$44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MIDC'!$BE$44:$BL$44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3C-438C-A0CD-0CB1EAF08C46}"/>
            </c:ext>
          </c:extLst>
        </c:ser>
        <c:ser>
          <c:idx val="5"/>
          <c:order val="5"/>
          <c:tx>
            <c:strRef>
              <c:f>'Variant 4 - MIDC'!$BD$45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MIDC'!$BE$45:$BL$45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3C-438C-A0CD-0CB1EAF08C46}"/>
            </c:ext>
          </c:extLst>
        </c:ser>
        <c:ser>
          <c:idx val="6"/>
          <c:order val="6"/>
          <c:tx>
            <c:strRef>
              <c:f>'Variant 4 - MIDC'!$BD$46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MIDC'!$BE$46:$BL$46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3C-438C-A0CD-0CB1EAF08C46}"/>
            </c:ext>
          </c:extLst>
        </c:ser>
        <c:ser>
          <c:idx val="7"/>
          <c:order val="7"/>
          <c:tx>
            <c:strRef>
              <c:f>'Variant 4 - MIDC'!$BD$47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MIDC'!$BE$47:$BL$47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3C-438C-A0CD-0CB1EAF08C46}"/>
            </c:ext>
          </c:extLst>
        </c:ser>
        <c:ser>
          <c:idx val="8"/>
          <c:order val="8"/>
          <c:tx>
            <c:strRef>
              <c:f>'Variant 4 - MIDC'!$BD$48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MIDC'!$BE$48:$BL$48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3C-438C-A0CD-0CB1EAF08C46}"/>
            </c:ext>
          </c:extLst>
        </c:ser>
        <c:ser>
          <c:idx val="9"/>
          <c:order val="9"/>
          <c:tx>
            <c:strRef>
              <c:f>'Variant 4 - MIDC'!$BD$49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MIDC'!$BE$49:$BL$49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3C-438C-A0CD-0CB1EAF08C46}"/>
            </c:ext>
          </c:extLst>
        </c:ser>
        <c:ser>
          <c:idx val="10"/>
          <c:order val="10"/>
          <c:tx>
            <c:strRef>
              <c:f>'Variant 4 - MIDC'!$BD$50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MIDC'!$BE$50:$BL$50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3C-438C-A0CD-0CB1EAF08C46}"/>
            </c:ext>
          </c:extLst>
        </c:ser>
        <c:ser>
          <c:idx val="11"/>
          <c:order val="11"/>
          <c:tx>
            <c:strRef>
              <c:f>'Variant 4 - MIDC'!$BD$51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MIDC'!$BE$51:$BL$51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3C-438C-A0CD-0CB1EAF08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77960"/>
        <c:axId val="375278352"/>
      </c:radarChart>
      <c:catAx>
        <c:axId val="37527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8352"/>
        <c:crosses val="autoZero"/>
        <c:auto val="1"/>
        <c:lblAlgn val="ctr"/>
        <c:lblOffset val="100"/>
        <c:noMultiLvlLbl val="0"/>
      </c:catAx>
      <c:valAx>
        <c:axId val="3752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MIDC'!$BD$52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MIDC'!$BE$52:$BL$52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B-4A09-8D9C-32C017CC4F80}"/>
            </c:ext>
          </c:extLst>
        </c:ser>
        <c:ser>
          <c:idx val="1"/>
          <c:order val="1"/>
          <c:tx>
            <c:strRef>
              <c:f>'Variant 4 - MIDC'!$BD$53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MIDC'!$BE$53:$BL$53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B-4A09-8D9C-32C017CC4F80}"/>
            </c:ext>
          </c:extLst>
        </c:ser>
        <c:ser>
          <c:idx val="2"/>
          <c:order val="2"/>
          <c:tx>
            <c:strRef>
              <c:f>'Variant 4 - MIDC'!$BD$54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MIDC'!$BE$54:$BL$54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B-4A09-8D9C-32C017CC4F80}"/>
            </c:ext>
          </c:extLst>
        </c:ser>
        <c:ser>
          <c:idx val="3"/>
          <c:order val="3"/>
          <c:tx>
            <c:strRef>
              <c:f>'Variant 4 - MIDC'!$BD$55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MIDC'!$BE$55:$BL$55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5B-4A09-8D9C-32C017CC4F80}"/>
            </c:ext>
          </c:extLst>
        </c:ser>
        <c:ser>
          <c:idx val="4"/>
          <c:order val="4"/>
          <c:tx>
            <c:strRef>
              <c:f>'Variant 4 - MIDC'!$BD$56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MIDC'!$BE$56:$BL$56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5B-4A09-8D9C-32C017CC4F80}"/>
            </c:ext>
          </c:extLst>
        </c:ser>
        <c:ser>
          <c:idx val="5"/>
          <c:order val="5"/>
          <c:tx>
            <c:strRef>
              <c:f>'Variant 4 - MIDC'!$BD$57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MIDC'!$BE$57:$BL$57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5B-4A09-8D9C-32C017CC4F80}"/>
            </c:ext>
          </c:extLst>
        </c:ser>
        <c:ser>
          <c:idx val="6"/>
          <c:order val="6"/>
          <c:tx>
            <c:strRef>
              <c:f>'Variant 4 - MIDC'!$BD$58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MIDC'!$BE$58:$BL$58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5B-4A09-8D9C-32C017CC4F80}"/>
            </c:ext>
          </c:extLst>
        </c:ser>
        <c:ser>
          <c:idx val="7"/>
          <c:order val="7"/>
          <c:tx>
            <c:strRef>
              <c:f>'Variant 4 - MIDC'!$BD$59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MIDC'!$BE$59:$BL$59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B-4A09-8D9C-32C017CC4F80}"/>
            </c:ext>
          </c:extLst>
        </c:ser>
        <c:ser>
          <c:idx val="8"/>
          <c:order val="8"/>
          <c:tx>
            <c:strRef>
              <c:f>'Variant 4 - MIDC'!$BD$60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MIDC'!$BE$60:$BL$60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5B-4A09-8D9C-32C017CC4F80}"/>
            </c:ext>
          </c:extLst>
        </c:ser>
        <c:ser>
          <c:idx val="9"/>
          <c:order val="9"/>
          <c:tx>
            <c:strRef>
              <c:f>'Variant 4 - MIDC'!$BD$61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MIDC'!$BE$61:$BL$61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5B-4A09-8D9C-32C017CC4F80}"/>
            </c:ext>
          </c:extLst>
        </c:ser>
        <c:ser>
          <c:idx val="10"/>
          <c:order val="10"/>
          <c:tx>
            <c:strRef>
              <c:f>'Variant 4 - MIDC'!$BD$62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MIDC'!$BE$62:$BL$62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5B-4A09-8D9C-32C017CC4F80}"/>
            </c:ext>
          </c:extLst>
        </c:ser>
        <c:ser>
          <c:idx val="11"/>
          <c:order val="11"/>
          <c:tx>
            <c:strRef>
              <c:f>'Variant 4 - MIDC'!$BD$63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MIDC'!$BE$63:$BL$63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5B-4A09-8D9C-32C017CC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79528"/>
        <c:axId val="375279920"/>
      </c:radarChart>
      <c:catAx>
        <c:axId val="37527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9920"/>
        <c:crosses val="autoZero"/>
        <c:auto val="1"/>
        <c:lblAlgn val="ctr"/>
        <c:lblOffset val="100"/>
        <c:noMultiLvlLbl val="0"/>
      </c:catAx>
      <c:valAx>
        <c:axId val="3752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MIDC'!$BD$83</c:f>
              <c:strCache>
                <c:ptCount val="1"/>
                <c:pt idx="0">
                  <c:v>1st 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2-446F-BEBA-D278EACEDBA4}"/>
            </c:ext>
          </c:extLst>
        </c:ser>
        <c:ser>
          <c:idx val="4"/>
          <c:order val="1"/>
          <c:tx>
            <c:strRef>
              <c:f>'Variant 4 - MIDC'!$BD$87</c:f>
              <c:strCache>
                <c:ptCount val="1"/>
                <c:pt idx="0">
                  <c:v>0.7*IEF WLTC 20°C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MIDC'!$BE$87:$BL$87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2-446F-BEBA-D278EACE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80704"/>
        <c:axId val="375281096"/>
      </c:radarChart>
      <c:catAx>
        <c:axId val="3752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1096"/>
        <c:crosses val="autoZero"/>
        <c:auto val="1"/>
        <c:lblAlgn val="ctr"/>
        <c:lblOffset val="100"/>
        <c:noMultiLvlLbl val="0"/>
      </c:catAx>
      <c:valAx>
        <c:axId val="3752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070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MIDC'!$BD$130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MIDC'!$BE$130:$BL$130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C-4381-8116-D2E45072D222}"/>
            </c:ext>
          </c:extLst>
        </c:ser>
        <c:ser>
          <c:idx val="1"/>
          <c:order val="1"/>
          <c:tx>
            <c:strRef>
              <c:f>'Variant 4 - MIDC'!$BD$131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MIDC'!$BE$131:$BL$131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C-4381-8116-D2E45072D222}"/>
            </c:ext>
          </c:extLst>
        </c:ser>
        <c:ser>
          <c:idx val="4"/>
          <c:order val="2"/>
          <c:tx>
            <c:strRef>
              <c:f>'Variant 4 - MIDC'!$BD$136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MIDC'!$BE$136:$BL$136</c:f>
              <c:numCache>
                <c:formatCode>General</c:formatCode>
                <c:ptCount val="6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1C-4381-8116-D2E45072D222}"/>
            </c:ext>
          </c:extLst>
        </c:ser>
        <c:ser>
          <c:idx val="5"/>
          <c:order val="3"/>
          <c:tx>
            <c:strRef>
              <c:f>'Variant 4 - MIDC'!$BD$137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MIDC'!$BE$137:$BL$137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1C-4381-8116-D2E45072D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3288"/>
        <c:axId val="375933680"/>
      </c:radarChart>
      <c:catAx>
        <c:axId val="37593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3680"/>
        <c:crosses val="autoZero"/>
        <c:auto val="1"/>
        <c:lblAlgn val="ctr"/>
        <c:lblOffset val="100"/>
        <c:noMultiLvlLbl val="0"/>
      </c:catAx>
      <c:valAx>
        <c:axId val="3759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MIDC'!$BD$142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MIDC'!$BE$142:$BL$142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7-45C2-899C-735A163759F2}"/>
            </c:ext>
          </c:extLst>
        </c:ser>
        <c:ser>
          <c:idx val="1"/>
          <c:order val="1"/>
          <c:tx>
            <c:strRef>
              <c:f>'Variant 4 - MIDC'!$BD$143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MIDC'!$BE$143:$BL$143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7-45C2-899C-735A163759F2}"/>
            </c:ext>
          </c:extLst>
        </c:ser>
        <c:ser>
          <c:idx val="4"/>
          <c:order val="2"/>
          <c:tx>
            <c:strRef>
              <c:f>'Variant 4 - MIDC'!$BD$148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MIDC'!$BE$148:$BL$148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7-45C2-899C-735A163759F2}"/>
            </c:ext>
          </c:extLst>
        </c:ser>
        <c:ser>
          <c:idx val="5"/>
          <c:order val="3"/>
          <c:tx>
            <c:strRef>
              <c:f>'Variant 4 - MIDC'!$BD$149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MIDC'!$BE$149:$BL$149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7-45C2-899C-735A16375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4464"/>
        <c:axId val="375934856"/>
      </c:radarChart>
      <c:catAx>
        <c:axId val="3759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4856"/>
        <c:crosses val="autoZero"/>
        <c:auto val="1"/>
        <c:lblAlgn val="ctr"/>
        <c:lblOffset val="100"/>
        <c:noMultiLvlLbl val="0"/>
      </c:catAx>
      <c:valAx>
        <c:axId val="37593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MIDC'!$BD$157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MIDC'!$BE$157:$BL$157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A-49BF-9B8F-C9526A016B6A}"/>
            </c:ext>
          </c:extLst>
        </c:ser>
        <c:ser>
          <c:idx val="1"/>
          <c:order val="1"/>
          <c:tx>
            <c:strRef>
              <c:f>'Variant 4 - MIDC'!$BD$158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MIDC'!$BE$158:$BL$158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A-49BF-9B8F-C9526A016B6A}"/>
            </c:ext>
          </c:extLst>
        </c:ser>
        <c:ser>
          <c:idx val="2"/>
          <c:order val="2"/>
          <c:tx>
            <c:strRef>
              <c:f>'Variant 4 - MIDC'!$BD$159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MIDC'!$BE$159:$BL$159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A-49BF-9B8F-C9526A016B6A}"/>
            </c:ext>
          </c:extLst>
        </c:ser>
        <c:ser>
          <c:idx val="3"/>
          <c:order val="3"/>
          <c:tx>
            <c:strRef>
              <c:f>'Variant 4 - MIDC'!$BD$160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MIDC'!$BE$160:$BL$160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9A-49BF-9B8F-C9526A016B6A}"/>
            </c:ext>
          </c:extLst>
        </c:ser>
        <c:ser>
          <c:idx val="4"/>
          <c:order val="4"/>
          <c:tx>
            <c:strRef>
              <c:f>'Variant 4 - MIDC'!$BD$161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MIDC'!$BE$161:$BL$161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9A-49BF-9B8F-C9526A016B6A}"/>
            </c:ext>
          </c:extLst>
        </c:ser>
        <c:ser>
          <c:idx val="5"/>
          <c:order val="5"/>
          <c:tx>
            <c:strRef>
              <c:f>'Variant 4 - MIDC'!$BD$162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MIDC'!$BE$162:$BL$162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9A-49BF-9B8F-C9526A016B6A}"/>
            </c:ext>
          </c:extLst>
        </c:ser>
        <c:ser>
          <c:idx val="6"/>
          <c:order val="6"/>
          <c:tx>
            <c:strRef>
              <c:f>'Variant 4 - MIDC'!$BD$163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MIDC'!$BE$163:$BL$163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9A-49BF-9B8F-C9526A016B6A}"/>
            </c:ext>
          </c:extLst>
        </c:ser>
        <c:ser>
          <c:idx val="7"/>
          <c:order val="7"/>
          <c:tx>
            <c:strRef>
              <c:f>'Variant 4 - MIDC'!$BD$164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MIDC'!$BE$164:$BL$164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9A-49BF-9B8F-C9526A016B6A}"/>
            </c:ext>
          </c:extLst>
        </c:ser>
        <c:ser>
          <c:idx val="8"/>
          <c:order val="8"/>
          <c:tx>
            <c:strRef>
              <c:f>'Variant 4 - MIDC'!$BD$165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MIDC'!$BE$165:$BL$165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9A-49BF-9B8F-C9526A016B6A}"/>
            </c:ext>
          </c:extLst>
        </c:ser>
        <c:ser>
          <c:idx val="9"/>
          <c:order val="9"/>
          <c:tx>
            <c:strRef>
              <c:f>'Variant 4 - MIDC'!$BD$166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MIDC'!$BE$166:$BL$166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9A-49BF-9B8F-C9526A016B6A}"/>
            </c:ext>
          </c:extLst>
        </c:ser>
        <c:ser>
          <c:idx val="10"/>
          <c:order val="10"/>
          <c:tx>
            <c:strRef>
              <c:f>'Variant 4 - MIDC'!$BD$167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MIDC'!$BE$167:$BL$167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79A-49BF-9B8F-C9526A016B6A}"/>
            </c:ext>
          </c:extLst>
        </c:ser>
        <c:ser>
          <c:idx val="11"/>
          <c:order val="11"/>
          <c:tx>
            <c:strRef>
              <c:f>'Variant 4 - MIDC'!$BD$168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MIDC'!$BE$168:$BL$168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9A-49BF-9B8F-C9526A016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5640"/>
        <c:axId val="375936032"/>
      </c:radarChart>
      <c:catAx>
        <c:axId val="37593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6032"/>
        <c:crosses val="autoZero"/>
        <c:auto val="1"/>
        <c:lblAlgn val="ctr"/>
        <c:lblOffset val="100"/>
        <c:noMultiLvlLbl val="0"/>
      </c:catAx>
      <c:valAx>
        <c:axId val="3759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MIDC'!$BD$169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MIDC'!$BE$169:$BL$169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A-40C4-80AA-EB60316DAC2D}"/>
            </c:ext>
          </c:extLst>
        </c:ser>
        <c:ser>
          <c:idx val="1"/>
          <c:order val="1"/>
          <c:tx>
            <c:strRef>
              <c:f>'Variant 4 - MIDC'!$BD$170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MIDC'!$BE$170:$BL$170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A-40C4-80AA-EB60316DAC2D}"/>
            </c:ext>
          </c:extLst>
        </c:ser>
        <c:ser>
          <c:idx val="2"/>
          <c:order val="2"/>
          <c:tx>
            <c:strRef>
              <c:f>'Variant 4 - MIDC'!$BD$171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MIDC'!$BE$171:$BL$171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A-40C4-80AA-EB60316DAC2D}"/>
            </c:ext>
          </c:extLst>
        </c:ser>
        <c:ser>
          <c:idx val="3"/>
          <c:order val="3"/>
          <c:tx>
            <c:strRef>
              <c:f>'Variant 4 - MIDC'!$BD$172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A-40C4-80AA-EB60316DAC2D}"/>
            </c:ext>
          </c:extLst>
        </c:ser>
        <c:ser>
          <c:idx val="4"/>
          <c:order val="4"/>
          <c:tx>
            <c:strRef>
              <c:f>'Variant 4 - MIDC'!$BD$173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MIDC'!$BE$173:$BL$173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BA-40C4-80AA-EB60316DAC2D}"/>
            </c:ext>
          </c:extLst>
        </c:ser>
        <c:ser>
          <c:idx val="5"/>
          <c:order val="5"/>
          <c:tx>
            <c:strRef>
              <c:f>'Variant 4 - MIDC'!$BD$174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MIDC'!$BE$174:$BL$174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A-40C4-80AA-EB60316DAC2D}"/>
            </c:ext>
          </c:extLst>
        </c:ser>
        <c:ser>
          <c:idx val="6"/>
          <c:order val="6"/>
          <c:tx>
            <c:strRef>
              <c:f>'Variant 4 - MIDC'!$BD$175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MIDC'!$BE$175:$BL$175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BA-40C4-80AA-EB60316DAC2D}"/>
            </c:ext>
          </c:extLst>
        </c:ser>
        <c:ser>
          <c:idx val="7"/>
          <c:order val="7"/>
          <c:tx>
            <c:strRef>
              <c:f>'Variant 4 - MIDC'!$BD$176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MIDC'!$BE$176:$BL$176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A-40C4-80AA-EB60316DAC2D}"/>
            </c:ext>
          </c:extLst>
        </c:ser>
        <c:ser>
          <c:idx val="8"/>
          <c:order val="8"/>
          <c:tx>
            <c:strRef>
              <c:f>'Variant 4 - MIDC'!$BD$177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MIDC'!$BE$177:$BL$177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BA-40C4-80AA-EB60316DAC2D}"/>
            </c:ext>
          </c:extLst>
        </c:ser>
        <c:ser>
          <c:idx val="9"/>
          <c:order val="9"/>
          <c:tx>
            <c:strRef>
              <c:f>'Variant 4 - MIDC'!$BD$178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MIDC'!$BE$178:$BL$178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A-40C4-80AA-EB60316DAC2D}"/>
            </c:ext>
          </c:extLst>
        </c:ser>
        <c:ser>
          <c:idx val="10"/>
          <c:order val="10"/>
          <c:tx>
            <c:strRef>
              <c:f>'Variant 4 - MIDC'!$BD$179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MIDC'!$BE$179:$BL$179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BA-40C4-80AA-EB60316DAC2D}"/>
            </c:ext>
          </c:extLst>
        </c:ser>
        <c:ser>
          <c:idx val="11"/>
          <c:order val="11"/>
          <c:tx>
            <c:strRef>
              <c:f>'Variant 4 - MIDC'!$BD$180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MIDC'!$BE$180:$BL$180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BA-40C4-80AA-EB60316D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6816"/>
        <c:axId val="375937208"/>
      </c:radarChart>
      <c:catAx>
        <c:axId val="3759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7208"/>
        <c:crosses val="autoZero"/>
        <c:auto val="1"/>
        <c:lblAlgn val="ctr"/>
        <c:lblOffset val="100"/>
        <c:noMultiLvlLbl val="0"/>
      </c:catAx>
      <c:valAx>
        <c:axId val="37593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MIDC'!$BD$91</c:f>
              <c:strCache>
                <c:ptCount val="1"/>
                <c:pt idx="0">
                  <c:v>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MIDC'!$BE$91:$BL$91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5-4769-ACA8-05B4B1D78E63}"/>
            </c:ext>
          </c:extLst>
        </c:ser>
        <c:ser>
          <c:idx val="4"/>
          <c:order val="1"/>
          <c:tx>
            <c:strRef>
              <c:f>'Variant 4 - MIDC'!$BD$95</c:f>
              <c:strCache>
                <c:ptCount val="1"/>
                <c:pt idx="0">
                  <c:v>IEF WLTC 20°C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MIDC'!$BE$95:$BL$95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5-4769-ACA8-05B4B1D78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2112"/>
        <c:axId val="375931720"/>
      </c:radarChart>
      <c:catAx>
        <c:axId val="37593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1720"/>
        <c:crosses val="autoZero"/>
        <c:auto val="1"/>
        <c:lblAlgn val="ctr"/>
        <c:lblOffset val="100"/>
        <c:noMultiLvlLbl val="0"/>
      </c:catAx>
      <c:valAx>
        <c:axId val="37593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211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MIDC'!$BE$109:$BL$109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9-4C4E-B3AF-FACDC42CE44C}"/>
            </c:ext>
          </c:extLst>
        </c:ser>
        <c:ser>
          <c:idx val="4"/>
          <c:order val="1"/>
          <c:tx>
            <c:strRef>
              <c:f>'Variant 4 - MIDC'!$BD$113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MIDC'!$BE$113:$BL$113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9-4C4E-B3AF-FACDC42CE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7600"/>
        <c:axId val="375937992"/>
      </c:radarChart>
      <c:catAx>
        <c:axId val="3759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7992"/>
        <c:crosses val="autoZero"/>
        <c:auto val="1"/>
        <c:lblAlgn val="ctr"/>
        <c:lblOffset val="100"/>
        <c:noMultiLvlLbl val="0"/>
      </c:catAx>
      <c:valAx>
        <c:axId val="37593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76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MIDC'!$BE$117:$BL$117</c:f>
              <c:numCache>
                <c:formatCode>General</c:formatCode>
                <c:ptCount val="6"/>
                <c:pt idx="0" formatCode="0.00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4-42F1-81E5-DAD45F32F0B4}"/>
            </c:ext>
          </c:extLst>
        </c:ser>
        <c:ser>
          <c:idx val="4"/>
          <c:order val="1"/>
          <c:tx>
            <c:strRef>
              <c:f>'Variant 4 - MIDC'!$BD$121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MIDC'!$BE$121:$BL$121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4-42F1-81E5-DAD45F32F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38776"/>
        <c:axId val="375281880"/>
      </c:radarChart>
      <c:catAx>
        <c:axId val="37593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1880"/>
        <c:crosses val="autoZero"/>
        <c:auto val="1"/>
        <c:lblAlgn val="ctr"/>
        <c:lblOffset val="100"/>
        <c:noMultiLvlLbl val="0"/>
      </c:catAx>
      <c:valAx>
        <c:axId val="37528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877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JC08'!$BE$13:$BL$13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B-4DBF-8F3F-CCEC07C379ED}"/>
            </c:ext>
          </c:extLst>
        </c:ser>
        <c:ser>
          <c:idx val="1"/>
          <c:order val="1"/>
          <c:tx>
            <c:strRef>
              <c:f>'Variant 3 - JC08'!$BD$14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JC08'!$BE$14:$BL$14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B-4DBF-8F3F-CCEC07C379ED}"/>
            </c:ext>
          </c:extLst>
        </c:ser>
        <c:ser>
          <c:idx val="2"/>
          <c:order val="2"/>
          <c:tx>
            <c:strRef>
              <c:f>'Variant 3 - JC08'!$BD$15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JC08'!$BE$15:$BL$15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B-4DBF-8F3F-CCEC07C379ED}"/>
            </c:ext>
          </c:extLst>
        </c:ser>
        <c:ser>
          <c:idx val="3"/>
          <c:order val="3"/>
          <c:tx>
            <c:strRef>
              <c:f>'Variant 3 - JC08'!$BD$16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JC08'!$BE$16:$BL$16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B-4DBF-8F3F-CCEC07C379ED}"/>
            </c:ext>
          </c:extLst>
        </c:ser>
        <c:ser>
          <c:idx val="4"/>
          <c:order val="4"/>
          <c:tx>
            <c:strRef>
              <c:f>'Variant 3 - JC08'!$BD$17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JC08'!$BE$17:$BL$17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2B-4DBF-8F3F-CCEC07C379ED}"/>
            </c:ext>
          </c:extLst>
        </c:ser>
        <c:ser>
          <c:idx val="5"/>
          <c:order val="5"/>
          <c:tx>
            <c:strRef>
              <c:f>'Variant 3 - JC08'!$BD$18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JC08'!$BE$18:$BL$18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2B-4DBF-8F3F-CCEC07C379ED}"/>
            </c:ext>
          </c:extLst>
        </c:ser>
        <c:ser>
          <c:idx val="6"/>
          <c:order val="6"/>
          <c:tx>
            <c:strRef>
              <c:f>'Variant 3 - JC08'!$BD$19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JC08'!$BE$19:$BL$19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2B-4DBF-8F3F-CCEC07C379ED}"/>
            </c:ext>
          </c:extLst>
        </c:ser>
        <c:ser>
          <c:idx val="7"/>
          <c:order val="7"/>
          <c:tx>
            <c:strRef>
              <c:f>'Variant 3 - JC08'!$BD$20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JC08'!$BE$20:$BL$20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2B-4DBF-8F3F-CCEC07C3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45288"/>
        <c:axId val="376545680"/>
      </c:radarChart>
      <c:catAx>
        <c:axId val="37654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5680"/>
        <c:crosses val="autoZero"/>
        <c:auto val="1"/>
        <c:lblAlgn val="ctr"/>
        <c:lblOffset val="100"/>
        <c:noMultiLvlLbl val="0"/>
      </c:catAx>
      <c:valAx>
        <c:axId val="37654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JC08'!$BE$21:$BL$21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6-476E-8B54-F1C02F497AC3}"/>
            </c:ext>
          </c:extLst>
        </c:ser>
        <c:ser>
          <c:idx val="1"/>
          <c:order val="1"/>
          <c:tx>
            <c:strRef>
              <c:f>'Variant 3 - JC08'!$BD$22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JC08'!$BE$22:$BL$22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6-476E-8B54-F1C02F497AC3}"/>
            </c:ext>
          </c:extLst>
        </c:ser>
        <c:ser>
          <c:idx val="2"/>
          <c:order val="2"/>
          <c:tx>
            <c:strRef>
              <c:f>'Variant 3 - JC08'!$BD$23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JC08'!$BE$23:$BL$23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86-476E-8B54-F1C02F497AC3}"/>
            </c:ext>
          </c:extLst>
        </c:ser>
        <c:ser>
          <c:idx val="3"/>
          <c:order val="3"/>
          <c:tx>
            <c:strRef>
              <c:f>'Variant 3 - JC08'!$BD$24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JC08'!$BE$24:$BL$24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86-476E-8B54-F1C02F497AC3}"/>
            </c:ext>
          </c:extLst>
        </c:ser>
        <c:ser>
          <c:idx val="4"/>
          <c:order val="4"/>
          <c:tx>
            <c:strRef>
              <c:f>'Variant 3 - JC08'!$BD$25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JC08'!$BE$25:$BL$25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86-476E-8B54-F1C02F497AC3}"/>
            </c:ext>
          </c:extLst>
        </c:ser>
        <c:ser>
          <c:idx val="5"/>
          <c:order val="5"/>
          <c:tx>
            <c:strRef>
              <c:f>'Variant 3 - JC08'!$BD$26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JC08'!$BE$26:$BL$26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86-476E-8B54-F1C02F497AC3}"/>
            </c:ext>
          </c:extLst>
        </c:ser>
        <c:ser>
          <c:idx val="6"/>
          <c:order val="6"/>
          <c:tx>
            <c:strRef>
              <c:f>'Variant 3 - JC08'!$BD$27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JC08'!$BE$27:$BL$27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86-476E-8B54-F1C02F497AC3}"/>
            </c:ext>
          </c:extLst>
        </c:ser>
        <c:ser>
          <c:idx val="7"/>
          <c:order val="7"/>
          <c:tx>
            <c:strRef>
              <c:f>'Variant 3 - JC08'!$BD$28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JC08'!$BE$28:$BL$28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86-476E-8B54-F1C02F497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46464"/>
        <c:axId val="376546856"/>
      </c:radarChart>
      <c:catAx>
        <c:axId val="37654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6856"/>
        <c:crosses val="autoZero"/>
        <c:auto val="1"/>
        <c:lblAlgn val="ctr"/>
        <c:lblOffset val="100"/>
        <c:noMultiLvlLbl val="0"/>
      </c:catAx>
      <c:valAx>
        <c:axId val="37654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JC08'!$BD$40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JC08'!$BE$40:$BL$40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0-4912-A723-021ADBAC718A}"/>
            </c:ext>
          </c:extLst>
        </c:ser>
        <c:ser>
          <c:idx val="1"/>
          <c:order val="1"/>
          <c:tx>
            <c:strRef>
              <c:f>'Variant 3 - JC08'!$BD$41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JC08'!$BE$41:$BL$41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0-4912-A723-021ADBAC718A}"/>
            </c:ext>
          </c:extLst>
        </c:ser>
        <c:ser>
          <c:idx val="2"/>
          <c:order val="2"/>
          <c:tx>
            <c:strRef>
              <c:f>'Variant 3 - JC08'!$BD$42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JC08'!$BE$42:$BL$42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80-4912-A723-021ADBAC718A}"/>
            </c:ext>
          </c:extLst>
        </c:ser>
        <c:ser>
          <c:idx val="3"/>
          <c:order val="3"/>
          <c:tx>
            <c:strRef>
              <c:f>'Variant 3 - JC08'!$BD$43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JC08'!$BE$43:$BL$43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80-4912-A723-021ADBAC718A}"/>
            </c:ext>
          </c:extLst>
        </c:ser>
        <c:ser>
          <c:idx val="4"/>
          <c:order val="4"/>
          <c:tx>
            <c:strRef>
              <c:f>'Variant 3 - JC08'!$BD$44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JC08'!$BE$44:$BL$44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80-4912-A723-021ADBAC718A}"/>
            </c:ext>
          </c:extLst>
        </c:ser>
        <c:ser>
          <c:idx val="5"/>
          <c:order val="5"/>
          <c:tx>
            <c:strRef>
              <c:f>'Variant 3 - JC08'!$BD$45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JC08'!$BE$45:$BL$45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80-4912-A723-021ADBAC718A}"/>
            </c:ext>
          </c:extLst>
        </c:ser>
        <c:ser>
          <c:idx val="6"/>
          <c:order val="6"/>
          <c:tx>
            <c:strRef>
              <c:f>'Variant 3 - JC08'!$BD$46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JC08'!$BE$46:$BL$46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80-4912-A723-021ADBAC718A}"/>
            </c:ext>
          </c:extLst>
        </c:ser>
        <c:ser>
          <c:idx val="7"/>
          <c:order val="7"/>
          <c:tx>
            <c:strRef>
              <c:f>'Variant 3 - JC08'!$BD$47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JC08'!$BE$47:$BL$47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80-4912-A723-021ADBAC718A}"/>
            </c:ext>
          </c:extLst>
        </c:ser>
        <c:ser>
          <c:idx val="8"/>
          <c:order val="8"/>
          <c:tx>
            <c:strRef>
              <c:f>'Variant 3 - JC08'!$BD$48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JC08'!$BE$48:$BL$48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80-4912-A723-021ADBAC718A}"/>
            </c:ext>
          </c:extLst>
        </c:ser>
        <c:ser>
          <c:idx val="9"/>
          <c:order val="9"/>
          <c:tx>
            <c:strRef>
              <c:f>'Variant 3 - JC08'!$BD$49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JC08'!$BE$49:$BL$49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80-4912-A723-021ADBAC718A}"/>
            </c:ext>
          </c:extLst>
        </c:ser>
        <c:ser>
          <c:idx val="10"/>
          <c:order val="10"/>
          <c:tx>
            <c:strRef>
              <c:f>'Variant 3 - JC08'!$BD$50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JC08'!$BE$50:$BL$50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80-4912-A723-021ADBAC718A}"/>
            </c:ext>
          </c:extLst>
        </c:ser>
        <c:ser>
          <c:idx val="11"/>
          <c:order val="11"/>
          <c:tx>
            <c:strRef>
              <c:f>'Variant 3 - JC08'!$BD$51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JC08'!$BE$51:$BL$51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80-4912-A723-021ADBAC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47640"/>
        <c:axId val="376548032"/>
      </c:radarChart>
      <c:catAx>
        <c:axId val="37654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8032"/>
        <c:crosses val="autoZero"/>
        <c:auto val="1"/>
        <c:lblAlgn val="ctr"/>
        <c:lblOffset val="100"/>
        <c:noMultiLvlLbl val="0"/>
      </c:catAx>
      <c:valAx>
        <c:axId val="3765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JC08'!$BD$52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JC08'!$BE$52:$BL$52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6-4007-8F3B-1A2D3F752D7C}"/>
            </c:ext>
          </c:extLst>
        </c:ser>
        <c:ser>
          <c:idx val="1"/>
          <c:order val="1"/>
          <c:tx>
            <c:strRef>
              <c:f>'Variant 3 - JC08'!$BD$53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JC08'!$BE$53:$BL$53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6-4007-8F3B-1A2D3F752D7C}"/>
            </c:ext>
          </c:extLst>
        </c:ser>
        <c:ser>
          <c:idx val="2"/>
          <c:order val="2"/>
          <c:tx>
            <c:strRef>
              <c:f>'Variant 3 - JC08'!$BD$54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JC08'!$BE$54:$BL$54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76-4007-8F3B-1A2D3F752D7C}"/>
            </c:ext>
          </c:extLst>
        </c:ser>
        <c:ser>
          <c:idx val="3"/>
          <c:order val="3"/>
          <c:tx>
            <c:strRef>
              <c:f>'Variant 3 - JC08'!$BD$55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JC08'!$BE$55:$BL$55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76-4007-8F3B-1A2D3F752D7C}"/>
            </c:ext>
          </c:extLst>
        </c:ser>
        <c:ser>
          <c:idx val="4"/>
          <c:order val="4"/>
          <c:tx>
            <c:strRef>
              <c:f>'Variant 3 - JC08'!$BD$56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JC08'!$BE$56:$BL$56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76-4007-8F3B-1A2D3F752D7C}"/>
            </c:ext>
          </c:extLst>
        </c:ser>
        <c:ser>
          <c:idx val="5"/>
          <c:order val="5"/>
          <c:tx>
            <c:strRef>
              <c:f>'Variant 3 - JC08'!$BD$57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JC08'!$BE$57:$BL$57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76-4007-8F3B-1A2D3F752D7C}"/>
            </c:ext>
          </c:extLst>
        </c:ser>
        <c:ser>
          <c:idx val="6"/>
          <c:order val="6"/>
          <c:tx>
            <c:strRef>
              <c:f>'Variant 3 - JC08'!$BD$58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JC08'!$BE$58:$BL$58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76-4007-8F3B-1A2D3F752D7C}"/>
            </c:ext>
          </c:extLst>
        </c:ser>
        <c:ser>
          <c:idx val="7"/>
          <c:order val="7"/>
          <c:tx>
            <c:strRef>
              <c:f>'Variant 3 - JC08'!$BD$59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JC08'!$BE$59:$BL$59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76-4007-8F3B-1A2D3F752D7C}"/>
            </c:ext>
          </c:extLst>
        </c:ser>
        <c:ser>
          <c:idx val="8"/>
          <c:order val="8"/>
          <c:tx>
            <c:strRef>
              <c:f>'Variant 3 - JC08'!$BD$60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JC08'!$BE$60:$BL$60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76-4007-8F3B-1A2D3F752D7C}"/>
            </c:ext>
          </c:extLst>
        </c:ser>
        <c:ser>
          <c:idx val="9"/>
          <c:order val="9"/>
          <c:tx>
            <c:strRef>
              <c:f>'Variant 3 - JC08'!$BD$61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JC08'!$BE$61:$BL$61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76-4007-8F3B-1A2D3F752D7C}"/>
            </c:ext>
          </c:extLst>
        </c:ser>
        <c:ser>
          <c:idx val="10"/>
          <c:order val="10"/>
          <c:tx>
            <c:strRef>
              <c:f>'Variant 3 - JC08'!$BD$62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JC08'!$BE$62:$BL$62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76-4007-8F3B-1A2D3F752D7C}"/>
            </c:ext>
          </c:extLst>
        </c:ser>
        <c:ser>
          <c:idx val="11"/>
          <c:order val="11"/>
          <c:tx>
            <c:strRef>
              <c:f>'Variant 3 - JC08'!$BD$63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JC08'!$BE$63:$BL$63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76-4007-8F3B-1A2D3F75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49208"/>
        <c:axId val="376549600"/>
      </c:radarChart>
      <c:catAx>
        <c:axId val="37654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9600"/>
        <c:crosses val="autoZero"/>
        <c:auto val="1"/>
        <c:lblAlgn val="ctr"/>
        <c:lblOffset val="100"/>
        <c:noMultiLvlLbl val="0"/>
      </c:catAx>
      <c:valAx>
        <c:axId val="3765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4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JC08'!$BD$83</c:f>
              <c:strCache>
                <c:ptCount val="1"/>
                <c:pt idx="0">
                  <c:v>1st 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JC08'!$BE$83:$BL$83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6-4D8C-935D-2C24FB883E31}"/>
            </c:ext>
          </c:extLst>
        </c:ser>
        <c:ser>
          <c:idx val="4"/>
          <c:order val="1"/>
          <c:tx>
            <c:strRef>
              <c:f>'Variant 3 - JC08'!$BD$87</c:f>
              <c:strCache>
                <c:ptCount val="1"/>
                <c:pt idx="0">
                  <c:v>0.7*IEF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JC08'!$BE$87:$BL$87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6-4D8C-935D-2C24FB883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50384"/>
        <c:axId val="376550776"/>
      </c:radarChart>
      <c:catAx>
        <c:axId val="3765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50776"/>
        <c:crosses val="autoZero"/>
        <c:auto val="1"/>
        <c:lblAlgn val="ctr"/>
        <c:lblOffset val="100"/>
        <c:noMultiLvlLbl val="0"/>
      </c:catAx>
      <c:valAx>
        <c:axId val="37655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5038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JC08'!$BD$130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JC08'!$BE$130:$BL$130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5-41D4-9D74-D41444BEB153}"/>
            </c:ext>
          </c:extLst>
        </c:ser>
        <c:ser>
          <c:idx val="1"/>
          <c:order val="1"/>
          <c:tx>
            <c:strRef>
              <c:f>'Variant 3 - JC08'!$BD$131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JC08'!$BE$131:$BL$131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5-41D4-9D74-D41444BEB153}"/>
            </c:ext>
          </c:extLst>
        </c:ser>
        <c:ser>
          <c:idx val="4"/>
          <c:order val="2"/>
          <c:tx>
            <c:strRef>
              <c:f>'Variant 3 - JC08'!$BD$136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JC08'!$BE$136:$BL$136</c:f>
              <c:numCache>
                <c:formatCode>General</c:formatCode>
                <c:ptCount val="4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E5-41D4-9D74-D41444BEB153}"/>
            </c:ext>
          </c:extLst>
        </c:ser>
        <c:ser>
          <c:idx val="5"/>
          <c:order val="3"/>
          <c:tx>
            <c:strRef>
              <c:f>'Variant 3 - JC08'!$BD$137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JC08'!$BE$137:$BL$137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E5-41D4-9D74-D41444BE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0960"/>
        <c:axId val="378361352"/>
      </c:radarChart>
      <c:catAx>
        <c:axId val="3783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1352"/>
        <c:crosses val="autoZero"/>
        <c:auto val="1"/>
        <c:lblAlgn val="ctr"/>
        <c:lblOffset val="100"/>
        <c:noMultiLvlLbl val="0"/>
      </c:catAx>
      <c:valAx>
        <c:axId val="3783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JC08'!$BD$142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JC08'!$BE$142:$BL$142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8-41E2-A131-AC67E3361077}"/>
            </c:ext>
          </c:extLst>
        </c:ser>
        <c:ser>
          <c:idx val="1"/>
          <c:order val="1"/>
          <c:tx>
            <c:strRef>
              <c:f>'Variant 3 - JC08'!$BD$143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JC08'!$BE$143:$BL$143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28-41E2-A131-AC67E3361077}"/>
            </c:ext>
          </c:extLst>
        </c:ser>
        <c:ser>
          <c:idx val="4"/>
          <c:order val="2"/>
          <c:tx>
            <c:strRef>
              <c:f>'Variant 3 - JC08'!$BD$148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JC08'!$BE$148:$BL$148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8-41E2-A131-AC67E3361077}"/>
            </c:ext>
          </c:extLst>
        </c:ser>
        <c:ser>
          <c:idx val="5"/>
          <c:order val="3"/>
          <c:tx>
            <c:strRef>
              <c:f>'Variant 3 - JC08'!$BD$149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JC08'!$BE$149:$BL$149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28-41E2-A131-AC67E3361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2136"/>
        <c:axId val="378362528"/>
      </c:radarChart>
      <c:catAx>
        <c:axId val="37836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2528"/>
        <c:crosses val="autoZero"/>
        <c:auto val="1"/>
        <c:lblAlgn val="ctr"/>
        <c:lblOffset val="100"/>
        <c:noMultiLvlLbl val="0"/>
      </c:catAx>
      <c:valAx>
        <c:axId val="3783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JC08'!$BD$157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JC08'!$BE$157:$BL$157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E-46C9-A691-4C2E94DE2693}"/>
            </c:ext>
          </c:extLst>
        </c:ser>
        <c:ser>
          <c:idx val="1"/>
          <c:order val="1"/>
          <c:tx>
            <c:strRef>
              <c:f>'Variant 3 - JC08'!$BD$158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JC08'!$BE$158:$BL$158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E-46C9-A691-4C2E94DE2693}"/>
            </c:ext>
          </c:extLst>
        </c:ser>
        <c:ser>
          <c:idx val="2"/>
          <c:order val="2"/>
          <c:tx>
            <c:strRef>
              <c:f>'Variant 3 - JC08'!$BD$159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JC08'!$BE$159:$BL$159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4E-46C9-A691-4C2E94DE2693}"/>
            </c:ext>
          </c:extLst>
        </c:ser>
        <c:ser>
          <c:idx val="3"/>
          <c:order val="3"/>
          <c:tx>
            <c:strRef>
              <c:f>'Variant 3 - JC08'!$BD$160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JC08'!$BE$160:$BL$160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4E-46C9-A691-4C2E94DE2693}"/>
            </c:ext>
          </c:extLst>
        </c:ser>
        <c:ser>
          <c:idx val="4"/>
          <c:order val="4"/>
          <c:tx>
            <c:strRef>
              <c:f>'Variant 3 - JC08'!$BD$161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JC08'!$BE$161:$BL$161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4E-46C9-A691-4C2E94DE2693}"/>
            </c:ext>
          </c:extLst>
        </c:ser>
        <c:ser>
          <c:idx val="5"/>
          <c:order val="5"/>
          <c:tx>
            <c:strRef>
              <c:f>'Variant 3 - JC08'!$BD$162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JC08'!$BE$162:$BL$162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4E-46C9-A691-4C2E94DE2693}"/>
            </c:ext>
          </c:extLst>
        </c:ser>
        <c:ser>
          <c:idx val="6"/>
          <c:order val="6"/>
          <c:tx>
            <c:strRef>
              <c:f>'Variant 3 - JC08'!$BD$163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JC08'!$BE$163:$BL$163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4E-46C9-A691-4C2E94DE2693}"/>
            </c:ext>
          </c:extLst>
        </c:ser>
        <c:ser>
          <c:idx val="7"/>
          <c:order val="7"/>
          <c:tx>
            <c:strRef>
              <c:f>'Variant 3 - JC08'!$BD$164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JC08'!$BE$164:$BL$164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4E-46C9-A691-4C2E94DE2693}"/>
            </c:ext>
          </c:extLst>
        </c:ser>
        <c:ser>
          <c:idx val="8"/>
          <c:order val="8"/>
          <c:tx>
            <c:strRef>
              <c:f>'Variant 3 - JC08'!$BD$165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JC08'!$BE$165:$BL$165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4E-46C9-A691-4C2E94DE2693}"/>
            </c:ext>
          </c:extLst>
        </c:ser>
        <c:ser>
          <c:idx val="9"/>
          <c:order val="9"/>
          <c:tx>
            <c:strRef>
              <c:f>'Variant 3 - JC08'!$BD$166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JC08'!$BE$166:$BL$166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4E-46C9-A691-4C2E94DE2693}"/>
            </c:ext>
          </c:extLst>
        </c:ser>
        <c:ser>
          <c:idx val="10"/>
          <c:order val="10"/>
          <c:tx>
            <c:strRef>
              <c:f>'Variant 3 - JC08'!$BD$167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JC08'!$BE$167:$BL$167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4E-46C9-A691-4C2E94DE2693}"/>
            </c:ext>
          </c:extLst>
        </c:ser>
        <c:ser>
          <c:idx val="11"/>
          <c:order val="11"/>
          <c:tx>
            <c:strRef>
              <c:f>'Variant 3 - JC08'!$BD$168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JC08'!$BE$168:$BL$168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44E-46C9-A691-4C2E94DE2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3312"/>
        <c:axId val="378363704"/>
      </c:radarChart>
      <c:catAx>
        <c:axId val="3783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3704"/>
        <c:crosses val="autoZero"/>
        <c:auto val="1"/>
        <c:lblAlgn val="ctr"/>
        <c:lblOffset val="100"/>
        <c:noMultiLvlLbl val="0"/>
      </c:catAx>
      <c:valAx>
        <c:axId val="37836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JC08'!$BD$169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JC08'!$BE$169:$BL$169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8-486E-B7EB-C9B035E19D73}"/>
            </c:ext>
          </c:extLst>
        </c:ser>
        <c:ser>
          <c:idx val="1"/>
          <c:order val="1"/>
          <c:tx>
            <c:strRef>
              <c:f>'Variant 3 - JC08'!$BD$170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JC08'!$BE$170:$BL$170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8-486E-B7EB-C9B035E19D73}"/>
            </c:ext>
          </c:extLst>
        </c:ser>
        <c:ser>
          <c:idx val="2"/>
          <c:order val="2"/>
          <c:tx>
            <c:strRef>
              <c:f>'Variant 3 - JC08'!$BD$171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JC08'!$BE$171:$BL$171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68-486E-B7EB-C9B035E19D73}"/>
            </c:ext>
          </c:extLst>
        </c:ser>
        <c:ser>
          <c:idx val="3"/>
          <c:order val="3"/>
          <c:tx>
            <c:strRef>
              <c:f>'Variant 3 - JC08'!$BD$172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JC08'!$BE$172:$BL$172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68-486E-B7EB-C9B035E19D73}"/>
            </c:ext>
          </c:extLst>
        </c:ser>
        <c:ser>
          <c:idx val="4"/>
          <c:order val="4"/>
          <c:tx>
            <c:strRef>
              <c:f>'Variant 3 - JC08'!$BD$173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JC08'!$BE$173:$BL$173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68-486E-B7EB-C9B035E19D73}"/>
            </c:ext>
          </c:extLst>
        </c:ser>
        <c:ser>
          <c:idx val="5"/>
          <c:order val="5"/>
          <c:tx>
            <c:strRef>
              <c:f>'Variant 3 - JC08'!$BD$174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JC08'!$BE$174:$BL$174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68-486E-B7EB-C9B035E19D73}"/>
            </c:ext>
          </c:extLst>
        </c:ser>
        <c:ser>
          <c:idx val="6"/>
          <c:order val="6"/>
          <c:tx>
            <c:strRef>
              <c:f>'Variant 3 - JC08'!$BD$175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JC08'!$BE$175:$BL$175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68-486E-B7EB-C9B035E19D73}"/>
            </c:ext>
          </c:extLst>
        </c:ser>
        <c:ser>
          <c:idx val="7"/>
          <c:order val="7"/>
          <c:tx>
            <c:strRef>
              <c:f>'Variant 3 - JC08'!$BD$176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JC08'!$BE$176:$BL$176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68-486E-B7EB-C9B035E19D73}"/>
            </c:ext>
          </c:extLst>
        </c:ser>
        <c:ser>
          <c:idx val="8"/>
          <c:order val="8"/>
          <c:tx>
            <c:strRef>
              <c:f>'Variant 3 - JC08'!$BD$177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JC08'!$BE$177:$BL$177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68-486E-B7EB-C9B035E19D73}"/>
            </c:ext>
          </c:extLst>
        </c:ser>
        <c:ser>
          <c:idx val="9"/>
          <c:order val="9"/>
          <c:tx>
            <c:strRef>
              <c:f>'Variant 3 - JC08'!$BD$178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JC08'!$BE$178:$BL$178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68-486E-B7EB-C9B035E19D73}"/>
            </c:ext>
          </c:extLst>
        </c:ser>
        <c:ser>
          <c:idx val="10"/>
          <c:order val="10"/>
          <c:tx>
            <c:strRef>
              <c:f>'Variant 3 - JC08'!$BD$179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JC08'!$BE$179:$BL$179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068-486E-B7EB-C9B035E19D73}"/>
            </c:ext>
          </c:extLst>
        </c:ser>
        <c:ser>
          <c:idx val="11"/>
          <c:order val="11"/>
          <c:tx>
            <c:strRef>
              <c:f>'Variant 3 - JC08'!$BD$180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JC08'!$BE$180:$BL$180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68-486E-B7EB-C9B035E19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4488"/>
        <c:axId val="378364880"/>
      </c:radarChart>
      <c:catAx>
        <c:axId val="37836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4880"/>
        <c:crosses val="autoZero"/>
        <c:auto val="1"/>
        <c:lblAlgn val="ctr"/>
        <c:lblOffset val="100"/>
        <c:noMultiLvlLbl val="0"/>
      </c:catAx>
      <c:valAx>
        <c:axId val="3783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JC08'!$BD$91</c:f>
              <c:strCache>
                <c:ptCount val="1"/>
                <c:pt idx="0">
                  <c:v>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JC08'!$BE$91:$BL$91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F-4061-9C0C-97D56B74844C}"/>
            </c:ext>
          </c:extLst>
        </c:ser>
        <c:ser>
          <c:idx val="4"/>
          <c:order val="1"/>
          <c:tx>
            <c:strRef>
              <c:f>'Variant 3 - JC08'!$BD$95</c:f>
              <c:strCache>
                <c:ptCount val="1"/>
                <c:pt idx="0">
                  <c:v>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JC08'!$BE$95:$BL$95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F-4061-9C0C-97D56B748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59784"/>
        <c:axId val="378365272"/>
      </c:radarChart>
      <c:catAx>
        <c:axId val="37835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5272"/>
        <c:crosses val="autoZero"/>
        <c:auto val="1"/>
        <c:lblAlgn val="ctr"/>
        <c:lblOffset val="100"/>
        <c:noMultiLvlLbl val="0"/>
      </c:catAx>
      <c:valAx>
        <c:axId val="3783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5978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JC08'!$BE$109:$BL$109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0-4AF3-A00A-421C9A255849}"/>
            </c:ext>
          </c:extLst>
        </c:ser>
        <c:ser>
          <c:idx val="4"/>
          <c:order val="1"/>
          <c:tx>
            <c:strRef>
              <c:f>'Variant 3 - JC08'!$BD$113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JC08'!$BE$113:$BL$113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0-4AF3-A00A-421C9A25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6056"/>
        <c:axId val="378366448"/>
      </c:radarChart>
      <c:catAx>
        <c:axId val="37836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6448"/>
        <c:crosses val="autoZero"/>
        <c:auto val="1"/>
        <c:lblAlgn val="ctr"/>
        <c:lblOffset val="100"/>
        <c:noMultiLvlLbl val="0"/>
      </c:catAx>
      <c:valAx>
        <c:axId val="3783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605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JC08'!$BE$117:$BL$117</c:f>
              <c:numCache>
                <c:formatCode>General</c:formatCode>
                <c:ptCount val="4"/>
                <c:pt idx="0" formatCode="0.00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6-440D-BE26-CE2CC950858A}"/>
            </c:ext>
          </c:extLst>
        </c:ser>
        <c:ser>
          <c:idx val="4"/>
          <c:order val="1"/>
          <c:tx>
            <c:strRef>
              <c:f>'Variant 3 - JC08'!$BD$121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JC08'!$BE$121:$BL$121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6-440D-BE26-CE2CC9508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67232"/>
        <c:axId val="376552344"/>
      </c:radarChart>
      <c:catAx>
        <c:axId val="3783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52344"/>
        <c:crosses val="autoZero"/>
        <c:auto val="1"/>
        <c:lblAlgn val="ctr"/>
        <c:lblOffset val="100"/>
        <c:noMultiLvlLbl val="0"/>
      </c:catAx>
      <c:valAx>
        <c:axId val="37655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6723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(Fuel1)'!$BE$13:$BM$13</c:f>
              <c:numCache>
                <c:formatCode>General</c:formatCode>
                <c:ptCount val="6"/>
                <c:pt idx="0">
                  <c:v>14.705882352941176</c:v>
                </c:pt>
                <c:pt idx="1">
                  <c:v>300</c:v>
                </c:pt>
                <c:pt idx="2">
                  <c:v>40</c:v>
                </c:pt>
                <c:pt idx="3">
                  <c:v>833.33333333333337</c:v>
                </c:pt>
                <c:pt idx="4">
                  <c:v>13.333333333333334</c:v>
                </c:pt>
                <c:pt idx="5">
                  <c:v>1.1666666666666668E-10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9-4039-A3E8-AFFD873C56D8}"/>
            </c:ext>
          </c:extLst>
        </c:ser>
        <c:ser>
          <c:idx val="1"/>
          <c:order val="1"/>
          <c:tx>
            <c:strRef>
              <c:f>'Variant 1 - NEDC (Fuel1)'!$BD$14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(Fuel1)'!$BE$14:$BL$14</c:f>
              <c:numCache>
                <c:formatCode>General</c:formatCode>
                <c:ptCount val="6"/>
                <c:pt idx="0">
                  <c:v>14.705882352941176</c:v>
                </c:pt>
                <c:pt idx="1">
                  <c:v>300</c:v>
                </c:pt>
                <c:pt idx="2">
                  <c:v>40</c:v>
                </c:pt>
                <c:pt idx="3">
                  <c:v>833.33333333333337</c:v>
                </c:pt>
                <c:pt idx="4">
                  <c:v>13.333333333333334</c:v>
                </c:pt>
                <c:pt idx="5">
                  <c:v>1.1666666666666668E-10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59-4039-A3E8-AFFD873C56D8}"/>
            </c:ext>
          </c:extLst>
        </c:ser>
        <c:ser>
          <c:idx val="2"/>
          <c:order val="2"/>
          <c:tx>
            <c:strRef>
              <c:f>'Variant 1 - NEDC (Fuel1)'!$BD$15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59-4039-A3E8-AFFD873C56D8}"/>
            </c:ext>
          </c:extLst>
        </c:ser>
        <c:ser>
          <c:idx val="3"/>
          <c:order val="3"/>
          <c:tx>
            <c:strRef>
              <c:f>'Variant 1 - NEDC (Fuel1)'!$BD$16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9-4039-A3E8-AFFD873C56D8}"/>
            </c:ext>
          </c:extLst>
        </c:ser>
        <c:ser>
          <c:idx val="4"/>
          <c:order val="4"/>
          <c:tx>
            <c:strRef>
              <c:f>'Variant 1 - NEDC (Fuel1)'!$BD$17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(Fuel1)'!$BE$17:$BL$17</c:f>
              <c:numCache>
                <c:formatCode>General</c:formatCode>
                <c:ptCount val="6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59-4039-A3E8-AFFD873C56D8}"/>
            </c:ext>
          </c:extLst>
        </c:ser>
        <c:ser>
          <c:idx val="5"/>
          <c:order val="5"/>
          <c:tx>
            <c:strRef>
              <c:f>'Variant 1 - NEDC (Fuel1)'!$BD$18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59-4039-A3E8-AFFD873C56D8}"/>
            </c:ext>
          </c:extLst>
        </c:ser>
        <c:ser>
          <c:idx val="6"/>
          <c:order val="6"/>
          <c:tx>
            <c:strRef>
              <c:f>'Variant 1 - NEDC (Fuel1)'!$BD$19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59-4039-A3E8-AFFD873C56D8}"/>
            </c:ext>
          </c:extLst>
        </c:ser>
        <c:ser>
          <c:idx val="7"/>
          <c:order val="7"/>
          <c:tx>
            <c:strRef>
              <c:f>'Variant 1 - NEDC (Fuel1)'!$BD$20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59-4039-A3E8-AFFD873C5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258936"/>
        <c:axId val="333259328"/>
      </c:radarChart>
      <c:catAx>
        <c:axId val="33325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59328"/>
        <c:crosses val="autoZero"/>
        <c:auto val="1"/>
        <c:lblAlgn val="ctr"/>
        <c:lblOffset val="100"/>
        <c:noMultiLvlLbl val="0"/>
      </c:catAx>
      <c:valAx>
        <c:axId val="3332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5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(Fuel1)'!$BE$21:$BL$21</c:f>
              <c:numCache>
                <c:formatCode>General</c:formatCode>
                <c:ptCount val="6"/>
                <c:pt idx="0">
                  <c:v>80.882352941176464</c:v>
                </c:pt>
                <c:pt idx="1">
                  <c:v>205</c:v>
                </c:pt>
                <c:pt idx="2">
                  <c:v>26</c:v>
                </c:pt>
                <c:pt idx="3">
                  <c:v>525</c:v>
                </c:pt>
                <c:pt idx="4">
                  <c:v>8.2222222222222214</c:v>
                </c:pt>
                <c:pt idx="5">
                  <c:v>7.0833333333333334E-11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C-496D-86E1-7B039FAF87C7}"/>
            </c:ext>
          </c:extLst>
        </c:ser>
        <c:ser>
          <c:idx val="1"/>
          <c:order val="1"/>
          <c:tx>
            <c:strRef>
              <c:f>'Variant 1 - NEDC (Fuel1)'!$BD$22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(Fuel1)'!$BE$22:$BL$22</c:f>
              <c:numCache>
                <c:formatCode>General</c:formatCode>
                <c:ptCount val="6"/>
                <c:pt idx="0">
                  <c:v>80.882352941176464</c:v>
                </c:pt>
                <c:pt idx="1">
                  <c:v>205</c:v>
                </c:pt>
                <c:pt idx="2">
                  <c:v>26</c:v>
                </c:pt>
                <c:pt idx="3">
                  <c:v>525</c:v>
                </c:pt>
                <c:pt idx="4">
                  <c:v>8.2222222222222214</c:v>
                </c:pt>
                <c:pt idx="5">
                  <c:v>7.0833333333333334E-11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C-496D-86E1-7B039FAF87C7}"/>
            </c:ext>
          </c:extLst>
        </c:ser>
        <c:ser>
          <c:idx val="2"/>
          <c:order val="2"/>
          <c:tx>
            <c:strRef>
              <c:f>'Variant 1 - NEDC (Fuel1)'!$BD$23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C-496D-86E1-7B039FAF87C7}"/>
            </c:ext>
          </c:extLst>
        </c:ser>
        <c:ser>
          <c:idx val="3"/>
          <c:order val="3"/>
          <c:tx>
            <c:strRef>
              <c:f>'Variant 1 - NEDC (Fuel1)'!$BD$24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C-496D-86E1-7B039FAF87C7}"/>
            </c:ext>
          </c:extLst>
        </c:ser>
        <c:ser>
          <c:idx val="4"/>
          <c:order val="4"/>
          <c:tx>
            <c:strRef>
              <c:f>'Variant 1 - NEDC (Fuel1)'!$BD$25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(Fuel1)'!$BE$25:$BL$25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DC-496D-86E1-7B039FAF87C7}"/>
            </c:ext>
          </c:extLst>
        </c:ser>
        <c:ser>
          <c:idx val="5"/>
          <c:order val="5"/>
          <c:tx>
            <c:strRef>
              <c:f>'Variant 1 - NEDC (Fuel1)'!$BD$26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DC-496D-86E1-7B039FAF87C7}"/>
            </c:ext>
          </c:extLst>
        </c:ser>
        <c:ser>
          <c:idx val="6"/>
          <c:order val="6"/>
          <c:tx>
            <c:strRef>
              <c:f>'Variant 1 - NEDC (Fuel1)'!$BD$27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DC-496D-86E1-7B039FAF87C7}"/>
            </c:ext>
          </c:extLst>
        </c:ser>
        <c:ser>
          <c:idx val="7"/>
          <c:order val="7"/>
          <c:tx>
            <c:strRef>
              <c:f>'Variant 1 - NEDC (Fuel1)'!$BD$28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DC-496D-86E1-7B039FAF8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260112"/>
        <c:axId val="333260504"/>
      </c:radarChart>
      <c:catAx>
        <c:axId val="3332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0504"/>
        <c:crosses val="autoZero"/>
        <c:auto val="1"/>
        <c:lblAlgn val="ctr"/>
        <c:lblOffset val="100"/>
        <c:noMultiLvlLbl val="0"/>
      </c:catAx>
      <c:valAx>
        <c:axId val="33326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(Fuel1)'!$BD$40</c:f>
              <c:strCache>
                <c:ptCount val="1"/>
                <c:pt idx="0">
                  <c:v>1st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(Fuel1)'!$BE$40:$BL$40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2-4C1E-BEBB-BF2B9213B18C}"/>
            </c:ext>
          </c:extLst>
        </c:ser>
        <c:ser>
          <c:idx val="4"/>
          <c:order val="1"/>
          <c:tx>
            <c:strRef>
              <c:f>'Variant 1 - NEDC (Fuel1)'!$BD$44</c:f>
              <c:strCache>
                <c:ptCount val="1"/>
                <c:pt idx="0">
                  <c:v>0.7*IEF 14°C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(Fuel1)'!$BE$44:$BL$44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2-4C1E-BEBB-BF2B9213B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261288"/>
        <c:axId val="333261680"/>
      </c:radarChart>
      <c:catAx>
        <c:axId val="33326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1680"/>
        <c:crosses val="autoZero"/>
        <c:auto val="1"/>
        <c:lblAlgn val="ctr"/>
        <c:lblOffset val="100"/>
        <c:noMultiLvlLbl val="0"/>
      </c:catAx>
      <c:valAx>
        <c:axId val="3332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128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(Fuel1)'!$BD$48</c:f>
              <c:strCache>
                <c:ptCount val="1"/>
                <c:pt idx="0">
                  <c:v>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(Fuel1)'!$BE$48:$BL$48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C-4E46-A5B1-2219BE5A61E6}"/>
            </c:ext>
          </c:extLst>
        </c:ser>
        <c:ser>
          <c:idx val="4"/>
          <c:order val="1"/>
          <c:tx>
            <c:strRef>
              <c:f>'Variant 1 - NEDC (Fuel1)'!$BD$52</c:f>
              <c:strCache>
                <c:ptCount val="1"/>
                <c:pt idx="0">
                  <c:v>IEF 14°C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(Fuel1)'!$BE$52:$BL$52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C-4E46-A5B1-2219BE5A6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262464"/>
        <c:axId val="333262856"/>
      </c:radarChart>
      <c:catAx>
        <c:axId val="3332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2856"/>
        <c:crosses val="autoZero"/>
        <c:auto val="1"/>
        <c:lblAlgn val="ctr"/>
        <c:lblOffset val="100"/>
        <c:noMultiLvlLbl val="0"/>
      </c:catAx>
      <c:valAx>
        <c:axId val="33326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246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(Fuel1)'!$BE$67:$BL$67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2-4E5C-8603-49D321677618}"/>
            </c:ext>
          </c:extLst>
        </c:ser>
        <c:ser>
          <c:idx val="1"/>
          <c:order val="1"/>
          <c:tx>
            <c:strRef>
              <c:f>'Variant 1 - NEDC (Fuel1)'!$BD$68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(Fuel1)'!$BE$68:$BL$68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2-4E5C-8603-49D321677618}"/>
            </c:ext>
          </c:extLst>
        </c:ser>
        <c:ser>
          <c:idx val="2"/>
          <c:order val="2"/>
          <c:tx>
            <c:strRef>
              <c:f>'Variant 1 - NEDC (Fuel1)'!$BD$69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(Fuel1)'!$BE$69:$BL$69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2-4E5C-8603-49D321677618}"/>
            </c:ext>
          </c:extLst>
        </c:ser>
        <c:ser>
          <c:idx val="3"/>
          <c:order val="3"/>
          <c:tx>
            <c:strRef>
              <c:f>'Variant 1 - NEDC (Fuel1)'!$BD$70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(Fuel1)'!$BE$70:$BL$70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2-4E5C-8603-49D321677618}"/>
            </c:ext>
          </c:extLst>
        </c:ser>
        <c:ser>
          <c:idx val="4"/>
          <c:order val="4"/>
          <c:tx>
            <c:strRef>
              <c:f>'Variant 1 - NEDC (Fuel1)'!$BD$71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(Fuel1)'!$BE$71:$BL$71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12-4E5C-8603-49D321677618}"/>
            </c:ext>
          </c:extLst>
        </c:ser>
        <c:ser>
          <c:idx val="5"/>
          <c:order val="5"/>
          <c:tx>
            <c:strRef>
              <c:f>'Variant 1 - NEDC (Fuel1)'!$BD$72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(Fuel1)'!$BE$72:$BL$72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12-4E5C-8603-49D321677618}"/>
            </c:ext>
          </c:extLst>
        </c:ser>
        <c:ser>
          <c:idx val="6"/>
          <c:order val="6"/>
          <c:tx>
            <c:strRef>
              <c:f>'Variant 1 - NEDC (Fuel1)'!$BD$73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(Fuel1)'!$BE$73:$BL$73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12-4E5C-8603-49D321677618}"/>
            </c:ext>
          </c:extLst>
        </c:ser>
        <c:ser>
          <c:idx val="7"/>
          <c:order val="7"/>
          <c:tx>
            <c:strRef>
              <c:f>'Variant 1 - NEDC (Fuel1)'!$BD$74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(Fuel1)'!$BE$74:$BL$74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12-4E5C-8603-49D321677618}"/>
            </c:ext>
          </c:extLst>
        </c:ser>
        <c:ser>
          <c:idx val="8"/>
          <c:order val="8"/>
          <c:tx>
            <c:strRef>
              <c:f>'Variant 1 - NEDC (Fuel1)'!$BD$75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(Fuel1)'!$BE$75:$BL$75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12-4E5C-8603-49D321677618}"/>
            </c:ext>
          </c:extLst>
        </c:ser>
        <c:ser>
          <c:idx val="9"/>
          <c:order val="9"/>
          <c:tx>
            <c:strRef>
              <c:f>'Variant 1 - NEDC (Fuel1)'!$BD$76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(Fuel1)'!$BE$76:$BL$76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12-4E5C-8603-49D321677618}"/>
            </c:ext>
          </c:extLst>
        </c:ser>
        <c:ser>
          <c:idx val="10"/>
          <c:order val="10"/>
          <c:tx>
            <c:strRef>
              <c:f>'Variant 1 - NEDC (Fuel1)'!$BD$77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(Fuel1)'!$BE$77:$BL$77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12-4E5C-8603-49D321677618}"/>
            </c:ext>
          </c:extLst>
        </c:ser>
        <c:ser>
          <c:idx val="11"/>
          <c:order val="11"/>
          <c:tx>
            <c:strRef>
              <c:f>'Variant 1 - NEDC (Fuel1)'!$BD$78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(Fuel1)'!$BE$78:$BL$78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12-4E5C-8603-49D32167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263640"/>
        <c:axId val="333264032"/>
      </c:radarChart>
      <c:catAx>
        <c:axId val="33326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4032"/>
        <c:crosses val="autoZero"/>
        <c:auto val="1"/>
        <c:lblAlgn val="ctr"/>
        <c:lblOffset val="100"/>
        <c:noMultiLvlLbl val="0"/>
      </c:catAx>
      <c:valAx>
        <c:axId val="3332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(Fuel1)'!$BE$79:$BL$79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D-4481-81EA-53B03C5421A4}"/>
            </c:ext>
          </c:extLst>
        </c:ser>
        <c:ser>
          <c:idx val="1"/>
          <c:order val="1"/>
          <c:tx>
            <c:strRef>
              <c:f>'Variant 1 - NEDC (Fuel1)'!$BD$80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(Fuel1)'!$BE$80:$BL$80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D-4481-81EA-53B03C5421A4}"/>
            </c:ext>
          </c:extLst>
        </c:ser>
        <c:ser>
          <c:idx val="2"/>
          <c:order val="2"/>
          <c:tx>
            <c:strRef>
              <c:f>'Variant 1 - NEDC (Fuel1)'!$BD$81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(Fuel1)'!$BE$81:$BL$81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4D-4481-81EA-53B03C5421A4}"/>
            </c:ext>
          </c:extLst>
        </c:ser>
        <c:ser>
          <c:idx val="3"/>
          <c:order val="3"/>
          <c:tx>
            <c:strRef>
              <c:f>'Variant 1 - NEDC (Fuel1)'!$BD$82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(Fuel1)'!$BE$82:$BL$82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4D-4481-81EA-53B03C5421A4}"/>
            </c:ext>
          </c:extLst>
        </c:ser>
        <c:ser>
          <c:idx val="4"/>
          <c:order val="4"/>
          <c:tx>
            <c:strRef>
              <c:f>'Variant 1 - NEDC (Fuel1)'!$BD$83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4D-4481-81EA-53B03C5421A4}"/>
            </c:ext>
          </c:extLst>
        </c:ser>
        <c:ser>
          <c:idx val="5"/>
          <c:order val="5"/>
          <c:tx>
            <c:strRef>
              <c:f>'Variant 1 - NEDC (Fuel1)'!$BD$84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(Fuel1)'!$BE$84:$BL$84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4D-4481-81EA-53B03C5421A4}"/>
            </c:ext>
          </c:extLst>
        </c:ser>
        <c:ser>
          <c:idx val="6"/>
          <c:order val="6"/>
          <c:tx>
            <c:strRef>
              <c:f>'Variant 1 - NEDC (Fuel1)'!$BD$85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(Fuel1)'!$BE$85:$BL$85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4D-4481-81EA-53B03C5421A4}"/>
            </c:ext>
          </c:extLst>
        </c:ser>
        <c:ser>
          <c:idx val="7"/>
          <c:order val="7"/>
          <c:tx>
            <c:strRef>
              <c:f>'Variant 1 - NEDC (Fuel1)'!$BD$86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(Fuel1)'!$BE$86:$BL$86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4D-4481-81EA-53B03C5421A4}"/>
            </c:ext>
          </c:extLst>
        </c:ser>
        <c:ser>
          <c:idx val="8"/>
          <c:order val="8"/>
          <c:tx>
            <c:strRef>
              <c:f>'Variant 1 - NEDC (Fuel1)'!$BD$87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(Fuel1)'!$BE$87:$BL$87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4D-4481-81EA-53B03C5421A4}"/>
            </c:ext>
          </c:extLst>
        </c:ser>
        <c:ser>
          <c:idx val="9"/>
          <c:order val="9"/>
          <c:tx>
            <c:strRef>
              <c:f>'Variant 1 - NEDC (Fuel1)'!$BD$88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(Fuel1)'!$BE$88:$BL$88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4D-4481-81EA-53B03C5421A4}"/>
            </c:ext>
          </c:extLst>
        </c:ser>
        <c:ser>
          <c:idx val="10"/>
          <c:order val="10"/>
          <c:tx>
            <c:strRef>
              <c:f>'Variant 1 - NEDC (Fuel1)'!$BD$89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(Fuel1)'!$BE$89:$BL$89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4D-4481-81EA-53B03C5421A4}"/>
            </c:ext>
          </c:extLst>
        </c:ser>
        <c:ser>
          <c:idx val="11"/>
          <c:order val="11"/>
          <c:tx>
            <c:strRef>
              <c:f>'Variant 1 - NEDC (Fuel1)'!$BD$90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(Fuel1)'!$BE$90:$BL$90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C4D-4481-81EA-53B03C542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56760"/>
        <c:axId val="379157152"/>
      </c:radarChart>
      <c:catAx>
        <c:axId val="37915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57152"/>
        <c:crosses val="autoZero"/>
        <c:auto val="1"/>
        <c:lblAlgn val="ctr"/>
        <c:lblOffset val="100"/>
        <c:noMultiLvlLbl val="0"/>
      </c:catAx>
      <c:valAx>
        <c:axId val="37915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5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(Fuel1)'!$BD$110</c:f>
              <c:strCache>
                <c:ptCount val="1"/>
                <c:pt idx="0">
                  <c:v>1st 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(Fuel1)'!$BE$110:$BL$110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5-4B44-A434-5B7F95388E5E}"/>
            </c:ext>
          </c:extLst>
        </c:ser>
        <c:ser>
          <c:idx val="4"/>
          <c:order val="1"/>
          <c:tx>
            <c:strRef>
              <c:f>'Variant 1 - NEDC (Fuel1)'!$BD$44</c:f>
              <c:strCache>
                <c:ptCount val="1"/>
                <c:pt idx="0">
                  <c:v>0.7*IEF 14°C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(Fuel1)'!$BE$44:$BL$44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5-4B44-A434-5B7F95388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57936"/>
        <c:axId val="379158328"/>
      </c:radarChart>
      <c:catAx>
        <c:axId val="3791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58328"/>
        <c:crosses val="autoZero"/>
        <c:auto val="1"/>
        <c:lblAlgn val="ctr"/>
        <c:lblOffset val="100"/>
        <c:noMultiLvlLbl val="0"/>
      </c:catAx>
      <c:valAx>
        <c:axId val="37915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5793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(Fuel1)'!$BD$118</c:f>
              <c:strCache>
                <c:ptCount val="1"/>
                <c:pt idx="0">
                  <c:v>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(Fuel1)'!$BE$118:$BL$118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A-40FE-88B2-B9A8D589201E}"/>
            </c:ext>
          </c:extLst>
        </c:ser>
        <c:ser>
          <c:idx val="4"/>
          <c:order val="1"/>
          <c:tx>
            <c:strRef>
              <c:f>'Variant 1 - NEDC (Fuel1)'!$BD$122</c:f>
              <c:strCache>
                <c:ptCount val="1"/>
                <c:pt idx="0">
                  <c:v>IEF WLTC 20°C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(Fuel1)'!$BE$122:$BL$122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A-40FE-88B2-B9A8D5892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61856"/>
        <c:axId val="379162248"/>
      </c:radarChart>
      <c:catAx>
        <c:axId val="3791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62248"/>
        <c:crosses val="autoZero"/>
        <c:auto val="1"/>
        <c:lblAlgn val="ctr"/>
        <c:lblOffset val="100"/>
        <c:noMultiLvlLbl val="0"/>
      </c:catAx>
      <c:valAx>
        <c:axId val="37916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6185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(Fuel1)'!$BM$137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1 - NEDC (Fuel1)'!$BN$135:$BT$135</c:f>
            </c:multiLvlStrRef>
          </c:cat>
          <c:val>
            <c:numRef>
              <c:f>'Variant 1 - NEDC (Fuel1)'!$BN$137:$BT$137</c:f>
            </c:numRef>
          </c:val>
          <c:extLst>
            <c:ext xmlns:c16="http://schemas.microsoft.com/office/drawing/2014/chart" uri="{C3380CC4-5D6E-409C-BE32-E72D297353CC}">
              <c16:uniqueId val="{00000000-24C2-4CB3-B04F-1DD41F79797A}"/>
            </c:ext>
          </c:extLst>
        </c:ser>
        <c:ser>
          <c:idx val="4"/>
          <c:order val="1"/>
          <c:tx>
            <c:strRef>
              <c:f>'Variant 1 - NEDC (Fuel1)'!$BM$141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1 - NEDC (Fuel1)'!$BN$135:$BT$135</c:f>
            </c:multiLvlStrRef>
          </c:cat>
          <c:val>
            <c:numRef>
              <c:f>'Variant 1 - NEDC (Fuel1)'!$BN$141:$BT$141</c:f>
            </c:numRef>
          </c:val>
          <c:extLst>
            <c:ext xmlns:c16="http://schemas.microsoft.com/office/drawing/2014/chart" uri="{C3380CC4-5D6E-409C-BE32-E72D297353CC}">
              <c16:uniqueId val="{00000001-24C2-4CB3-B04F-1DD41F79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63032"/>
        <c:axId val="379163424"/>
      </c:radarChart>
      <c:catAx>
        <c:axId val="379163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63424"/>
        <c:crosses val="autoZero"/>
        <c:auto val="1"/>
        <c:lblAlgn val="ctr"/>
        <c:lblOffset val="100"/>
        <c:noMultiLvlLbl val="0"/>
      </c:catAx>
      <c:valAx>
        <c:axId val="3791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6303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(Fuel1)'!$BM$145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1 - NEDC (Fuel1)'!$BN$135:$BT$135</c:f>
            </c:multiLvlStrRef>
          </c:cat>
          <c:val>
            <c:numRef>
              <c:f>'Variant 1 - NEDC (Fuel1)'!$BN$145:$BT$145</c:f>
            </c:numRef>
          </c:val>
          <c:extLst>
            <c:ext xmlns:c16="http://schemas.microsoft.com/office/drawing/2014/chart" uri="{C3380CC4-5D6E-409C-BE32-E72D297353CC}">
              <c16:uniqueId val="{00000000-76DA-4408-A394-391F73E60F1F}"/>
            </c:ext>
          </c:extLst>
        </c:ser>
        <c:ser>
          <c:idx val="4"/>
          <c:order val="1"/>
          <c:tx>
            <c:strRef>
              <c:f>'Variant 1 - NEDC (Fuel1)'!$BM$149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1 - NEDC (Fuel1)'!$BN$135:$BT$135</c:f>
            </c:multiLvlStrRef>
          </c:cat>
          <c:val>
            <c:numRef>
              <c:f>'Variant 1 - NEDC (Fuel1)'!$BN$149:$BT$149</c:f>
            </c:numRef>
          </c:val>
          <c:extLst>
            <c:ext xmlns:c16="http://schemas.microsoft.com/office/drawing/2014/chart" uri="{C3380CC4-5D6E-409C-BE32-E72D297353CC}">
              <c16:uniqueId val="{00000001-76DA-4408-A394-391F73E6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0424"/>
        <c:axId val="380450816"/>
      </c:radarChart>
      <c:catAx>
        <c:axId val="38045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0816"/>
        <c:crosses val="autoZero"/>
        <c:auto val="1"/>
        <c:lblAlgn val="ctr"/>
        <c:lblOffset val="100"/>
        <c:noMultiLvlLbl val="0"/>
      </c:catAx>
      <c:valAx>
        <c:axId val="3804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042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(Fuel1)'!$BD$164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(Fuel1)'!$BE$164:$BL$164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F-494E-ADDF-5A359FF5C7B6}"/>
            </c:ext>
          </c:extLst>
        </c:ser>
        <c:ser>
          <c:idx val="4"/>
          <c:order val="1"/>
          <c:tx>
            <c:strRef>
              <c:f>'Variant 1 - NEDC (Fuel1)'!$BD$168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F-494E-ADDF-5A359FF5C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1600"/>
        <c:axId val="380451992"/>
      </c:radarChart>
      <c:catAx>
        <c:axId val="3804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1992"/>
        <c:crosses val="autoZero"/>
        <c:auto val="1"/>
        <c:lblAlgn val="ctr"/>
        <c:lblOffset val="100"/>
        <c:noMultiLvlLbl val="0"/>
      </c:catAx>
      <c:valAx>
        <c:axId val="38045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16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(Fuel1)'!$BD$172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D-4E9F-A139-50A7472488FA}"/>
            </c:ext>
          </c:extLst>
        </c:ser>
        <c:ser>
          <c:idx val="4"/>
          <c:order val="1"/>
          <c:tx>
            <c:strRef>
              <c:f>'Variant 1 - NEDC (Fuel1)'!$BD$176</c:f>
              <c:strCache>
                <c:ptCount val="1"/>
                <c:pt idx="0">
                  <c:v>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(Fuel1)'!$BE$176:$BL$176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D-4E9F-A139-50A74724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2776"/>
        <c:axId val="380453168"/>
      </c:radarChart>
      <c:catAx>
        <c:axId val="38045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3168"/>
        <c:crosses val="autoZero"/>
        <c:auto val="1"/>
        <c:lblAlgn val="ctr"/>
        <c:lblOffset val="100"/>
        <c:noMultiLvlLbl val="0"/>
      </c:catAx>
      <c:valAx>
        <c:axId val="380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277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(Fuel1)'!$BD$185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(Fuel1)'!$BE$185:$BL$185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3-406F-9A39-9BCF01BCA88A}"/>
            </c:ext>
          </c:extLst>
        </c:ser>
        <c:ser>
          <c:idx val="1"/>
          <c:order val="1"/>
          <c:tx>
            <c:strRef>
              <c:f>'Variant 1 - NEDC (Fuel1)'!$BD$186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(Fuel1)'!$BE$186:$BL$186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3-406F-9A39-9BCF01BCA88A}"/>
            </c:ext>
          </c:extLst>
        </c:ser>
        <c:ser>
          <c:idx val="4"/>
          <c:order val="2"/>
          <c:tx>
            <c:strRef>
              <c:f>'Variant 1 - NEDC (Fuel1)'!$BD$191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(Fuel1)'!$BE$191:$BL$191</c:f>
              <c:numCache>
                <c:formatCode>General</c:formatCode>
                <c:ptCount val="6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3-406F-9A39-9BCF01BCA88A}"/>
            </c:ext>
          </c:extLst>
        </c:ser>
        <c:ser>
          <c:idx val="5"/>
          <c:order val="3"/>
          <c:tx>
            <c:strRef>
              <c:f>'Variant 1 - NEDC (Fuel1)'!$BD$192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(Fuel1)'!$BE$192:$BL$192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3-406F-9A39-9BCF01BCA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3952"/>
        <c:axId val="380454344"/>
      </c:radarChart>
      <c:catAx>
        <c:axId val="38045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4344"/>
        <c:crosses val="autoZero"/>
        <c:auto val="1"/>
        <c:lblAlgn val="ctr"/>
        <c:lblOffset val="100"/>
        <c:noMultiLvlLbl val="0"/>
      </c:catAx>
      <c:valAx>
        <c:axId val="3804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(Fuel1)'!$BD$197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(Fuel1)'!$BE$197:$BL$197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494-ADC6-04B62C6A52BC}"/>
            </c:ext>
          </c:extLst>
        </c:ser>
        <c:ser>
          <c:idx val="1"/>
          <c:order val="1"/>
          <c:tx>
            <c:strRef>
              <c:f>'Variant 1 - NEDC (Fuel1)'!$BD$198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(Fuel1)'!$BE$198:$BL$198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B-4494-ADC6-04B62C6A52BC}"/>
            </c:ext>
          </c:extLst>
        </c:ser>
        <c:ser>
          <c:idx val="4"/>
          <c:order val="2"/>
          <c:tx>
            <c:strRef>
              <c:f>'Variant 1 - NEDC (Fuel1)'!$BD$203</c:f>
              <c:strCache>
                <c:ptCount val="1"/>
                <c:pt idx="0">
                  <c:v>IEF normal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(Fuel1)'!$BE$203:$BL$203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9B-4494-ADC6-04B62C6A52BC}"/>
            </c:ext>
          </c:extLst>
        </c:ser>
        <c:ser>
          <c:idx val="5"/>
          <c:order val="3"/>
          <c:tx>
            <c:strRef>
              <c:f>'Variant 1 - NEDC (Fuel1)'!$BD$204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(Fuel1)'!$BE$204:$BL$204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9B-4494-ADC6-04B62C6A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4736"/>
        <c:axId val="380455128"/>
      </c:radarChart>
      <c:catAx>
        <c:axId val="3804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5128"/>
        <c:crosses val="autoZero"/>
        <c:auto val="1"/>
        <c:lblAlgn val="ctr"/>
        <c:lblOffset val="100"/>
        <c:noMultiLvlLbl val="0"/>
      </c:catAx>
      <c:valAx>
        <c:axId val="38045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(Fuel1)'!$BD$212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(Fuel1)'!$BE$212:$BL$212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C-45D9-B458-6963559E6B70}"/>
            </c:ext>
          </c:extLst>
        </c:ser>
        <c:ser>
          <c:idx val="1"/>
          <c:order val="1"/>
          <c:tx>
            <c:strRef>
              <c:f>'Variant 1 - NEDC (Fuel1)'!$BD$213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(Fuel1)'!$BE$213:$BL$213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C-45D9-B458-6963559E6B70}"/>
            </c:ext>
          </c:extLst>
        </c:ser>
        <c:ser>
          <c:idx val="2"/>
          <c:order val="2"/>
          <c:tx>
            <c:strRef>
              <c:f>'Variant 1 - NEDC (Fuel1)'!$BD$214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(Fuel1)'!$BE$214:$BL$214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C-45D9-B458-6963559E6B70}"/>
            </c:ext>
          </c:extLst>
        </c:ser>
        <c:ser>
          <c:idx val="3"/>
          <c:order val="3"/>
          <c:tx>
            <c:strRef>
              <c:f>'Variant 1 - NEDC (Fuel1)'!$BD$215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(Fuel1)'!$BE$215:$BL$215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C-45D9-B458-6963559E6B70}"/>
            </c:ext>
          </c:extLst>
        </c:ser>
        <c:ser>
          <c:idx val="4"/>
          <c:order val="4"/>
          <c:tx>
            <c:strRef>
              <c:f>'Variant 1 - NEDC (Fuel1)'!$BD$216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(Fuel1)'!$BE$216:$BL$216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C-45D9-B458-6963559E6B70}"/>
            </c:ext>
          </c:extLst>
        </c:ser>
        <c:ser>
          <c:idx val="5"/>
          <c:order val="5"/>
          <c:tx>
            <c:strRef>
              <c:f>'Variant 1 - NEDC (Fuel1)'!$BD$217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(Fuel1)'!$BE$217:$BL$217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C-45D9-B458-6963559E6B70}"/>
            </c:ext>
          </c:extLst>
        </c:ser>
        <c:ser>
          <c:idx val="6"/>
          <c:order val="6"/>
          <c:tx>
            <c:strRef>
              <c:f>'Variant 1 - NEDC (Fuel1)'!$BD$218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(Fuel1)'!$BE$218:$BL$218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C-45D9-B458-6963559E6B70}"/>
            </c:ext>
          </c:extLst>
        </c:ser>
        <c:ser>
          <c:idx val="7"/>
          <c:order val="7"/>
          <c:tx>
            <c:strRef>
              <c:f>'Variant 1 - NEDC (Fuel1)'!$BD$219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(Fuel1)'!$BE$219:$BL$219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0C-45D9-B458-6963559E6B70}"/>
            </c:ext>
          </c:extLst>
        </c:ser>
        <c:ser>
          <c:idx val="8"/>
          <c:order val="8"/>
          <c:tx>
            <c:strRef>
              <c:f>'Variant 1 - NEDC (Fuel1)'!$BD$220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(Fuel1)'!$BE$220:$BL$220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0C-45D9-B458-6963559E6B70}"/>
            </c:ext>
          </c:extLst>
        </c:ser>
        <c:ser>
          <c:idx val="9"/>
          <c:order val="9"/>
          <c:tx>
            <c:strRef>
              <c:f>'Variant 1 - NEDC (Fuel1)'!$BD$221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(Fuel1)'!$BE$221:$BL$221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0C-45D9-B458-6963559E6B70}"/>
            </c:ext>
          </c:extLst>
        </c:ser>
        <c:ser>
          <c:idx val="10"/>
          <c:order val="10"/>
          <c:tx>
            <c:strRef>
              <c:f>'Variant 1 - NEDC (Fuel1)'!$BD$222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(Fuel1)'!$BE$222:$BL$222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0C-45D9-B458-6963559E6B70}"/>
            </c:ext>
          </c:extLst>
        </c:ser>
        <c:ser>
          <c:idx val="11"/>
          <c:order val="11"/>
          <c:tx>
            <c:strRef>
              <c:f>'Variant 1 - NEDC (Fuel1)'!$BD$223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(Fuel1)'!$BE$223:$BL$223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0C-45D9-B458-6963559E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5912"/>
        <c:axId val="380456304"/>
      </c:radarChart>
      <c:catAx>
        <c:axId val="38045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6304"/>
        <c:crosses val="autoZero"/>
        <c:auto val="1"/>
        <c:lblAlgn val="ctr"/>
        <c:lblOffset val="100"/>
        <c:noMultiLvlLbl val="0"/>
      </c:catAx>
      <c:valAx>
        <c:axId val="38045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(Fuel1)'!$BD$224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(Fuel1)'!$BE$224:$BL$224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2-4F5A-83CD-3A4F8CD7773B}"/>
            </c:ext>
          </c:extLst>
        </c:ser>
        <c:ser>
          <c:idx val="1"/>
          <c:order val="1"/>
          <c:tx>
            <c:strRef>
              <c:f>'Variant 1 - NEDC (Fuel1)'!$BD$225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(Fuel1)'!$BE$225:$BL$225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62-4F5A-83CD-3A4F8CD7773B}"/>
            </c:ext>
          </c:extLst>
        </c:ser>
        <c:ser>
          <c:idx val="2"/>
          <c:order val="2"/>
          <c:tx>
            <c:strRef>
              <c:f>'Variant 1 - NEDC (Fuel1)'!$BD$226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(Fuel1)'!$BE$226:$BL$226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62-4F5A-83CD-3A4F8CD7773B}"/>
            </c:ext>
          </c:extLst>
        </c:ser>
        <c:ser>
          <c:idx val="3"/>
          <c:order val="3"/>
          <c:tx>
            <c:strRef>
              <c:f>'Variant 1 - NEDC (Fuel1)'!$BD$227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(Fuel1)'!$BE$227:$BL$227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62-4F5A-83CD-3A4F8CD7773B}"/>
            </c:ext>
          </c:extLst>
        </c:ser>
        <c:ser>
          <c:idx val="4"/>
          <c:order val="4"/>
          <c:tx>
            <c:strRef>
              <c:f>'Variant 1 - NEDC (Fuel1)'!$BD$228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(Fuel1)'!$BE$228:$BL$228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62-4F5A-83CD-3A4F8CD7773B}"/>
            </c:ext>
          </c:extLst>
        </c:ser>
        <c:ser>
          <c:idx val="5"/>
          <c:order val="5"/>
          <c:tx>
            <c:strRef>
              <c:f>'Variant 1 - NEDC (Fuel1)'!$BD$229</c:f>
              <c:strCache>
                <c:ptCount val="1"/>
                <c:pt idx="0">
                  <c:v>Total (SPF)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(Fuel1)'!$BE$229:$BL$229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62-4F5A-83CD-3A4F8CD7773B}"/>
            </c:ext>
          </c:extLst>
        </c:ser>
        <c:ser>
          <c:idx val="6"/>
          <c:order val="6"/>
          <c:tx>
            <c:strRef>
              <c:f>'Variant 1 - NEDC (Fuel1)'!$BD$230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(Fuel1)'!$BE$230:$BL$230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62-4F5A-83CD-3A4F8CD7773B}"/>
            </c:ext>
          </c:extLst>
        </c:ser>
        <c:ser>
          <c:idx val="7"/>
          <c:order val="7"/>
          <c:tx>
            <c:strRef>
              <c:f>'Variant 1 - NEDC (Fuel1)'!$BD$231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(Fuel1)'!$BE$231:$BL$231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62-4F5A-83CD-3A4F8CD7773B}"/>
            </c:ext>
          </c:extLst>
        </c:ser>
        <c:ser>
          <c:idx val="8"/>
          <c:order val="8"/>
          <c:tx>
            <c:strRef>
              <c:f>'Variant 1 - NEDC (Fuel1)'!$BD$232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(Fuel1)'!$BE$232:$BL$232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62-4F5A-83CD-3A4F8CD7773B}"/>
            </c:ext>
          </c:extLst>
        </c:ser>
        <c:ser>
          <c:idx val="9"/>
          <c:order val="9"/>
          <c:tx>
            <c:strRef>
              <c:f>'Variant 1 - NEDC (Fuel1)'!$BD$233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(Fuel1)'!$BE$233:$BL$233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62-4F5A-83CD-3A4F8CD7773B}"/>
            </c:ext>
          </c:extLst>
        </c:ser>
        <c:ser>
          <c:idx val="10"/>
          <c:order val="10"/>
          <c:tx>
            <c:strRef>
              <c:f>'Variant 1 - NEDC (Fuel1)'!$BD$234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(Fuel1)'!$BE$234:$BL$234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62-4F5A-83CD-3A4F8CD7773B}"/>
            </c:ext>
          </c:extLst>
        </c:ser>
        <c:ser>
          <c:idx val="11"/>
          <c:order val="11"/>
          <c:tx>
            <c:strRef>
              <c:f>'Variant 1 - NEDC (Fuel1)'!$BD$235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'Variant 1 - NEDC (Fuel1)'!$BE$210:$BL$210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(Fuel1)'!$BE$235:$BL$235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62-4F5A-83CD-3A4F8CD77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57088"/>
        <c:axId val="380457480"/>
      </c:radarChart>
      <c:catAx>
        <c:axId val="38045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7480"/>
        <c:crosses val="autoZero"/>
        <c:auto val="1"/>
        <c:lblAlgn val="ctr"/>
        <c:lblOffset val="100"/>
        <c:noMultiLvlLbl val="0"/>
      </c:catAx>
      <c:valAx>
        <c:axId val="38045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5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(Fuel2)'!$BE$13:$BL$13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3-4808-9332-B309BBAD20C3}"/>
            </c:ext>
          </c:extLst>
        </c:ser>
        <c:ser>
          <c:idx val="1"/>
          <c:order val="1"/>
          <c:tx>
            <c:strRef>
              <c:f>'Variant 1 - NEDC (Fuel2)'!$BD$14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(Fuel2)'!$BE$14:$BL$14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3-4808-9332-B309BBAD20C3}"/>
            </c:ext>
          </c:extLst>
        </c:ser>
        <c:ser>
          <c:idx val="2"/>
          <c:order val="2"/>
          <c:tx>
            <c:strRef>
              <c:f>'Variant 1 - NEDC (Fuel2)'!$BD$15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3-4808-9332-B309BBAD20C3}"/>
            </c:ext>
          </c:extLst>
        </c:ser>
        <c:ser>
          <c:idx val="3"/>
          <c:order val="3"/>
          <c:tx>
            <c:strRef>
              <c:f>'Variant 1 - NEDC (Fuel2)'!$BD$16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93-4808-9332-B309BBAD20C3}"/>
            </c:ext>
          </c:extLst>
        </c:ser>
        <c:ser>
          <c:idx val="4"/>
          <c:order val="4"/>
          <c:tx>
            <c:strRef>
              <c:f>'Variant 1 - NEDC (Fuel2)'!$BD$17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(Fuel2)'!$BE$17:$BL$17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3-4808-9332-B309BBAD20C3}"/>
            </c:ext>
          </c:extLst>
        </c:ser>
        <c:ser>
          <c:idx val="5"/>
          <c:order val="5"/>
          <c:tx>
            <c:strRef>
              <c:f>'Variant 1 - NEDC (Fuel2)'!$BD$18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93-4808-9332-B309BBAD20C3}"/>
            </c:ext>
          </c:extLst>
        </c:ser>
        <c:ser>
          <c:idx val="6"/>
          <c:order val="6"/>
          <c:tx>
            <c:strRef>
              <c:f>'Variant 1 - NEDC (Fuel2)'!$BD$19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3-4808-9332-B309BBAD20C3}"/>
            </c:ext>
          </c:extLst>
        </c:ser>
        <c:ser>
          <c:idx val="7"/>
          <c:order val="7"/>
          <c:tx>
            <c:strRef>
              <c:f>'Variant 1 - NEDC (Fuel2)'!$BD$20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93-4808-9332-B309BBAD2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43776"/>
        <c:axId val="379544168"/>
      </c:radarChart>
      <c:catAx>
        <c:axId val="3795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4168"/>
        <c:crosses val="autoZero"/>
        <c:auto val="1"/>
        <c:lblAlgn val="ctr"/>
        <c:lblOffset val="100"/>
        <c:noMultiLvlLbl val="0"/>
      </c:catAx>
      <c:valAx>
        <c:axId val="3795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(Fuel2)'!$BE$21:$BL$21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0-4D4B-BDCE-06C5FD9F759A}"/>
            </c:ext>
          </c:extLst>
        </c:ser>
        <c:ser>
          <c:idx val="1"/>
          <c:order val="1"/>
          <c:tx>
            <c:strRef>
              <c:f>'Variant 1 - NEDC (Fuel2)'!$BD$22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(Fuel2)'!$BE$22:$BL$22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0-4D4B-BDCE-06C5FD9F759A}"/>
            </c:ext>
          </c:extLst>
        </c:ser>
        <c:ser>
          <c:idx val="2"/>
          <c:order val="2"/>
          <c:tx>
            <c:strRef>
              <c:f>'Variant 1 - NEDC (Fuel2)'!$BD$23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0-4D4B-BDCE-06C5FD9F759A}"/>
            </c:ext>
          </c:extLst>
        </c:ser>
        <c:ser>
          <c:idx val="3"/>
          <c:order val="3"/>
          <c:tx>
            <c:strRef>
              <c:f>'Variant 1 - NEDC (Fuel2)'!$BD$24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70-4D4B-BDCE-06C5FD9F759A}"/>
            </c:ext>
          </c:extLst>
        </c:ser>
        <c:ser>
          <c:idx val="4"/>
          <c:order val="4"/>
          <c:tx>
            <c:strRef>
              <c:f>'Variant 1 - NEDC (Fuel2)'!$BD$25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(Fuel2)'!$BE$25:$BL$25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70-4D4B-BDCE-06C5FD9F759A}"/>
            </c:ext>
          </c:extLst>
        </c:ser>
        <c:ser>
          <c:idx val="5"/>
          <c:order val="5"/>
          <c:tx>
            <c:strRef>
              <c:f>'Variant 1 - NEDC (Fuel2)'!$BD$26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70-4D4B-BDCE-06C5FD9F759A}"/>
            </c:ext>
          </c:extLst>
        </c:ser>
        <c:ser>
          <c:idx val="6"/>
          <c:order val="6"/>
          <c:tx>
            <c:strRef>
              <c:f>'Variant 1 - NEDC (Fuel2)'!$BD$27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70-4D4B-BDCE-06C5FD9F759A}"/>
            </c:ext>
          </c:extLst>
        </c:ser>
        <c:ser>
          <c:idx val="7"/>
          <c:order val="7"/>
          <c:tx>
            <c:strRef>
              <c:f>'Variant 1 - NEDC (Fuel2)'!$BD$28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70-4D4B-BDCE-06C5FD9F7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44952"/>
        <c:axId val="379545344"/>
      </c:radarChart>
      <c:catAx>
        <c:axId val="37954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5344"/>
        <c:crosses val="autoZero"/>
        <c:auto val="1"/>
        <c:lblAlgn val="ctr"/>
        <c:lblOffset val="100"/>
        <c:noMultiLvlLbl val="0"/>
      </c:catAx>
      <c:valAx>
        <c:axId val="37954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(Fuel2)'!$BD$40</c:f>
              <c:strCache>
                <c:ptCount val="1"/>
                <c:pt idx="0">
                  <c:v>1st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(Fuel2)'!$BE$40:$BL$40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E-4F5B-95A0-87605BB46171}"/>
            </c:ext>
          </c:extLst>
        </c:ser>
        <c:ser>
          <c:idx val="4"/>
          <c:order val="1"/>
          <c:tx>
            <c:strRef>
              <c:f>'Variant 1 - NEDC (Fuel2)'!$BD$44</c:f>
              <c:strCache>
                <c:ptCount val="1"/>
                <c:pt idx="0">
                  <c:v>0.7*IEF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(Fuel2)'!$BE$44:$BL$44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E-4F5B-95A0-87605BB4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46128"/>
        <c:axId val="379546520"/>
      </c:radarChart>
      <c:catAx>
        <c:axId val="37954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6520"/>
        <c:crosses val="autoZero"/>
        <c:auto val="1"/>
        <c:lblAlgn val="ctr"/>
        <c:lblOffset val="100"/>
        <c:noMultiLvlLbl val="0"/>
      </c:catAx>
      <c:valAx>
        <c:axId val="3795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612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(Fuel2)'!$BD$48</c:f>
              <c:strCache>
                <c:ptCount val="1"/>
                <c:pt idx="0">
                  <c:v>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(Fuel2)'!$BE$48:$BL$48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0-4703-A641-0FA198B29B76}"/>
            </c:ext>
          </c:extLst>
        </c:ser>
        <c:ser>
          <c:idx val="4"/>
          <c:order val="1"/>
          <c:tx>
            <c:strRef>
              <c:f>'Variant 1 - NEDC (Fuel2)'!$BD$52</c:f>
              <c:strCache>
                <c:ptCount val="1"/>
                <c:pt idx="0">
                  <c:v>IEF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(Fuel2)'!$BE$52:$BL$52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0-4703-A641-0FA198B29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47304"/>
        <c:axId val="379547696"/>
      </c:radarChart>
      <c:catAx>
        <c:axId val="37954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7696"/>
        <c:crosses val="autoZero"/>
        <c:auto val="1"/>
        <c:lblAlgn val="ctr"/>
        <c:lblOffset val="100"/>
        <c:noMultiLvlLbl val="0"/>
      </c:catAx>
      <c:valAx>
        <c:axId val="3795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730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(Fuel2)'!$BE$67:$BL$67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0-4FED-9611-AEE1D48CDB1A}"/>
            </c:ext>
          </c:extLst>
        </c:ser>
        <c:ser>
          <c:idx val="1"/>
          <c:order val="1"/>
          <c:tx>
            <c:strRef>
              <c:f>'Variant 1 - NEDC (Fuel2)'!$BD$68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(Fuel2)'!$BE$68:$BL$68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0-4FED-9611-AEE1D48CDB1A}"/>
            </c:ext>
          </c:extLst>
        </c:ser>
        <c:ser>
          <c:idx val="2"/>
          <c:order val="2"/>
          <c:tx>
            <c:strRef>
              <c:f>'Variant 1 - NEDC (Fuel2)'!$BD$69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(Fuel2)'!$BE$69:$BL$69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0-4FED-9611-AEE1D48CDB1A}"/>
            </c:ext>
          </c:extLst>
        </c:ser>
        <c:ser>
          <c:idx val="3"/>
          <c:order val="3"/>
          <c:tx>
            <c:strRef>
              <c:f>'Variant 1 - NEDC (Fuel2)'!$BD$70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(Fuel2)'!$BE$70:$BL$70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00-4FED-9611-AEE1D48CDB1A}"/>
            </c:ext>
          </c:extLst>
        </c:ser>
        <c:ser>
          <c:idx val="4"/>
          <c:order val="4"/>
          <c:tx>
            <c:strRef>
              <c:f>'Variant 1 - NEDC (Fuel2)'!$BD$71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(Fuel2)'!$BE$71:$BL$71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00-4FED-9611-AEE1D48CDB1A}"/>
            </c:ext>
          </c:extLst>
        </c:ser>
        <c:ser>
          <c:idx val="5"/>
          <c:order val="5"/>
          <c:tx>
            <c:strRef>
              <c:f>'Variant 1 - NEDC (Fuel2)'!$BD$72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(Fuel2)'!$BE$72:$BL$72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00-4FED-9611-AEE1D48CDB1A}"/>
            </c:ext>
          </c:extLst>
        </c:ser>
        <c:ser>
          <c:idx val="6"/>
          <c:order val="6"/>
          <c:tx>
            <c:strRef>
              <c:f>'Variant 1 - NEDC (Fuel2)'!$BD$73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(Fuel2)'!$BE$73:$BL$73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00-4FED-9611-AEE1D48CDB1A}"/>
            </c:ext>
          </c:extLst>
        </c:ser>
        <c:ser>
          <c:idx val="7"/>
          <c:order val="7"/>
          <c:tx>
            <c:strRef>
              <c:f>'Variant 1 - NEDC (Fuel2)'!$BD$74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(Fuel2)'!$BE$74:$BL$74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00-4FED-9611-AEE1D48CDB1A}"/>
            </c:ext>
          </c:extLst>
        </c:ser>
        <c:ser>
          <c:idx val="8"/>
          <c:order val="8"/>
          <c:tx>
            <c:strRef>
              <c:f>'Variant 1 - NEDC (Fuel2)'!$BD$75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(Fuel2)'!$BE$75:$BL$75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00-4FED-9611-AEE1D48CDB1A}"/>
            </c:ext>
          </c:extLst>
        </c:ser>
        <c:ser>
          <c:idx val="9"/>
          <c:order val="9"/>
          <c:tx>
            <c:strRef>
              <c:f>'Variant 1 - NEDC (Fuel2)'!$BD$76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(Fuel2)'!$BE$76:$BL$76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00-4FED-9611-AEE1D48CDB1A}"/>
            </c:ext>
          </c:extLst>
        </c:ser>
        <c:ser>
          <c:idx val="10"/>
          <c:order val="10"/>
          <c:tx>
            <c:strRef>
              <c:f>'Variant 1 - NEDC (Fuel2)'!$BD$77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(Fuel2)'!$BE$77:$BL$77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00-4FED-9611-AEE1D48CDB1A}"/>
            </c:ext>
          </c:extLst>
        </c:ser>
        <c:ser>
          <c:idx val="11"/>
          <c:order val="11"/>
          <c:tx>
            <c:strRef>
              <c:f>'Variant 1 - NEDC (Fuel2)'!$BD$78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(Fuel2)'!$BE$78:$BL$78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00-4FED-9611-AEE1D48C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48480"/>
        <c:axId val="379548872"/>
      </c:radarChart>
      <c:catAx>
        <c:axId val="37954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8872"/>
        <c:crosses val="autoZero"/>
        <c:auto val="1"/>
        <c:lblAlgn val="ctr"/>
        <c:lblOffset val="100"/>
        <c:noMultiLvlLbl val="0"/>
      </c:catAx>
      <c:valAx>
        <c:axId val="37954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(Fuel2)'!$BE$79:$BL$79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7-4A30-AAF6-003DE9E56076}"/>
            </c:ext>
          </c:extLst>
        </c:ser>
        <c:ser>
          <c:idx val="1"/>
          <c:order val="1"/>
          <c:tx>
            <c:strRef>
              <c:f>'Variant 1 - NEDC (Fuel2)'!$BD$80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(Fuel2)'!$BE$80:$BL$80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7-4A30-AAF6-003DE9E56076}"/>
            </c:ext>
          </c:extLst>
        </c:ser>
        <c:ser>
          <c:idx val="2"/>
          <c:order val="2"/>
          <c:tx>
            <c:strRef>
              <c:f>'Variant 1 - NEDC (Fuel2)'!$BD$81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(Fuel2)'!$BE$81:$BL$81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7-4A30-AAF6-003DE9E56076}"/>
            </c:ext>
          </c:extLst>
        </c:ser>
        <c:ser>
          <c:idx val="3"/>
          <c:order val="3"/>
          <c:tx>
            <c:strRef>
              <c:f>'Variant 1 - NEDC (Fuel2)'!$BD$82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(Fuel2)'!$BE$82:$BL$82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7-4A30-AAF6-003DE9E56076}"/>
            </c:ext>
          </c:extLst>
        </c:ser>
        <c:ser>
          <c:idx val="4"/>
          <c:order val="4"/>
          <c:tx>
            <c:strRef>
              <c:f>'Variant 1 - NEDC (Fuel2)'!$BD$83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E7-4A30-AAF6-003DE9E56076}"/>
            </c:ext>
          </c:extLst>
        </c:ser>
        <c:ser>
          <c:idx val="5"/>
          <c:order val="5"/>
          <c:tx>
            <c:strRef>
              <c:f>'Variant 1 - NEDC (Fuel2)'!$BD$84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(Fuel2)'!$BE$84:$BL$84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E7-4A30-AAF6-003DE9E56076}"/>
            </c:ext>
          </c:extLst>
        </c:ser>
        <c:ser>
          <c:idx val="6"/>
          <c:order val="6"/>
          <c:tx>
            <c:strRef>
              <c:f>'Variant 1 - NEDC (Fuel2)'!$BD$85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(Fuel2)'!$BE$85:$BL$85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E7-4A30-AAF6-003DE9E56076}"/>
            </c:ext>
          </c:extLst>
        </c:ser>
        <c:ser>
          <c:idx val="7"/>
          <c:order val="7"/>
          <c:tx>
            <c:strRef>
              <c:f>'Variant 1 - NEDC (Fuel2)'!$BD$86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(Fuel2)'!$BE$86:$BL$86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E7-4A30-AAF6-003DE9E56076}"/>
            </c:ext>
          </c:extLst>
        </c:ser>
        <c:ser>
          <c:idx val="8"/>
          <c:order val="8"/>
          <c:tx>
            <c:strRef>
              <c:f>'Variant 1 - NEDC (Fuel2)'!$BD$87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(Fuel2)'!$BE$87:$BL$87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E7-4A30-AAF6-003DE9E56076}"/>
            </c:ext>
          </c:extLst>
        </c:ser>
        <c:ser>
          <c:idx val="9"/>
          <c:order val="9"/>
          <c:tx>
            <c:strRef>
              <c:f>'Variant 1 - NEDC (Fuel2)'!$BD$88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(Fuel2)'!$BE$88:$BL$88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E7-4A30-AAF6-003DE9E56076}"/>
            </c:ext>
          </c:extLst>
        </c:ser>
        <c:ser>
          <c:idx val="10"/>
          <c:order val="10"/>
          <c:tx>
            <c:strRef>
              <c:f>'Variant 1 - NEDC (Fuel2)'!$BD$89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(Fuel2)'!$BE$89:$BL$89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E7-4A30-AAF6-003DE9E56076}"/>
            </c:ext>
          </c:extLst>
        </c:ser>
        <c:ser>
          <c:idx val="11"/>
          <c:order val="11"/>
          <c:tx>
            <c:strRef>
              <c:f>'Variant 1 - NEDC (Fuel2)'!$BD$90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(Fuel2)'!$BE$90:$BL$90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E7-4A30-AAF6-003DE9E56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50048"/>
        <c:axId val="379550440"/>
      </c:radarChart>
      <c:catAx>
        <c:axId val="3795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50440"/>
        <c:crosses val="autoZero"/>
        <c:auto val="1"/>
        <c:lblAlgn val="ctr"/>
        <c:lblOffset val="100"/>
        <c:noMultiLvlLbl val="0"/>
      </c:catAx>
      <c:valAx>
        <c:axId val="37955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(Fuel2)'!$BD$110</c:f>
              <c:strCache>
                <c:ptCount val="1"/>
                <c:pt idx="0">
                  <c:v>1st 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(Fuel2)'!$BE$110:$BL$110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A-4859-9200-46D66AE256C9}"/>
            </c:ext>
          </c:extLst>
        </c:ser>
        <c:ser>
          <c:idx val="4"/>
          <c:order val="1"/>
          <c:tx>
            <c:strRef>
              <c:f>'Variant 1 - NEDC (Fuel2)'!$BD$44</c:f>
              <c:strCache>
                <c:ptCount val="1"/>
                <c:pt idx="0">
                  <c:v>0.7*IEF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(Fuel2)'!$BE$44:$BL$44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A-4859-9200-46D66AE25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18104"/>
        <c:axId val="382718496"/>
      </c:radarChart>
      <c:catAx>
        <c:axId val="38271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8496"/>
        <c:crosses val="autoZero"/>
        <c:auto val="1"/>
        <c:lblAlgn val="ctr"/>
        <c:lblOffset val="100"/>
        <c:noMultiLvlLbl val="0"/>
      </c:catAx>
      <c:valAx>
        <c:axId val="3827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810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(Fuel2)'!$BD$118</c:f>
              <c:strCache>
                <c:ptCount val="1"/>
                <c:pt idx="0">
                  <c:v>WLTC 20°C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(Fuel2)'!$BE$118:$BL$118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7-4C67-93B0-1522FBF1F0F9}"/>
            </c:ext>
          </c:extLst>
        </c:ser>
        <c:ser>
          <c:idx val="4"/>
          <c:order val="1"/>
          <c:tx>
            <c:strRef>
              <c:f>'Variant 1 - NEDC (Fuel2)'!$BD$122</c:f>
              <c:strCache>
                <c:ptCount val="1"/>
                <c:pt idx="0">
                  <c:v>IEF WLTC 20°C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(Fuel2)'!$BE$108:$BL$108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(Fuel2)'!$BE$122:$BL$122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7-4C67-93B0-1522FBF1F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19280"/>
        <c:axId val="382719672"/>
      </c:radarChart>
      <c:catAx>
        <c:axId val="38271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9672"/>
        <c:crosses val="autoZero"/>
        <c:auto val="1"/>
        <c:lblAlgn val="ctr"/>
        <c:lblOffset val="100"/>
        <c:noMultiLvlLbl val="0"/>
      </c:catAx>
      <c:valAx>
        <c:axId val="3827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928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1 - NEDC (Fuel2)'!$BL$135:$BS$135</c:f>
            </c:multiLvlStrRef>
          </c:cat>
          <c:val>
            <c:numRef>
              <c:f>'Variant 1 - NEDC (Fuel2)'!$BL$137:$BS$137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1 - NEDC (Fuel2)'!#REF!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600-466D-B043-C845F2BDBED5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'Variant 1 - NEDC (Fuel2)'!$BL$135:$BS$135</c:f>
            </c:multiLvlStrRef>
          </c:cat>
          <c:val>
            <c:numRef>
              <c:f>'Variant 1 - NEDC (Fuel2)'!$BL$141:$BS$141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1 - NEDC (Fuel2)'!#REF!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600-466D-B043-C845F2BD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0456"/>
        <c:axId val="382720848"/>
      </c:radarChart>
      <c:catAx>
        <c:axId val="38272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0848"/>
        <c:crosses val="autoZero"/>
        <c:auto val="1"/>
        <c:lblAlgn val="ctr"/>
        <c:lblOffset val="100"/>
        <c:noMultiLvlLbl val="0"/>
      </c:catAx>
      <c:valAx>
        <c:axId val="382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045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1 - NEDC (Fuel2)'!$BL$135:$BS$135</c:f>
            </c:multiLvlStrRef>
          </c:cat>
          <c:val>
            <c:numRef>
              <c:f>'Variant 1 - NEDC (Fuel2)'!$BL$145:$BS$145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1 - NEDC (Fuel2)'!#REF!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61C-4265-B6D4-2E58D3377901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'Variant 1 - NEDC (Fuel2)'!$BL$135:$BS$135</c:f>
            </c:multiLvlStrRef>
          </c:cat>
          <c:val>
            <c:numRef>
              <c:f>'Variant 1 - NEDC (Fuel2)'!$BL$149:$BS$149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1 - NEDC (Fuel2)'!#REF!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61C-4265-B6D4-2E58D3377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1632"/>
        <c:axId val="382722024"/>
      </c:radarChart>
      <c:catAx>
        <c:axId val="3827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2024"/>
        <c:crosses val="autoZero"/>
        <c:auto val="1"/>
        <c:lblAlgn val="ctr"/>
        <c:lblOffset val="100"/>
        <c:noMultiLvlLbl val="0"/>
      </c:catAx>
      <c:valAx>
        <c:axId val="38272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163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(Fuel2)'!$BD$164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(Fuel2)'!$BE$164:$BL$164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A-41A1-B825-5E01DDAD9E24}"/>
            </c:ext>
          </c:extLst>
        </c:ser>
        <c:ser>
          <c:idx val="4"/>
          <c:order val="1"/>
          <c:tx>
            <c:strRef>
              <c:f>'Variant 1 - NEDC (Fuel2)'!$BD$168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A-41A1-B825-5E01DDAD9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2808"/>
        <c:axId val="382723200"/>
      </c:radarChart>
      <c:catAx>
        <c:axId val="38272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3200"/>
        <c:crosses val="autoZero"/>
        <c:auto val="1"/>
        <c:lblAlgn val="ctr"/>
        <c:lblOffset val="100"/>
        <c:noMultiLvlLbl val="0"/>
      </c:catAx>
      <c:valAx>
        <c:axId val="3827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280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(Fuel2)'!$BD$172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D-4336-8A8A-F904B276A8D9}"/>
            </c:ext>
          </c:extLst>
        </c:ser>
        <c:ser>
          <c:idx val="4"/>
          <c:order val="1"/>
          <c:tx>
            <c:strRef>
              <c:f>'Variant 1 - NEDC (Fuel2)'!$BD$176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(Fuel2)'!$BE$162:$BL$162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(Fuel2)'!$BE$176:$BL$176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1D-4336-8A8A-F904B276A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3984"/>
        <c:axId val="382724376"/>
      </c:radarChart>
      <c:catAx>
        <c:axId val="38272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4376"/>
        <c:crosses val="autoZero"/>
        <c:auto val="1"/>
        <c:lblAlgn val="ctr"/>
        <c:lblOffset val="100"/>
        <c:noMultiLvlLbl val="0"/>
      </c:catAx>
      <c:valAx>
        <c:axId val="38272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398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(Fuel2)'!$BD$185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(Fuel2)'!$BE$185:$BL$185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D-4DBB-B47A-FC99F5B0C6C2}"/>
            </c:ext>
          </c:extLst>
        </c:ser>
        <c:ser>
          <c:idx val="1"/>
          <c:order val="1"/>
          <c:tx>
            <c:strRef>
              <c:f>'Variant 1 - NEDC (Fuel2)'!$BD$186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(Fuel2)'!$BE$186:$BL$186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D-4DBB-B47A-FC99F5B0C6C2}"/>
            </c:ext>
          </c:extLst>
        </c:ser>
        <c:ser>
          <c:idx val="4"/>
          <c:order val="2"/>
          <c:tx>
            <c:strRef>
              <c:f>'Variant 1 - NEDC (Fuel2)'!$BD$191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(Fuel2)'!$BE$191:$BL$191</c:f>
              <c:numCache>
                <c:formatCode>General</c:formatCode>
                <c:ptCount val="6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D-4DBB-B47A-FC99F5B0C6C2}"/>
            </c:ext>
          </c:extLst>
        </c:ser>
        <c:ser>
          <c:idx val="5"/>
          <c:order val="3"/>
          <c:tx>
            <c:strRef>
              <c:f>'Variant 1 - NEDC (Fuel2)'!$BD$192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(Fuel2)'!$BE$192:$BL$192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D-4DBB-B47A-FC99F5B0C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5160"/>
        <c:axId val="382725552"/>
      </c:radarChart>
      <c:catAx>
        <c:axId val="38272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5552"/>
        <c:crosses val="autoZero"/>
        <c:auto val="1"/>
        <c:lblAlgn val="ctr"/>
        <c:lblOffset val="100"/>
        <c:noMultiLvlLbl val="0"/>
      </c:catAx>
      <c:valAx>
        <c:axId val="38272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(Fuel2)'!$BD$197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(Fuel2)'!$BE$197:$BL$197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0-44F6-ADF9-7F3CC5EDF8ED}"/>
            </c:ext>
          </c:extLst>
        </c:ser>
        <c:ser>
          <c:idx val="1"/>
          <c:order val="1"/>
          <c:tx>
            <c:strRef>
              <c:f>'Variant 1 - NEDC (Fuel2)'!$BD$198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(Fuel2)'!$BE$198:$BL$198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0-44F6-ADF9-7F3CC5EDF8ED}"/>
            </c:ext>
          </c:extLst>
        </c:ser>
        <c:ser>
          <c:idx val="4"/>
          <c:order val="2"/>
          <c:tx>
            <c:strRef>
              <c:f>'Variant 1 - NEDC (Fuel2)'!$BD$203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(Fuel2)'!$BE$203:$BL$203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0-44F6-ADF9-7F3CC5EDF8ED}"/>
            </c:ext>
          </c:extLst>
        </c:ser>
        <c:ser>
          <c:idx val="5"/>
          <c:order val="3"/>
          <c:tx>
            <c:strRef>
              <c:f>'Variant 1 - NEDC (Fuel2)'!$BD$204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(Fuel2)'!$BE$183:$BL$183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(Fuel2)'!$BE$204:$BL$204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0-44F6-ADF9-7F3CC5EDF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9080"/>
        <c:axId val="382729472"/>
      </c:radarChart>
      <c:catAx>
        <c:axId val="3827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9472"/>
        <c:crosses val="autoZero"/>
        <c:auto val="1"/>
        <c:lblAlgn val="ctr"/>
        <c:lblOffset val="100"/>
        <c:noMultiLvlLbl val="0"/>
      </c:catAx>
      <c:valAx>
        <c:axId val="3827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(Fuel2)'!$BD$212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(Fuel2)'!$BE$212:$BL$212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B-4E9A-B06E-25DA564A5323}"/>
            </c:ext>
          </c:extLst>
        </c:ser>
        <c:ser>
          <c:idx val="1"/>
          <c:order val="1"/>
          <c:tx>
            <c:strRef>
              <c:f>'Variant 1 - NEDC (Fuel2)'!$BD$213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(Fuel2)'!$BE$213:$BL$213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B-4E9A-B06E-25DA564A5323}"/>
            </c:ext>
          </c:extLst>
        </c:ser>
        <c:ser>
          <c:idx val="2"/>
          <c:order val="2"/>
          <c:tx>
            <c:strRef>
              <c:f>'Variant 1 - NEDC (Fuel2)'!$BD$214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(Fuel2)'!$BE$214:$BL$214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B-4E9A-B06E-25DA564A5323}"/>
            </c:ext>
          </c:extLst>
        </c:ser>
        <c:ser>
          <c:idx val="3"/>
          <c:order val="3"/>
          <c:tx>
            <c:strRef>
              <c:f>'Variant 1 - NEDC (Fuel2)'!$BD$215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(Fuel2)'!$BE$215:$BL$215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B-4E9A-B06E-25DA564A5323}"/>
            </c:ext>
          </c:extLst>
        </c:ser>
        <c:ser>
          <c:idx val="4"/>
          <c:order val="4"/>
          <c:tx>
            <c:strRef>
              <c:f>'Variant 1 - NEDC (Fuel2)'!$BD$216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(Fuel2)'!$BE$216:$BL$216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3B-4E9A-B06E-25DA564A5323}"/>
            </c:ext>
          </c:extLst>
        </c:ser>
        <c:ser>
          <c:idx val="5"/>
          <c:order val="5"/>
          <c:tx>
            <c:strRef>
              <c:f>'Variant 1 - NEDC (Fuel2)'!$BD$217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(Fuel2)'!$BE$217:$BL$217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3B-4E9A-B06E-25DA564A5323}"/>
            </c:ext>
          </c:extLst>
        </c:ser>
        <c:ser>
          <c:idx val="6"/>
          <c:order val="6"/>
          <c:tx>
            <c:strRef>
              <c:f>'Variant 1 - NEDC (Fuel2)'!$BD$218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(Fuel2)'!$BE$218:$BL$218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3B-4E9A-B06E-25DA564A5323}"/>
            </c:ext>
          </c:extLst>
        </c:ser>
        <c:ser>
          <c:idx val="7"/>
          <c:order val="7"/>
          <c:tx>
            <c:strRef>
              <c:f>'Variant 1 - NEDC (Fuel2)'!$BD$219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(Fuel2)'!$BE$219:$BL$219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3B-4E9A-B06E-25DA564A5323}"/>
            </c:ext>
          </c:extLst>
        </c:ser>
        <c:ser>
          <c:idx val="8"/>
          <c:order val="8"/>
          <c:tx>
            <c:strRef>
              <c:f>'Variant 1 - NEDC (Fuel2)'!$BD$220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(Fuel2)'!$BE$220:$BL$220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3B-4E9A-B06E-25DA564A5323}"/>
            </c:ext>
          </c:extLst>
        </c:ser>
        <c:ser>
          <c:idx val="9"/>
          <c:order val="9"/>
          <c:tx>
            <c:strRef>
              <c:f>'Variant 1 - NEDC (Fuel2)'!$BD$221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(Fuel2)'!$BE$221:$BL$221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3B-4E9A-B06E-25DA564A5323}"/>
            </c:ext>
          </c:extLst>
        </c:ser>
        <c:ser>
          <c:idx val="10"/>
          <c:order val="10"/>
          <c:tx>
            <c:strRef>
              <c:f>'Variant 1 - NEDC (Fuel2)'!$BD$222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(Fuel2)'!$BE$222:$BL$222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3B-4E9A-B06E-25DA564A5323}"/>
            </c:ext>
          </c:extLst>
        </c:ser>
        <c:ser>
          <c:idx val="11"/>
          <c:order val="11"/>
          <c:tx>
            <c:strRef>
              <c:f>'Variant 1 - NEDC (Fuel2)'!$BD$223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(Fuel2)'!$BE$223:$BL$223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3B-4E9A-B06E-25DA564A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29864"/>
        <c:axId val="382730256"/>
      </c:radarChart>
      <c:catAx>
        <c:axId val="38272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0256"/>
        <c:crosses val="autoZero"/>
        <c:auto val="1"/>
        <c:lblAlgn val="ctr"/>
        <c:lblOffset val="100"/>
        <c:noMultiLvlLbl val="0"/>
      </c:catAx>
      <c:valAx>
        <c:axId val="3827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2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1 - NEDC (Fuel2)'!$BD$224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(Fuel2)'!$BE$224:$BL$224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3-40D0-BF51-6D64340029AB}"/>
            </c:ext>
          </c:extLst>
        </c:ser>
        <c:ser>
          <c:idx val="1"/>
          <c:order val="1"/>
          <c:tx>
            <c:strRef>
              <c:f>'Variant 1 - NEDC (Fuel2)'!$BD$225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(Fuel2)'!$BE$225:$BL$225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3-40D0-BF51-6D64340029AB}"/>
            </c:ext>
          </c:extLst>
        </c:ser>
        <c:ser>
          <c:idx val="2"/>
          <c:order val="2"/>
          <c:tx>
            <c:strRef>
              <c:f>'Variant 1 - NEDC (Fuel2)'!$BD$226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(Fuel2)'!$BE$226:$BL$226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3-40D0-BF51-6D64340029AB}"/>
            </c:ext>
          </c:extLst>
        </c:ser>
        <c:ser>
          <c:idx val="3"/>
          <c:order val="3"/>
          <c:tx>
            <c:strRef>
              <c:f>'Variant 1 - NEDC (Fuel2)'!$BD$227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(Fuel2)'!$BE$227:$BL$227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3-40D0-BF51-6D64340029AB}"/>
            </c:ext>
          </c:extLst>
        </c:ser>
        <c:ser>
          <c:idx val="4"/>
          <c:order val="4"/>
          <c:tx>
            <c:strRef>
              <c:f>'Variant 1 - NEDC (Fuel2)'!$BD$228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(Fuel2)'!$BE$228:$BL$228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E3-40D0-BF51-6D64340029AB}"/>
            </c:ext>
          </c:extLst>
        </c:ser>
        <c:ser>
          <c:idx val="5"/>
          <c:order val="5"/>
          <c:tx>
            <c:strRef>
              <c:f>'Variant 1 - NEDC (Fuel2)'!$BD$229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(Fuel2)'!$BE$229:$BL$229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E3-40D0-BF51-6D64340029AB}"/>
            </c:ext>
          </c:extLst>
        </c:ser>
        <c:ser>
          <c:idx val="6"/>
          <c:order val="6"/>
          <c:tx>
            <c:strRef>
              <c:f>'Variant 1 - NEDC (Fuel2)'!$BD$230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(Fuel2)'!$BE$230:$BL$230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E3-40D0-BF51-6D64340029AB}"/>
            </c:ext>
          </c:extLst>
        </c:ser>
        <c:ser>
          <c:idx val="7"/>
          <c:order val="7"/>
          <c:tx>
            <c:strRef>
              <c:f>'Variant 1 - NEDC (Fuel2)'!$BD$231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(Fuel2)'!$BE$231:$BL$231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E3-40D0-BF51-6D64340029AB}"/>
            </c:ext>
          </c:extLst>
        </c:ser>
        <c:ser>
          <c:idx val="8"/>
          <c:order val="8"/>
          <c:tx>
            <c:strRef>
              <c:f>'Variant 1 - NEDC (Fuel2)'!$BD$232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(Fuel2)'!$BE$232:$BL$232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E3-40D0-BF51-6D64340029AB}"/>
            </c:ext>
          </c:extLst>
        </c:ser>
        <c:ser>
          <c:idx val="9"/>
          <c:order val="9"/>
          <c:tx>
            <c:strRef>
              <c:f>'Variant 1 - NEDC (Fuel2)'!$BD$233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(Fuel2)'!$BE$233:$BL$233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E3-40D0-BF51-6D64340029AB}"/>
            </c:ext>
          </c:extLst>
        </c:ser>
        <c:ser>
          <c:idx val="10"/>
          <c:order val="10"/>
          <c:tx>
            <c:strRef>
              <c:f>'Variant 1 - NEDC (Fuel2)'!$BD$234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(Fuel2)'!$BE$234:$BL$234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E3-40D0-BF51-6D64340029AB}"/>
            </c:ext>
          </c:extLst>
        </c:ser>
        <c:ser>
          <c:idx val="11"/>
          <c:order val="11"/>
          <c:tx>
            <c:strRef>
              <c:f>'Variant 1 - NEDC (Fuel2)'!$BD$235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1 - NEDC (Fuel2)'!$BE$210:$BL$210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1 - NEDC (Fuel2)'!$BE$235:$BL$235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E3-40D0-BF51-6D6434002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31040"/>
        <c:axId val="382731432"/>
      </c:radarChart>
      <c:catAx>
        <c:axId val="3827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1432"/>
        <c:crosses val="autoZero"/>
        <c:auto val="1"/>
        <c:lblAlgn val="ctr"/>
        <c:lblOffset val="100"/>
        <c:noMultiLvlLbl val="0"/>
      </c:catAx>
      <c:valAx>
        <c:axId val="3827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Fuel'!$BE$13:$BL$13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6-46AE-885B-B63C808C5877}"/>
            </c:ext>
          </c:extLst>
        </c:ser>
        <c:ser>
          <c:idx val="1"/>
          <c:order val="1"/>
          <c:tx>
            <c:strRef>
              <c:f>'Variant 2a - Brazil Flex Fuel'!$BD$14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Fuel'!$BE$14:$BL$14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6-46AE-885B-B63C808C5877}"/>
            </c:ext>
          </c:extLst>
        </c:ser>
        <c:ser>
          <c:idx val="2"/>
          <c:order val="2"/>
          <c:tx>
            <c:strRef>
              <c:f>'Variant 2a - Brazil Flex Fuel'!$BD$15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Fuel'!$BE$15:$BL$15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6-46AE-885B-B63C808C5877}"/>
            </c:ext>
          </c:extLst>
        </c:ser>
        <c:ser>
          <c:idx val="3"/>
          <c:order val="3"/>
          <c:tx>
            <c:strRef>
              <c:f>'Variant 2a - Brazil Flex Fuel'!$BD$16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Fuel'!$BE$16:$BL$16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6-46AE-885B-B63C808C5877}"/>
            </c:ext>
          </c:extLst>
        </c:ser>
        <c:ser>
          <c:idx val="4"/>
          <c:order val="4"/>
          <c:tx>
            <c:strRef>
              <c:f>'Variant 2a - Brazil Flex Fuel'!$BD$17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Fuel'!$BE$17:$BL$17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16-46AE-885B-B63C808C5877}"/>
            </c:ext>
          </c:extLst>
        </c:ser>
        <c:ser>
          <c:idx val="5"/>
          <c:order val="5"/>
          <c:tx>
            <c:strRef>
              <c:f>'Variant 2a - Brazil Flex Fuel'!$BD$18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Fuel'!$BE$18:$BL$18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16-46AE-885B-B63C808C5877}"/>
            </c:ext>
          </c:extLst>
        </c:ser>
        <c:ser>
          <c:idx val="6"/>
          <c:order val="6"/>
          <c:tx>
            <c:strRef>
              <c:f>'Variant 2a - Brazil Flex Fuel'!$BD$19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Fuel'!$BE$19:$BL$19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16-46AE-885B-B63C808C5877}"/>
            </c:ext>
          </c:extLst>
        </c:ser>
        <c:ser>
          <c:idx val="7"/>
          <c:order val="7"/>
          <c:tx>
            <c:strRef>
              <c:f>'Variant 2a - Brazil Flex Fuel'!$BD$20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Fuel'!$BE$20:$BL$20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16-46AE-885B-B63C808C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32216"/>
        <c:axId val="382732608"/>
      </c:radarChart>
      <c:catAx>
        <c:axId val="38273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2608"/>
        <c:crosses val="autoZero"/>
        <c:auto val="1"/>
        <c:lblAlgn val="ctr"/>
        <c:lblOffset val="100"/>
        <c:noMultiLvlLbl val="0"/>
      </c:catAx>
      <c:valAx>
        <c:axId val="382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Fuel'!$BE$21:$BL$21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0-4BAF-8547-DD899F6AFB23}"/>
            </c:ext>
          </c:extLst>
        </c:ser>
        <c:ser>
          <c:idx val="1"/>
          <c:order val="1"/>
          <c:tx>
            <c:strRef>
              <c:f>'Variant 2a - Brazil Flex Fuel'!$BD$22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Fuel'!$BE$22:$BL$22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0-4BAF-8547-DD899F6AFB23}"/>
            </c:ext>
          </c:extLst>
        </c:ser>
        <c:ser>
          <c:idx val="2"/>
          <c:order val="2"/>
          <c:tx>
            <c:strRef>
              <c:f>'Variant 2a - Brazil Flex Fuel'!$BD$23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Fuel'!$BE$23:$BL$23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0-4BAF-8547-DD899F6AFB23}"/>
            </c:ext>
          </c:extLst>
        </c:ser>
        <c:ser>
          <c:idx val="3"/>
          <c:order val="3"/>
          <c:tx>
            <c:strRef>
              <c:f>'Variant 2a - Brazil Flex Fuel'!$BD$24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Fuel'!$BE$24:$BL$24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0-4BAF-8547-DD899F6AFB23}"/>
            </c:ext>
          </c:extLst>
        </c:ser>
        <c:ser>
          <c:idx val="4"/>
          <c:order val="4"/>
          <c:tx>
            <c:strRef>
              <c:f>'Variant 2a - Brazil Flex Fuel'!$BD$25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Fuel'!$BE$25:$BL$25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C0-4BAF-8547-DD899F6AFB23}"/>
            </c:ext>
          </c:extLst>
        </c:ser>
        <c:ser>
          <c:idx val="5"/>
          <c:order val="5"/>
          <c:tx>
            <c:strRef>
              <c:f>'Variant 2a - Brazil Flex Fuel'!$BD$26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Fuel'!$BE$26:$BL$26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0-4BAF-8547-DD899F6AFB23}"/>
            </c:ext>
          </c:extLst>
        </c:ser>
        <c:ser>
          <c:idx val="6"/>
          <c:order val="6"/>
          <c:tx>
            <c:strRef>
              <c:f>'Variant 2a - Brazil Flex Fuel'!$BD$27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Fuel'!$BE$27:$BL$27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C0-4BAF-8547-DD899F6AFB23}"/>
            </c:ext>
          </c:extLst>
        </c:ser>
        <c:ser>
          <c:idx val="7"/>
          <c:order val="7"/>
          <c:tx>
            <c:strRef>
              <c:f>'Variant 2a - Brazil Flex Fuel'!$BD$28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Fuel'!$BE$28:$BL$28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C0-4BAF-8547-DD899F6AF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733392"/>
        <c:axId val="383940672"/>
      </c:radarChart>
      <c:catAx>
        <c:axId val="3827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0672"/>
        <c:crosses val="autoZero"/>
        <c:auto val="1"/>
        <c:lblAlgn val="ctr"/>
        <c:lblOffset val="100"/>
        <c:noMultiLvlLbl val="0"/>
      </c:catAx>
      <c:valAx>
        <c:axId val="3839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Fuel'!$BM$40:$BT$40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F51-498D-AF2B-30C8BE095354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Fuel'!$BM$44:$BT$44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F51-498D-AF2B-30C8BE09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1456"/>
        <c:axId val="383941848"/>
      </c:radarChart>
      <c:catAx>
        <c:axId val="38394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1848"/>
        <c:crosses val="autoZero"/>
        <c:auto val="1"/>
        <c:lblAlgn val="ctr"/>
        <c:lblOffset val="100"/>
        <c:noMultiLvlLbl val="0"/>
      </c:catAx>
      <c:valAx>
        <c:axId val="38394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145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Fuel'!$BM$48:$BT$48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C05-4B68-9D5F-769227650A82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Fuel'!$BM$52:$BT$52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C05-4B68-9D5F-769227650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2632"/>
        <c:axId val="383943024"/>
      </c:radarChart>
      <c:catAx>
        <c:axId val="38394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3024"/>
        <c:crosses val="autoZero"/>
        <c:auto val="1"/>
        <c:lblAlgn val="ctr"/>
        <c:lblOffset val="100"/>
        <c:noMultiLvlLbl val="0"/>
      </c:catAx>
      <c:valAx>
        <c:axId val="3839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263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Fuel'!$BE$67:$BL$67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8-44C0-B59A-C2FA9B2D88F7}"/>
            </c:ext>
          </c:extLst>
        </c:ser>
        <c:ser>
          <c:idx val="1"/>
          <c:order val="1"/>
          <c:tx>
            <c:strRef>
              <c:f>'Variant 2a - Brazil Flex Fuel'!$BD$68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Fuel'!$BE$68:$BL$68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8-44C0-B59A-C2FA9B2D88F7}"/>
            </c:ext>
          </c:extLst>
        </c:ser>
        <c:ser>
          <c:idx val="2"/>
          <c:order val="2"/>
          <c:tx>
            <c:strRef>
              <c:f>'Variant 2a - Brazil Flex Fuel'!$BD$69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Fuel'!$BE$69:$BL$69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8-44C0-B59A-C2FA9B2D88F7}"/>
            </c:ext>
          </c:extLst>
        </c:ser>
        <c:ser>
          <c:idx val="3"/>
          <c:order val="3"/>
          <c:tx>
            <c:strRef>
              <c:f>'Variant 2a - Brazil Flex Fuel'!$BD$70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Fuel'!$BE$70:$BL$70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8-44C0-B59A-C2FA9B2D88F7}"/>
            </c:ext>
          </c:extLst>
        </c:ser>
        <c:ser>
          <c:idx val="4"/>
          <c:order val="4"/>
          <c:tx>
            <c:strRef>
              <c:f>'Variant 2a - Brazil Flex Fuel'!$BD$71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Fuel'!$BE$71:$BL$71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F8-44C0-B59A-C2FA9B2D88F7}"/>
            </c:ext>
          </c:extLst>
        </c:ser>
        <c:ser>
          <c:idx val="5"/>
          <c:order val="5"/>
          <c:tx>
            <c:strRef>
              <c:f>'Variant 2a - Brazil Flex Fuel'!$BD$72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Fuel'!$BE$72:$BL$72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F8-44C0-B59A-C2FA9B2D88F7}"/>
            </c:ext>
          </c:extLst>
        </c:ser>
        <c:ser>
          <c:idx val="6"/>
          <c:order val="6"/>
          <c:tx>
            <c:strRef>
              <c:f>'Variant 2a - Brazil Flex Fuel'!$BD$73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Fuel'!$BE$73:$BL$73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F8-44C0-B59A-C2FA9B2D88F7}"/>
            </c:ext>
          </c:extLst>
        </c:ser>
        <c:ser>
          <c:idx val="7"/>
          <c:order val="7"/>
          <c:tx>
            <c:strRef>
              <c:f>'Variant 2a - Brazil Flex Fuel'!$BD$74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Fuel'!$BE$74:$BL$74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F8-44C0-B59A-C2FA9B2D88F7}"/>
            </c:ext>
          </c:extLst>
        </c:ser>
        <c:ser>
          <c:idx val="8"/>
          <c:order val="8"/>
          <c:tx>
            <c:strRef>
              <c:f>'Variant 2a - Brazil Flex Fuel'!$BD$75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Fuel'!$BE$75:$BL$75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F8-44C0-B59A-C2FA9B2D88F7}"/>
            </c:ext>
          </c:extLst>
        </c:ser>
        <c:ser>
          <c:idx val="9"/>
          <c:order val="9"/>
          <c:tx>
            <c:strRef>
              <c:f>'Variant 2a - Brazil Flex Fuel'!$BD$76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Fuel'!$BE$76:$BL$76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F8-44C0-B59A-C2FA9B2D88F7}"/>
            </c:ext>
          </c:extLst>
        </c:ser>
        <c:ser>
          <c:idx val="10"/>
          <c:order val="10"/>
          <c:tx>
            <c:strRef>
              <c:f>'Variant 2a - Brazil Flex Fuel'!$BD$77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Fuel'!$BE$77:$BL$77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F8-44C0-B59A-C2FA9B2D88F7}"/>
            </c:ext>
          </c:extLst>
        </c:ser>
        <c:ser>
          <c:idx val="11"/>
          <c:order val="11"/>
          <c:tx>
            <c:strRef>
              <c:f>'Variant 2a - Brazil Flex Fuel'!$BD$78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Fuel'!$BE$78:$BL$78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F8-44C0-B59A-C2FA9B2D8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3808"/>
        <c:axId val="383944200"/>
      </c:radarChart>
      <c:catAx>
        <c:axId val="3839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4200"/>
        <c:crosses val="autoZero"/>
        <c:auto val="1"/>
        <c:lblAlgn val="ctr"/>
        <c:lblOffset val="100"/>
        <c:noMultiLvlLbl val="0"/>
      </c:catAx>
      <c:valAx>
        <c:axId val="38394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Fuel'!$BE$79:$BL$79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C-4B0C-9B6E-F6C51AE3DD04}"/>
            </c:ext>
          </c:extLst>
        </c:ser>
        <c:ser>
          <c:idx val="1"/>
          <c:order val="1"/>
          <c:tx>
            <c:strRef>
              <c:f>'Variant 2a - Brazil Flex Fuel'!$BD$80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Fuel'!$BE$80:$BL$80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C-4B0C-9B6E-F6C51AE3DD04}"/>
            </c:ext>
          </c:extLst>
        </c:ser>
        <c:ser>
          <c:idx val="2"/>
          <c:order val="2"/>
          <c:tx>
            <c:strRef>
              <c:f>'Variant 2a - Brazil Flex Fuel'!$BD$81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Fuel'!$BE$81:$BL$81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C-4B0C-9B6E-F6C51AE3DD04}"/>
            </c:ext>
          </c:extLst>
        </c:ser>
        <c:ser>
          <c:idx val="3"/>
          <c:order val="3"/>
          <c:tx>
            <c:strRef>
              <c:f>'Variant 2a - Brazil Flex Fuel'!$BD$82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Fuel'!$BE$82:$BL$82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1C-4B0C-9B6E-F6C51AE3DD04}"/>
            </c:ext>
          </c:extLst>
        </c:ser>
        <c:ser>
          <c:idx val="4"/>
          <c:order val="4"/>
          <c:tx>
            <c:strRef>
              <c:f>'Variant 2a - Brazil Flex Fuel'!$BD$83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Fuel'!$BE$83:$BL$83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1C-4B0C-9B6E-F6C51AE3DD04}"/>
            </c:ext>
          </c:extLst>
        </c:ser>
        <c:ser>
          <c:idx val="5"/>
          <c:order val="5"/>
          <c:tx>
            <c:strRef>
              <c:f>'Variant 2a - Brazil Flex Fuel'!$BD$84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Fuel'!$BE$84:$BL$84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1C-4B0C-9B6E-F6C51AE3DD04}"/>
            </c:ext>
          </c:extLst>
        </c:ser>
        <c:ser>
          <c:idx val="6"/>
          <c:order val="6"/>
          <c:tx>
            <c:strRef>
              <c:f>'Variant 2a - Brazil Flex Fuel'!$BD$85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Fuel'!$BE$85:$BL$85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1C-4B0C-9B6E-F6C51AE3DD04}"/>
            </c:ext>
          </c:extLst>
        </c:ser>
        <c:ser>
          <c:idx val="7"/>
          <c:order val="7"/>
          <c:tx>
            <c:strRef>
              <c:f>'Variant 2a - Brazil Flex Fuel'!$BD$86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Fuel'!$BE$86:$BL$86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1C-4B0C-9B6E-F6C51AE3DD04}"/>
            </c:ext>
          </c:extLst>
        </c:ser>
        <c:ser>
          <c:idx val="8"/>
          <c:order val="8"/>
          <c:tx>
            <c:strRef>
              <c:f>'Variant 2a - Brazil Flex Fuel'!$BD$87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Fuel'!$BE$87:$BL$87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1C-4B0C-9B6E-F6C51AE3DD04}"/>
            </c:ext>
          </c:extLst>
        </c:ser>
        <c:ser>
          <c:idx val="9"/>
          <c:order val="9"/>
          <c:tx>
            <c:strRef>
              <c:f>'Variant 2a - Brazil Flex Fuel'!$BD$88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Fuel'!$BE$88:$BL$88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1C-4B0C-9B6E-F6C51AE3DD04}"/>
            </c:ext>
          </c:extLst>
        </c:ser>
        <c:ser>
          <c:idx val="10"/>
          <c:order val="10"/>
          <c:tx>
            <c:strRef>
              <c:f>'Variant 2a - Brazil Flex Fuel'!$BD$89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Fuel'!$BE$89:$BL$89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1C-4B0C-9B6E-F6C51AE3DD04}"/>
            </c:ext>
          </c:extLst>
        </c:ser>
        <c:ser>
          <c:idx val="11"/>
          <c:order val="11"/>
          <c:tx>
            <c:strRef>
              <c:f>'Variant 2a - Brazil Flex Fuel'!$BD$90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Fuel'!$BE$90:$BL$90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1C-4B0C-9B6E-F6C51AE3D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4984"/>
        <c:axId val="383945376"/>
      </c:radarChart>
      <c:catAx>
        <c:axId val="38394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5376"/>
        <c:crosses val="autoZero"/>
        <c:auto val="1"/>
        <c:lblAlgn val="ctr"/>
        <c:lblOffset val="100"/>
        <c:noMultiLvlLbl val="0"/>
      </c:catAx>
      <c:valAx>
        <c:axId val="3839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Fuel'!$BD$110</c:f>
              <c:strCache>
                <c:ptCount val="1"/>
                <c:pt idx="0">
                  <c:v>1st HWY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Fuel'!$BE$110:$BL$110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1-44E1-A4D0-ADFE5C6D7E96}"/>
            </c:ext>
          </c:extLst>
        </c:ser>
        <c:ser>
          <c:idx val="1"/>
          <c:order val="1"/>
          <c:tx>
            <c:strRef>
              <c:f>'Variant 2a - Brazil Flex Fuel'!$BD$111</c:f>
              <c:strCache>
                <c:ptCount val="1"/>
                <c:pt idx="0">
                  <c:v>1st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Fuel'!$BE$111:$BL$111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1-44E1-A4D0-ADFE5C6D7E96}"/>
            </c:ext>
          </c:extLst>
        </c:ser>
        <c:ser>
          <c:idx val="4"/>
          <c:order val="2"/>
          <c:tx>
            <c:strRef>
              <c:f>'Variant 2a - Brazil Flex Fuel'!$BD$114</c:f>
              <c:strCache>
                <c:ptCount val="1"/>
                <c:pt idx="0">
                  <c:v>0.7*IEF HWY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Fuel'!$BE$114:$BL$114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1-44E1-A4D0-ADFE5C6D7E96}"/>
            </c:ext>
          </c:extLst>
        </c:ser>
        <c:ser>
          <c:idx val="5"/>
          <c:order val="3"/>
          <c:tx>
            <c:strRef>
              <c:f>'Variant 2a - Brazil Flex Fuel'!$BD$115</c:f>
              <c:strCache>
                <c:ptCount val="1"/>
                <c:pt idx="0">
                  <c:v>0.7*IEF 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Fuel'!$BE$115:$BL$115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1-44E1-A4D0-ADFE5C6D7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6160"/>
        <c:axId val="383946552"/>
      </c:radarChart>
      <c:catAx>
        <c:axId val="3839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6552"/>
        <c:crosses val="autoZero"/>
        <c:auto val="1"/>
        <c:lblAlgn val="ctr"/>
        <c:lblOffset val="100"/>
        <c:noMultiLvlLbl val="0"/>
      </c:catAx>
      <c:valAx>
        <c:axId val="3839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Fuel'!$BD$118</c:f>
              <c:strCache>
                <c:ptCount val="1"/>
                <c:pt idx="0">
                  <c:v>HWY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Fuel'!$BE$118:$BL$118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4-403B-A08B-F810926D2D83}"/>
            </c:ext>
          </c:extLst>
        </c:ser>
        <c:ser>
          <c:idx val="1"/>
          <c:order val="1"/>
          <c:tx>
            <c:strRef>
              <c:f>'Variant 2a - Brazil Flex Fuel'!$BD$119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Fuel'!$BE$119:$BL$119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4-403B-A08B-F810926D2D83}"/>
            </c:ext>
          </c:extLst>
        </c:ser>
        <c:ser>
          <c:idx val="4"/>
          <c:order val="2"/>
          <c:tx>
            <c:strRef>
              <c:f>'Variant 2a - Brazil Flex Fuel'!$BD$121</c:f>
              <c:strCache>
                <c:ptCount val="1"/>
                <c:pt idx="0">
                  <c:v>IEF HWY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Fuel'!$BE$121:$BL$121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4-403B-A08B-F810926D2D83}"/>
            </c:ext>
          </c:extLst>
        </c:ser>
        <c:ser>
          <c:idx val="5"/>
          <c:order val="3"/>
          <c:tx>
            <c:strRef>
              <c:f>'Variant 2a - Brazil Flex Fuel'!$BD$122</c:f>
              <c:strCache>
                <c:ptCount val="1"/>
                <c:pt idx="0">
                  <c:v>IEF 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Fuel'!$BE$122:$BL$122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4-403B-A08B-F810926D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7336"/>
        <c:axId val="383947728"/>
      </c:radarChart>
      <c:catAx>
        <c:axId val="38394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7728"/>
        <c:crosses val="autoZero"/>
        <c:auto val="1"/>
        <c:lblAlgn val="ctr"/>
        <c:lblOffset val="100"/>
        <c:noMultiLvlLbl val="0"/>
      </c:catAx>
      <c:valAx>
        <c:axId val="3839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Fuel'!$BD$136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Fuel'!$BE$136:$BL$136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E-4AE7-B944-5C372A5C1047}"/>
            </c:ext>
          </c:extLst>
        </c:ser>
        <c:ser>
          <c:idx val="4"/>
          <c:order val="1"/>
          <c:tx>
            <c:strRef>
              <c:f>'Variant 2a - Brazil Flex Fuel'!$BD$140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Fuel'!$BE$140:$BL$140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E-4AE7-B944-5C372A5C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8512"/>
        <c:axId val="383948904"/>
      </c:radarChart>
      <c:catAx>
        <c:axId val="38394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8904"/>
        <c:crosses val="autoZero"/>
        <c:auto val="1"/>
        <c:lblAlgn val="ctr"/>
        <c:lblOffset val="100"/>
        <c:noMultiLvlLbl val="0"/>
      </c:catAx>
      <c:valAx>
        <c:axId val="38394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851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Fuel'!$BD$144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Fuel'!$BE$144:$BL$144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F-4C54-9F7A-BB8B585D0F30}"/>
            </c:ext>
          </c:extLst>
        </c:ser>
        <c:ser>
          <c:idx val="4"/>
          <c:order val="1"/>
          <c:tx>
            <c:strRef>
              <c:f>'Variant 2a - Brazil Flex Fuel'!$BD$148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Fuel'!$BE$148:$BL$148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F-4C54-9F7A-BB8B585D0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49688"/>
        <c:axId val="383950080"/>
      </c:radarChart>
      <c:catAx>
        <c:axId val="38394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0080"/>
        <c:crosses val="autoZero"/>
        <c:auto val="1"/>
        <c:lblAlgn val="ctr"/>
        <c:lblOffset val="100"/>
        <c:noMultiLvlLbl val="0"/>
      </c:catAx>
      <c:valAx>
        <c:axId val="3839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4968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Fuel'!$BD$157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Fuel'!$BE$157:$BL$157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4-4C8F-8F49-4FBC88AB2FC1}"/>
            </c:ext>
          </c:extLst>
        </c:ser>
        <c:ser>
          <c:idx val="1"/>
          <c:order val="1"/>
          <c:tx>
            <c:strRef>
              <c:f>'Variant 2a - Brazil Flex Fuel'!$BD$158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Fuel'!$BE$158:$BL$158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4-4C8F-8F49-4FBC88AB2FC1}"/>
            </c:ext>
          </c:extLst>
        </c:ser>
        <c:ser>
          <c:idx val="4"/>
          <c:order val="2"/>
          <c:tx>
            <c:strRef>
              <c:f>'Variant 2a - Brazil Flex Fuel'!$BD$163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Fuel'!$BE$163:$BL$163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4-4C8F-8F49-4FBC88AB2FC1}"/>
            </c:ext>
          </c:extLst>
        </c:ser>
        <c:ser>
          <c:idx val="5"/>
          <c:order val="3"/>
          <c:tx>
            <c:strRef>
              <c:f>'Variant 2a - Brazil Flex Fuel'!$BD$164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Fuel'!$BE$164:$BL$164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4-4C8F-8F49-4FBC88AB2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50864"/>
        <c:axId val="383951256"/>
      </c:radarChart>
      <c:catAx>
        <c:axId val="38395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1256"/>
        <c:crosses val="autoZero"/>
        <c:auto val="1"/>
        <c:lblAlgn val="ctr"/>
        <c:lblOffset val="100"/>
        <c:noMultiLvlLbl val="0"/>
      </c:catAx>
      <c:valAx>
        <c:axId val="38395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Fuel'!$BD$169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Fuel'!$BE$169:$BL$169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9-4106-A08D-0D4D1EBA6109}"/>
            </c:ext>
          </c:extLst>
        </c:ser>
        <c:ser>
          <c:idx val="1"/>
          <c:order val="1"/>
          <c:tx>
            <c:strRef>
              <c:f>'Variant 2a - Brazil Flex Fuel'!$BD$170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Fuel'!$BE$170:$BL$170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9-4106-A08D-0D4D1EBA6109}"/>
            </c:ext>
          </c:extLst>
        </c:ser>
        <c:ser>
          <c:idx val="4"/>
          <c:order val="2"/>
          <c:tx>
            <c:strRef>
              <c:f>'Variant 2a - Brazil Flex Fuel'!$BD$175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Fuel'!$BE$175:$BL$175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9-4106-A08D-0D4D1EBA6109}"/>
            </c:ext>
          </c:extLst>
        </c:ser>
        <c:ser>
          <c:idx val="5"/>
          <c:order val="3"/>
          <c:tx>
            <c:strRef>
              <c:f>'Variant 2a - Brazil Flex Fuel'!$BD$176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Fuel'!$BE$176:$BL$176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9-4106-A08D-0D4D1EBA6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55176"/>
        <c:axId val="383955568"/>
      </c:radarChart>
      <c:catAx>
        <c:axId val="38395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5568"/>
        <c:crosses val="autoZero"/>
        <c:auto val="1"/>
        <c:lblAlgn val="ctr"/>
        <c:lblOffset val="100"/>
        <c:noMultiLvlLbl val="0"/>
      </c:catAx>
      <c:valAx>
        <c:axId val="3839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Fuel'!$BD$184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Fuel'!$BE$184:$BL$184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3-4650-99B9-BD7F5BE36C72}"/>
            </c:ext>
          </c:extLst>
        </c:ser>
        <c:ser>
          <c:idx val="1"/>
          <c:order val="1"/>
          <c:tx>
            <c:strRef>
              <c:f>'Variant 2a - Brazil Flex Fuel'!$BD$185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Fuel'!$BE$185:$BL$185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3-4650-99B9-BD7F5BE36C72}"/>
            </c:ext>
          </c:extLst>
        </c:ser>
        <c:ser>
          <c:idx val="2"/>
          <c:order val="2"/>
          <c:tx>
            <c:strRef>
              <c:f>'Variant 2a - Brazil Flex Fuel'!$BD$186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Fuel'!$BE$186:$BL$186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3-4650-99B9-BD7F5BE36C72}"/>
            </c:ext>
          </c:extLst>
        </c:ser>
        <c:ser>
          <c:idx val="3"/>
          <c:order val="3"/>
          <c:tx>
            <c:strRef>
              <c:f>'Variant 2a - Brazil Flex Fuel'!$BD$187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Fuel'!$BE$187:$BL$187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3-4650-99B9-BD7F5BE36C72}"/>
            </c:ext>
          </c:extLst>
        </c:ser>
        <c:ser>
          <c:idx val="4"/>
          <c:order val="4"/>
          <c:tx>
            <c:strRef>
              <c:f>'Variant 2a - Brazil Flex Fuel'!$BD$188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Fuel'!$BE$188:$BL$188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33-4650-99B9-BD7F5BE36C72}"/>
            </c:ext>
          </c:extLst>
        </c:ser>
        <c:ser>
          <c:idx val="5"/>
          <c:order val="5"/>
          <c:tx>
            <c:strRef>
              <c:f>'Variant 2a - Brazil Flex Fuel'!$BD$189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Fuel'!$BE$189:$BL$189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33-4650-99B9-BD7F5BE36C72}"/>
            </c:ext>
          </c:extLst>
        </c:ser>
        <c:ser>
          <c:idx val="6"/>
          <c:order val="6"/>
          <c:tx>
            <c:strRef>
              <c:f>'Variant 2a - Brazil Flex Fuel'!$BD$190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Fuel'!$BE$190:$BL$190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33-4650-99B9-BD7F5BE36C72}"/>
            </c:ext>
          </c:extLst>
        </c:ser>
        <c:ser>
          <c:idx val="7"/>
          <c:order val="7"/>
          <c:tx>
            <c:strRef>
              <c:f>'Variant 2a - Brazil Flex Fuel'!$BD$191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Fuel'!$BE$191:$BL$191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33-4650-99B9-BD7F5BE36C72}"/>
            </c:ext>
          </c:extLst>
        </c:ser>
        <c:ser>
          <c:idx val="8"/>
          <c:order val="8"/>
          <c:tx>
            <c:strRef>
              <c:f>'Variant 2a - Brazil Flex Fuel'!$BD$192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Fuel'!$BE$192:$BL$192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33-4650-99B9-BD7F5BE36C72}"/>
            </c:ext>
          </c:extLst>
        </c:ser>
        <c:ser>
          <c:idx val="9"/>
          <c:order val="9"/>
          <c:tx>
            <c:strRef>
              <c:f>'Variant 2a - Brazil Flex Fuel'!$BD$193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Fuel'!$BE$193:$BL$193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33-4650-99B9-BD7F5BE36C72}"/>
            </c:ext>
          </c:extLst>
        </c:ser>
        <c:ser>
          <c:idx val="10"/>
          <c:order val="10"/>
          <c:tx>
            <c:strRef>
              <c:f>'Variant 2a - Brazil Flex Fuel'!$BD$194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Fuel'!$BE$194:$BL$194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33-4650-99B9-BD7F5BE36C72}"/>
            </c:ext>
          </c:extLst>
        </c:ser>
        <c:ser>
          <c:idx val="11"/>
          <c:order val="11"/>
          <c:tx>
            <c:strRef>
              <c:f>'Variant 2a - Brazil Flex Fuel'!$BD$195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Fuel'!$BE$195:$BL$195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33-4650-99B9-BD7F5BE36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56352"/>
        <c:axId val="385819000"/>
      </c:radarChart>
      <c:catAx>
        <c:axId val="3839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19000"/>
        <c:crosses val="autoZero"/>
        <c:auto val="1"/>
        <c:lblAlgn val="ctr"/>
        <c:lblOffset val="100"/>
        <c:noMultiLvlLbl val="0"/>
      </c:catAx>
      <c:valAx>
        <c:axId val="38581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Fuel'!$BD$196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Fuel'!$BE$196:$BL$196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E-4259-9532-0C4C5319DC16}"/>
            </c:ext>
          </c:extLst>
        </c:ser>
        <c:ser>
          <c:idx val="1"/>
          <c:order val="1"/>
          <c:tx>
            <c:strRef>
              <c:f>'Variant 2a - Brazil Flex Fuel'!$BD$197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Fuel'!$BE$197:$BL$197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E-4259-9532-0C4C5319DC16}"/>
            </c:ext>
          </c:extLst>
        </c:ser>
        <c:ser>
          <c:idx val="2"/>
          <c:order val="2"/>
          <c:tx>
            <c:strRef>
              <c:f>'Variant 2a - Brazil Flex Fuel'!$BD$198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Fuel'!$BE$198:$BL$198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E-4259-9532-0C4C5319DC16}"/>
            </c:ext>
          </c:extLst>
        </c:ser>
        <c:ser>
          <c:idx val="3"/>
          <c:order val="3"/>
          <c:tx>
            <c:strRef>
              <c:f>'Variant 2a - Brazil Flex Fuel'!$BD$199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Fuel'!$BE$199:$BL$199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E-4259-9532-0C4C5319DC16}"/>
            </c:ext>
          </c:extLst>
        </c:ser>
        <c:ser>
          <c:idx val="4"/>
          <c:order val="4"/>
          <c:tx>
            <c:strRef>
              <c:f>'Variant 2a - Brazil Flex Fuel'!$BD$200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Fuel'!$BE$200:$BL$200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EE-4259-9532-0C4C5319DC16}"/>
            </c:ext>
          </c:extLst>
        </c:ser>
        <c:ser>
          <c:idx val="5"/>
          <c:order val="5"/>
          <c:tx>
            <c:strRef>
              <c:f>'Variant 2a - Brazil Flex Fuel'!$BD$201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Fuel'!$BE$201:$BL$201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EE-4259-9532-0C4C5319DC16}"/>
            </c:ext>
          </c:extLst>
        </c:ser>
        <c:ser>
          <c:idx val="6"/>
          <c:order val="6"/>
          <c:tx>
            <c:strRef>
              <c:f>'Variant 2a - Brazil Flex Fuel'!$BD$202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Fuel'!$BE$202:$BL$202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EE-4259-9532-0C4C5319DC16}"/>
            </c:ext>
          </c:extLst>
        </c:ser>
        <c:ser>
          <c:idx val="7"/>
          <c:order val="7"/>
          <c:tx>
            <c:strRef>
              <c:f>'Variant 2a - Brazil Flex Fuel'!$BD$203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Fuel'!$BE$203:$BL$203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EE-4259-9532-0C4C5319DC16}"/>
            </c:ext>
          </c:extLst>
        </c:ser>
        <c:ser>
          <c:idx val="8"/>
          <c:order val="8"/>
          <c:tx>
            <c:strRef>
              <c:f>'Variant 2a - Brazil Flex Fuel'!$BD$204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Fuel'!$BE$204:$BL$204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EE-4259-9532-0C4C5319DC16}"/>
            </c:ext>
          </c:extLst>
        </c:ser>
        <c:ser>
          <c:idx val="9"/>
          <c:order val="9"/>
          <c:tx>
            <c:strRef>
              <c:f>'Variant 2a - Brazil Flex Fuel'!$BD$205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Fuel'!$BE$205:$BL$205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EE-4259-9532-0C4C5319DC16}"/>
            </c:ext>
          </c:extLst>
        </c:ser>
        <c:ser>
          <c:idx val="10"/>
          <c:order val="10"/>
          <c:tx>
            <c:strRef>
              <c:f>'Variant 2a - Brazil Flex Fuel'!$BD$206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Fuel'!$BE$206:$BL$206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EE-4259-9532-0C4C5319DC16}"/>
            </c:ext>
          </c:extLst>
        </c:ser>
        <c:ser>
          <c:idx val="11"/>
          <c:order val="11"/>
          <c:tx>
            <c:strRef>
              <c:f>'Variant 2a - Brazil Flex Fuel'!$BD$207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Fuel'!$BE$207:$BL$207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EE-4259-9532-0C4C5319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19784"/>
        <c:axId val="385820176"/>
      </c:radarChart>
      <c:catAx>
        <c:axId val="38581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0176"/>
        <c:crosses val="autoZero"/>
        <c:auto val="1"/>
        <c:lblAlgn val="ctr"/>
        <c:lblOffset val="100"/>
        <c:noMultiLvlLbl val="0"/>
      </c:catAx>
      <c:valAx>
        <c:axId val="3858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1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FTP'!$BD$14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FTP'!$BE$14:$BL$14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5-4D5E-870B-8F593240B8E3}"/>
            </c:ext>
          </c:extLst>
        </c:ser>
        <c:ser>
          <c:idx val="1"/>
          <c:order val="1"/>
          <c:tx>
            <c:strRef>
              <c:f>'Variant 2 - FTP'!$BD$15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FTP'!$BE$15:$BL$15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5-4D5E-870B-8F593240B8E3}"/>
            </c:ext>
          </c:extLst>
        </c:ser>
        <c:ser>
          <c:idx val="2"/>
          <c:order val="2"/>
          <c:tx>
            <c:strRef>
              <c:f>'Variant 2 - FTP'!$BD$16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FTP'!$BE$16:$BL$16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5-4D5E-870B-8F593240B8E3}"/>
            </c:ext>
          </c:extLst>
        </c:ser>
        <c:ser>
          <c:idx val="3"/>
          <c:order val="3"/>
          <c:tx>
            <c:strRef>
              <c:f>'Variant 2 - FTP'!$BD$17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FTP'!$BE$17:$BL$17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25-4D5E-870B-8F593240B8E3}"/>
            </c:ext>
          </c:extLst>
        </c:ser>
        <c:ser>
          <c:idx val="4"/>
          <c:order val="4"/>
          <c:tx>
            <c:strRef>
              <c:f>'Variant 2 - FTP'!$BD$18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FTP'!$BE$18:$BL$18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25-4D5E-870B-8F593240B8E3}"/>
            </c:ext>
          </c:extLst>
        </c:ser>
        <c:ser>
          <c:idx val="5"/>
          <c:order val="5"/>
          <c:tx>
            <c:strRef>
              <c:f>'Variant 2 - FTP'!$BD$19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FTP'!$BE$19:$BL$19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25-4D5E-870B-8F593240B8E3}"/>
            </c:ext>
          </c:extLst>
        </c:ser>
        <c:ser>
          <c:idx val="6"/>
          <c:order val="6"/>
          <c:tx>
            <c:strRef>
              <c:f>'Variant 2 - FTP'!$BD$20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FTP'!$BE$20:$BL$20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25-4D5E-870B-8F593240B8E3}"/>
            </c:ext>
          </c:extLst>
        </c:ser>
        <c:ser>
          <c:idx val="7"/>
          <c:order val="7"/>
          <c:tx>
            <c:strRef>
              <c:f>'Variant 2 - FTP'!$BD$21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FTP'!$BE$21:$BL$21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25-4D5E-870B-8F593240B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0960"/>
        <c:axId val="385821352"/>
      </c:radarChart>
      <c:catAx>
        <c:axId val="3858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1352"/>
        <c:crosses val="autoZero"/>
        <c:auto val="1"/>
        <c:lblAlgn val="ctr"/>
        <c:lblOffset val="100"/>
        <c:noMultiLvlLbl val="0"/>
      </c:catAx>
      <c:valAx>
        <c:axId val="38582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FTP'!$BD$22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FTP'!$BE$22:$BL$22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A-4B25-A91D-713EB4610DAD}"/>
            </c:ext>
          </c:extLst>
        </c:ser>
        <c:ser>
          <c:idx val="1"/>
          <c:order val="1"/>
          <c:tx>
            <c:strRef>
              <c:f>'Variant 2 - FTP'!$BD$23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FTP'!$BE$23:$BL$23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6A-4B25-A91D-713EB4610DAD}"/>
            </c:ext>
          </c:extLst>
        </c:ser>
        <c:ser>
          <c:idx val="2"/>
          <c:order val="2"/>
          <c:tx>
            <c:strRef>
              <c:f>'Variant 2 - FTP'!$BD$24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FTP'!$BE$24:$BL$24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6A-4B25-A91D-713EB4610DAD}"/>
            </c:ext>
          </c:extLst>
        </c:ser>
        <c:ser>
          <c:idx val="3"/>
          <c:order val="3"/>
          <c:tx>
            <c:strRef>
              <c:f>'Variant 2 - FTP'!$BD$25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FTP'!$BE$25:$BL$25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6A-4B25-A91D-713EB4610DAD}"/>
            </c:ext>
          </c:extLst>
        </c:ser>
        <c:ser>
          <c:idx val="4"/>
          <c:order val="4"/>
          <c:tx>
            <c:strRef>
              <c:f>'Variant 2 - FTP'!$BD$26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FTP'!$BE$26:$BL$26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6A-4B25-A91D-713EB4610DAD}"/>
            </c:ext>
          </c:extLst>
        </c:ser>
        <c:ser>
          <c:idx val="5"/>
          <c:order val="5"/>
          <c:tx>
            <c:strRef>
              <c:f>'Variant 2 - FTP'!$BD$27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FTP'!$BE$27:$BL$27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6A-4B25-A91D-713EB4610DAD}"/>
            </c:ext>
          </c:extLst>
        </c:ser>
        <c:ser>
          <c:idx val="6"/>
          <c:order val="6"/>
          <c:tx>
            <c:strRef>
              <c:f>'Variant 2 - FTP'!$BD$28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FTP'!$BE$28:$BL$28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6A-4B25-A91D-713EB4610DAD}"/>
            </c:ext>
          </c:extLst>
        </c:ser>
        <c:ser>
          <c:idx val="7"/>
          <c:order val="7"/>
          <c:tx>
            <c:strRef>
              <c:f>'Variant 2 - FTP'!$BD$29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FTP'!$BE$29:$BL$29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6A-4B25-A91D-713EB4610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2136"/>
        <c:axId val="385822528"/>
      </c:radarChart>
      <c:catAx>
        <c:axId val="38582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2528"/>
        <c:crosses val="autoZero"/>
        <c:auto val="1"/>
        <c:lblAlgn val="ctr"/>
        <c:lblOffset val="100"/>
        <c:noMultiLvlLbl val="0"/>
      </c:catAx>
      <c:valAx>
        <c:axId val="3858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FTP'!$BM$39:$BT$39</c:f>
            </c:multiLvlStrRef>
          </c:cat>
          <c:val>
            <c:numRef>
              <c:f>'Variant 2 - FTP'!$BM$41:$BT$41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AB2-4ADA-A07C-1AFBC876EB77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FTP'!$BM$39:$BT$39</c:f>
            </c:multiLvlStrRef>
          </c:cat>
          <c:val>
            <c:numRef>
              <c:f>'Variant 2 - FTP'!$BM$45:$BT$45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AB2-4ADA-A07C-1AFBC876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3312"/>
        <c:axId val="385823704"/>
      </c:radarChart>
      <c:catAx>
        <c:axId val="3858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3704"/>
        <c:crosses val="autoZero"/>
        <c:auto val="1"/>
        <c:lblAlgn val="ctr"/>
        <c:lblOffset val="100"/>
        <c:noMultiLvlLbl val="0"/>
      </c:catAx>
      <c:valAx>
        <c:axId val="38582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331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FTP'!$BM$39:$BT$39</c:f>
            </c:multiLvlStrRef>
          </c:cat>
          <c:val>
            <c:numRef>
              <c:f>'Variant 2 - FTP'!$BM$49:$BT$49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EF6-49C7-B7B8-C0A8A1C15FFE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FTP'!$BM$39:$BT$39</c:f>
            </c:multiLvlStrRef>
          </c:cat>
          <c:val>
            <c:numRef>
              <c:f>'Variant 2 - FTP'!$BM$53:$BT$53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EF6-49C7-B7B8-C0A8A1C15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4488"/>
        <c:axId val="385824880"/>
      </c:radarChart>
      <c:catAx>
        <c:axId val="38582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4880"/>
        <c:crosses val="autoZero"/>
        <c:auto val="1"/>
        <c:lblAlgn val="ctr"/>
        <c:lblOffset val="100"/>
        <c:noMultiLvlLbl val="0"/>
      </c:catAx>
      <c:valAx>
        <c:axId val="3858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448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FTP'!$BD$68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FTP'!$BE$68:$BL$68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1-47B1-A653-65121832E925}"/>
            </c:ext>
          </c:extLst>
        </c:ser>
        <c:ser>
          <c:idx val="1"/>
          <c:order val="1"/>
          <c:tx>
            <c:strRef>
              <c:f>'Variant 2 - FTP'!$BD$69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FTP'!$BE$69:$BL$69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1-47B1-A653-65121832E925}"/>
            </c:ext>
          </c:extLst>
        </c:ser>
        <c:ser>
          <c:idx val="2"/>
          <c:order val="2"/>
          <c:tx>
            <c:strRef>
              <c:f>'Variant 2 - FTP'!$BD$70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FTP'!$BE$70:$BL$70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1-47B1-A653-65121832E925}"/>
            </c:ext>
          </c:extLst>
        </c:ser>
        <c:ser>
          <c:idx val="3"/>
          <c:order val="3"/>
          <c:tx>
            <c:strRef>
              <c:f>'Variant 2 - FTP'!$BD$71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FTP'!$BE$71:$BL$71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1-47B1-A653-65121832E925}"/>
            </c:ext>
          </c:extLst>
        </c:ser>
        <c:ser>
          <c:idx val="4"/>
          <c:order val="4"/>
          <c:tx>
            <c:strRef>
              <c:f>'Variant 2 - FTP'!$BD$72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FTP'!$BE$72:$BL$72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A1-47B1-A653-65121832E925}"/>
            </c:ext>
          </c:extLst>
        </c:ser>
        <c:ser>
          <c:idx val="5"/>
          <c:order val="5"/>
          <c:tx>
            <c:strRef>
              <c:f>'Variant 2 - FTP'!$BD$73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FTP'!$BE$73:$BL$73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A1-47B1-A653-65121832E925}"/>
            </c:ext>
          </c:extLst>
        </c:ser>
        <c:ser>
          <c:idx val="6"/>
          <c:order val="6"/>
          <c:tx>
            <c:strRef>
              <c:f>'Variant 2 - FTP'!$BD$74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FTP'!$BE$74:$BL$74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A1-47B1-A653-65121832E925}"/>
            </c:ext>
          </c:extLst>
        </c:ser>
        <c:ser>
          <c:idx val="7"/>
          <c:order val="7"/>
          <c:tx>
            <c:strRef>
              <c:f>'Variant 2 - FTP'!$BD$75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FTP'!$BE$75:$BL$75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A1-47B1-A653-65121832E925}"/>
            </c:ext>
          </c:extLst>
        </c:ser>
        <c:ser>
          <c:idx val="8"/>
          <c:order val="8"/>
          <c:tx>
            <c:strRef>
              <c:f>'Variant 2 - FTP'!$BD$76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FTP'!$BE$76:$BL$76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A1-47B1-A653-65121832E925}"/>
            </c:ext>
          </c:extLst>
        </c:ser>
        <c:ser>
          <c:idx val="9"/>
          <c:order val="9"/>
          <c:tx>
            <c:strRef>
              <c:f>'Variant 2 - FTP'!$BD$77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FTP'!$BE$77:$BL$77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A1-47B1-A653-65121832E925}"/>
            </c:ext>
          </c:extLst>
        </c:ser>
        <c:ser>
          <c:idx val="10"/>
          <c:order val="10"/>
          <c:tx>
            <c:strRef>
              <c:f>'Variant 2 - FTP'!$BD$78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FTP'!$BE$78:$BL$78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A1-47B1-A653-65121832E925}"/>
            </c:ext>
          </c:extLst>
        </c:ser>
        <c:ser>
          <c:idx val="11"/>
          <c:order val="11"/>
          <c:tx>
            <c:strRef>
              <c:f>'Variant 2 - FTP'!$BD$79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FTP'!$BE$79:$BL$79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A1-47B1-A653-65121832E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5664"/>
        <c:axId val="385826056"/>
      </c:radarChart>
      <c:catAx>
        <c:axId val="3858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6056"/>
        <c:crosses val="autoZero"/>
        <c:auto val="1"/>
        <c:lblAlgn val="ctr"/>
        <c:lblOffset val="100"/>
        <c:noMultiLvlLbl val="0"/>
      </c:catAx>
      <c:valAx>
        <c:axId val="38582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FTP'!$BD$80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FTP'!$BE$80:$BL$80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3-466C-9597-58E90C020174}"/>
            </c:ext>
          </c:extLst>
        </c:ser>
        <c:ser>
          <c:idx val="1"/>
          <c:order val="1"/>
          <c:tx>
            <c:strRef>
              <c:f>'Variant 2 - FTP'!$BD$81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FTP'!$BE$81:$BL$81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3-466C-9597-58E90C020174}"/>
            </c:ext>
          </c:extLst>
        </c:ser>
        <c:ser>
          <c:idx val="2"/>
          <c:order val="2"/>
          <c:tx>
            <c:strRef>
              <c:f>'Variant 2 - FTP'!$BD$82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FTP'!$BE$82:$BL$82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3-466C-9597-58E90C020174}"/>
            </c:ext>
          </c:extLst>
        </c:ser>
        <c:ser>
          <c:idx val="3"/>
          <c:order val="3"/>
          <c:tx>
            <c:strRef>
              <c:f>'Variant 2 - FTP'!$BD$83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FTP'!$BE$83:$BL$83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3-466C-9597-58E90C020174}"/>
            </c:ext>
          </c:extLst>
        </c:ser>
        <c:ser>
          <c:idx val="4"/>
          <c:order val="4"/>
          <c:tx>
            <c:strRef>
              <c:f>'Variant 2 - FTP'!$BD$84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FTP'!$BE$84:$BL$84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93-466C-9597-58E90C020174}"/>
            </c:ext>
          </c:extLst>
        </c:ser>
        <c:ser>
          <c:idx val="5"/>
          <c:order val="5"/>
          <c:tx>
            <c:strRef>
              <c:f>'Variant 2 - FTP'!$BD$85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FTP'!$BE$85:$BL$85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93-466C-9597-58E90C020174}"/>
            </c:ext>
          </c:extLst>
        </c:ser>
        <c:ser>
          <c:idx val="6"/>
          <c:order val="6"/>
          <c:tx>
            <c:strRef>
              <c:f>'Variant 2 - FTP'!$BD$86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FTP'!$BE$86:$BL$86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93-466C-9597-58E90C020174}"/>
            </c:ext>
          </c:extLst>
        </c:ser>
        <c:ser>
          <c:idx val="7"/>
          <c:order val="7"/>
          <c:tx>
            <c:strRef>
              <c:f>'Variant 2 - FTP'!$BD$87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FTP'!$BE$87:$BL$87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93-466C-9597-58E90C020174}"/>
            </c:ext>
          </c:extLst>
        </c:ser>
        <c:ser>
          <c:idx val="8"/>
          <c:order val="8"/>
          <c:tx>
            <c:strRef>
              <c:f>'Variant 2 - FTP'!$BD$88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FTP'!$BE$88:$BL$88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3-466C-9597-58E90C020174}"/>
            </c:ext>
          </c:extLst>
        </c:ser>
        <c:ser>
          <c:idx val="9"/>
          <c:order val="9"/>
          <c:tx>
            <c:strRef>
              <c:f>'Variant 2 - FTP'!$BD$89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FTP'!$BE$89:$BL$89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3-466C-9597-58E90C020174}"/>
            </c:ext>
          </c:extLst>
        </c:ser>
        <c:ser>
          <c:idx val="10"/>
          <c:order val="10"/>
          <c:tx>
            <c:strRef>
              <c:f>'Variant 2 - FTP'!$BD$90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FTP'!$BE$90:$BL$90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93-466C-9597-58E90C020174}"/>
            </c:ext>
          </c:extLst>
        </c:ser>
        <c:ser>
          <c:idx val="11"/>
          <c:order val="11"/>
          <c:tx>
            <c:strRef>
              <c:f>'Variant 2 - FTP'!$BD$91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FTP'!$BE$91:$BL$91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93-466C-9597-58E90C020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6840"/>
        <c:axId val="385827232"/>
      </c:radarChart>
      <c:catAx>
        <c:axId val="38582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7232"/>
        <c:crosses val="autoZero"/>
        <c:auto val="1"/>
        <c:lblAlgn val="ctr"/>
        <c:lblOffset val="100"/>
        <c:noMultiLvlLbl val="0"/>
      </c:catAx>
      <c:valAx>
        <c:axId val="3858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FTP'!$BD$111</c:f>
              <c:strCache>
                <c:ptCount val="1"/>
                <c:pt idx="0">
                  <c:v>1st US6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FTP'!$BE$111:$BL$111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F-4F86-A383-B2DEFBA742D8}"/>
            </c:ext>
          </c:extLst>
        </c:ser>
        <c:ser>
          <c:idx val="1"/>
          <c:order val="1"/>
          <c:tx>
            <c:strRef>
              <c:f>'Variant 2 - FTP'!$BD$112</c:f>
              <c:strCache>
                <c:ptCount val="1"/>
                <c:pt idx="0">
                  <c:v>1st HWY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FTP'!$BE$112:$BL$112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F-4F86-A383-B2DEFBA742D8}"/>
            </c:ext>
          </c:extLst>
        </c:ser>
        <c:ser>
          <c:idx val="4"/>
          <c:order val="2"/>
          <c:tx>
            <c:strRef>
              <c:f>'Variant 2 - FTP'!$BD$115</c:f>
              <c:strCache>
                <c:ptCount val="1"/>
                <c:pt idx="0">
                  <c:v>0.7*IEF US6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FTP'!$BE$115:$BL$115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F-4F86-A383-B2DEFBA742D8}"/>
            </c:ext>
          </c:extLst>
        </c:ser>
        <c:ser>
          <c:idx val="5"/>
          <c:order val="3"/>
          <c:tx>
            <c:strRef>
              <c:f>'Variant 2 - FTP'!$BD$116</c:f>
              <c:strCache>
                <c:ptCount val="1"/>
                <c:pt idx="0">
                  <c:v>0.7*IEF HWY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FTP'!$BE$116:$BL$116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F-4F86-A383-B2DEFBA74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8016"/>
        <c:axId val="385828408"/>
      </c:radarChart>
      <c:catAx>
        <c:axId val="3858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8408"/>
        <c:crosses val="autoZero"/>
        <c:auto val="1"/>
        <c:lblAlgn val="ctr"/>
        <c:lblOffset val="100"/>
        <c:noMultiLvlLbl val="0"/>
      </c:catAx>
      <c:valAx>
        <c:axId val="38582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FTP'!$BD$119</c:f>
              <c:strCache>
                <c:ptCount val="1"/>
                <c:pt idx="0">
                  <c:v>US6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FTP'!$BE$119:$BL$119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6-414D-9468-15ECF5CDE6B5}"/>
            </c:ext>
          </c:extLst>
        </c:ser>
        <c:ser>
          <c:idx val="1"/>
          <c:order val="1"/>
          <c:tx>
            <c:strRef>
              <c:f>'Variant 2 - FTP'!$BD$120</c:f>
              <c:strCache>
                <c:ptCount val="1"/>
                <c:pt idx="0">
                  <c:v>HWY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FTP'!$BE$120:$BL$120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6-414D-9468-15ECF5CDE6B5}"/>
            </c:ext>
          </c:extLst>
        </c:ser>
        <c:ser>
          <c:idx val="4"/>
          <c:order val="2"/>
          <c:tx>
            <c:strRef>
              <c:f>'Variant 2 - FTP'!$BD$122</c:f>
              <c:strCache>
                <c:ptCount val="1"/>
                <c:pt idx="0">
                  <c:v>IEF US6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FTP'!$BE$122:$BL$122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6-414D-9468-15ECF5CDE6B5}"/>
            </c:ext>
          </c:extLst>
        </c:ser>
        <c:ser>
          <c:idx val="5"/>
          <c:order val="3"/>
          <c:tx>
            <c:strRef>
              <c:f>'Variant 2 - FTP'!$BD$123</c:f>
              <c:strCache>
                <c:ptCount val="1"/>
                <c:pt idx="0">
                  <c:v>IEF HWY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FTP'!$BE$123:$BL$123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56-414D-9468-15ECF5CD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29192"/>
        <c:axId val="385829584"/>
      </c:radarChart>
      <c:catAx>
        <c:axId val="38582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9584"/>
        <c:crosses val="autoZero"/>
        <c:auto val="1"/>
        <c:lblAlgn val="ctr"/>
        <c:lblOffset val="100"/>
        <c:noMultiLvlLbl val="0"/>
      </c:catAx>
      <c:valAx>
        <c:axId val="3858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FTP'!$BU$136:$BZ$136</c:f>
              <c:strCache>
                <c:ptCount val="3"/>
                <c:pt idx="0">
                  <c:v>CO</c:v>
                </c:pt>
                <c:pt idx="1">
                  <c:v>NOx</c:v>
                </c:pt>
                <c:pt idx="2">
                  <c:v>PM</c:v>
                </c:pt>
              </c:strCache>
            </c:strRef>
          </c:cat>
          <c:val>
            <c:numRef>
              <c:f>'Variant 2 - FTP'!$BU$138:$BZ$138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756-4286-8342-280EC98E6558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FTP'!$BU$136:$BZ$136</c:f>
              <c:strCache>
                <c:ptCount val="3"/>
                <c:pt idx="0">
                  <c:v>CO</c:v>
                </c:pt>
                <c:pt idx="1">
                  <c:v>NOx</c:v>
                </c:pt>
                <c:pt idx="2">
                  <c:v>PM</c:v>
                </c:pt>
              </c:strCache>
            </c:strRef>
          </c:cat>
          <c:val>
            <c:numRef>
              <c:f>'Variant 2 - FTP'!$BU$142:$BZ$142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756-4286-8342-280EC98E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30368"/>
        <c:axId val="385830760"/>
      </c:radarChart>
      <c:catAx>
        <c:axId val="3858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0760"/>
        <c:crosses val="autoZero"/>
        <c:auto val="1"/>
        <c:lblAlgn val="ctr"/>
        <c:lblOffset val="100"/>
        <c:noMultiLvlLbl val="0"/>
      </c:catAx>
      <c:valAx>
        <c:axId val="3858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036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FTP'!$BU$136:$BZ$136</c:f>
              <c:strCache>
                <c:ptCount val="3"/>
                <c:pt idx="0">
                  <c:v>CO</c:v>
                </c:pt>
                <c:pt idx="1">
                  <c:v>NOx</c:v>
                </c:pt>
                <c:pt idx="2">
                  <c:v>PM</c:v>
                </c:pt>
              </c:strCache>
            </c:strRef>
          </c:cat>
          <c:val>
            <c:numRef>
              <c:f>'Variant 2 - FTP'!$BU$146:$BZ$146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C3C-4578-ADAD-0E318C088E2E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FTP'!$BU$136:$BZ$136</c:f>
              <c:strCache>
                <c:ptCount val="3"/>
                <c:pt idx="0">
                  <c:v>CO</c:v>
                </c:pt>
                <c:pt idx="1">
                  <c:v>NOx</c:v>
                </c:pt>
                <c:pt idx="2">
                  <c:v>PM</c:v>
                </c:pt>
              </c:strCache>
            </c:strRef>
          </c:cat>
          <c:val>
            <c:numRef>
              <c:f>'Variant 2 - FTP'!$BU$150:$BZ$150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C3C-4578-ADAD-0E318C088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31544"/>
        <c:axId val="385831936"/>
      </c:radarChart>
      <c:catAx>
        <c:axId val="3858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1936"/>
        <c:crosses val="autoZero"/>
        <c:auto val="1"/>
        <c:lblAlgn val="ctr"/>
        <c:lblOffset val="100"/>
        <c:noMultiLvlLbl val="0"/>
      </c:catAx>
      <c:valAx>
        <c:axId val="3858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154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FTP'!$BD$165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FTP'!$BE$165:$BL$165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D-464D-B8F1-F5D509C14A42}"/>
            </c:ext>
          </c:extLst>
        </c:ser>
        <c:ser>
          <c:idx val="4"/>
          <c:order val="1"/>
          <c:tx>
            <c:strRef>
              <c:f>'Variant 2 - FTP'!$BD$169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FTP'!$BE$169:$BL$169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D-464D-B8F1-F5D509C1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32720"/>
        <c:axId val="385833112"/>
      </c:radarChart>
      <c:catAx>
        <c:axId val="3858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3112"/>
        <c:crosses val="autoZero"/>
        <c:auto val="1"/>
        <c:lblAlgn val="ctr"/>
        <c:lblOffset val="100"/>
        <c:noMultiLvlLbl val="0"/>
      </c:catAx>
      <c:valAx>
        <c:axId val="3858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272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FTP'!$BD$173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FTP'!$BE$173:$BL$173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E-4CAE-ACE1-844A5A79BEB2}"/>
            </c:ext>
          </c:extLst>
        </c:ser>
        <c:ser>
          <c:idx val="4"/>
          <c:order val="1"/>
          <c:tx>
            <c:strRef>
              <c:f>'Variant 2 - FTP'!$BD$177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FTP'!$BE$177:$BL$177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E-4CAE-ACE1-844A5A79B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33896"/>
        <c:axId val="385834288"/>
      </c:radarChart>
      <c:catAx>
        <c:axId val="38583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4288"/>
        <c:crosses val="autoZero"/>
        <c:auto val="1"/>
        <c:lblAlgn val="ctr"/>
        <c:lblOffset val="100"/>
        <c:noMultiLvlLbl val="0"/>
      </c:catAx>
      <c:valAx>
        <c:axId val="3858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389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FTP'!$BD$186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FTP'!$BE$186:$BL$186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9-4341-B916-16A77FE219DE}"/>
            </c:ext>
          </c:extLst>
        </c:ser>
        <c:ser>
          <c:idx val="1"/>
          <c:order val="1"/>
          <c:tx>
            <c:strRef>
              <c:f>'Variant 2 - FTP'!$BD$187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FTP'!$BE$187:$BL$187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9-4341-B916-16A77FE219DE}"/>
            </c:ext>
          </c:extLst>
        </c:ser>
        <c:ser>
          <c:idx val="4"/>
          <c:order val="2"/>
          <c:tx>
            <c:strRef>
              <c:f>'Variant 2 - FTP'!$BD$192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FTP'!$BE$192:$BL$192</c:f>
              <c:numCache>
                <c:formatCode>General</c:formatCode>
                <c:ptCount val="4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9-4341-B916-16A77FE219DE}"/>
            </c:ext>
          </c:extLst>
        </c:ser>
        <c:ser>
          <c:idx val="5"/>
          <c:order val="3"/>
          <c:tx>
            <c:strRef>
              <c:f>'Variant 2 - FTP'!$BD$193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FTP'!$BE$193:$BL$193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9-4341-B916-16A77FE21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29384"/>
        <c:axId val="388229776"/>
      </c:radarChart>
      <c:catAx>
        <c:axId val="38822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9776"/>
        <c:crosses val="autoZero"/>
        <c:auto val="1"/>
        <c:lblAlgn val="ctr"/>
        <c:lblOffset val="100"/>
        <c:noMultiLvlLbl val="0"/>
      </c:catAx>
      <c:valAx>
        <c:axId val="388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FTP'!$BD$198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FTP'!$BE$198:$BL$198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E-4317-BBA7-8DB37DA016F7}"/>
            </c:ext>
          </c:extLst>
        </c:ser>
        <c:ser>
          <c:idx val="1"/>
          <c:order val="1"/>
          <c:tx>
            <c:strRef>
              <c:f>'Variant 2 - FTP'!$BD$199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FTP'!$BE$199:$BL$199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E-4317-BBA7-8DB37DA016F7}"/>
            </c:ext>
          </c:extLst>
        </c:ser>
        <c:ser>
          <c:idx val="4"/>
          <c:order val="2"/>
          <c:tx>
            <c:strRef>
              <c:f>'Variant 2 - FTP'!$BD$204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FTP'!$BE$204:$BL$204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3E-4317-BBA7-8DB37DA016F7}"/>
            </c:ext>
          </c:extLst>
        </c:ser>
        <c:ser>
          <c:idx val="5"/>
          <c:order val="3"/>
          <c:tx>
            <c:strRef>
              <c:f>'Variant 2 - FTP'!$BD$205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FTP'!$BE$205:$BL$205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3E-4317-BBA7-8DB37DA01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3696"/>
        <c:axId val="388234088"/>
      </c:radarChart>
      <c:catAx>
        <c:axId val="3882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4088"/>
        <c:crosses val="autoZero"/>
        <c:auto val="1"/>
        <c:lblAlgn val="ctr"/>
        <c:lblOffset val="100"/>
        <c:noMultiLvlLbl val="0"/>
      </c:catAx>
      <c:valAx>
        <c:axId val="3882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FTP'!$BD$213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FTP'!$BE$213:$BL$213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5-4FF6-8911-2A16C94F38C5}"/>
            </c:ext>
          </c:extLst>
        </c:ser>
        <c:ser>
          <c:idx val="1"/>
          <c:order val="1"/>
          <c:tx>
            <c:strRef>
              <c:f>'Variant 2 - FTP'!$BD$214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FTP'!$BE$214:$BL$214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5-4FF6-8911-2A16C94F38C5}"/>
            </c:ext>
          </c:extLst>
        </c:ser>
        <c:ser>
          <c:idx val="2"/>
          <c:order val="2"/>
          <c:tx>
            <c:strRef>
              <c:f>'Variant 2 - FTP'!$BD$215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FTP'!$BE$215:$BL$215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5-4FF6-8911-2A16C94F38C5}"/>
            </c:ext>
          </c:extLst>
        </c:ser>
        <c:ser>
          <c:idx val="3"/>
          <c:order val="3"/>
          <c:tx>
            <c:strRef>
              <c:f>'Variant 2 - FTP'!$BD$216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FTP'!$BE$216:$BL$216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5-4FF6-8911-2A16C94F38C5}"/>
            </c:ext>
          </c:extLst>
        </c:ser>
        <c:ser>
          <c:idx val="4"/>
          <c:order val="4"/>
          <c:tx>
            <c:strRef>
              <c:f>'Variant 2 - FTP'!$BD$217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FTP'!$BE$217:$BL$217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A5-4FF6-8911-2A16C94F38C5}"/>
            </c:ext>
          </c:extLst>
        </c:ser>
        <c:ser>
          <c:idx val="5"/>
          <c:order val="5"/>
          <c:tx>
            <c:strRef>
              <c:f>'Variant 2 - FTP'!$BD$218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FTP'!$BE$218:$BL$218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A5-4FF6-8911-2A16C94F38C5}"/>
            </c:ext>
          </c:extLst>
        </c:ser>
        <c:ser>
          <c:idx val="6"/>
          <c:order val="6"/>
          <c:tx>
            <c:strRef>
              <c:f>'Variant 2 - FTP'!$BD$219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FTP'!$BE$219:$BL$219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A5-4FF6-8911-2A16C94F38C5}"/>
            </c:ext>
          </c:extLst>
        </c:ser>
        <c:ser>
          <c:idx val="7"/>
          <c:order val="7"/>
          <c:tx>
            <c:strRef>
              <c:f>'Variant 2 - FTP'!$BD$220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FTP'!$BE$220:$BL$220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A5-4FF6-8911-2A16C94F38C5}"/>
            </c:ext>
          </c:extLst>
        </c:ser>
        <c:ser>
          <c:idx val="8"/>
          <c:order val="8"/>
          <c:tx>
            <c:strRef>
              <c:f>'Variant 2 - FTP'!$BD$221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FTP'!$BE$221:$BL$221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A5-4FF6-8911-2A16C94F38C5}"/>
            </c:ext>
          </c:extLst>
        </c:ser>
        <c:ser>
          <c:idx val="9"/>
          <c:order val="9"/>
          <c:tx>
            <c:strRef>
              <c:f>'Variant 2 - FTP'!$BD$222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FTP'!$BE$222:$BL$222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A5-4FF6-8911-2A16C94F38C5}"/>
            </c:ext>
          </c:extLst>
        </c:ser>
        <c:ser>
          <c:idx val="10"/>
          <c:order val="10"/>
          <c:tx>
            <c:strRef>
              <c:f>'Variant 2 - FTP'!$BD$223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FTP'!$BE$223:$BL$223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A5-4FF6-8911-2A16C94F38C5}"/>
            </c:ext>
          </c:extLst>
        </c:ser>
        <c:ser>
          <c:idx val="11"/>
          <c:order val="11"/>
          <c:tx>
            <c:strRef>
              <c:f>'Variant 2 - FTP'!$BD$224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FTP'!$BE$224:$BL$224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A5-4FF6-8911-2A16C94F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4872"/>
        <c:axId val="388235264"/>
      </c:radarChart>
      <c:catAx>
        <c:axId val="38823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5264"/>
        <c:crosses val="autoZero"/>
        <c:auto val="1"/>
        <c:lblAlgn val="ctr"/>
        <c:lblOffset val="100"/>
        <c:noMultiLvlLbl val="0"/>
      </c:catAx>
      <c:valAx>
        <c:axId val="38823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FTP'!$BD$225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FTP'!$BE$225:$BL$225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4-45ED-9BB6-18C9BA11D89C}"/>
            </c:ext>
          </c:extLst>
        </c:ser>
        <c:ser>
          <c:idx val="1"/>
          <c:order val="1"/>
          <c:tx>
            <c:strRef>
              <c:f>'Variant 2 - FTP'!$BD$226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FTP'!$BE$226:$BL$226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4-45ED-9BB6-18C9BA11D89C}"/>
            </c:ext>
          </c:extLst>
        </c:ser>
        <c:ser>
          <c:idx val="2"/>
          <c:order val="2"/>
          <c:tx>
            <c:strRef>
              <c:f>'Variant 2 - FTP'!$BD$227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FTP'!$BE$227:$BL$227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F4-45ED-9BB6-18C9BA11D89C}"/>
            </c:ext>
          </c:extLst>
        </c:ser>
        <c:ser>
          <c:idx val="3"/>
          <c:order val="3"/>
          <c:tx>
            <c:strRef>
              <c:f>'Variant 2 - FTP'!$BD$228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FTP'!$BE$228:$BL$228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F4-45ED-9BB6-18C9BA11D89C}"/>
            </c:ext>
          </c:extLst>
        </c:ser>
        <c:ser>
          <c:idx val="4"/>
          <c:order val="4"/>
          <c:tx>
            <c:strRef>
              <c:f>'Variant 2 - FTP'!$BD$229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FTP'!$BE$229:$BL$229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F4-45ED-9BB6-18C9BA11D89C}"/>
            </c:ext>
          </c:extLst>
        </c:ser>
        <c:ser>
          <c:idx val="5"/>
          <c:order val="5"/>
          <c:tx>
            <c:strRef>
              <c:f>'Variant 2 - FTP'!$BD$230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FTP'!$BE$230:$BL$230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F4-45ED-9BB6-18C9BA11D89C}"/>
            </c:ext>
          </c:extLst>
        </c:ser>
        <c:ser>
          <c:idx val="6"/>
          <c:order val="6"/>
          <c:tx>
            <c:strRef>
              <c:f>'Variant 2 - FTP'!$BD$231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FTP'!$BE$231:$BL$231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F4-45ED-9BB6-18C9BA11D89C}"/>
            </c:ext>
          </c:extLst>
        </c:ser>
        <c:ser>
          <c:idx val="7"/>
          <c:order val="7"/>
          <c:tx>
            <c:strRef>
              <c:f>'Variant 2 - FTP'!$BD$232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FTP'!$BE$232:$BL$232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F4-45ED-9BB6-18C9BA11D89C}"/>
            </c:ext>
          </c:extLst>
        </c:ser>
        <c:ser>
          <c:idx val="8"/>
          <c:order val="8"/>
          <c:tx>
            <c:strRef>
              <c:f>'Variant 2 - FTP'!$BD$233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FTP'!$BE$233:$BL$233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F4-45ED-9BB6-18C9BA11D89C}"/>
            </c:ext>
          </c:extLst>
        </c:ser>
        <c:ser>
          <c:idx val="9"/>
          <c:order val="9"/>
          <c:tx>
            <c:strRef>
              <c:f>'Variant 2 - FTP'!$BD$234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FTP'!$BE$234:$BL$234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F4-45ED-9BB6-18C9BA11D89C}"/>
            </c:ext>
          </c:extLst>
        </c:ser>
        <c:ser>
          <c:idx val="10"/>
          <c:order val="10"/>
          <c:tx>
            <c:strRef>
              <c:f>'Variant 2 - FTP'!$BD$235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FTP'!$BE$235:$BL$235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F4-45ED-9BB6-18C9BA11D89C}"/>
            </c:ext>
          </c:extLst>
        </c:ser>
        <c:ser>
          <c:idx val="11"/>
          <c:order val="11"/>
          <c:tx>
            <c:strRef>
              <c:f>'Variant 2 - FTP'!$BD$236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FTP'!$BE$236:$BL$236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F4-45ED-9BB6-18C9BA11D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6048"/>
        <c:axId val="388236440"/>
      </c:radarChart>
      <c:catAx>
        <c:axId val="38823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6440"/>
        <c:crosses val="autoZero"/>
        <c:auto val="1"/>
        <c:lblAlgn val="ctr"/>
        <c:lblOffset val="100"/>
        <c:noMultiLvlLbl val="0"/>
      </c:catAx>
      <c:valAx>
        <c:axId val="38823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(Fuel2)'!$BD$14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(Fuel2)'!$BE$14:$BL$14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C-461F-84B4-F21AB3A98168}"/>
            </c:ext>
          </c:extLst>
        </c:ser>
        <c:ser>
          <c:idx val="1"/>
          <c:order val="1"/>
          <c:tx>
            <c:strRef>
              <c:f>'Variant 2 - FTP75 (Fuel2)'!$BD$15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(Fuel2)'!$BE$15:$BL$15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7C-461F-84B4-F21AB3A98168}"/>
            </c:ext>
          </c:extLst>
        </c:ser>
        <c:ser>
          <c:idx val="2"/>
          <c:order val="2"/>
          <c:tx>
            <c:strRef>
              <c:f>'Variant 2 - FTP75 (Fuel2)'!$BD$16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(Fuel2)'!$BE$16:$BL$16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7C-461F-84B4-F21AB3A98168}"/>
            </c:ext>
          </c:extLst>
        </c:ser>
        <c:ser>
          <c:idx val="3"/>
          <c:order val="3"/>
          <c:tx>
            <c:strRef>
              <c:f>'Variant 2 - FTP75 (Fuel2)'!$BD$17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(Fuel2)'!$BE$17:$BL$17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7C-461F-84B4-F21AB3A98168}"/>
            </c:ext>
          </c:extLst>
        </c:ser>
        <c:ser>
          <c:idx val="4"/>
          <c:order val="4"/>
          <c:tx>
            <c:strRef>
              <c:f>'Variant 2 - FTP75 (Fuel2)'!$BD$18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(Fuel2)'!$BE$18:$BL$18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7C-461F-84B4-F21AB3A98168}"/>
            </c:ext>
          </c:extLst>
        </c:ser>
        <c:ser>
          <c:idx val="5"/>
          <c:order val="5"/>
          <c:tx>
            <c:strRef>
              <c:f>'Variant 2 - FTP75 (Fuel2)'!$BD$19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(Fuel2)'!$BE$19:$BL$19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7C-461F-84B4-F21AB3A98168}"/>
            </c:ext>
          </c:extLst>
        </c:ser>
        <c:ser>
          <c:idx val="6"/>
          <c:order val="6"/>
          <c:tx>
            <c:strRef>
              <c:f>'Variant 2 - FTP75 (Fuel2)'!$BD$20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(Fuel2)'!$BE$20:$BL$20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7C-461F-84B4-F21AB3A98168}"/>
            </c:ext>
          </c:extLst>
        </c:ser>
        <c:ser>
          <c:idx val="7"/>
          <c:order val="7"/>
          <c:tx>
            <c:strRef>
              <c:f>'Variant 2 - FTP75 (Fuel2)'!$BD$21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(Fuel2)'!$BE$21:$BL$21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7C-461F-84B4-F21AB3A98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7224"/>
        <c:axId val="388237616"/>
      </c:radarChart>
      <c:catAx>
        <c:axId val="38823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7616"/>
        <c:crosses val="autoZero"/>
        <c:auto val="1"/>
        <c:lblAlgn val="ctr"/>
        <c:lblOffset val="100"/>
        <c:noMultiLvlLbl val="0"/>
      </c:catAx>
      <c:valAx>
        <c:axId val="3882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(Fuel2)'!$BD$22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(Fuel2)'!$BE$22:$BL$22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6-4D3C-8F91-BAE70E40B6C4}"/>
            </c:ext>
          </c:extLst>
        </c:ser>
        <c:ser>
          <c:idx val="1"/>
          <c:order val="1"/>
          <c:tx>
            <c:strRef>
              <c:f>'Variant 2 - FTP75 (Fuel2)'!$BD$23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(Fuel2)'!$BE$23:$BL$23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6-4D3C-8F91-BAE70E40B6C4}"/>
            </c:ext>
          </c:extLst>
        </c:ser>
        <c:ser>
          <c:idx val="2"/>
          <c:order val="2"/>
          <c:tx>
            <c:strRef>
              <c:f>'Variant 2 - FTP75 (Fuel2)'!$BD$24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(Fuel2)'!$BE$24:$BL$24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6-4D3C-8F91-BAE70E40B6C4}"/>
            </c:ext>
          </c:extLst>
        </c:ser>
        <c:ser>
          <c:idx val="3"/>
          <c:order val="3"/>
          <c:tx>
            <c:strRef>
              <c:f>'Variant 2 - FTP75 (Fuel2)'!$BD$25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(Fuel2)'!$BE$25:$BL$25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6-4D3C-8F91-BAE70E40B6C4}"/>
            </c:ext>
          </c:extLst>
        </c:ser>
        <c:ser>
          <c:idx val="4"/>
          <c:order val="4"/>
          <c:tx>
            <c:strRef>
              <c:f>'Variant 2 - FTP75 (Fuel2)'!$BD$26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(Fuel2)'!$BE$26:$BL$26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6-4D3C-8F91-BAE70E40B6C4}"/>
            </c:ext>
          </c:extLst>
        </c:ser>
        <c:ser>
          <c:idx val="5"/>
          <c:order val="5"/>
          <c:tx>
            <c:strRef>
              <c:f>'Variant 2 - FTP75 (Fuel2)'!$BD$27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(Fuel2)'!$BE$27:$BL$27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6-4D3C-8F91-BAE70E40B6C4}"/>
            </c:ext>
          </c:extLst>
        </c:ser>
        <c:ser>
          <c:idx val="6"/>
          <c:order val="6"/>
          <c:tx>
            <c:strRef>
              <c:f>'Variant 2 - FTP75 (Fuel2)'!$BD$28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(Fuel2)'!$BE$28:$BL$28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56-4D3C-8F91-BAE70E40B6C4}"/>
            </c:ext>
          </c:extLst>
        </c:ser>
        <c:ser>
          <c:idx val="7"/>
          <c:order val="7"/>
          <c:tx>
            <c:strRef>
              <c:f>'Variant 2 - FTP75 (Fuel2)'!$BD$29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(Fuel2)'!$BE$12:$BL$12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(Fuel2)'!$BE$29:$BL$29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56-4D3C-8F91-BAE70E40B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8400"/>
        <c:axId val="388238792"/>
      </c:radarChart>
      <c:catAx>
        <c:axId val="3882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8792"/>
        <c:crosses val="autoZero"/>
        <c:auto val="1"/>
        <c:lblAlgn val="ctr"/>
        <c:lblOffset val="100"/>
        <c:noMultiLvlLbl val="0"/>
      </c:catAx>
      <c:valAx>
        <c:axId val="38823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FTP75 (Fuel2)'!$BM$39:$BT$39</c:f>
            </c:multiLvlStrRef>
          </c:cat>
          <c:val>
            <c:numRef>
              <c:f>'Variant 2 - FTP75 (Fuel2)'!$BM$41:$BT$41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E86-4742-A9EC-981AAB896C00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FTP75 (Fuel2)'!$BM$39:$BT$39</c:f>
            </c:multiLvlStrRef>
          </c:cat>
          <c:val>
            <c:numRef>
              <c:f>'Variant 2 - FTP75 (Fuel2)'!$BM$45:$BT$45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E86-4742-A9EC-981AAB89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39576"/>
        <c:axId val="388239968"/>
      </c:radarChart>
      <c:catAx>
        <c:axId val="38823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9968"/>
        <c:crosses val="autoZero"/>
        <c:auto val="1"/>
        <c:lblAlgn val="ctr"/>
        <c:lblOffset val="100"/>
        <c:noMultiLvlLbl val="0"/>
      </c:catAx>
      <c:valAx>
        <c:axId val="38823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3957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FTP75 (Fuel2)'!$BM$39:$BT$39</c:f>
            </c:multiLvlStrRef>
          </c:cat>
          <c:val>
            <c:numRef>
              <c:f>'Variant 2 - FTP75 (Fuel2)'!$BM$49:$BT$49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878-4C95-91B6-88A1EFAE3875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FTP75 (Fuel2)'!$BM$39:$BT$39</c:f>
            </c:multiLvlStrRef>
          </c:cat>
          <c:val>
            <c:numRef>
              <c:f>'Variant 2 - FTP75 (Fuel2)'!$BM$53:$BT$53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78-4C95-91B6-88A1EFAE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40752"/>
        <c:axId val="388241144"/>
      </c:radarChart>
      <c:catAx>
        <c:axId val="38824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1144"/>
        <c:crosses val="autoZero"/>
        <c:auto val="1"/>
        <c:lblAlgn val="ctr"/>
        <c:lblOffset val="100"/>
        <c:noMultiLvlLbl val="0"/>
      </c:catAx>
      <c:valAx>
        <c:axId val="38824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075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(Fuel2)'!$BD$68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(Fuel2)'!$BE$68:$BL$68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7-468B-967E-975456A6EF5B}"/>
            </c:ext>
          </c:extLst>
        </c:ser>
        <c:ser>
          <c:idx val="1"/>
          <c:order val="1"/>
          <c:tx>
            <c:strRef>
              <c:f>'Variant 2 - FTP75 (Fuel2)'!$BD$69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(Fuel2)'!$BE$69:$BL$69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7-468B-967E-975456A6EF5B}"/>
            </c:ext>
          </c:extLst>
        </c:ser>
        <c:ser>
          <c:idx val="2"/>
          <c:order val="2"/>
          <c:tx>
            <c:strRef>
              <c:f>'Variant 2 - FTP75 (Fuel2)'!$BD$70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(Fuel2)'!$BE$70:$BL$70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7-468B-967E-975456A6EF5B}"/>
            </c:ext>
          </c:extLst>
        </c:ser>
        <c:ser>
          <c:idx val="3"/>
          <c:order val="3"/>
          <c:tx>
            <c:strRef>
              <c:f>'Variant 2 - FTP75 (Fuel2)'!$BD$71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(Fuel2)'!$BE$71:$BL$71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7-468B-967E-975456A6EF5B}"/>
            </c:ext>
          </c:extLst>
        </c:ser>
        <c:ser>
          <c:idx val="4"/>
          <c:order val="4"/>
          <c:tx>
            <c:strRef>
              <c:f>'Variant 2 - FTP75 (Fuel2)'!$BD$72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(Fuel2)'!$BE$72:$BL$72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7-468B-967E-975456A6EF5B}"/>
            </c:ext>
          </c:extLst>
        </c:ser>
        <c:ser>
          <c:idx val="5"/>
          <c:order val="5"/>
          <c:tx>
            <c:strRef>
              <c:f>'Variant 2 - FTP75 (Fuel2)'!$BD$73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(Fuel2)'!$BE$73:$BL$73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7-468B-967E-975456A6EF5B}"/>
            </c:ext>
          </c:extLst>
        </c:ser>
        <c:ser>
          <c:idx val="6"/>
          <c:order val="6"/>
          <c:tx>
            <c:strRef>
              <c:f>'Variant 2 - FTP75 (Fuel2)'!$BD$74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(Fuel2)'!$BE$74:$BL$74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7-468B-967E-975456A6EF5B}"/>
            </c:ext>
          </c:extLst>
        </c:ser>
        <c:ser>
          <c:idx val="7"/>
          <c:order val="7"/>
          <c:tx>
            <c:strRef>
              <c:f>'Variant 2 - FTP75 (Fuel2)'!$BD$75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(Fuel2)'!$BE$75:$BL$75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17-468B-967E-975456A6EF5B}"/>
            </c:ext>
          </c:extLst>
        </c:ser>
        <c:ser>
          <c:idx val="8"/>
          <c:order val="8"/>
          <c:tx>
            <c:strRef>
              <c:f>'Variant 2 - FTP75 (Fuel2)'!$BD$76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(Fuel2)'!$BE$76:$BL$76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17-468B-967E-975456A6EF5B}"/>
            </c:ext>
          </c:extLst>
        </c:ser>
        <c:ser>
          <c:idx val="9"/>
          <c:order val="9"/>
          <c:tx>
            <c:strRef>
              <c:f>'Variant 2 - FTP75 (Fuel2)'!$BD$77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(Fuel2)'!$BE$77:$BL$77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17-468B-967E-975456A6EF5B}"/>
            </c:ext>
          </c:extLst>
        </c:ser>
        <c:ser>
          <c:idx val="10"/>
          <c:order val="10"/>
          <c:tx>
            <c:strRef>
              <c:f>'Variant 2 - FTP75 (Fuel2)'!$BD$78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(Fuel2)'!$BE$78:$BL$78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17-468B-967E-975456A6EF5B}"/>
            </c:ext>
          </c:extLst>
        </c:ser>
        <c:ser>
          <c:idx val="11"/>
          <c:order val="11"/>
          <c:tx>
            <c:strRef>
              <c:f>'Variant 2 - FTP75 (Fuel2)'!$BD$79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(Fuel2)'!$BE$79:$BL$79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17-468B-967E-975456A6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41928"/>
        <c:axId val="388242320"/>
      </c:radarChart>
      <c:catAx>
        <c:axId val="38824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2320"/>
        <c:crosses val="autoZero"/>
        <c:auto val="1"/>
        <c:lblAlgn val="ctr"/>
        <c:lblOffset val="100"/>
        <c:noMultiLvlLbl val="0"/>
      </c:catAx>
      <c:valAx>
        <c:axId val="388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(Fuel2)'!$BD$80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(Fuel2)'!$BE$80:$BL$80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5-4BF3-8BB8-FDDB74EB2CA0}"/>
            </c:ext>
          </c:extLst>
        </c:ser>
        <c:ser>
          <c:idx val="1"/>
          <c:order val="1"/>
          <c:tx>
            <c:strRef>
              <c:f>'Variant 2 - FTP75 (Fuel2)'!$BD$81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(Fuel2)'!$BE$81:$BL$81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5-4BF3-8BB8-FDDB74EB2CA0}"/>
            </c:ext>
          </c:extLst>
        </c:ser>
        <c:ser>
          <c:idx val="2"/>
          <c:order val="2"/>
          <c:tx>
            <c:strRef>
              <c:f>'Variant 2 - FTP75 (Fuel2)'!$BD$82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(Fuel2)'!$BE$82:$BL$82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5-4BF3-8BB8-FDDB74EB2CA0}"/>
            </c:ext>
          </c:extLst>
        </c:ser>
        <c:ser>
          <c:idx val="3"/>
          <c:order val="3"/>
          <c:tx>
            <c:strRef>
              <c:f>'Variant 2 - FTP75 (Fuel2)'!$BD$83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(Fuel2)'!$BE$83:$BL$83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5-4BF3-8BB8-FDDB74EB2CA0}"/>
            </c:ext>
          </c:extLst>
        </c:ser>
        <c:ser>
          <c:idx val="4"/>
          <c:order val="4"/>
          <c:tx>
            <c:strRef>
              <c:f>'Variant 2 - FTP75 (Fuel2)'!$BD$84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(Fuel2)'!$BE$84:$BL$84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E5-4BF3-8BB8-FDDB74EB2CA0}"/>
            </c:ext>
          </c:extLst>
        </c:ser>
        <c:ser>
          <c:idx val="5"/>
          <c:order val="5"/>
          <c:tx>
            <c:strRef>
              <c:f>'Variant 2 - FTP75 (Fuel2)'!$BD$85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(Fuel2)'!$BE$85:$BL$85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E5-4BF3-8BB8-FDDB74EB2CA0}"/>
            </c:ext>
          </c:extLst>
        </c:ser>
        <c:ser>
          <c:idx val="6"/>
          <c:order val="6"/>
          <c:tx>
            <c:strRef>
              <c:f>'Variant 2 - FTP75 (Fuel2)'!$BD$86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(Fuel2)'!$BE$86:$BL$86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E5-4BF3-8BB8-FDDB74EB2CA0}"/>
            </c:ext>
          </c:extLst>
        </c:ser>
        <c:ser>
          <c:idx val="7"/>
          <c:order val="7"/>
          <c:tx>
            <c:strRef>
              <c:f>'Variant 2 - FTP75 (Fuel2)'!$BD$87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(Fuel2)'!$BE$87:$BL$87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E5-4BF3-8BB8-FDDB74EB2CA0}"/>
            </c:ext>
          </c:extLst>
        </c:ser>
        <c:ser>
          <c:idx val="8"/>
          <c:order val="8"/>
          <c:tx>
            <c:strRef>
              <c:f>'Variant 2 - FTP75 (Fuel2)'!$BD$88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(Fuel2)'!$BE$88:$BL$88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E5-4BF3-8BB8-FDDB74EB2CA0}"/>
            </c:ext>
          </c:extLst>
        </c:ser>
        <c:ser>
          <c:idx val="9"/>
          <c:order val="9"/>
          <c:tx>
            <c:strRef>
              <c:f>'Variant 2 - FTP75 (Fuel2)'!$BD$89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(Fuel2)'!$BE$89:$BL$89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E5-4BF3-8BB8-FDDB74EB2CA0}"/>
            </c:ext>
          </c:extLst>
        </c:ser>
        <c:ser>
          <c:idx val="10"/>
          <c:order val="10"/>
          <c:tx>
            <c:strRef>
              <c:f>'Variant 2 - FTP75 (Fuel2)'!$BD$90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(Fuel2)'!$BE$90:$BL$90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E5-4BF3-8BB8-FDDB74EB2CA0}"/>
            </c:ext>
          </c:extLst>
        </c:ser>
        <c:ser>
          <c:idx val="11"/>
          <c:order val="11"/>
          <c:tx>
            <c:strRef>
              <c:f>'Variant 2 - FTP75 (Fuel2)'!$BD$91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(Fuel2)'!$BE$66:$BL$66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(Fuel2)'!$BE$91:$BL$91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E5-4BF3-8BB8-FDDB74EB2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43104"/>
        <c:axId val="388243496"/>
      </c:radarChart>
      <c:catAx>
        <c:axId val="3882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3496"/>
        <c:crosses val="autoZero"/>
        <c:auto val="1"/>
        <c:lblAlgn val="ctr"/>
        <c:lblOffset val="100"/>
        <c:noMultiLvlLbl val="0"/>
      </c:catAx>
      <c:valAx>
        <c:axId val="38824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(Fuel2)'!$BD$111</c:f>
              <c:strCache>
                <c:ptCount val="1"/>
                <c:pt idx="0">
                  <c:v>1st US6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(Fuel2)'!$BE$111:$BL$111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1-4EA2-AD02-FF6423F398D2}"/>
            </c:ext>
          </c:extLst>
        </c:ser>
        <c:ser>
          <c:idx val="1"/>
          <c:order val="1"/>
          <c:tx>
            <c:strRef>
              <c:f>'Variant 2 - FTP75 (Fuel2)'!$BD$112</c:f>
              <c:strCache>
                <c:ptCount val="1"/>
                <c:pt idx="0">
                  <c:v>1st HWY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(Fuel2)'!$BE$112:$BL$112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1-4EA2-AD02-FF6423F398D2}"/>
            </c:ext>
          </c:extLst>
        </c:ser>
        <c:ser>
          <c:idx val="4"/>
          <c:order val="2"/>
          <c:tx>
            <c:strRef>
              <c:f>'Variant 2 - FTP75 (Fuel2)'!$BD$115</c:f>
              <c:strCache>
                <c:ptCount val="1"/>
                <c:pt idx="0">
                  <c:v>0.7*IEF US6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(Fuel2)'!$BE$115:$BL$115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1-4EA2-AD02-FF6423F398D2}"/>
            </c:ext>
          </c:extLst>
        </c:ser>
        <c:ser>
          <c:idx val="5"/>
          <c:order val="3"/>
          <c:tx>
            <c:strRef>
              <c:f>'Variant 2 - FTP75 (Fuel2)'!$BD$116</c:f>
              <c:strCache>
                <c:ptCount val="1"/>
                <c:pt idx="0">
                  <c:v>0.7*IEF HWY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(Fuel2)'!$BE$116:$BL$116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71-4EA2-AD02-FF6423F39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44280"/>
        <c:axId val="388244672"/>
      </c:radarChart>
      <c:catAx>
        <c:axId val="38824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4672"/>
        <c:crosses val="autoZero"/>
        <c:auto val="1"/>
        <c:lblAlgn val="ctr"/>
        <c:lblOffset val="100"/>
        <c:noMultiLvlLbl val="0"/>
      </c:catAx>
      <c:valAx>
        <c:axId val="3882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4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(Fuel2)'!$BD$119</c:f>
              <c:strCache>
                <c:ptCount val="1"/>
                <c:pt idx="0">
                  <c:v>US6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(Fuel2)'!$BE$119:$BL$119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4-4499-ABEB-C6F265E5588F}"/>
            </c:ext>
          </c:extLst>
        </c:ser>
        <c:ser>
          <c:idx val="1"/>
          <c:order val="1"/>
          <c:tx>
            <c:strRef>
              <c:f>'Variant 2 - FTP75 (Fuel2)'!$BD$120</c:f>
              <c:strCache>
                <c:ptCount val="1"/>
                <c:pt idx="0">
                  <c:v>HWY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(Fuel2)'!$BE$120:$BL$120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4-4499-ABEB-C6F265E5588F}"/>
            </c:ext>
          </c:extLst>
        </c:ser>
        <c:ser>
          <c:idx val="4"/>
          <c:order val="2"/>
          <c:tx>
            <c:strRef>
              <c:f>'Variant 2 - FTP75 (Fuel2)'!$BD$122</c:f>
              <c:strCache>
                <c:ptCount val="1"/>
                <c:pt idx="0">
                  <c:v>IEF US6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(Fuel2)'!$BE$122:$BL$122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14-4499-ABEB-C6F265E5588F}"/>
            </c:ext>
          </c:extLst>
        </c:ser>
        <c:ser>
          <c:idx val="5"/>
          <c:order val="3"/>
          <c:tx>
            <c:strRef>
              <c:f>'Variant 2 - FTP75 (Fuel2)'!$BD$123</c:f>
              <c:strCache>
                <c:ptCount val="1"/>
                <c:pt idx="0">
                  <c:v>IEF HWY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(Fuel2)'!$BE$109:$BL$109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2 - FTP75 (Fuel2)'!$BE$123:$BL$123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14-4499-ABEB-C6F265E5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25600"/>
        <c:axId val="390025992"/>
      </c:radarChart>
      <c:catAx>
        <c:axId val="3900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5992"/>
        <c:crosses val="autoZero"/>
        <c:auto val="1"/>
        <c:lblAlgn val="ctr"/>
        <c:lblOffset val="100"/>
        <c:noMultiLvlLbl val="0"/>
      </c:catAx>
      <c:valAx>
        <c:axId val="39002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FTP75 (Fuel2)'!$BU$136:$CB$136</c:f>
            </c:multiLvlStrRef>
          </c:cat>
          <c:val>
            <c:numRef>
              <c:f>'Variant 2 - FTP75 (Fuel2)'!$BU$138:$CB$138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FAE-4AD4-B17F-F92708699C34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FTP75 (Fuel2)'!$BU$136:$CB$136</c:f>
            </c:multiLvlStrRef>
          </c:cat>
          <c:val>
            <c:numRef>
              <c:f>'Variant 2 - FTP75 (Fuel2)'!$BU$142:$CB$142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FAE-4AD4-B17F-F92708699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26776"/>
        <c:axId val="390027168"/>
      </c:radarChart>
      <c:catAx>
        <c:axId val="39002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7168"/>
        <c:crosses val="autoZero"/>
        <c:auto val="1"/>
        <c:lblAlgn val="ctr"/>
        <c:lblOffset val="100"/>
        <c:noMultiLvlLbl val="0"/>
      </c:catAx>
      <c:valAx>
        <c:axId val="3900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677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2 - FTP75 (Fuel2)'!$BU$136:$CB$136</c:f>
            </c:multiLvlStrRef>
          </c:cat>
          <c:val>
            <c:numRef>
              <c:f>'Variant 2 - FTP75 (Fuel2)'!$BU$146:$CB$146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CFF-4D40-8C45-F0CF0170E260}"/>
            </c:ext>
          </c:extLst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2 - FTP75 (Fuel2)'!$BU$136:$CB$136</c:f>
            </c:multiLvlStrRef>
          </c:cat>
          <c:val>
            <c:numRef>
              <c:f>'Variant 2 - FTP75 (Fuel2)'!$BU$150:$CB$150</c:f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CFF-4D40-8C45-F0CF0170E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27952"/>
        <c:axId val="390028344"/>
      </c:radarChart>
      <c:catAx>
        <c:axId val="3900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8344"/>
        <c:crosses val="autoZero"/>
        <c:auto val="1"/>
        <c:lblAlgn val="ctr"/>
        <c:lblOffset val="100"/>
        <c:noMultiLvlLbl val="0"/>
      </c:catAx>
      <c:valAx>
        <c:axId val="39002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795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(Fuel2)'!$BD$165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(Fuel2)'!$BE$165:$BL$165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887-B4E6-5ADC452F00BD}"/>
            </c:ext>
          </c:extLst>
        </c:ser>
        <c:ser>
          <c:idx val="4"/>
          <c:order val="1"/>
          <c:tx>
            <c:strRef>
              <c:f>'Variant 2 - FTP75 (Fuel2)'!$BD$169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(Fuel2)'!$BE$169:$BL$169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7-4887-B4E6-5ADC452F0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29128"/>
        <c:axId val="390029520"/>
      </c:radarChart>
      <c:catAx>
        <c:axId val="39002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9520"/>
        <c:crosses val="autoZero"/>
        <c:auto val="1"/>
        <c:lblAlgn val="ctr"/>
        <c:lblOffset val="100"/>
        <c:noMultiLvlLbl val="0"/>
      </c:catAx>
      <c:valAx>
        <c:axId val="3900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2912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(Fuel2)'!$BD$173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(Fuel2)'!$BE$173:$BL$173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0-44F8-97DB-AB530ADE6C6B}"/>
            </c:ext>
          </c:extLst>
        </c:ser>
        <c:ser>
          <c:idx val="4"/>
          <c:order val="1"/>
          <c:tx>
            <c:strRef>
              <c:f>'Variant 2 - FTP75 (Fuel2)'!$BD$177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(Fuel2)'!$BE$163:$BL$163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(Fuel2)'!$BE$177:$BL$177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0-44F8-97DB-AB530ADE6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0304"/>
        <c:axId val="390030696"/>
      </c:radarChart>
      <c:catAx>
        <c:axId val="39003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30696"/>
        <c:crosses val="autoZero"/>
        <c:auto val="1"/>
        <c:lblAlgn val="ctr"/>
        <c:lblOffset val="100"/>
        <c:noMultiLvlLbl val="0"/>
      </c:catAx>
      <c:valAx>
        <c:axId val="39003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3030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(Fuel2)'!$BD$186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(Fuel2)'!$BE$186:$BL$186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D-4FAA-B7C3-4152AB70CEAA}"/>
            </c:ext>
          </c:extLst>
        </c:ser>
        <c:ser>
          <c:idx val="1"/>
          <c:order val="1"/>
          <c:tx>
            <c:strRef>
              <c:f>'Variant 2 - FTP75 (Fuel2)'!$BD$187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(Fuel2)'!$BE$187:$BL$187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D-4FAA-B7C3-4152AB70CEAA}"/>
            </c:ext>
          </c:extLst>
        </c:ser>
        <c:ser>
          <c:idx val="4"/>
          <c:order val="2"/>
          <c:tx>
            <c:strRef>
              <c:f>'Variant 2 - FTP75 (Fuel2)'!$BD$192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(Fuel2)'!$BE$192:$BL$192</c:f>
              <c:numCache>
                <c:formatCode>General</c:formatCode>
                <c:ptCount val="4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D-4FAA-B7C3-4152AB70CEAA}"/>
            </c:ext>
          </c:extLst>
        </c:ser>
        <c:ser>
          <c:idx val="5"/>
          <c:order val="3"/>
          <c:tx>
            <c:strRef>
              <c:f>'Variant 2 - FTP75 (Fuel2)'!$BD$193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(Fuel2)'!$BE$193:$BL$193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D-4FAA-B7C3-4152AB70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1480"/>
        <c:axId val="390031872"/>
      </c:radarChart>
      <c:catAx>
        <c:axId val="39003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31872"/>
        <c:crosses val="autoZero"/>
        <c:auto val="1"/>
        <c:lblAlgn val="ctr"/>
        <c:lblOffset val="100"/>
        <c:noMultiLvlLbl val="0"/>
      </c:catAx>
      <c:valAx>
        <c:axId val="3900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3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(Fuel2)'!$BD$198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(Fuel2)'!$BE$198:$BL$198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5-4745-B2D9-6E6F284875C5}"/>
            </c:ext>
          </c:extLst>
        </c:ser>
        <c:ser>
          <c:idx val="1"/>
          <c:order val="1"/>
          <c:tx>
            <c:strRef>
              <c:f>'Variant 2 - FTP75 (Fuel2)'!$BD$199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(Fuel2)'!$BE$199:$BL$199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5-4745-B2D9-6E6F284875C5}"/>
            </c:ext>
          </c:extLst>
        </c:ser>
        <c:ser>
          <c:idx val="4"/>
          <c:order val="2"/>
          <c:tx>
            <c:strRef>
              <c:f>'Variant 2 - FTP75 (Fuel2)'!$BD$204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(Fuel2)'!$BE$204:$BL$204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5-4745-B2D9-6E6F284875C5}"/>
            </c:ext>
          </c:extLst>
        </c:ser>
        <c:ser>
          <c:idx val="5"/>
          <c:order val="3"/>
          <c:tx>
            <c:strRef>
              <c:f>'Variant 2 - FTP75 (Fuel2)'!$BD$205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(Fuel2)'!$BE$184:$BL$184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(Fuel2)'!$BE$205:$BL$205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5-4745-B2D9-6E6F28487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4528"/>
        <c:axId val="390134920"/>
      </c:radarChart>
      <c:catAx>
        <c:axId val="39013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4920"/>
        <c:crosses val="autoZero"/>
        <c:auto val="1"/>
        <c:lblAlgn val="ctr"/>
        <c:lblOffset val="100"/>
        <c:noMultiLvlLbl val="0"/>
      </c:catAx>
      <c:valAx>
        <c:axId val="39013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(Fuel2)'!$BD$213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(Fuel2)'!$BE$213:$BL$213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D-47F7-A11A-6F86DA4E9DBD}"/>
            </c:ext>
          </c:extLst>
        </c:ser>
        <c:ser>
          <c:idx val="1"/>
          <c:order val="1"/>
          <c:tx>
            <c:strRef>
              <c:f>'Variant 2 - FTP75 (Fuel2)'!$BD$214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(Fuel2)'!$BE$214:$BL$214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D-47F7-A11A-6F86DA4E9DBD}"/>
            </c:ext>
          </c:extLst>
        </c:ser>
        <c:ser>
          <c:idx val="2"/>
          <c:order val="2"/>
          <c:tx>
            <c:strRef>
              <c:f>'Variant 2 - FTP75 (Fuel2)'!$BD$215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(Fuel2)'!$BE$215:$BL$215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D-47F7-A11A-6F86DA4E9DBD}"/>
            </c:ext>
          </c:extLst>
        </c:ser>
        <c:ser>
          <c:idx val="3"/>
          <c:order val="3"/>
          <c:tx>
            <c:strRef>
              <c:f>'Variant 2 - FTP75 (Fuel2)'!$BD$216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(Fuel2)'!$BE$216:$BL$216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7D-47F7-A11A-6F86DA4E9DBD}"/>
            </c:ext>
          </c:extLst>
        </c:ser>
        <c:ser>
          <c:idx val="4"/>
          <c:order val="4"/>
          <c:tx>
            <c:strRef>
              <c:f>'Variant 2 - FTP75 (Fuel2)'!$BD$217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(Fuel2)'!$BE$217:$BL$217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7D-47F7-A11A-6F86DA4E9DBD}"/>
            </c:ext>
          </c:extLst>
        </c:ser>
        <c:ser>
          <c:idx val="5"/>
          <c:order val="5"/>
          <c:tx>
            <c:strRef>
              <c:f>'Variant 2 - FTP75 (Fuel2)'!$BD$218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(Fuel2)'!$BE$218:$BL$218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7D-47F7-A11A-6F86DA4E9DBD}"/>
            </c:ext>
          </c:extLst>
        </c:ser>
        <c:ser>
          <c:idx val="6"/>
          <c:order val="6"/>
          <c:tx>
            <c:strRef>
              <c:f>'Variant 2 - FTP75 (Fuel2)'!$BD$219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(Fuel2)'!$BE$219:$BL$219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7D-47F7-A11A-6F86DA4E9DBD}"/>
            </c:ext>
          </c:extLst>
        </c:ser>
        <c:ser>
          <c:idx val="7"/>
          <c:order val="7"/>
          <c:tx>
            <c:strRef>
              <c:f>'Variant 2 - FTP75 (Fuel2)'!$BD$220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(Fuel2)'!$BE$220:$BL$220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7D-47F7-A11A-6F86DA4E9DBD}"/>
            </c:ext>
          </c:extLst>
        </c:ser>
        <c:ser>
          <c:idx val="8"/>
          <c:order val="8"/>
          <c:tx>
            <c:strRef>
              <c:f>'Variant 2 - FTP75 (Fuel2)'!$BD$221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(Fuel2)'!$BE$221:$BL$221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7D-47F7-A11A-6F86DA4E9DBD}"/>
            </c:ext>
          </c:extLst>
        </c:ser>
        <c:ser>
          <c:idx val="9"/>
          <c:order val="9"/>
          <c:tx>
            <c:strRef>
              <c:f>'Variant 2 - FTP75 (Fuel2)'!$BD$222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(Fuel2)'!$BE$222:$BL$222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7D-47F7-A11A-6F86DA4E9DBD}"/>
            </c:ext>
          </c:extLst>
        </c:ser>
        <c:ser>
          <c:idx val="10"/>
          <c:order val="10"/>
          <c:tx>
            <c:strRef>
              <c:f>'Variant 2 - FTP75 (Fuel2)'!$BD$223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(Fuel2)'!$BE$223:$BL$223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7D-47F7-A11A-6F86DA4E9DBD}"/>
            </c:ext>
          </c:extLst>
        </c:ser>
        <c:ser>
          <c:idx val="11"/>
          <c:order val="11"/>
          <c:tx>
            <c:strRef>
              <c:f>'Variant 2 - FTP75 (Fuel2)'!$BD$224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(Fuel2)'!$BE$224:$BL$224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7D-47F7-A11A-6F86DA4E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5704"/>
        <c:axId val="390136096"/>
      </c:radarChart>
      <c:catAx>
        <c:axId val="39013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6096"/>
        <c:crosses val="autoZero"/>
        <c:auto val="1"/>
        <c:lblAlgn val="ctr"/>
        <c:lblOffset val="100"/>
        <c:noMultiLvlLbl val="0"/>
      </c:catAx>
      <c:valAx>
        <c:axId val="3901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2 - FTP75 (Fuel2)'!$BD$225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(Fuel2)'!$BE$225:$BL$225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1-4AD9-B728-56BF310677CE}"/>
            </c:ext>
          </c:extLst>
        </c:ser>
        <c:ser>
          <c:idx val="1"/>
          <c:order val="1"/>
          <c:tx>
            <c:strRef>
              <c:f>'Variant 2 - FTP75 (Fuel2)'!$BD$226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(Fuel2)'!$BE$226:$BL$226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1-4AD9-B728-56BF310677CE}"/>
            </c:ext>
          </c:extLst>
        </c:ser>
        <c:ser>
          <c:idx val="2"/>
          <c:order val="2"/>
          <c:tx>
            <c:strRef>
              <c:f>'Variant 2 - FTP75 (Fuel2)'!$BD$227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(Fuel2)'!$BE$227:$BL$227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91-4AD9-B728-56BF310677CE}"/>
            </c:ext>
          </c:extLst>
        </c:ser>
        <c:ser>
          <c:idx val="3"/>
          <c:order val="3"/>
          <c:tx>
            <c:strRef>
              <c:f>'Variant 2 - FTP75 (Fuel2)'!$BD$228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(Fuel2)'!$BE$228:$BL$228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91-4AD9-B728-56BF310677CE}"/>
            </c:ext>
          </c:extLst>
        </c:ser>
        <c:ser>
          <c:idx val="4"/>
          <c:order val="4"/>
          <c:tx>
            <c:strRef>
              <c:f>'Variant 2 - FTP75 (Fuel2)'!$BD$229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(Fuel2)'!$BE$229:$BL$229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91-4AD9-B728-56BF310677CE}"/>
            </c:ext>
          </c:extLst>
        </c:ser>
        <c:ser>
          <c:idx val="5"/>
          <c:order val="5"/>
          <c:tx>
            <c:strRef>
              <c:f>'Variant 2 - FTP75 (Fuel2)'!$BD$230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(Fuel2)'!$BE$230:$BL$230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91-4AD9-B728-56BF310677CE}"/>
            </c:ext>
          </c:extLst>
        </c:ser>
        <c:ser>
          <c:idx val="6"/>
          <c:order val="6"/>
          <c:tx>
            <c:strRef>
              <c:f>'Variant 2 - FTP75 (Fuel2)'!$BD$231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(Fuel2)'!$BE$231:$BL$231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91-4AD9-B728-56BF310677CE}"/>
            </c:ext>
          </c:extLst>
        </c:ser>
        <c:ser>
          <c:idx val="7"/>
          <c:order val="7"/>
          <c:tx>
            <c:strRef>
              <c:f>'Variant 2 - FTP75 (Fuel2)'!$BD$232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(Fuel2)'!$BE$232:$BL$232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91-4AD9-B728-56BF310677CE}"/>
            </c:ext>
          </c:extLst>
        </c:ser>
        <c:ser>
          <c:idx val="8"/>
          <c:order val="8"/>
          <c:tx>
            <c:strRef>
              <c:f>'Variant 2 - FTP75 (Fuel2)'!$BD$233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(Fuel2)'!$BE$233:$BL$233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91-4AD9-B728-56BF310677CE}"/>
            </c:ext>
          </c:extLst>
        </c:ser>
        <c:ser>
          <c:idx val="9"/>
          <c:order val="9"/>
          <c:tx>
            <c:strRef>
              <c:f>'Variant 2 - FTP75 (Fuel2)'!$BD$234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(Fuel2)'!$BE$234:$BL$234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91-4AD9-B728-56BF310677CE}"/>
            </c:ext>
          </c:extLst>
        </c:ser>
        <c:ser>
          <c:idx val="10"/>
          <c:order val="10"/>
          <c:tx>
            <c:strRef>
              <c:f>'Variant 2 - FTP75 (Fuel2)'!$BD$235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(Fuel2)'!$BE$235:$BL$235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91-4AD9-B728-56BF310677CE}"/>
            </c:ext>
          </c:extLst>
        </c:ser>
        <c:ser>
          <c:idx val="11"/>
          <c:order val="11"/>
          <c:tx>
            <c:strRef>
              <c:f>'Variant 2 - FTP75 (Fuel2)'!$BD$236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2 - FTP75 (Fuel2)'!$BE$211:$BL$211</c:f>
              <c:strCache>
                <c:ptCount val="4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</c:strCache>
            </c:strRef>
          </c:cat>
          <c:val>
            <c:numRef>
              <c:f>'Variant 2 - FTP75 (Fuel2)'!$BE$236:$BL$236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91-4AD9-B728-56BF31067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6880"/>
        <c:axId val="390137272"/>
      </c:radarChart>
      <c:catAx>
        <c:axId val="3901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7272"/>
        <c:crosses val="autoZero"/>
        <c:auto val="1"/>
        <c:lblAlgn val="ctr"/>
        <c:lblOffset val="100"/>
        <c:noMultiLvlLbl val="0"/>
      </c:catAx>
      <c:valAx>
        <c:axId val="39013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(Fuel2)'!$BE$13:$BL$13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7-4BC9-9336-9A07DD732945}"/>
            </c:ext>
          </c:extLst>
        </c:ser>
        <c:ser>
          <c:idx val="1"/>
          <c:order val="1"/>
          <c:tx>
            <c:strRef>
              <c:f>'Variant 4 - MIDC (Fuel2)'!$BD$14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(Fuel2)'!$BE$14:$BL$14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7-4BC9-9336-9A07DD732945}"/>
            </c:ext>
          </c:extLst>
        </c:ser>
        <c:ser>
          <c:idx val="2"/>
          <c:order val="2"/>
          <c:tx>
            <c:strRef>
              <c:f>'Variant 4 - MIDC (Fuel2)'!$BD$15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7-4BC9-9336-9A07DD732945}"/>
            </c:ext>
          </c:extLst>
        </c:ser>
        <c:ser>
          <c:idx val="3"/>
          <c:order val="3"/>
          <c:tx>
            <c:strRef>
              <c:f>'Variant 4 - MIDC (Fuel2)'!$BD$16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57-4BC9-9336-9A07DD732945}"/>
            </c:ext>
          </c:extLst>
        </c:ser>
        <c:ser>
          <c:idx val="4"/>
          <c:order val="4"/>
          <c:tx>
            <c:strRef>
              <c:f>'Variant 4 - MIDC (Fuel2)'!$BD$17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(Fuel2)'!$BE$17:$BL$17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57-4BC9-9336-9A07DD732945}"/>
            </c:ext>
          </c:extLst>
        </c:ser>
        <c:ser>
          <c:idx val="5"/>
          <c:order val="5"/>
          <c:tx>
            <c:strRef>
              <c:f>'Variant 4 - MIDC (Fuel2)'!$BD$18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57-4BC9-9336-9A07DD732945}"/>
            </c:ext>
          </c:extLst>
        </c:ser>
        <c:ser>
          <c:idx val="6"/>
          <c:order val="6"/>
          <c:tx>
            <c:strRef>
              <c:f>'Variant 4 - MIDC (Fuel2)'!$BD$19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57-4BC9-9336-9A07DD732945}"/>
            </c:ext>
          </c:extLst>
        </c:ser>
        <c:ser>
          <c:idx val="7"/>
          <c:order val="7"/>
          <c:tx>
            <c:strRef>
              <c:f>'Variant 4 - MIDC (Fuel2)'!$BD$20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57-4BC9-9336-9A07DD73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8448"/>
        <c:axId val="390138840"/>
      </c:radarChart>
      <c:catAx>
        <c:axId val="3901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8840"/>
        <c:crosses val="autoZero"/>
        <c:auto val="1"/>
        <c:lblAlgn val="ctr"/>
        <c:lblOffset val="100"/>
        <c:noMultiLvlLbl val="0"/>
      </c:catAx>
      <c:valAx>
        <c:axId val="3901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(Fuel2)'!$BE$21:$BL$21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4-462C-A915-21F1924700DD}"/>
            </c:ext>
          </c:extLst>
        </c:ser>
        <c:ser>
          <c:idx val="1"/>
          <c:order val="1"/>
          <c:tx>
            <c:strRef>
              <c:f>'Variant 4 - MIDC (Fuel2)'!$BD$22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(Fuel2)'!$BE$22:$BL$22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4-462C-A915-21F1924700DD}"/>
            </c:ext>
          </c:extLst>
        </c:ser>
        <c:ser>
          <c:idx val="2"/>
          <c:order val="2"/>
          <c:tx>
            <c:strRef>
              <c:f>'Variant 4 - MIDC (Fuel2)'!$BD$23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4-462C-A915-21F1924700DD}"/>
            </c:ext>
          </c:extLst>
        </c:ser>
        <c:ser>
          <c:idx val="3"/>
          <c:order val="3"/>
          <c:tx>
            <c:strRef>
              <c:f>'Variant 4 - MIDC (Fuel2)'!$BD$24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4-462C-A915-21F1924700DD}"/>
            </c:ext>
          </c:extLst>
        </c:ser>
        <c:ser>
          <c:idx val="4"/>
          <c:order val="4"/>
          <c:tx>
            <c:strRef>
              <c:f>'Variant 4 - MIDC (Fuel2)'!$BD$25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(Fuel2)'!$BE$25:$BL$25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44-462C-A915-21F1924700DD}"/>
            </c:ext>
          </c:extLst>
        </c:ser>
        <c:ser>
          <c:idx val="5"/>
          <c:order val="5"/>
          <c:tx>
            <c:strRef>
              <c:f>'Variant 4 - MIDC (Fuel2)'!$BD$26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44-462C-A915-21F1924700DD}"/>
            </c:ext>
          </c:extLst>
        </c:ser>
        <c:ser>
          <c:idx val="6"/>
          <c:order val="6"/>
          <c:tx>
            <c:strRef>
              <c:f>'Variant 4 - MIDC (Fuel2)'!$BD$27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44-462C-A915-21F1924700DD}"/>
            </c:ext>
          </c:extLst>
        </c:ser>
        <c:ser>
          <c:idx val="7"/>
          <c:order val="7"/>
          <c:tx>
            <c:strRef>
              <c:f>'Variant 4 - MIDC (Fuel2)'!$BD$28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44-462C-A915-21F192470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9624"/>
        <c:axId val="390140016"/>
      </c:radarChart>
      <c:catAx>
        <c:axId val="39013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0016"/>
        <c:crosses val="autoZero"/>
        <c:auto val="1"/>
        <c:lblAlgn val="ctr"/>
        <c:lblOffset val="100"/>
        <c:noMultiLvlLbl val="0"/>
      </c:catAx>
      <c:valAx>
        <c:axId val="3901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(Fuel2)'!$BD$40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(Fuel2)'!$BE$40:$BL$40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3-4753-AE5D-B8947A10EE08}"/>
            </c:ext>
          </c:extLst>
        </c:ser>
        <c:ser>
          <c:idx val="1"/>
          <c:order val="1"/>
          <c:tx>
            <c:strRef>
              <c:f>'Variant 4 - MIDC (Fuel2)'!$BD$41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(Fuel2)'!$BE$41:$BL$41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3-4753-AE5D-B8947A10EE08}"/>
            </c:ext>
          </c:extLst>
        </c:ser>
        <c:ser>
          <c:idx val="2"/>
          <c:order val="2"/>
          <c:tx>
            <c:strRef>
              <c:f>'Variant 4 - MIDC (Fuel2)'!$BD$42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(Fuel2)'!$BE$42:$BL$42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3-4753-AE5D-B8947A10EE08}"/>
            </c:ext>
          </c:extLst>
        </c:ser>
        <c:ser>
          <c:idx val="3"/>
          <c:order val="3"/>
          <c:tx>
            <c:strRef>
              <c:f>'Variant 4 - MIDC (Fuel2)'!$BD$43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(Fuel2)'!$BE$43:$BL$43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B3-4753-AE5D-B8947A10EE08}"/>
            </c:ext>
          </c:extLst>
        </c:ser>
        <c:ser>
          <c:idx val="4"/>
          <c:order val="4"/>
          <c:tx>
            <c:strRef>
              <c:f>'Variant 4 - MIDC (Fuel2)'!$BD$44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(Fuel2)'!$BE$44:$BL$44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B3-4753-AE5D-B8947A10EE08}"/>
            </c:ext>
          </c:extLst>
        </c:ser>
        <c:ser>
          <c:idx val="5"/>
          <c:order val="5"/>
          <c:tx>
            <c:strRef>
              <c:f>'Variant 4 - MIDC (Fuel2)'!$BD$45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(Fuel2)'!$BE$45:$BL$45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B3-4753-AE5D-B8947A10EE08}"/>
            </c:ext>
          </c:extLst>
        </c:ser>
        <c:ser>
          <c:idx val="6"/>
          <c:order val="6"/>
          <c:tx>
            <c:strRef>
              <c:f>'Variant 4 - MIDC (Fuel2)'!$BD$46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(Fuel2)'!$BE$46:$BL$46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B3-4753-AE5D-B8947A10EE08}"/>
            </c:ext>
          </c:extLst>
        </c:ser>
        <c:ser>
          <c:idx val="7"/>
          <c:order val="7"/>
          <c:tx>
            <c:strRef>
              <c:f>'Variant 4 - MIDC (Fuel2)'!$BD$47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(Fuel2)'!$BE$47:$BL$47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B3-4753-AE5D-B8947A10EE08}"/>
            </c:ext>
          </c:extLst>
        </c:ser>
        <c:ser>
          <c:idx val="8"/>
          <c:order val="8"/>
          <c:tx>
            <c:strRef>
              <c:f>'Variant 4 - MIDC (Fuel2)'!$BD$48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(Fuel2)'!$BE$48:$BL$48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B3-4753-AE5D-B8947A10EE08}"/>
            </c:ext>
          </c:extLst>
        </c:ser>
        <c:ser>
          <c:idx val="9"/>
          <c:order val="9"/>
          <c:tx>
            <c:strRef>
              <c:f>'Variant 4 - MIDC (Fuel2)'!$BD$49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(Fuel2)'!$BE$49:$BL$49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B3-4753-AE5D-B8947A10EE08}"/>
            </c:ext>
          </c:extLst>
        </c:ser>
        <c:ser>
          <c:idx val="10"/>
          <c:order val="10"/>
          <c:tx>
            <c:strRef>
              <c:f>'Variant 4 - MIDC (Fuel2)'!$BD$50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(Fuel2)'!$BE$50:$BL$50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B3-4753-AE5D-B8947A10EE08}"/>
            </c:ext>
          </c:extLst>
        </c:ser>
        <c:ser>
          <c:idx val="11"/>
          <c:order val="11"/>
          <c:tx>
            <c:strRef>
              <c:f>'Variant 4 - MIDC (Fuel2)'!$BD$51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(Fuel2)'!$BE$51:$BL$51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B3-4753-AE5D-B8947A10E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0800"/>
        <c:axId val="390141192"/>
      </c:radarChart>
      <c:catAx>
        <c:axId val="39014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1192"/>
        <c:crosses val="autoZero"/>
        <c:auto val="1"/>
        <c:lblAlgn val="ctr"/>
        <c:lblOffset val="100"/>
        <c:noMultiLvlLbl val="0"/>
      </c:catAx>
      <c:valAx>
        <c:axId val="39014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(Fuel2)'!$BD$52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(Fuel2)'!$BE$52:$BL$52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F-4DC9-8060-0C8C93C9C828}"/>
            </c:ext>
          </c:extLst>
        </c:ser>
        <c:ser>
          <c:idx val="1"/>
          <c:order val="1"/>
          <c:tx>
            <c:strRef>
              <c:f>'Variant 4 - MIDC (Fuel2)'!$BD$53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(Fuel2)'!$BE$53:$BL$53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F-4DC9-8060-0C8C93C9C828}"/>
            </c:ext>
          </c:extLst>
        </c:ser>
        <c:ser>
          <c:idx val="2"/>
          <c:order val="2"/>
          <c:tx>
            <c:strRef>
              <c:f>'Variant 4 - MIDC (Fuel2)'!$BD$54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(Fuel2)'!$BE$54:$BL$54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3F-4DC9-8060-0C8C93C9C828}"/>
            </c:ext>
          </c:extLst>
        </c:ser>
        <c:ser>
          <c:idx val="3"/>
          <c:order val="3"/>
          <c:tx>
            <c:strRef>
              <c:f>'Variant 4 - MIDC (Fuel2)'!$BD$55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(Fuel2)'!$BE$55:$BL$55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F-4DC9-8060-0C8C93C9C828}"/>
            </c:ext>
          </c:extLst>
        </c:ser>
        <c:ser>
          <c:idx val="4"/>
          <c:order val="4"/>
          <c:tx>
            <c:strRef>
              <c:f>'Variant 4 - MIDC (Fuel2)'!$BD$56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(Fuel2)'!$BE$56:$BL$56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3F-4DC9-8060-0C8C93C9C828}"/>
            </c:ext>
          </c:extLst>
        </c:ser>
        <c:ser>
          <c:idx val="5"/>
          <c:order val="5"/>
          <c:tx>
            <c:strRef>
              <c:f>'Variant 4 - MIDC (Fuel2)'!$BD$57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(Fuel2)'!$BE$57:$BL$57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F-4DC9-8060-0C8C93C9C828}"/>
            </c:ext>
          </c:extLst>
        </c:ser>
        <c:ser>
          <c:idx val="6"/>
          <c:order val="6"/>
          <c:tx>
            <c:strRef>
              <c:f>'Variant 4 - MIDC (Fuel2)'!$BD$58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(Fuel2)'!$BE$58:$BL$58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F-4DC9-8060-0C8C93C9C828}"/>
            </c:ext>
          </c:extLst>
        </c:ser>
        <c:ser>
          <c:idx val="7"/>
          <c:order val="7"/>
          <c:tx>
            <c:strRef>
              <c:f>'Variant 4 - MIDC (Fuel2)'!$BD$59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(Fuel2)'!$BE$59:$BL$59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F-4DC9-8060-0C8C93C9C828}"/>
            </c:ext>
          </c:extLst>
        </c:ser>
        <c:ser>
          <c:idx val="8"/>
          <c:order val="8"/>
          <c:tx>
            <c:strRef>
              <c:f>'Variant 4 - MIDC (Fuel2)'!$BD$60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(Fuel2)'!$BE$60:$BL$60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3F-4DC9-8060-0C8C93C9C828}"/>
            </c:ext>
          </c:extLst>
        </c:ser>
        <c:ser>
          <c:idx val="9"/>
          <c:order val="9"/>
          <c:tx>
            <c:strRef>
              <c:f>'Variant 4 - MIDC (Fuel2)'!$BD$61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(Fuel2)'!$BE$61:$BL$61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3F-4DC9-8060-0C8C93C9C828}"/>
            </c:ext>
          </c:extLst>
        </c:ser>
        <c:ser>
          <c:idx val="10"/>
          <c:order val="10"/>
          <c:tx>
            <c:strRef>
              <c:f>'Variant 4 - MIDC (Fuel2)'!$BD$62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(Fuel2)'!$BE$62:$BL$62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3F-4DC9-8060-0C8C93C9C828}"/>
            </c:ext>
          </c:extLst>
        </c:ser>
        <c:ser>
          <c:idx val="11"/>
          <c:order val="11"/>
          <c:tx>
            <c:strRef>
              <c:f>'Variant 4 - MIDC (Fuel2)'!$BD$63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(Fuel2)'!$BE$38:$BL$38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(Fuel2)'!$BE$63:$BL$63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93F-4DC9-8060-0C8C93C9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2368"/>
        <c:axId val="390142760"/>
      </c:radarChart>
      <c:catAx>
        <c:axId val="3901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2760"/>
        <c:crosses val="autoZero"/>
        <c:auto val="1"/>
        <c:lblAlgn val="ctr"/>
        <c:lblOffset val="100"/>
        <c:noMultiLvlLbl val="0"/>
      </c:catAx>
      <c:valAx>
        <c:axId val="39014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(Fuel2)'!$BD$83</c:f>
              <c:strCache>
                <c:ptCount val="1"/>
                <c:pt idx="0">
                  <c:v>1st 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0-47FC-BE49-C3FBCAF1A132}"/>
            </c:ext>
          </c:extLst>
        </c:ser>
        <c:ser>
          <c:idx val="4"/>
          <c:order val="1"/>
          <c:tx>
            <c:strRef>
              <c:f>'Variant 4 - MIDC (Fuel2)'!$BD$87</c:f>
              <c:strCache>
                <c:ptCount val="1"/>
                <c:pt idx="0">
                  <c:v>0.7*IEF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(Fuel2)'!$BE$87:$BL$87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0-47FC-BE49-C3FBCAF1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3544"/>
        <c:axId val="390143936"/>
      </c:radarChart>
      <c:catAx>
        <c:axId val="39014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3936"/>
        <c:crosses val="autoZero"/>
        <c:auto val="1"/>
        <c:lblAlgn val="ctr"/>
        <c:lblOffset val="100"/>
        <c:noMultiLvlLbl val="0"/>
      </c:catAx>
      <c:valAx>
        <c:axId val="3901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354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(Fuel2)'!$BD$130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(Fuel2)'!$BE$130:$BL$130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A-4382-A151-0EF865DCF4AC}"/>
            </c:ext>
          </c:extLst>
        </c:ser>
        <c:ser>
          <c:idx val="1"/>
          <c:order val="1"/>
          <c:tx>
            <c:strRef>
              <c:f>'Variant 4 - MIDC (Fuel2)'!$BD$131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(Fuel2)'!$BE$131:$BL$131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A-4382-A151-0EF865DCF4AC}"/>
            </c:ext>
          </c:extLst>
        </c:ser>
        <c:ser>
          <c:idx val="4"/>
          <c:order val="2"/>
          <c:tx>
            <c:strRef>
              <c:f>'Variant 4 - MIDC (Fuel2)'!$BD$136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(Fuel2)'!$BE$136:$BL$136</c:f>
              <c:numCache>
                <c:formatCode>General</c:formatCode>
                <c:ptCount val="6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A-4382-A151-0EF865DCF4AC}"/>
            </c:ext>
          </c:extLst>
        </c:ser>
        <c:ser>
          <c:idx val="5"/>
          <c:order val="3"/>
          <c:tx>
            <c:strRef>
              <c:f>'Variant 4 - MIDC (Fuel2)'!$BD$137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(Fuel2)'!$BE$137:$BL$137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AA-4382-A151-0EF865DCF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7072"/>
        <c:axId val="390147464"/>
      </c:radarChart>
      <c:catAx>
        <c:axId val="3901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7464"/>
        <c:crosses val="autoZero"/>
        <c:auto val="1"/>
        <c:lblAlgn val="ctr"/>
        <c:lblOffset val="100"/>
        <c:noMultiLvlLbl val="0"/>
      </c:catAx>
      <c:valAx>
        <c:axId val="3901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(Fuel2)'!$BD$142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(Fuel2)'!$BE$142:$BL$142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3-4578-BC3F-37D49586FE67}"/>
            </c:ext>
          </c:extLst>
        </c:ser>
        <c:ser>
          <c:idx val="1"/>
          <c:order val="1"/>
          <c:tx>
            <c:strRef>
              <c:f>'Variant 4 - MIDC (Fuel2)'!$BD$143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(Fuel2)'!$BE$143:$BL$143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3-4578-BC3F-37D49586FE67}"/>
            </c:ext>
          </c:extLst>
        </c:ser>
        <c:ser>
          <c:idx val="4"/>
          <c:order val="2"/>
          <c:tx>
            <c:strRef>
              <c:f>'Variant 4 - MIDC (Fuel2)'!$BD$148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(Fuel2)'!$BE$148:$BL$148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3-4578-BC3F-37D49586FE67}"/>
            </c:ext>
          </c:extLst>
        </c:ser>
        <c:ser>
          <c:idx val="5"/>
          <c:order val="3"/>
          <c:tx>
            <c:strRef>
              <c:f>'Variant 4 - MIDC (Fuel2)'!$BD$149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(Fuel2)'!$BE$128:$BL$128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(Fuel2)'!$BE$149:$BL$149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3-4578-BC3F-37D49586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26872"/>
        <c:axId val="391627264"/>
      </c:radarChart>
      <c:catAx>
        <c:axId val="39162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7264"/>
        <c:crosses val="autoZero"/>
        <c:auto val="1"/>
        <c:lblAlgn val="ctr"/>
        <c:lblOffset val="100"/>
        <c:noMultiLvlLbl val="0"/>
      </c:catAx>
      <c:valAx>
        <c:axId val="3916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(Fuel2)'!$BD$157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(Fuel2)'!$BE$157:$BL$157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0-4E6B-94A4-F671F8CE1C64}"/>
            </c:ext>
          </c:extLst>
        </c:ser>
        <c:ser>
          <c:idx val="1"/>
          <c:order val="1"/>
          <c:tx>
            <c:strRef>
              <c:f>'Variant 4 - MIDC (Fuel2)'!$BD$158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(Fuel2)'!$BE$158:$BL$158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0-4E6B-94A4-F671F8CE1C64}"/>
            </c:ext>
          </c:extLst>
        </c:ser>
        <c:ser>
          <c:idx val="2"/>
          <c:order val="2"/>
          <c:tx>
            <c:strRef>
              <c:f>'Variant 4 - MIDC (Fuel2)'!$BD$159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(Fuel2)'!$BE$159:$BL$159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0-4E6B-94A4-F671F8CE1C64}"/>
            </c:ext>
          </c:extLst>
        </c:ser>
        <c:ser>
          <c:idx val="3"/>
          <c:order val="3"/>
          <c:tx>
            <c:strRef>
              <c:f>'Variant 4 - MIDC (Fuel2)'!$BD$160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(Fuel2)'!$BE$160:$BL$160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70-4E6B-94A4-F671F8CE1C64}"/>
            </c:ext>
          </c:extLst>
        </c:ser>
        <c:ser>
          <c:idx val="4"/>
          <c:order val="4"/>
          <c:tx>
            <c:strRef>
              <c:f>'Variant 4 - MIDC (Fuel2)'!$BD$161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(Fuel2)'!$BE$161:$BL$161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70-4E6B-94A4-F671F8CE1C64}"/>
            </c:ext>
          </c:extLst>
        </c:ser>
        <c:ser>
          <c:idx val="5"/>
          <c:order val="5"/>
          <c:tx>
            <c:strRef>
              <c:f>'Variant 4 - MIDC (Fuel2)'!$BD$162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(Fuel2)'!$BE$162:$BL$162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70-4E6B-94A4-F671F8CE1C64}"/>
            </c:ext>
          </c:extLst>
        </c:ser>
        <c:ser>
          <c:idx val="6"/>
          <c:order val="6"/>
          <c:tx>
            <c:strRef>
              <c:f>'Variant 4 - MIDC (Fuel2)'!$BD$163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(Fuel2)'!$BE$163:$BL$163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70-4E6B-94A4-F671F8CE1C64}"/>
            </c:ext>
          </c:extLst>
        </c:ser>
        <c:ser>
          <c:idx val="7"/>
          <c:order val="7"/>
          <c:tx>
            <c:strRef>
              <c:f>'Variant 4 - MIDC (Fuel2)'!$BD$164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(Fuel2)'!$BE$164:$BL$164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70-4E6B-94A4-F671F8CE1C64}"/>
            </c:ext>
          </c:extLst>
        </c:ser>
        <c:ser>
          <c:idx val="8"/>
          <c:order val="8"/>
          <c:tx>
            <c:strRef>
              <c:f>'Variant 4 - MIDC (Fuel2)'!$BD$165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(Fuel2)'!$BE$165:$BL$165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0-4E6B-94A4-F671F8CE1C64}"/>
            </c:ext>
          </c:extLst>
        </c:ser>
        <c:ser>
          <c:idx val="9"/>
          <c:order val="9"/>
          <c:tx>
            <c:strRef>
              <c:f>'Variant 4 - MIDC (Fuel2)'!$BD$166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(Fuel2)'!$BE$166:$BL$166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70-4E6B-94A4-F671F8CE1C64}"/>
            </c:ext>
          </c:extLst>
        </c:ser>
        <c:ser>
          <c:idx val="10"/>
          <c:order val="10"/>
          <c:tx>
            <c:strRef>
              <c:f>'Variant 4 - MIDC (Fuel2)'!$BD$167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(Fuel2)'!$BE$167:$BL$167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70-4E6B-94A4-F671F8CE1C64}"/>
            </c:ext>
          </c:extLst>
        </c:ser>
        <c:ser>
          <c:idx val="11"/>
          <c:order val="11"/>
          <c:tx>
            <c:strRef>
              <c:f>'Variant 4 - MIDC (Fuel2)'!$BD$168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(Fuel2)'!$BE$168:$BL$168</c:f>
              <c:numCache>
                <c:formatCode>General</c:formatCode>
                <c:ptCount val="6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70-4E6B-94A4-F671F8CE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28048"/>
        <c:axId val="391628440"/>
      </c:radarChart>
      <c:catAx>
        <c:axId val="3916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8440"/>
        <c:crosses val="autoZero"/>
        <c:auto val="1"/>
        <c:lblAlgn val="ctr"/>
        <c:lblOffset val="100"/>
        <c:noMultiLvlLbl val="0"/>
      </c:catAx>
      <c:valAx>
        <c:axId val="3916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(Fuel2)'!$BD$169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(Fuel2)'!$BE$169:$BL$169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6-4027-9FBB-54485EF8E9EC}"/>
            </c:ext>
          </c:extLst>
        </c:ser>
        <c:ser>
          <c:idx val="1"/>
          <c:order val="1"/>
          <c:tx>
            <c:strRef>
              <c:f>'Variant 4 - MIDC (Fuel2)'!$BD$170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(Fuel2)'!$BE$170:$BL$170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76-4027-9FBB-54485EF8E9EC}"/>
            </c:ext>
          </c:extLst>
        </c:ser>
        <c:ser>
          <c:idx val="2"/>
          <c:order val="2"/>
          <c:tx>
            <c:strRef>
              <c:f>'Variant 4 - MIDC (Fuel2)'!$BD$171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(Fuel2)'!$BE$171:$BL$171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76-4027-9FBB-54485EF8E9EC}"/>
            </c:ext>
          </c:extLst>
        </c:ser>
        <c:ser>
          <c:idx val="3"/>
          <c:order val="3"/>
          <c:tx>
            <c:strRef>
              <c:f>'Variant 4 - MIDC (Fuel2)'!$BD$172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76-4027-9FBB-54485EF8E9EC}"/>
            </c:ext>
          </c:extLst>
        </c:ser>
        <c:ser>
          <c:idx val="4"/>
          <c:order val="4"/>
          <c:tx>
            <c:strRef>
              <c:f>'Variant 4 - MIDC (Fuel2)'!$BD$173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(Fuel2)'!$BE$173:$BL$173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76-4027-9FBB-54485EF8E9EC}"/>
            </c:ext>
          </c:extLst>
        </c:ser>
        <c:ser>
          <c:idx val="5"/>
          <c:order val="5"/>
          <c:tx>
            <c:strRef>
              <c:f>'Variant 4 - MIDC (Fuel2)'!$BD$174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(Fuel2)'!$BE$174:$BL$174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76-4027-9FBB-54485EF8E9EC}"/>
            </c:ext>
          </c:extLst>
        </c:ser>
        <c:ser>
          <c:idx val="6"/>
          <c:order val="6"/>
          <c:tx>
            <c:strRef>
              <c:f>'Variant 4 - MIDC (Fuel2)'!$BD$175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(Fuel2)'!$BE$175:$BL$175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76-4027-9FBB-54485EF8E9EC}"/>
            </c:ext>
          </c:extLst>
        </c:ser>
        <c:ser>
          <c:idx val="7"/>
          <c:order val="7"/>
          <c:tx>
            <c:strRef>
              <c:f>'Variant 4 - MIDC (Fuel2)'!$BD$176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(Fuel2)'!$BE$176:$BL$176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76-4027-9FBB-54485EF8E9EC}"/>
            </c:ext>
          </c:extLst>
        </c:ser>
        <c:ser>
          <c:idx val="8"/>
          <c:order val="8"/>
          <c:tx>
            <c:strRef>
              <c:f>'Variant 4 - MIDC (Fuel2)'!$BD$177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(Fuel2)'!$BE$177:$BL$177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76-4027-9FBB-54485EF8E9EC}"/>
            </c:ext>
          </c:extLst>
        </c:ser>
        <c:ser>
          <c:idx val="9"/>
          <c:order val="9"/>
          <c:tx>
            <c:strRef>
              <c:f>'Variant 4 - MIDC (Fuel2)'!$BD$178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(Fuel2)'!$BE$178:$BL$178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76-4027-9FBB-54485EF8E9EC}"/>
            </c:ext>
          </c:extLst>
        </c:ser>
        <c:ser>
          <c:idx val="10"/>
          <c:order val="10"/>
          <c:tx>
            <c:strRef>
              <c:f>'Variant 4 - MIDC (Fuel2)'!$BD$179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(Fuel2)'!$BE$179:$BL$179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76-4027-9FBB-54485EF8E9EC}"/>
            </c:ext>
          </c:extLst>
        </c:ser>
        <c:ser>
          <c:idx val="11"/>
          <c:order val="11"/>
          <c:tx>
            <c:strRef>
              <c:f>'Variant 4 - MIDC (Fuel2)'!$BD$180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(Fuel2)'!$BE$155:$BL$155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(Fuel2)'!$BE$180:$BL$180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76-4027-9FBB-54485EF8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29224"/>
        <c:axId val="391629616"/>
      </c:radarChart>
      <c:catAx>
        <c:axId val="39162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9616"/>
        <c:crosses val="autoZero"/>
        <c:auto val="1"/>
        <c:lblAlgn val="ctr"/>
        <c:lblOffset val="100"/>
        <c:noMultiLvlLbl val="0"/>
      </c:catAx>
      <c:valAx>
        <c:axId val="3916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2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(Fuel2)'!$BD$91</c:f>
              <c:strCache>
                <c:ptCount val="1"/>
                <c:pt idx="0">
                  <c:v>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(Fuel2)'!$BE$91:$BL$91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7-4D57-B93C-CEE7EBD376FA}"/>
            </c:ext>
          </c:extLst>
        </c:ser>
        <c:ser>
          <c:idx val="4"/>
          <c:order val="1"/>
          <c:tx>
            <c:strRef>
              <c:f>'Variant 4 - MIDC (Fuel2)'!$BD$95</c:f>
              <c:strCache>
                <c:ptCount val="1"/>
                <c:pt idx="0">
                  <c:v>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(Fuel2)'!$BE$81:$BL$81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(Fuel2)'!$BE$95:$BL$95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7-4D57-B93C-CEE7EBD37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5896"/>
        <c:axId val="390145504"/>
      </c:radarChart>
      <c:catAx>
        <c:axId val="39014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5504"/>
        <c:crosses val="autoZero"/>
        <c:auto val="1"/>
        <c:lblAlgn val="ctr"/>
        <c:lblOffset val="100"/>
        <c:noMultiLvlLbl val="0"/>
      </c:catAx>
      <c:valAx>
        <c:axId val="3901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589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(Fuel2)'!$BE$109:$BL$109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6-41F9-A855-0EB8441188A1}"/>
            </c:ext>
          </c:extLst>
        </c:ser>
        <c:ser>
          <c:idx val="4"/>
          <c:order val="1"/>
          <c:tx>
            <c:strRef>
              <c:f>'Variant 4 - MIDC (Fuel2)'!$BD$113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(Fuel2)'!$BE$113:$BL$113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A6-41F9-A855-0EB844118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44720"/>
        <c:axId val="390144328"/>
      </c:radarChart>
      <c:catAx>
        <c:axId val="3901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4328"/>
        <c:crosses val="autoZero"/>
        <c:auto val="1"/>
        <c:lblAlgn val="ctr"/>
        <c:lblOffset val="100"/>
        <c:noMultiLvlLbl val="0"/>
      </c:catAx>
      <c:valAx>
        <c:axId val="39014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472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4 - MIDC (Fuel2)'!$BD$117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4 - MIDC (Fuel2)'!$BE$107:$BL$107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(Fuel2)'!$BE$117:$BL$117</c:f>
              <c:numCache>
                <c:formatCode>General</c:formatCode>
                <c:ptCount val="6"/>
                <c:pt idx="0" formatCode="0.00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A-46E4-8B51-56F250A23D3E}"/>
            </c:ext>
          </c:extLst>
        </c:ser>
        <c:ser>
          <c:idx val="4"/>
          <c:order val="1"/>
          <c:tx>
            <c:strRef>
              <c:f>'Variant 4 - MIDC (Fuel2)'!$BD$121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4 - MIDC (Fuel2)'!$BE$107:$BL$107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4 - MIDC (Fuel2)'!$BE$121:$BL$121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A-46E4-8B51-56F250A23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30400"/>
        <c:axId val="391630792"/>
      </c:radarChart>
      <c:catAx>
        <c:axId val="3916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0792"/>
        <c:crosses val="autoZero"/>
        <c:auto val="1"/>
        <c:lblAlgn val="ctr"/>
        <c:lblOffset val="100"/>
        <c:noMultiLvlLbl val="0"/>
      </c:catAx>
      <c:valAx>
        <c:axId val="39163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04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(Fuel2)'!$BE$13:$BL$13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8-4DC4-B957-C836C0910614}"/>
            </c:ext>
          </c:extLst>
        </c:ser>
        <c:ser>
          <c:idx val="1"/>
          <c:order val="1"/>
          <c:tx>
            <c:strRef>
              <c:f>'Variant 3 - JC08 (Fuel2)'!$BD$14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(Fuel2)'!$BE$14:$BL$14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8-4DC4-B957-C836C0910614}"/>
            </c:ext>
          </c:extLst>
        </c:ser>
        <c:ser>
          <c:idx val="2"/>
          <c:order val="2"/>
          <c:tx>
            <c:strRef>
              <c:f>'Variant 3 - JC08 (Fuel2)'!$BD$15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(Fuel2)'!$BE$15:$BL$15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8-4DC4-B957-C836C0910614}"/>
            </c:ext>
          </c:extLst>
        </c:ser>
        <c:ser>
          <c:idx val="3"/>
          <c:order val="3"/>
          <c:tx>
            <c:strRef>
              <c:f>'Variant 3 - JC08 (Fuel2)'!$BD$16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(Fuel2)'!$BE$16:$BL$16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8-4DC4-B957-C836C0910614}"/>
            </c:ext>
          </c:extLst>
        </c:ser>
        <c:ser>
          <c:idx val="4"/>
          <c:order val="4"/>
          <c:tx>
            <c:strRef>
              <c:f>'Variant 3 - JC08 (Fuel2)'!$BD$17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(Fuel2)'!$BE$17:$BL$17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B8-4DC4-B957-C836C0910614}"/>
            </c:ext>
          </c:extLst>
        </c:ser>
        <c:ser>
          <c:idx val="5"/>
          <c:order val="5"/>
          <c:tx>
            <c:strRef>
              <c:f>'Variant 3 - JC08 (Fuel2)'!$BD$18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(Fuel2)'!$BE$18:$BL$18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B8-4DC4-B957-C836C0910614}"/>
            </c:ext>
          </c:extLst>
        </c:ser>
        <c:ser>
          <c:idx val="6"/>
          <c:order val="6"/>
          <c:tx>
            <c:strRef>
              <c:f>'Variant 3 - JC08 (Fuel2)'!$BD$19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(Fuel2)'!$BE$19:$BL$19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B8-4DC4-B957-C836C0910614}"/>
            </c:ext>
          </c:extLst>
        </c:ser>
        <c:ser>
          <c:idx val="7"/>
          <c:order val="7"/>
          <c:tx>
            <c:strRef>
              <c:f>'Variant 3 - JC08 (Fuel2)'!$BD$20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(Fuel2)'!$BE$20:$BL$20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B8-4DC4-B957-C836C0910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31968"/>
        <c:axId val="391632360"/>
      </c:radarChart>
      <c:catAx>
        <c:axId val="39163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2360"/>
        <c:crosses val="autoZero"/>
        <c:auto val="1"/>
        <c:lblAlgn val="ctr"/>
        <c:lblOffset val="100"/>
        <c:noMultiLvlLbl val="0"/>
      </c:catAx>
      <c:valAx>
        <c:axId val="39163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(Fuel2)'!$BE$21:$BL$21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9-4A1A-AF35-5AA108D6ABC8}"/>
            </c:ext>
          </c:extLst>
        </c:ser>
        <c:ser>
          <c:idx val="1"/>
          <c:order val="1"/>
          <c:tx>
            <c:strRef>
              <c:f>'Variant 3 - JC08 (Fuel2)'!$BD$22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(Fuel2)'!$BE$22:$BL$22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9-4A1A-AF35-5AA108D6ABC8}"/>
            </c:ext>
          </c:extLst>
        </c:ser>
        <c:ser>
          <c:idx val="2"/>
          <c:order val="2"/>
          <c:tx>
            <c:strRef>
              <c:f>'Variant 3 - JC08 (Fuel2)'!$BD$23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(Fuel2)'!$BE$23:$BL$23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9-4A1A-AF35-5AA108D6ABC8}"/>
            </c:ext>
          </c:extLst>
        </c:ser>
        <c:ser>
          <c:idx val="3"/>
          <c:order val="3"/>
          <c:tx>
            <c:strRef>
              <c:f>'Variant 3 - JC08 (Fuel2)'!$BD$24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(Fuel2)'!$BE$24:$BL$24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9-4A1A-AF35-5AA108D6ABC8}"/>
            </c:ext>
          </c:extLst>
        </c:ser>
        <c:ser>
          <c:idx val="4"/>
          <c:order val="4"/>
          <c:tx>
            <c:strRef>
              <c:f>'Variant 3 - JC08 (Fuel2)'!$BD$25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(Fuel2)'!$BE$25:$BL$25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69-4A1A-AF35-5AA108D6ABC8}"/>
            </c:ext>
          </c:extLst>
        </c:ser>
        <c:ser>
          <c:idx val="5"/>
          <c:order val="5"/>
          <c:tx>
            <c:strRef>
              <c:f>'Variant 3 - JC08 (Fuel2)'!$BD$26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(Fuel2)'!$BE$26:$BL$26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69-4A1A-AF35-5AA108D6ABC8}"/>
            </c:ext>
          </c:extLst>
        </c:ser>
        <c:ser>
          <c:idx val="6"/>
          <c:order val="6"/>
          <c:tx>
            <c:strRef>
              <c:f>'Variant 3 - JC08 (Fuel2)'!$BD$27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(Fuel2)'!$BE$27:$BL$27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69-4A1A-AF35-5AA108D6ABC8}"/>
            </c:ext>
          </c:extLst>
        </c:ser>
        <c:ser>
          <c:idx val="7"/>
          <c:order val="7"/>
          <c:tx>
            <c:strRef>
              <c:f>'Variant 3 - JC08 (Fuel2)'!$BD$28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(Fuel2)'!$BE$11:$BL$11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(Fuel2)'!$BE$28:$BL$28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69-4A1A-AF35-5AA108D6A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33144"/>
        <c:axId val="391633536"/>
      </c:radarChart>
      <c:catAx>
        <c:axId val="3916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3536"/>
        <c:crosses val="autoZero"/>
        <c:auto val="1"/>
        <c:lblAlgn val="ctr"/>
        <c:lblOffset val="100"/>
        <c:noMultiLvlLbl val="0"/>
      </c:catAx>
      <c:valAx>
        <c:axId val="3916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(Fuel2)'!$BD$40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(Fuel2)'!$BE$40:$BL$40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3CE-8F4C-3CDA26D7CF16}"/>
            </c:ext>
          </c:extLst>
        </c:ser>
        <c:ser>
          <c:idx val="1"/>
          <c:order val="1"/>
          <c:tx>
            <c:strRef>
              <c:f>'Variant 3 - JC08 (Fuel2)'!$BD$41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(Fuel2)'!$BE$41:$BL$41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B-43CE-8F4C-3CDA26D7CF16}"/>
            </c:ext>
          </c:extLst>
        </c:ser>
        <c:ser>
          <c:idx val="2"/>
          <c:order val="2"/>
          <c:tx>
            <c:strRef>
              <c:f>'Variant 3 - JC08 (Fuel2)'!$BD$42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(Fuel2)'!$BE$42:$BL$42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43CE-8F4C-3CDA26D7CF16}"/>
            </c:ext>
          </c:extLst>
        </c:ser>
        <c:ser>
          <c:idx val="3"/>
          <c:order val="3"/>
          <c:tx>
            <c:strRef>
              <c:f>'Variant 3 - JC08 (Fuel2)'!$BD$43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(Fuel2)'!$BE$43:$BL$43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B-43CE-8F4C-3CDA26D7CF16}"/>
            </c:ext>
          </c:extLst>
        </c:ser>
        <c:ser>
          <c:idx val="4"/>
          <c:order val="4"/>
          <c:tx>
            <c:strRef>
              <c:f>'Variant 3 - JC08 (Fuel2)'!$BD$44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(Fuel2)'!$BE$44:$BL$44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1B-43CE-8F4C-3CDA26D7CF16}"/>
            </c:ext>
          </c:extLst>
        </c:ser>
        <c:ser>
          <c:idx val="5"/>
          <c:order val="5"/>
          <c:tx>
            <c:strRef>
              <c:f>'Variant 3 - JC08 (Fuel2)'!$BD$45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(Fuel2)'!$BE$45:$BL$45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1B-43CE-8F4C-3CDA26D7CF16}"/>
            </c:ext>
          </c:extLst>
        </c:ser>
        <c:ser>
          <c:idx val="6"/>
          <c:order val="6"/>
          <c:tx>
            <c:strRef>
              <c:f>'Variant 3 - JC08 (Fuel2)'!$BD$46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(Fuel2)'!$BE$46:$BL$46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1B-43CE-8F4C-3CDA26D7CF16}"/>
            </c:ext>
          </c:extLst>
        </c:ser>
        <c:ser>
          <c:idx val="7"/>
          <c:order val="7"/>
          <c:tx>
            <c:strRef>
              <c:f>'Variant 3 - JC08 (Fuel2)'!$BD$47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(Fuel2)'!$BE$47:$BL$47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1B-43CE-8F4C-3CDA26D7CF16}"/>
            </c:ext>
          </c:extLst>
        </c:ser>
        <c:ser>
          <c:idx val="8"/>
          <c:order val="8"/>
          <c:tx>
            <c:strRef>
              <c:f>'Variant 3 - JC08 (Fuel2)'!$BD$48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(Fuel2)'!$BE$48:$BL$48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1B-43CE-8F4C-3CDA26D7CF16}"/>
            </c:ext>
          </c:extLst>
        </c:ser>
        <c:ser>
          <c:idx val="9"/>
          <c:order val="9"/>
          <c:tx>
            <c:strRef>
              <c:f>'Variant 3 - JC08 (Fuel2)'!$BD$49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(Fuel2)'!$BE$49:$BL$49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B1B-43CE-8F4C-3CDA26D7CF16}"/>
            </c:ext>
          </c:extLst>
        </c:ser>
        <c:ser>
          <c:idx val="10"/>
          <c:order val="10"/>
          <c:tx>
            <c:strRef>
              <c:f>'Variant 3 - JC08 (Fuel2)'!$BD$50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(Fuel2)'!$BE$50:$BL$50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B1B-43CE-8F4C-3CDA26D7CF16}"/>
            </c:ext>
          </c:extLst>
        </c:ser>
        <c:ser>
          <c:idx val="11"/>
          <c:order val="11"/>
          <c:tx>
            <c:strRef>
              <c:f>'Variant 3 - JC08 (Fuel2)'!$BD$51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(Fuel2)'!$BE$51:$BL$51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B1B-43CE-8F4C-3CDA26D7C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34320"/>
        <c:axId val="333421312"/>
      </c:radarChart>
      <c:catAx>
        <c:axId val="39163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1312"/>
        <c:crosses val="autoZero"/>
        <c:auto val="1"/>
        <c:lblAlgn val="ctr"/>
        <c:lblOffset val="100"/>
        <c:noMultiLvlLbl val="0"/>
      </c:catAx>
      <c:valAx>
        <c:axId val="3334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(Fuel2)'!$BD$52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(Fuel2)'!$BE$52:$BL$52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4-41F2-8504-70633815D073}"/>
            </c:ext>
          </c:extLst>
        </c:ser>
        <c:ser>
          <c:idx val="1"/>
          <c:order val="1"/>
          <c:tx>
            <c:strRef>
              <c:f>'Variant 3 - JC08 (Fuel2)'!$BD$53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(Fuel2)'!$BE$53:$BL$53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4-41F2-8504-70633815D073}"/>
            </c:ext>
          </c:extLst>
        </c:ser>
        <c:ser>
          <c:idx val="2"/>
          <c:order val="2"/>
          <c:tx>
            <c:strRef>
              <c:f>'Variant 3 - JC08 (Fuel2)'!$BD$54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(Fuel2)'!$BE$54:$BL$54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4-41F2-8504-70633815D073}"/>
            </c:ext>
          </c:extLst>
        </c:ser>
        <c:ser>
          <c:idx val="3"/>
          <c:order val="3"/>
          <c:tx>
            <c:strRef>
              <c:f>'Variant 3 - JC08 (Fuel2)'!$BD$55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(Fuel2)'!$BE$55:$BL$55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4-41F2-8504-70633815D073}"/>
            </c:ext>
          </c:extLst>
        </c:ser>
        <c:ser>
          <c:idx val="4"/>
          <c:order val="4"/>
          <c:tx>
            <c:strRef>
              <c:f>'Variant 3 - JC08 (Fuel2)'!$BD$56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(Fuel2)'!$BE$56:$BL$56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D4-41F2-8504-70633815D073}"/>
            </c:ext>
          </c:extLst>
        </c:ser>
        <c:ser>
          <c:idx val="5"/>
          <c:order val="5"/>
          <c:tx>
            <c:strRef>
              <c:f>'Variant 3 - JC08 (Fuel2)'!$BD$57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(Fuel2)'!$BE$57:$BL$57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D4-41F2-8504-70633815D073}"/>
            </c:ext>
          </c:extLst>
        </c:ser>
        <c:ser>
          <c:idx val="6"/>
          <c:order val="6"/>
          <c:tx>
            <c:strRef>
              <c:f>'Variant 3 - JC08 (Fuel2)'!$BD$58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(Fuel2)'!$BE$58:$BL$58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D4-41F2-8504-70633815D073}"/>
            </c:ext>
          </c:extLst>
        </c:ser>
        <c:ser>
          <c:idx val="7"/>
          <c:order val="7"/>
          <c:tx>
            <c:strRef>
              <c:f>'Variant 3 - JC08 (Fuel2)'!$BD$59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(Fuel2)'!$BE$59:$BL$59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D4-41F2-8504-70633815D073}"/>
            </c:ext>
          </c:extLst>
        </c:ser>
        <c:ser>
          <c:idx val="8"/>
          <c:order val="8"/>
          <c:tx>
            <c:strRef>
              <c:f>'Variant 3 - JC08 (Fuel2)'!$BD$60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(Fuel2)'!$BE$60:$BL$60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D4-41F2-8504-70633815D073}"/>
            </c:ext>
          </c:extLst>
        </c:ser>
        <c:ser>
          <c:idx val="9"/>
          <c:order val="9"/>
          <c:tx>
            <c:strRef>
              <c:f>'Variant 3 - JC08 (Fuel2)'!$BD$61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(Fuel2)'!$BE$61:$BL$61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D4-41F2-8504-70633815D073}"/>
            </c:ext>
          </c:extLst>
        </c:ser>
        <c:ser>
          <c:idx val="10"/>
          <c:order val="10"/>
          <c:tx>
            <c:strRef>
              <c:f>'Variant 3 - JC08 (Fuel2)'!$BD$62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(Fuel2)'!$BE$62:$BL$62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D4-41F2-8504-70633815D073}"/>
            </c:ext>
          </c:extLst>
        </c:ser>
        <c:ser>
          <c:idx val="11"/>
          <c:order val="11"/>
          <c:tx>
            <c:strRef>
              <c:f>'Variant 3 - JC08 (Fuel2)'!$BD$63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(Fuel2)'!$BE$38:$BL$38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(Fuel2)'!$BE$63:$BL$63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D4-41F2-8504-70633815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2488"/>
        <c:axId val="333422880"/>
      </c:radarChart>
      <c:catAx>
        <c:axId val="33342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880"/>
        <c:crosses val="autoZero"/>
        <c:auto val="1"/>
        <c:lblAlgn val="ctr"/>
        <c:lblOffset val="100"/>
        <c:noMultiLvlLbl val="0"/>
      </c:catAx>
      <c:valAx>
        <c:axId val="3334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(Fuel2)'!$BD$83</c:f>
              <c:strCache>
                <c:ptCount val="1"/>
                <c:pt idx="0">
                  <c:v>1st 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(Fuel2)'!$BE$83:$BL$83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F-4D0A-A1C4-19194D9180C0}"/>
            </c:ext>
          </c:extLst>
        </c:ser>
        <c:ser>
          <c:idx val="4"/>
          <c:order val="1"/>
          <c:tx>
            <c:strRef>
              <c:f>'Variant 3 - JC08 (Fuel2)'!$BD$87</c:f>
              <c:strCache>
                <c:ptCount val="1"/>
                <c:pt idx="0">
                  <c:v>0.7*IEF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(Fuel2)'!$BE$87:$BL$87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F-4D0A-A1C4-19194D918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3664"/>
        <c:axId val="333424056"/>
      </c:radarChart>
      <c:catAx>
        <c:axId val="3334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4056"/>
        <c:crosses val="autoZero"/>
        <c:auto val="1"/>
        <c:lblAlgn val="ctr"/>
        <c:lblOffset val="100"/>
        <c:noMultiLvlLbl val="0"/>
      </c:catAx>
      <c:valAx>
        <c:axId val="3334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366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(Fuel2)'!$BD$130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(Fuel2)'!$BE$130:$BL$130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4-4E4D-A7DD-5991992F1A43}"/>
            </c:ext>
          </c:extLst>
        </c:ser>
        <c:ser>
          <c:idx val="1"/>
          <c:order val="1"/>
          <c:tx>
            <c:strRef>
              <c:f>'Variant 3 - JC08 (Fuel2)'!$BD$131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(Fuel2)'!$BE$131:$BL$131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4-4E4D-A7DD-5991992F1A43}"/>
            </c:ext>
          </c:extLst>
        </c:ser>
        <c:ser>
          <c:idx val="4"/>
          <c:order val="2"/>
          <c:tx>
            <c:strRef>
              <c:f>'Variant 3 - JC08 (Fuel2)'!$BD$136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(Fuel2)'!$BE$136:$BL$136</c:f>
              <c:numCache>
                <c:formatCode>General</c:formatCode>
                <c:ptCount val="4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A4-4E4D-A7DD-5991992F1A43}"/>
            </c:ext>
          </c:extLst>
        </c:ser>
        <c:ser>
          <c:idx val="5"/>
          <c:order val="3"/>
          <c:tx>
            <c:strRef>
              <c:f>'Variant 3 - JC08 (Fuel2)'!$BD$137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(Fuel2)'!$BE$137:$BL$137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A4-4E4D-A7DD-5991992F1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7192"/>
        <c:axId val="333427584"/>
      </c:radarChart>
      <c:catAx>
        <c:axId val="3334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7584"/>
        <c:crosses val="autoZero"/>
        <c:auto val="1"/>
        <c:lblAlgn val="ctr"/>
        <c:lblOffset val="100"/>
        <c:noMultiLvlLbl val="0"/>
      </c:catAx>
      <c:valAx>
        <c:axId val="3334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(Fuel2)'!$BD$142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(Fuel2)'!$BE$142:$BL$142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B-471B-AB2C-2D41B9149874}"/>
            </c:ext>
          </c:extLst>
        </c:ser>
        <c:ser>
          <c:idx val="1"/>
          <c:order val="1"/>
          <c:tx>
            <c:strRef>
              <c:f>'Variant 3 - JC08 (Fuel2)'!$BD$143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(Fuel2)'!$BE$143:$BL$143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B-471B-AB2C-2D41B9149874}"/>
            </c:ext>
          </c:extLst>
        </c:ser>
        <c:ser>
          <c:idx val="4"/>
          <c:order val="2"/>
          <c:tx>
            <c:strRef>
              <c:f>'Variant 3 - JC08 (Fuel2)'!$BD$148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(Fuel2)'!$BE$148:$BL$148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B-471B-AB2C-2D41B9149874}"/>
            </c:ext>
          </c:extLst>
        </c:ser>
        <c:ser>
          <c:idx val="5"/>
          <c:order val="3"/>
          <c:tx>
            <c:strRef>
              <c:f>'Variant 3 - JC08 (Fuel2)'!$BD$149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(Fuel2)'!$BE$128:$BL$128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(Fuel2)'!$BE$149:$BL$149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B-471B-AB2C-2D41B914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8368"/>
        <c:axId val="333428760"/>
      </c:radarChart>
      <c:catAx>
        <c:axId val="3334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8760"/>
        <c:crosses val="autoZero"/>
        <c:auto val="1"/>
        <c:lblAlgn val="ctr"/>
        <c:lblOffset val="100"/>
        <c:noMultiLvlLbl val="0"/>
      </c:catAx>
      <c:valAx>
        <c:axId val="33342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(Fuel2)'!$BD$157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(Fuel2)'!$BE$157:$BL$157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9-4041-B0C5-42DE929C65B0}"/>
            </c:ext>
          </c:extLst>
        </c:ser>
        <c:ser>
          <c:idx val="1"/>
          <c:order val="1"/>
          <c:tx>
            <c:strRef>
              <c:f>'Variant 3 - JC08 (Fuel2)'!$BD$158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(Fuel2)'!$BE$158:$BL$158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9-4041-B0C5-42DE929C65B0}"/>
            </c:ext>
          </c:extLst>
        </c:ser>
        <c:ser>
          <c:idx val="2"/>
          <c:order val="2"/>
          <c:tx>
            <c:strRef>
              <c:f>'Variant 3 - JC08 (Fuel2)'!$BD$159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(Fuel2)'!$BE$159:$BL$159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9-4041-B0C5-42DE929C65B0}"/>
            </c:ext>
          </c:extLst>
        </c:ser>
        <c:ser>
          <c:idx val="3"/>
          <c:order val="3"/>
          <c:tx>
            <c:strRef>
              <c:f>'Variant 3 - JC08 (Fuel2)'!$BD$160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(Fuel2)'!$BE$160:$BL$160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B9-4041-B0C5-42DE929C65B0}"/>
            </c:ext>
          </c:extLst>
        </c:ser>
        <c:ser>
          <c:idx val="4"/>
          <c:order val="4"/>
          <c:tx>
            <c:strRef>
              <c:f>'Variant 3 - JC08 (Fuel2)'!$BD$161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(Fuel2)'!$BE$161:$BL$161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B9-4041-B0C5-42DE929C65B0}"/>
            </c:ext>
          </c:extLst>
        </c:ser>
        <c:ser>
          <c:idx val="5"/>
          <c:order val="5"/>
          <c:tx>
            <c:strRef>
              <c:f>'Variant 3 - JC08 (Fuel2)'!$BD$162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(Fuel2)'!$BE$162:$BL$162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B9-4041-B0C5-42DE929C65B0}"/>
            </c:ext>
          </c:extLst>
        </c:ser>
        <c:ser>
          <c:idx val="6"/>
          <c:order val="6"/>
          <c:tx>
            <c:strRef>
              <c:f>'Variant 3 - JC08 (Fuel2)'!$BD$163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(Fuel2)'!$BE$163:$BL$163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B9-4041-B0C5-42DE929C65B0}"/>
            </c:ext>
          </c:extLst>
        </c:ser>
        <c:ser>
          <c:idx val="7"/>
          <c:order val="7"/>
          <c:tx>
            <c:strRef>
              <c:f>'Variant 3 - JC08 (Fuel2)'!$BD$164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(Fuel2)'!$BE$164:$BL$164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B9-4041-B0C5-42DE929C65B0}"/>
            </c:ext>
          </c:extLst>
        </c:ser>
        <c:ser>
          <c:idx val="8"/>
          <c:order val="8"/>
          <c:tx>
            <c:strRef>
              <c:f>'Variant 3 - JC08 (Fuel2)'!$BD$165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(Fuel2)'!$BE$165:$BL$165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B9-4041-B0C5-42DE929C65B0}"/>
            </c:ext>
          </c:extLst>
        </c:ser>
        <c:ser>
          <c:idx val="9"/>
          <c:order val="9"/>
          <c:tx>
            <c:strRef>
              <c:f>'Variant 3 - JC08 (Fuel2)'!$BD$166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(Fuel2)'!$BE$166:$BL$166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B9-4041-B0C5-42DE929C65B0}"/>
            </c:ext>
          </c:extLst>
        </c:ser>
        <c:ser>
          <c:idx val="10"/>
          <c:order val="10"/>
          <c:tx>
            <c:strRef>
              <c:f>'Variant 3 - JC08 (Fuel2)'!$BD$167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(Fuel2)'!$BE$167:$BL$167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B9-4041-B0C5-42DE929C65B0}"/>
            </c:ext>
          </c:extLst>
        </c:ser>
        <c:ser>
          <c:idx val="11"/>
          <c:order val="11"/>
          <c:tx>
            <c:strRef>
              <c:f>'Variant 3 - JC08 (Fuel2)'!$BD$168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(Fuel2)'!$BE$168:$BL$168</c:f>
              <c:numCache>
                <c:formatCode>General</c:formatCode>
                <c:ptCount val="4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B9-4041-B0C5-42DE929C6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9544"/>
        <c:axId val="333429936"/>
      </c:radarChart>
      <c:catAx>
        <c:axId val="33342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9936"/>
        <c:crosses val="autoZero"/>
        <c:auto val="1"/>
        <c:lblAlgn val="ctr"/>
        <c:lblOffset val="100"/>
        <c:noMultiLvlLbl val="0"/>
      </c:catAx>
      <c:valAx>
        <c:axId val="3334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(Fuel2)'!$BD$169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(Fuel2)'!$BE$169:$BL$169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9-4A23-ACBD-93FA0E2890FF}"/>
            </c:ext>
          </c:extLst>
        </c:ser>
        <c:ser>
          <c:idx val="1"/>
          <c:order val="1"/>
          <c:tx>
            <c:strRef>
              <c:f>'Variant 3 - JC08 (Fuel2)'!$BD$170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(Fuel2)'!$BE$170:$BL$170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9-4A23-ACBD-93FA0E2890FF}"/>
            </c:ext>
          </c:extLst>
        </c:ser>
        <c:ser>
          <c:idx val="2"/>
          <c:order val="2"/>
          <c:tx>
            <c:strRef>
              <c:f>'Variant 3 - JC08 (Fuel2)'!$BD$171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(Fuel2)'!$BE$171:$BL$171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9-4A23-ACBD-93FA0E2890FF}"/>
            </c:ext>
          </c:extLst>
        </c:ser>
        <c:ser>
          <c:idx val="3"/>
          <c:order val="3"/>
          <c:tx>
            <c:strRef>
              <c:f>'Variant 3 - JC08 (Fuel2)'!$BD$172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(Fuel2)'!$BE$172:$BL$172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29-4A23-ACBD-93FA0E2890FF}"/>
            </c:ext>
          </c:extLst>
        </c:ser>
        <c:ser>
          <c:idx val="4"/>
          <c:order val="4"/>
          <c:tx>
            <c:strRef>
              <c:f>'Variant 3 - JC08 (Fuel2)'!$BD$173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(Fuel2)'!$BE$173:$BL$173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29-4A23-ACBD-93FA0E2890FF}"/>
            </c:ext>
          </c:extLst>
        </c:ser>
        <c:ser>
          <c:idx val="5"/>
          <c:order val="5"/>
          <c:tx>
            <c:strRef>
              <c:f>'Variant 3 - JC08 (Fuel2)'!$BD$174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(Fuel2)'!$BE$174:$BL$174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29-4A23-ACBD-93FA0E2890FF}"/>
            </c:ext>
          </c:extLst>
        </c:ser>
        <c:ser>
          <c:idx val="6"/>
          <c:order val="6"/>
          <c:tx>
            <c:strRef>
              <c:f>'Variant 3 - JC08 (Fuel2)'!$BD$175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(Fuel2)'!$BE$175:$BL$175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29-4A23-ACBD-93FA0E2890FF}"/>
            </c:ext>
          </c:extLst>
        </c:ser>
        <c:ser>
          <c:idx val="7"/>
          <c:order val="7"/>
          <c:tx>
            <c:strRef>
              <c:f>'Variant 3 - JC08 (Fuel2)'!$BD$176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(Fuel2)'!$BE$176:$BL$176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29-4A23-ACBD-93FA0E2890FF}"/>
            </c:ext>
          </c:extLst>
        </c:ser>
        <c:ser>
          <c:idx val="8"/>
          <c:order val="8"/>
          <c:tx>
            <c:strRef>
              <c:f>'Variant 3 - JC08 (Fuel2)'!$BD$177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(Fuel2)'!$BE$177:$BL$177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29-4A23-ACBD-93FA0E2890FF}"/>
            </c:ext>
          </c:extLst>
        </c:ser>
        <c:ser>
          <c:idx val="9"/>
          <c:order val="9"/>
          <c:tx>
            <c:strRef>
              <c:f>'Variant 3 - JC08 (Fuel2)'!$BD$178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(Fuel2)'!$BE$178:$BL$178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E29-4A23-ACBD-93FA0E2890FF}"/>
            </c:ext>
          </c:extLst>
        </c:ser>
        <c:ser>
          <c:idx val="10"/>
          <c:order val="10"/>
          <c:tx>
            <c:strRef>
              <c:f>'Variant 3 - JC08 (Fuel2)'!$BD$179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(Fuel2)'!$BE$179:$BL$179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29-4A23-ACBD-93FA0E2890FF}"/>
            </c:ext>
          </c:extLst>
        </c:ser>
        <c:ser>
          <c:idx val="11"/>
          <c:order val="11"/>
          <c:tx>
            <c:strRef>
              <c:f>'Variant 3 - JC08 (Fuel2)'!$BD$180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(Fuel2)'!$BE$155:$BL$155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(Fuel2)'!$BE$180:$BL$180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E29-4A23-ACBD-93FA0E28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0720"/>
        <c:axId val="333431112"/>
      </c:radarChart>
      <c:catAx>
        <c:axId val="3334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1112"/>
        <c:crosses val="autoZero"/>
        <c:auto val="1"/>
        <c:lblAlgn val="ctr"/>
        <c:lblOffset val="100"/>
        <c:noMultiLvlLbl val="0"/>
      </c:catAx>
      <c:valAx>
        <c:axId val="3334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(Fuel2)'!$BD$91</c:f>
              <c:strCache>
                <c:ptCount val="1"/>
                <c:pt idx="0">
                  <c:v>WLTC 20°C
(3 Phases)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(Fuel2)'!$BE$91:$BL$91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2-41D8-83C9-B5006A6649AB}"/>
            </c:ext>
          </c:extLst>
        </c:ser>
        <c:ser>
          <c:idx val="4"/>
          <c:order val="1"/>
          <c:tx>
            <c:strRef>
              <c:f>'Variant 3 - JC08 (Fuel2)'!$BD$95</c:f>
              <c:strCache>
                <c:ptCount val="1"/>
                <c:pt idx="0">
                  <c:v>IEF WLTC 20°C
(3 Phases)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(Fuel2)'!$BE$81:$BL$81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(Fuel2)'!$BE$95:$BL$95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72-41D8-83C9-B5006A66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6016"/>
        <c:axId val="333425624"/>
      </c:radarChart>
      <c:catAx>
        <c:axId val="3334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5624"/>
        <c:crosses val="autoZero"/>
        <c:auto val="1"/>
        <c:lblAlgn val="ctr"/>
        <c:lblOffset val="100"/>
        <c:noMultiLvlLbl val="0"/>
      </c:catAx>
      <c:valAx>
        <c:axId val="3334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601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(Fuel2)'!$BD$109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(Fuel2)'!$BE$109:$BL$109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C-4A9B-95CC-7B2A5BB6191C}"/>
            </c:ext>
          </c:extLst>
        </c:ser>
        <c:ser>
          <c:idx val="4"/>
          <c:order val="1"/>
          <c:tx>
            <c:strRef>
              <c:f>'Variant 3 - JC08 (Fuel2)'!$BD$113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(Fuel2)'!$BE$113:$BL$113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C-4A9B-95CC-7B2A5BB61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24840"/>
        <c:axId val="333424448"/>
      </c:radarChart>
      <c:catAx>
        <c:axId val="33342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4448"/>
        <c:crosses val="autoZero"/>
        <c:auto val="1"/>
        <c:lblAlgn val="ctr"/>
        <c:lblOffset val="100"/>
        <c:noMultiLvlLbl val="0"/>
      </c:catAx>
      <c:valAx>
        <c:axId val="3334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484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3 - JC08 (Fuel2)'!$BD$117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3 - JC08 (Fuel2)'!$BE$107:$BL$107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(Fuel2)'!$BE$117:$BL$117</c:f>
              <c:numCache>
                <c:formatCode>General</c:formatCode>
                <c:ptCount val="4"/>
                <c:pt idx="0" formatCode="0.00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3-4821-94D1-70F3F26D880F}"/>
            </c:ext>
          </c:extLst>
        </c:ser>
        <c:ser>
          <c:idx val="4"/>
          <c:order val="1"/>
          <c:tx>
            <c:strRef>
              <c:f>'Variant 3 - JC08 (Fuel2)'!$BD$121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3 - JC08 (Fuel2)'!$BE$107:$BL$107</c:f>
              <c:strCache>
                <c:ptCount val="4"/>
                <c:pt idx="0">
                  <c:v>NMHC 
[g/km]</c:v>
                </c:pt>
                <c:pt idx="1">
                  <c:v>CO
[g/km]</c:v>
                </c:pt>
                <c:pt idx="2">
                  <c:v>NOx
[g/km]</c:v>
                </c:pt>
                <c:pt idx="3">
                  <c:v>PM
[mg/km]</c:v>
                </c:pt>
              </c:strCache>
            </c:strRef>
          </c:cat>
          <c:val>
            <c:numRef>
              <c:f>'Variant 3 - JC08 (Fuel2)'!$BE$121:$BL$121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3-4821-94D1-70F3F26D8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1896"/>
        <c:axId val="333432288"/>
      </c:radarChart>
      <c:catAx>
        <c:axId val="3334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2288"/>
        <c:crosses val="autoZero"/>
        <c:auto val="1"/>
        <c:lblAlgn val="ctr"/>
        <c:lblOffset val="100"/>
        <c:noMultiLvlLbl val="0"/>
      </c:catAx>
      <c:valAx>
        <c:axId val="3334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189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Fuel2'!$BE$13:$BL$13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2-4034-9073-624CE75B0610}"/>
            </c:ext>
          </c:extLst>
        </c:ser>
        <c:ser>
          <c:idx val="1"/>
          <c:order val="1"/>
          <c:tx>
            <c:strRef>
              <c:f>'Variant 2a - Brazil Flex Fuel2'!$BD$14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Fuel2'!$BE$14:$BL$14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32-4034-9073-624CE75B0610}"/>
            </c:ext>
          </c:extLst>
        </c:ser>
        <c:ser>
          <c:idx val="2"/>
          <c:order val="2"/>
          <c:tx>
            <c:strRef>
              <c:f>'Variant 2a - Brazil Flex Fuel2'!$BD$15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Fuel2'!$BE$15:$BL$15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32-4034-9073-624CE75B0610}"/>
            </c:ext>
          </c:extLst>
        </c:ser>
        <c:ser>
          <c:idx val="3"/>
          <c:order val="3"/>
          <c:tx>
            <c:strRef>
              <c:f>'Variant 2a - Brazil Flex Fuel2'!$BD$16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Fuel2'!$BE$16:$BL$16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32-4034-9073-624CE75B0610}"/>
            </c:ext>
          </c:extLst>
        </c:ser>
        <c:ser>
          <c:idx val="4"/>
          <c:order val="4"/>
          <c:tx>
            <c:strRef>
              <c:f>'Variant 2a - Brazil Flex Fuel2'!$BD$17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Fuel2'!$BE$17:$BL$17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32-4034-9073-624CE75B0610}"/>
            </c:ext>
          </c:extLst>
        </c:ser>
        <c:ser>
          <c:idx val="5"/>
          <c:order val="5"/>
          <c:tx>
            <c:strRef>
              <c:f>'Variant 2a - Brazil Flex Fuel2'!$BD$18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Fuel2'!$BE$18:$BL$18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32-4034-9073-624CE75B0610}"/>
            </c:ext>
          </c:extLst>
        </c:ser>
        <c:ser>
          <c:idx val="6"/>
          <c:order val="6"/>
          <c:tx>
            <c:strRef>
              <c:f>'Variant 2a - Brazil Flex Fuel2'!$BD$19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Fuel2'!$BE$19:$BL$19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32-4034-9073-624CE75B0610}"/>
            </c:ext>
          </c:extLst>
        </c:ser>
        <c:ser>
          <c:idx val="7"/>
          <c:order val="7"/>
          <c:tx>
            <c:strRef>
              <c:f>'Variant 2a - Brazil Flex Fuel2'!$BD$20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Fuel2'!$BE$20:$BL$20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32-4034-9073-624CE75B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3072"/>
        <c:axId val="333433464"/>
      </c:radarChart>
      <c:catAx>
        <c:axId val="33343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3464"/>
        <c:crosses val="autoZero"/>
        <c:auto val="1"/>
        <c:lblAlgn val="ctr"/>
        <c:lblOffset val="100"/>
        <c:noMultiLvlLbl val="0"/>
      </c:catAx>
      <c:valAx>
        <c:axId val="3334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Fuel2'!$BE$21:$BL$21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8-45A8-A772-C26EE2EDD1B8}"/>
            </c:ext>
          </c:extLst>
        </c:ser>
        <c:ser>
          <c:idx val="1"/>
          <c:order val="1"/>
          <c:tx>
            <c:strRef>
              <c:f>'Variant 2a - Brazil Flex Fuel2'!$BD$22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Fuel2'!$BE$22:$BL$22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8-45A8-A772-C26EE2EDD1B8}"/>
            </c:ext>
          </c:extLst>
        </c:ser>
        <c:ser>
          <c:idx val="2"/>
          <c:order val="2"/>
          <c:tx>
            <c:strRef>
              <c:f>'Variant 2a - Brazil Flex Fuel2'!$BD$23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Fuel2'!$BE$23:$BL$23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8-45A8-A772-C26EE2EDD1B8}"/>
            </c:ext>
          </c:extLst>
        </c:ser>
        <c:ser>
          <c:idx val="3"/>
          <c:order val="3"/>
          <c:tx>
            <c:strRef>
              <c:f>'Variant 2a - Brazil Flex Fuel2'!$BD$24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Fuel2'!$BE$24:$BL$24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68-45A8-A772-C26EE2EDD1B8}"/>
            </c:ext>
          </c:extLst>
        </c:ser>
        <c:ser>
          <c:idx val="4"/>
          <c:order val="4"/>
          <c:tx>
            <c:strRef>
              <c:f>'Variant 2a - Brazil Flex Fuel2'!$BD$25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Fuel2'!$BE$25:$BL$25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68-45A8-A772-C26EE2EDD1B8}"/>
            </c:ext>
          </c:extLst>
        </c:ser>
        <c:ser>
          <c:idx val="5"/>
          <c:order val="5"/>
          <c:tx>
            <c:strRef>
              <c:f>'Variant 2a - Brazil Flex Fuel2'!$BD$26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Fuel2'!$BE$26:$BL$26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68-45A8-A772-C26EE2EDD1B8}"/>
            </c:ext>
          </c:extLst>
        </c:ser>
        <c:ser>
          <c:idx val="6"/>
          <c:order val="6"/>
          <c:tx>
            <c:strRef>
              <c:f>'Variant 2a - Brazil Flex Fuel2'!$BD$27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Fuel2'!$BE$27:$BL$27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68-45A8-A772-C26EE2EDD1B8}"/>
            </c:ext>
          </c:extLst>
        </c:ser>
        <c:ser>
          <c:idx val="7"/>
          <c:order val="7"/>
          <c:tx>
            <c:strRef>
              <c:f>'Variant 2a - Brazil Flex Fuel2'!$BD$28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Fuel2'!$BE$11:$BL$11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Fuel2'!$BE$28:$BL$28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68-45A8-A772-C26EE2EDD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4248"/>
        <c:axId val="333434640"/>
      </c:radarChart>
      <c:catAx>
        <c:axId val="33343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4640"/>
        <c:crosses val="autoZero"/>
        <c:auto val="1"/>
        <c:lblAlgn val="ctr"/>
        <c:lblOffset val="100"/>
        <c:noMultiLvlLbl val="0"/>
      </c:catAx>
      <c:valAx>
        <c:axId val="3334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Fuel2'!$BM$40:$BT$40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8D2-496B-98DA-2C4DD79AAEE2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Fuel2'!$BM$44:$BT$44</c:f>
              <c:numCache>
                <c:formatCode>General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D2-496B-98DA-2C4DD79A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5424"/>
        <c:axId val="333435816"/>
      </c:radarChart>
      <c:catAx>
        <c:axId val="3334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5816"/>
        <c:crosses val="autoZero"/>
        <c:auto val="1"/>
        <c:lblAlgn val="ctr"/>
        <c:lblOffset val="100"/>
        <c:noMultiLvlLbl val="0"/>
      </c:catAx>
      <c:valAx>
        <c:axId val="3334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542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Fuel2'!$BM$48:$BT$48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2E0-4065-9FA0-086CA42DA55F}"/>
            </c:ext>
          </c:extLst>
        </c:ser>
        <c:ser>
          <c:idx val="4"/>
          <c:order val="1"/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Fuel2'!$BM$38:$BT$38</c:f>
              <c:strCache>
                <c:ptCount val="4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</c:strCache>
            </c:strRef>
          </c:cat>
          <c:val>
            <c:numRef>
              <c:f>'Variant 2a - Brazil Flex Fuel2'!$BM$52:$BT$52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'Variant 2 - FTP75 (Fuel1)'!#REF!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2E0-4065-9FA0-086CA42D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6600"/>
        <c:axId val="333436992"/>
      </c:radarChart>
      <c:catAx>
        <c:axId val="33343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6992"/>
        <c:crosses val="autoZero"/>
        <c:auto val="1"/>
        <c:lblAlgn val="ctr"/>
        <c:lblOffset val="100"/>
        <c:noMultiLvlLbl val="0"/>
      </c:catAx>
      <c:valAx>
        <c:axId val="3334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66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Fuel2'!$BE$67:$BL$67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9-4875-B575-354FB0F9A242}"/>
            </c:ext>
          </c:extLst>
        </c:ser>
        <c:ser>
          <c:idx val="1"/>
          <c:order val="1"/>
          <c:tx>
            <c:strRef>
              <c:f>'Variant 2a - Brazil Flex Fuel2'!$BD$68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Fuel2'!$BE$68:$BL$68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79-4875-B575-354FB0F9A242}"/>
            </c:ext>
          </c:extLst>
        </c:ser>
        <c:ser>
          <c:idx val="2"/>
          <c:order val="2"/>
          <c:tx>
            <c:strRef>
              <c:f>'Variant 2a - Brazil Flex Fuel2'!$BD$69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Fuel2'!$BE$69:$BL$69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79-4875-B575-354FB0F9A242}"/>
            </c:ext>
          </c:extLst>
        </c:ser>
        <c:ser>
          <c:idx val="3"/>
          <c:order val="3"/>
          <c:tx>
            <c:strRef>
              <c:f>'Variant 2a - Brazil Flex Fuel2'!$BD$70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Fuel2'!$BE$70:$BL$70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79-4875-B575-354FB0F9A242}"/>
            </c:ext>
          </c:extLst>
        </c:ser>
        <c:ser>
          <c:idx val="4"/>
          <c:order val="4"/>
          <c:tx>
            <c:strRef>
              <c:f>'Variant 2a - Brazil Flex Fuel2'!$BD$71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Fuel2'!$BE$71:$BL$71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79-4875-B575-354FB0F9A242}"/>
            </c:ext>
          </c:extLst>
        </c:ser>
        <c:ser>
          <c:idx val="5"/>
          <c:order val="5"/>
          <c:tx>
            <c:strRef>
              <c:f>'Variant 2a - Brazil Flex Fuel2'!$BD$72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Fuel2'!$BE$72:$BL$72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79-4875-B575-354FB0F9A242}"/>
            </c:ext>
          </c:extLst>
        </c:ser>
        <c:ser>
          <c:idx val="6"/>
          <c:order val="6"/>
          <c:tx>
            <c:strRef>
              <c:f>'Variant 2a - Brazil Flex Fuel2'!$BD$73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Fuel2'!$BE$73:$BL$73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79-4875-B575-354FB0F9A242}"/>
            </c:ext>
          </c:extLst>
        </c:ser>
        <c:ser>
          <c:idx val="7"/>
          <c:order val="7"/>
          <c:tx>
            <c:strRef>
              <c:f>'Variant 2a - Brazil Flex Fuel2'!$BD$74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Fuel2'!$BE$74:$BL$74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79-4875-B575-354FB0F9A242}"/>
            </c:ext>
          </c:extLst>
        </c:ser>
        <c:ser>
          <c:idx val="8"/>
          <c:order val="8"/>
          <c:tx>
            <c:strRef>
              <c:f>'Variant 2a - Brazil Flex Fuel2'!$BD$75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Fuel2'!$BE$75:$BL$75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79-4875-B575-354FB0F9A242}"/>
            </c:ext>
          </c:extLst>
        </c:ser>
        <c:ser>
          <c:idx val="9"/>
          <c:order val="9"/>
          <c:tx>
            <c:strRef>
              <c:f>'Variant 2a - Brazil Flex Fuel2'!$BD$76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Fuel2'!$BE$76:$BL$76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79-4875-B575-354FB0F9A242}"/>
            </c:ext>
          </c:extLst>
        </c:ser>
        <c:ser>
          <c:idx val="10"/>
          <c:order val="10"/>
          <c:tx>
            <c:strRef>
              <c:f>'Variant 2a - Brazil Flex Fuel2'!$BD$77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Fuel2'!$BE$77:$BL$77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79-4875-B575-354FB0F9A242}"/>
            </c:ext>
          </c:extLst>
        </c:ser>
        <c:ser>
          <c:idx val="11"/>
          <c:order val="11"/>
          <c:tx>
            <c:strRef>
              <c:f>'Variant 2a - Brazil Flex Fuel2'!$BD$78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Fuel2'!$BE$78:$BL$78</c:f>
              <c:numCache>
                <c:formatCode>General</c:formatCode>
                <c:ptCount val="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79-4875-B575-354FB0F9A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4104"/>
        <c:axId val="395134496"/>
      </c:radarChart>
      <c:catAx>
        <c:axId val="39513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4496"/>
        <c:crosses val="autoZero"/>
        <c:auto val="1"/>
        <c:lblAlgn val="ctr"/>
        <c:lblOffset val="100"/>
        <c:noMultiLvlLbl val="0"/>
      </c:catAx>
      <c:valAx>
        <c:axId val="3951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Fuel2'!$BE$79:$BL$79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F-4CE5-9F47-1A2F6A0F7B23}"/>
            </c:ext>
          </c:extLst>
        </c:ser>
        <c:ser>
          <c:idx val="1"/>
          <c:order val="1"/>
          <c:tx>
            <c:strRef>
              <c:f>'Variant 2a - Brazil Flex Fuel2'!$BD$80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Fuel2'!$BE$80:$BL$80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F-4CE5-9F47-1A2F6A0F7B23}"/>
            </c:ext>
          </c:extLst>
        </c:ser>
        <c:ser>
          <c:idx val="2"/>
          <c:order val="2"/>
          <c:tx>
            <c:strRef>
              <c:f>'Variant 2a - Brazil Flex Fuel2'!$BD$81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Fuel2'!$BE$81:$BL$81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F-4CE5-9F47-1A2F6A0F7B23}"/>
            </c:ext>
          </c:extLst>
        </c:ser>
        <c:ser>
          <c:idx val="3"/>
          <c:order val="3"/>
          <c:tx>
            <c:strRef>
              <c:f>'Variant 2a - Brazil Flex Fuel2'!$BD$82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Fuel2'!$BE$82:$BL$82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7F-4CE5-9F47-1A2F6A0F7B23}"/>
            </c:ext>
          </c:extLst>
        </c:ser>
        <c:ser>
          <c:idx val="4"/>
          <c:order val="4"/>
          <c:tx>
            <c:strRef>
              <c:f>'Variant 2a - Brazil Flex Fuel2'!$BD$83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Fuel2'!$BE$83:$BL$83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7F-4CE5-9F47-1A2F6A0F7B23}"/>
            </c:ext>
          </c:extLst>
        </c:ser>
        <c:ser>
          <c:idx val="5"/>
          <c:order val="5"/>
          <c:tx>
            <c:strRef>
              <c:f>'Variant 2a - Brazil Flex Fuel2'!$BD$84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Fuel2'!$BE$84:$BL$84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7F-4CE5-9F47-1A2F6A0F7B23}"/>
            </c:ext>
          </c:extLst>
        </c:ser>
        <c:ser>
          <c:idx val="6"/>
          <c:order val="6"/>
          <c:tx>
            <c:strRef>
              <c:f>'Variant 2a - Brazil Flex Fuel2'!$BD$85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Fuel2'!$BE$85:$BL$85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7F-4CE5-9F47-1A2F6A0F7B23}"/>
            </c:ext>
          </c:extLst>
        </c:ser>
        <c:ser>
          <c:idx val="7"/>
          <c:order val="7"/>
          <c:tx>
            <c:strRef>
              <c:f>'Variant 2a - Brazil Flex Fuel2'!$BD$86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Fuel2'!$BE$86:$BL$86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7F-4CE5-9F47-1A2F6A0F7B23}"/>
            </c:ext>
          </c:extLst>
        </c:ser>
        <c:ser>
          <c:idx val="8"/>
          <c:order val="8"/>
          <c:tx>
            <c:strRef>
              <c:f>'Variant 2a - Brazil Flex Fuel2'!$BD$87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Fuel2'!$BE$87:$BL$87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7F-4CE5-9F47-1A2F6A0F7B23}"/>
            </c:ext>
          </c:extLst>
        </c:ser>
        <c:ser>
          <c:idx val="9"/>
          <c:order val="9"/>
          <c:tx>
            <c:strRef>
              <c:f>'Variant 2a - Brazil Flex Fuel2'!$BD$88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Fuel2'!$BE$88:$BL$88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7F-4CE5-9F47-1A2F6A0F7B23}"/>
            </c:ext>
          </c:extLst>
        </c:ser>
        <c:ser>
          <c:idx val="10"/>
          <c:order val="10"/>
          <c:tx>
            <c:strRef>
              <c:f>'Variant 2a - Brazil Flex Fuel2'!$BD$89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Fuel2'!$BE$89:$BL$89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7F-4CE5-9F47-1A2F6A0F7B23}"/>
            </c:ext>
          </c:extLst>
        </c:ser>
        <c:ser>
          <c:idx val="11"/>
          <c:order val="11"/>
          <c:tx>
            <c:strRef>
              <c:f>'Variant 2a - Brazil Flex Fuel2'!$BD$90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Fuel2'!$BE$65:$BL$65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Fuel2'!$BE$90:$BL$90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7F-4CE5-9F47-1A2F6A0F7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5280"/>
        <c:axId val="395135672"/>
      </c:radarChart>
      <c:catAx>
        <c:axId val="39513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5672"/>
        <c:crosses val="autoZero"/>
        <c:auto val="1"/>
        <c:lblAlgn val="ctr"/>
        <c:lblOffset val="100"/>
        <c:noMultiLvlLbl val="0"/>
      </c:catAx>
      <c:valAx>
        <c:axId val="39513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Fuel2'!$BD$110</c:f>
              <c:strCache>
                <c:ptCount val="1"/>
                <c:pt idx="0">
                  <c:v>1st HWY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Fuel2'!$BE$110:$BL$110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F-4E02-9979-3D7ED48E4FB4}"/>
            </c:ext>
          </c:extLst>
        </c:ser>
        <c:ser>
          <c:idx val="1"/>
          <c:order val="1"/>
          <c:tx>
            <c:strRef>
              <c:f>'Variant 2a - Brazil Flex Fuel2'!$BD$111</c:f>
              <c:strCache>
                <c:ptCount val="1"/>
                <c:pt idx="0">
                  <c:v>1st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Fuel2'!$BE$111:$BL$111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F-4E02-9979-3D7ED48E4FB4}"/>
            </c:ext>
          </c:extLst>
        </c:ser>
        <c:ser>
          <c:idx val="4"/>
          <c:order val="2"/>
          <c:tx>
            <c:strRef>
              <c:f>'Variant 2a - Brazil Flex Fuel2'!$BD$114</c:f>
              <c:strCache>
                <c:ptCount val="1"/>
                <c:pt idx="0">
                  <c:v>0.7*IEF HWY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Fuel2'!$BE$114:$BL$114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F-4E02-9979-3D7ED48E4FB4}"/>
            </c:ext>
          </c:extLst>
        </c:ser>
        <c:ser>
          <c:idx val="5"/>
          <c:order val="3"/>
          <c:tx>
            <c:strRef>
              <c:f>'Variant 2a - Brazil Flex Fuel2'!$BD$115</c:f>
              <c:strCache>
                <c:ptCount val="1"/>
                <c:pt idx="0">
                  <c:v>0.7*IEF 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Fuel2'!$BE$115:$BL$115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F-4E02-9979-3D7ED48E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6456"/>
        <c:axId val="395136848"/>
      </c:radarChart>
      <c:catAx>
        <c:axId val="39513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6848"/>
        <c:crosses val="autoZero"/>
        <c:auto val="1"/>
        <c:lblAlgn val="ctr"/>
        <c:lblOffset val="100"/>
        <c:noMultiLvlLbl val="0"/>
      </c:catAx>
      <c:valAx>
        <c:axId val="39513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Fuel2'!$BD$118</c:f>
              <c:strCache>
                <c:ptCount val="1"/>
                <c:pt idx="0">
                  <c:v>HWY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Fuel2'!$BE$118:$BL$118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A-467F-BBF0-07FF6883F02C}"/>
            </c:ext>
          </c:extLst>
        </c:ser>
        <c:ser>
          <c:idx val="1"/>
          <c:order val="1"/>
          <c:tx>
            <c:strRef>
              <c:f>'Variant 2a - Brazil Flex Fuel2'!$BD$119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Fuel2'!$BE$119:$BL$119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A-467F-BBF0-07FF6883F02C}"/>
            </c:ext>
          </c:extLst>
        </c:ser>
        <c:ser>
          <c:idx val="4"/>
          <c:order val="2"/>
          <c:tx>
            <c:strRef>
              <c:f>'Variant 2a - Brazil Flex Fuel2'!$BD$121</c:f>
              <c:strCache>
                <c:ptCount val="1"/>
                <c:pt idx="0">
                  <c:v>IEF HWY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Fuel2'!$BE$121:$BL$121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A-467F-BBF0-07FF6883F02C}"/>
            </c:ext>
          </c:extLst>
        </c:ser>
        <c:ser>
          <c:idx val="5"/>
          <c:order val="3"/>
          <c:tx>
            <c:strRef>
              <c:f>'Variant 2a - Brazil Flex Fuel2'!$BD$122</c:f>
              <c:strCache>
                <c:ptCount val="1"/>
                <c:pt idx="0">
                  <c:v>IEF 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Fuel2'!$BE$108:$BL$108</c:f>
              <c:strCache>
                <c:ptCount val="5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</c:strCache>
            </c:strRef>
          </c:cat>
          <c:val>
            <c:numRef>
              <c:f>'Variant 2a - Brazil Flex Fuel2'!$BE$122:$BL$122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DA-467F-BBF0-07FF6883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7632"/>
        <c:axId val="395138024"/>
      </c:radarChart>
      <c:catAx>
        <c:axId val="3951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8024"/>
        <c:crosses val="autoZero"/>
        <c:auto val="1"/>
        <c:lblAlgn val="ctr"/>
        <c:lblOffset val="100"/>
        <c:noMultiLvlLbl val="0"/>
      </c:catAx>
      <c:valAx>
        <c:axId val="39513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Fuel2'!$BD$136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Fuel2'!$BE$136:$BL$136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F-4F72-96A0-9223C8EA483D}"/>
            </c:ext>
          </c:extLst>
        </c:ser>
        <c:ser>
          <c:idx val="4"/>
          <c:order val="1"/>
          <c:tx>
            <c:strRef>
              <c:f>'Variant 2a - Brazil Flex Fuel2'!$BD$140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Fuel2'!$BE$140:$BL$140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F-4F72-96A0-9223C8EA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8808"/>
        <c:axId val="395139200"/>
      </c:radarChart>
      <c:catAx>
        <c:axId val="39513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9200"/>
        <c:crosses val="autoZero"/>
        <c:auto val="1"/>
        <c:lblAlgn val="ctr"/>
        <c:lblOffset val="100"/>
        <c:noMultiLvlLbl val="0"/>
      </c:catAx>
      <c:valAx>
        <c:axId val="3951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880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Fuel2'!$BD$144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Fuel2'!$BE$144:$BL$144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D-4A71-89CA-3E3D36E48EC2}"/>
            </c:ext>
          </c:extLst>
        </c:ser>
        <c:ser>
          <c:idx val="4"/>
          <c:order val="1"/>
          <c:tx>
            <c:strRef>
              <c:f>'Variant 2a - Brazil Flex Fuel2'!$BD$148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Fuel2'!$BE$134:$BL$134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Fuel2'!$BE$148:$BL$148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D-4A71-89CA-3E3D36E4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9984"/>
        <c:axId val="395140376"/>
      </c:radarChart>
      <c:catAx>
        <c:axId val="39513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0376"/>
        <c:crosses val="autoZero"/>
        <c:auto val="1"/>
        <c:lblAlgn val="ctr"/>
        <c:lblOffset val="100"/>
        <c:noMultiLvlLbl val="0"/>
      </c:catAx>
      <c:valAx>
        <c:axId val="39514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998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Fuel2'!$BD$157</c:f>
              <c:strCache>
                <c:ptCount val="1"/>
                <c:pt idx="0">
                  <c:v>1st 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Fuel2'!$BE$157:$BL$157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6-4B0F-B890-1DBB0EBDF47A}"/>
            </c:ext>
          </c:extLst>
        </c:ser>
        <c:ser>
          <c:idx val="1"/>
          <c:order val="1"/>
          <c:tx>
            <c:strRef>
              <c:f>'Variant 2a - Brazil Flex Fuel2'!$BD$158</c:f>
              <c:strCache>
                <c:ptCount val="1"/>
                <c:pt idx="0">
                  <c:v>1st 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Fuel2'!$BE$158:$BL$158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6-4B0F-B890-1DBB0EBDF47A}"/>
            </c:ext>
          </c:extLst>
        </c:ser>
        <c:ser>
          <c:idx val="4"/>
          <c:order val="2"/>
          <c:tx>
            <c:strRef>
              <c:f>'Variant 2a - Brazil Flex Fuel2'!$BD$163</c:f>
              <c:strCache>
                <c:ptCount val="1"/>
                <c:pt idx="0">
                  <c:v>0.7*IEF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Fuel2'!$BE$163:$BL$163</c:f>
              <c:numCache>
                <c:formatCode>General</c:formatCode>
                <c:ptCount val="5"/>
                <c:pt idx="0">
                  <c:v>1.4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6-4B0F-B890-1DBB0EBDF47A}"/>
            </c:ext>
          </c:extLst>
        </c:ser>
        <c:ser>
          <c:idx val="5"/>
          <c:order val="3"/>
          <c:tx>
            <c:strRef>
              <c:f>'Variant 2a - Brazil Flex Fuel2'!$BD$164</c:f>
              <c:strCache>
                <c:ptCount val="1"/>
                <c:pt idx="0">
                  <c:v>0.7*IEF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Fuel2'!$BE$164:$BL$164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6-4B0F-B890-1DBB0EBDF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1160"/>
        <c:axId val="395141552"/>
      </c:radarChart>
      <c:catAx>
        <c:axId val="39514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1552"/>
        <c:crosses val="autoZero"/>
        <c:auto val="1"/>
        <c:lblAlgn val="ctr"/>
        <c:lblOffset val="100"/>
        <c:noMultiLvlLbl val="0"/>
      </c:catAx>
      <c:valAx>
        <c:axId val="3951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Fuel2'!$BD$169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Fuel2'!$BE$169:$BL$169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1-421A-8276-89704D836231}"/>
            </c:ext>
          </c:extLst>
        </c:ser>
        <c:ser>
          <c:idx val="1"/>
          <c:order val="1"/>
          <c:tx>
            <c:strRef>
              <c:f>'Variant 2a - Brazil Flex Fuel2'!$BD$170</c:f>
              <c:strCache>
                <c:ptCount val="1"/>
                <c:pt idx="0">
                  <c:v>aggressive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Fuel2'!$BE$170:$BL$170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1-421A-8276-89704D836231}"/>
            </c:ext>
          </c:extLst>
        </c:ser>
        <c:ser>
          <c:idx val="4"/>
          <c:order val="2"/>
          <c:tx>
            <c:strRef>
              <c:f>'Variant 2a - Brazil Flex Fuel2'!$BD$175</c:f>
              <c:strCache>
                <c:ptCount val="1"/>
                <c:pt idx="0">
                  <c:v>IEF normal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Fuel2'!$BE$175:$BL$175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1-421A-8276-89704D836231}"/>
            </c:ext>
          </c:extLst>
        </c:ser>
        <c:ser>
          <c:idx val="5"/>
          <c:order val="3"/>
          <c:tx>
            <c:strRef>
              <c:f>'Variant 2a - Brazil Flex Fuel2'!$BD$176</c:f>
              <c:strCache>
                <c:ptCount val="1"/>
                <c:pt idx="0">
                  <c:v>IEF aggressive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Fuel2'!$BE$155:$BL$155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Fuel2'!$BE$176:$BL$176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81-421A-8276-89704D83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5472"/>
        <c:axId val="395145864"/>
      </c:radarChart>
      <c:catAx>
        <c:axId val="3951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5864"/>
        <c:crosses val="autoZero"/>
        <c:auto val="1"/>
        <c:lblAlgn val="ctr"/>
        <c:lblOffset val="100"/>
        <c:noMultiLvlLbl val="0"/>
      </c:catAx>
      <c:valAx>
        <c:axId val="39514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Fuel2'!$BD$184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Fuel2'!$BE$184:$BL$184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D-41F2-AB5D-8D5577CB9B0C}"/>
            </c:ext>
          </c:extLst>
        </c:ser>
        <c:ser>
          <c:idx val="1"/>
          <c:order val="1"/>
          <c:tx>
            <c:strRef>
              <c:f>'Variant 2a - Brazil Flex Fuel2'!$BD$185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Fuel2'!$BE$185:$BL$185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D-41F2-AB5D-8D5577CB9B0C}"/>
            </c:ext>
          </c:extLst>
        </c:ser>
        <c:ser>
          <c:idx val="2"/>
          <c:order val="2"/>
          <c:tx>
            <c:strRef>
              <c:f>'Variant 2a - Brazil Flex Fuel2'!$BD$186</c:f>
              <c:strCache>
                <c:ptCount val="1"/>
                <c:pt idx="0">
                  <c:v>1st 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Fuel2'!$BE$186:$BL$186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D-41F2-AB5D-8D5577CB9B0C}"/>
            </c:ext>
          </c:extLst>
        </c:ser>
        <c:ser>
          <c:idx val="3"/>
          <c:order val="3"/>
          <c:tx>
            <c:strRef>
              <c:f>'Variant 2a - Brazil Flex Fuel2'!$BD$187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Fuel2'!$BE$187:$BL$187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D-41F2-AB5D-8D5577CB9B0C}"/>
            </c:ext>
          </c:extLst>
        </c:ser>
        <c:ser>
          <c:idx val="4"/>
          <c:order val="4"/>
          <c:tx>
            <c:strRef>
              <c:f>'Variant 2a - Brazil Flex Fuel2'!$BD$188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Fuel2'!$BE$188:$BL$188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D-41F2-AB5D-8D5577CB9B0C}"/>
            </c:ext>
          </c:extLst>
        </c:ser>
        <c:ser>
          <c:idx val="5"/>
          <c:order val="5"/>
          <c:tx>
            <c:strRef>
              <c:f>'Variant 2a - Brazil Flex Fuel2'!$BD$189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Fuel2'!$BE$189:$BL$189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D-41F2-AB5D-8D5577CB9B0C}"/>
            </c:ext>
          </c:extLst>
        </c:ser>
        <c:ser>
          <c:idx val="6"/>
          <c:order val="6"/>
          <c:tx>
            <c:strRef>
              <c:f>'Variant 2a - Brazil Flex Fuel2'!$BD$190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Fuel2'!$BE$190:$BL$190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D-41F2-AB5D-8D5577CB9B0C}"/>
            </c:ext>
          </c:extLst>
        </c:ser>
        <c:ser>
          <c:idx val="7"/>
          <c:order val="7"/>
          <c:tx>
            <c:strRef>
              <c:f>'Variant 2a - Brazil Flex Fuel2'!$BD$191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Fuel2'!$BE$191:$BL$191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5D-41F2-AB5D-8D5577CB9B0C}"/>
            </c:ext>
          </c:extLst>
        </c:ser>
        <c:ser>
          <c:idx val="8"/>
          <c:order val="8"/>
          <c:tx>
            <c:strRef>
              <c:f>'Variant 2a - Brazil Flex Fuel2'!$BD$192</c:f>
              <c:strCache>
                <c:ptCount val="1"/>
                <c:pt idx="0">
                  <c:v>0.7*IEF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Fuel2'!$BE$192:$BL$192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5D-41F2-AB5D-8D5577CB9B0C}"/>
            </c:ext>
          </c:extLst>
        </c:ser>
        <c:ser>
          <c:idx val="9"/>
          <c:order val="9"/>
          <c:tx>
            <c:strRef>
              <c:f>'Variant 2a - Brazil Flex Fuel2'!$BD$193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Fuel2'!$BE$193:$BL$193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5D-41F2-AB5D-8D5577CB9B0C}"/>
            </c:ext>
          </c:extLst>
        </c:ser>
        <c:ser>
          <c:idx val="10"/>
          <c:order val="10"/>
          <c:tx>
            <c:strRef>
              <c:f>'Variant 2a - Brazil Flex Fuel2'!$BD$194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Fuel2'!$BE$194:$BL$194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45D-41F2-AB5D-8D5577CB9B0C}"/>
            </c:ext>
          </c:extLst>
        </c:ser>
        <c:ser>
          <c:idx val="11"/>
          <c:order val="11"/>
          <c:tx>
            <c:strRef>
              <c:f>'Variant 2a - Brazil Flex Fuel2'!$BD$195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Fuel2'!$BE$195:$BL$195</c:f>
              <c:numCache>
                <c:formatCode>General</c:formatCode>
                <c:ptCount val="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5D-41F2-AB5D-8D5577CB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6648"/>
        <c:axId val="395147040"/>
      </c:radarChart>
      <c:catAx>
        <c:axId val="39514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7040"/>
        <c:crosses val="autoZero"/>
        <c:auto val="1"/>
        <c:lblAlgn val="ctr"/>
        <c:lblOffset val="100"/>
        <c:noMultiLvlLbl val="0"/>
      </c:catAx>
      <c:valAx>
        <c:axId val="3951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2a - Brazil Flex Fuel2'!$BD$196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Fuel2'!$BE$196:$BL$196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8-48C9-97DE-6B445B83145B}"/>
            </c:ext>
          </c:extLst>
        </c:ser>
        <c:ser>
          <c:idx val="1"/>
          <c:order val="1"/>
          <c:tx>
            <c:strRef>
              <c:f>'Variant 2a - Brazil Flex Fuel2'!$BD$197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Fuel2'!$BE$197:$BL$197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B8-48C9-97DE-6B445B83145B}"/>
            </c:ext>
          </c:extLst>
        </c:ser>
        <c:ser>
          <c:idx val="2"/>
          <c:order val="2"/>
          <c:tx>
            <c:strRef>
              <c:f>'Variant 2a - Brazil Flex Fuel2'!$BD$198</c:f>
              <c:strCache>
                <c:ptCount val="1"/>
                <c:pt idx="0">
                  <c:v>City
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Fuel2'!$BE$198:$BL$198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B8-48C9-97DE-6B445B83145B}"/>
            </c:ext>
          </c:extLst>
        </c:ser>
        <c:ser>
          <c:idx val="3"/>
          <c:order val="3"/>
          <c:tx>
            <c:strRef>
              <c:f>'Variant 2a - Brazil Flex Fuel2'!$BD$199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Fuel2'!$BE$199:$BL$199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B8-48C9-97DE-6B445B83145B}"/>
            </c:ext>
          </c:extLst>
        </c:ser>
        <c:ser>
          <c:idx val="4"/>
          <c:order val="4"/>
          <c:tx>
            <c:strRef>
              <c:f>'Variant 2a - Brazil Flex Fuel2'!$BD$200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Fuel2'!$BE$200:$BL$200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B8-48C9-97DE-6B445B83145B}"/>
            </c:ext>
          </c:extLst>
        </c:ser>
        <c:ser>
          <c:idx val="5"/>
          <c:order val="5"/>
          <c:tx>
            <c:strRef>
              <c:f>'Variant 2a - Brazil Flex Fuel2'!$BD$201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Fuel2'!$BE$201:$BL$201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B8-48C9-97DE-6B445B83145B}"/>
            </c:ext>
          </c:extLst>
        </c:ser>
        <c:ser>
          <c:idx val="6"/>
          <c:order val="6"/>
          <c:tx>
            <c:strRef>
              <c:f>'Variant 2a - Brazil Flex Fuel2'!$BD$202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Fuel2'!$BE$202:$BL$202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8-48C9-97DE-6B445B83145B}"/>
            </c:ext>
          </c:extLst>
        </c:ser>
        <c:ser>
          <c:idx val="7"/>
          <c:order val="7"/>
          <c:tx>
            <c:strRef>
              <c:f>'Variant 2a - Brazil Flex Fuel2'!$BD$203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Fuel2'!$BE$203:$BL$203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B8-48C9-97DE-6B445B83145B}"/>
            </c:ext>
          </c:extLst>
        </c:ser>
        <c:ser>
          <c:idx val="8"/>
          <c:order val="8"/>
          <c:tx>
            <c:strRef>
              <c:f>'Variant 2a - Brazil Flex Fuel2'!$BD$204</c:f>
              <c:strCache>
                <c:ptCount val="1"/>
                <c:pt idx="0">
                  <c:v>IEF City
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Fuel2'!$BE$204:$BL$204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B8-48C9-97DE-6B445B83145B}"/>
            </c:ext>
          </c:extLst>
        </c:ser>
        <c:ser>
          <c:idx val="9"/>
          <c:order val="9"/>
          <c:tx>
            <c:strRef>
              <c:f>'Variant 2a - Brazil Flex Fuel2'!$BD$205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Fuel2'!$BE$205:$BL$205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B8-48C9-97DE-6B445B83145B}"/>
            </c:ext>
          </c:extLst>
        </c:ser>
        <c:ser>
          <c:idx val="10"/>
          <c:order val="10"/>
          <c:tx>
            <c:strRef>
              <c:f>'Variant 2a - Brazil Flex Fuel2'!$BD$206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Fuel2'!$BE$206:$BL$206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B8-48C9-97DE-6B445B83145B}"/>
            </c:ext>
          </c:extLst>
        </c:ser>
        <c:ser>
          <c:idx val="11"/>
          <c:order val="11"/>
          <c:tx>
            <c:strRef>
              <c:f>'Variant 2a - Brazil Flex Fuel2'!$BD$207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2a - Brazil Flex Fuel2'!$BE$182:$BL$182</c:f>
              <c:strCache>
                <c:ptCount val="5"/>
                <c:pt idx="0">
                  <c:v>NMHC</c:v>
                </c:pt>
                <c:pt idx="1">
                  <c:v>THC</c:v>
                </c:pt>
                <c:pt idx="2">
                  <c:v>CO</c:v>
                </c:pt>
                <c:pt idx="3">
                  <c:v>NOx</c:v>
                </c:pt>
                <c:pt idx="4">
                  <c:v>PM</c:v>
                </c:pt>
              </c:strCache>
            </c:strRef>
          </c:cat>
          <c:val>
            <c:numRef>
              <c:f>'Variant 2a - Brazil Flex Fuel2'!$BE$207:$BL$207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B8-48C9-97DE-6B445B831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7824"/>
        <c:axId val="395148216"/>
      </c:radarChart>
      <c:catAx>
        <c:axId val="39514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8216"/>
        <c:crosses val="autoZero"/>
        <c:auto val="1"/>
        <c:lblAlgn val="ctr"/>
        <c:lblOffset val="100"/>
        <c:noMultiLvlLbl val="0"/>
      </c:catAx>
      <c:valAx>
        <c:axId val="3951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WLTC'!$BE$13:$BL$13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8-42B2-8466-AC4A8EB2277F}"/>
            </c:ext>
          </c:extLst>
        </c:ser>
        <c:ser>
          <c:idx val="1"/>
          <c:order val="1"/>
          <c:tx>
            <c:strRef>
              <c:f>'Variant 6 - WLTC'!$BD$14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WLTC'!$BE$14:$BL$14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8-42B2-8466-AC4A8EB2277F}"/>
            </c:ext>
          </c:extLst>
        </c:ser>
        <c:ser>
          <c:idx val="2"/>
          <c:order val="2"/>
          <c:tx>
            <c:strRef>
              <c:f>'Variant 6 - WLTC'!$BD$15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08-42B2-8466-AC4A8EB2277F}"/>
            </c:ext>
          </c:extLst>
        </c:ser>
        <c:ser>
          <c:idx val="3"/>
          <c:order val="3"/>
          <c:tx>
            <c:strRef>
              <c:f>'Variant 6 - WLTC'!$BD$16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08-42B2-8466-AC4A8EB2277F}"/>
            </c:ext>
          </c:extLst>
        </c:ser>
        <c:ser>
          <c:idx val="4"/>
          <c:order val="4"/>
          <c:tx>
            <c:strRef>
              <c:f>'Variant 6 - WLTC'!$BD$17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WLTC'!$BE$17:$BL$17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08-42B2-8466-AC4A8EB2277F}"/>
            </c:ext>
          </c:extLst>
        </c:ser>
        <c:ser>
          <c:idx val="5"/>
          <c:order val="5"/>
          <c:tx>
            <c:strRef>
              <c:f>'Variant 6 - WLTC'!$BD$18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08-42B2-8466-AC4A8EB2277F}"/>
            </c:ext>
          </c:extLst>
        </c:ser>
        <c:ser>
          <c:idx val="6"/>
          <c:order val="6"/>
          <c:tx>
            <c:strRef>
              <c:f>'Variant 6 - WLTC'!$BD$19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08-42B2-8466-AC4A8EB2277F}"/>
            </c:ext>
          </c:extLst>
        </c:ser>
        <c:ser>
          <c:idx val="7"/>
          <c:order val="7"/>
          <c:tx>
            <c:strRef>
              <c:f>'Variant 6 - WLTC'!$BD$20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08-42B2-8466-AC4A8EB2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3704"/>
        <c:axId val="396574096"/>
      </c:radarChart>
      <c:catAx>
        <c:axId val="39657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4096"/>
        <c:crosses val="autoZero"/>
        <c:auto val="1"/>
        <c:lblAlgn val="ctr"/>
        <c:lblOffset val="100"/>
        <c:noMultiLvlLbl val="0"/>
      </c:catAx>
      <c:valAx>
        <c:axId val="39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WLTC'!$BE$21:$BL$21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8-44AE-BBCF-1D2FBDB59CE4}"/>
            </c:ext>
          </c:extLst>
        </c:ser>
        <c:ser>
          <c:idx val="1"/>
          <c:order val="1"/>
          <c:tx>
            <c:strRef>
              <c:f>'Variant 6 - WLTC'!$BD$22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WLTC'!$BE$22:$BL$22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8-44AE-BBCF-1D2FBDB59CE4}"/>
            </c:ext>
          </c:extLst>
        </c:ser>
        <c:ser>
          <c:idx val="2"/>
          <c:order val="2"/>
          <c:tx>
            <c:strRef>
              <c:f>'Variant 6 - WLTC'!$BD$23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8-44AE-BBCF-1D2FBDB59CE4}"/>
            </c:ext>
          </c:extLst>
        </c:ser>
        <c:ser>
          <c:idx val="3"/>
          <c:order val="3"/>
          <c:tx>
            <c:strRef>
              <c:f>'Variant 6 - WLTC'!$BD$24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8-44AE-BBCF-1D2FBDB59CE4}"/>
            </c:ext>
          </c:extLst>
        </c:ser>
        <c:ser>
          <c:idx val="4"/>
          <c:order val="4"/>
          <c:tx>
            <c:strRef>
              <c:f>'Variant 6 - WLTC'!$BD$25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WLTC'!$BE$25:$BL$25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A8-44AE-BBCF-1D2FBDB59CE4}"/>
            </c:ext>
          </c:extLst>
        </c:ser>
        <c:ser>
          <c:idx val="5"/>
          <c:order val="5"/>
          <c:tx>
            <c:strRef>
              <c:f>'Variant 6 - WLTC'!$BD$26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A8-44AE-BBCF-1D2FBDB59CE4}"/>
            </c:ext>
          </c:extLst>
        </c:ser>
        <c:ser>
          <c:idx val="6"/>
          <c:order val="6"/>
          <c:tx>
            <c:strRef>
              <c:f>'Variant 6 - WLTC'!$BD$27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A8-44AE-BBCF-1D2FBDB59CE4}"/>
            </c:ext>
          </c:extLst>
        </c:ser>
        <c:ser>
          <c:idx val="7"/>
          <c:order val="7"/>
          <c:tx>
            <c:strRef>
              <c:f>'Variant 6 - WLTC'!$BD$28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A8-44AE-BBCF-1D2FBDB59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4880"/>
        <c:axId val="396575272"/>
      </c:radarChart>
      <c:catAx>
        <c:axId val="3965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5272"/>
        <c:crosses val="autoZero"/>
        <c:auto val="1"/>
        <c:lblAlgn val="ctr"/>
        <c:lblOffset val="100"/>
        <c:noMultiLvlLbl val="0"/>
      </c:catAx>
      <c:valAx>
        <c:axId val="3965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WLTC'!$BE$67:$BL$67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D-4240-A8A2-D75F3ECE7C0C}"/>
            </c:ext>
          </c:extLst>
        </c:ser>
        <c:ser>
          <c:idx val="1"/>
          <c:order val="1"/>
          <c:tx>
            <c:strRef>
              <c:f>'Variant 6 - WLTC'!$BD$68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WLTC'!$BE$68:$BL$68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D-4240-A8A2-D75F3ECE7C0C}"/>
            </c:ext>
          </c:extLst>
        </c:ser>
        <c:ser>
          <c:idx val="2"/>
          <c:order val="2"/>
          <c:tx>
            <c:strRef>
              <c:f>'Variant 6 - WLTC'!$BD$69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WLTC'!$BE$69:$BL$69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8D-4240-A8A2-D75F3ECE7C0C}"/>
            </c:ext>
          </c:extLst>
        </c:ser>
        <c:ser>
          <c:idx val="3"/>
          <c:order val="3"/>
          <c:tx>
            <c:strRef>
              <c:f>'Variant 6 - WLTC'!$BD$70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WLTC'!$BE$70:$BL$70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8D-4240-A8A2-D75F3ECE7C0C}"/>
            </c:ext>
          </c:extLst>
        </c:ser>
        <c:ser>
          <c:idx val="4"/>
          <c:order val="4"/>
          <c:tx>
            <c:strRef>
              <c:f>'Variant 6 - WLTC'!$BD$71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WLTC'!$BE$71:$BL$71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8D-4240-A8A2-D75F3ECE7C0C}"/>
            </c:ext>
          </c:extLst>
        </c:ser>
        <c:ser>
          <c:idx val="5"/>
          <c:order val="5"/>
          <c:tx>
            <c:strRef>
              <c:f>'Variant 6 - WLTC'!$BD$72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WLTC'!$BE$72:$BL$72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8D-4240-A8A2-D75F3ECE7C0C}"/>
            </c:ext>
          </c:extLst>
        </c:ser>
        <c:ser>
          <c:idx val="6"/>
          <c:order val="6"/>
          <c:tx>
            <c:strRef>
              <c:f>'Variant 6 - WLTC'!$BD$73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WLTC'!$BE$73:$BL$73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8D-4240-A8A2-D75F3ECE7C0C}"/>
            </c:ext>
          </c:extLst>
        </c:ser>
        <c:ser>
          <c:idx val="7"/>
          <c:order val="7"/>
          <c:tx>
            <c:strRef>
              <c:f>'Variant 6 - WLTC'!$BD$74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WLTC'!$BE$74:$BL$74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8D-4240-A8A2-D75F3ECE7C0C}"/>
            </c:ext>
          </c:extLst>
        </c:ser>
        <c:ser>
          <c:idx val="8"/>
          <c:order val="8"/>
          <c:tx>
            <c:strRef>
              <c:f>'Variant 6 - WLTC'!$BD$75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WLTC'!$BE$75:$BL$75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8D-4240-A8A2-D75F3ECE7C0C}"/>
            </c:ext>
          </c:extLst>
        </c:ser>
        <c:ser>
          <c:idx val="9"/>
          <c:order val="9"/>
          <c:tx>
            <c:strRef>
              <c:f>'Variant 6 - WLTC'!$BD$76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WLTC'!$BE$76:$BL$76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8D-4240-A8A2-D75F3ECE7C0C}"/>
            </c:ext>
          </c:extLst>
        </c:ser>
        <c:ser>
          <c:idx val="10"/>
          <c:order val="10"/>
          <c:tx>
            <c:strRef>
              <c:f>'Variant 6 - WLTC'!$BD$77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WLTC'!$BE$77:$BL$77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8D-4240-A8A2-D75F3ECE7C0C}"/>
            </c:ext>
          </c:extLst>
        </c:ser>
        <c:ser>
          <c:idx val="11"/>
          <c:order val="11"/>
          <c:tx>
            <c:strRef>
              <c:f>'Variant 6 - WLTC'!$BD$78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WLTC'!$BE$78:$BL$78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8D-4240-A8A2-D75F3ECE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6056"/>
        <c:axId val="396576448"/>
      </c:radarChart>
      <c:catAx>
        <c:axId val="39657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6448"/>
        <c:crosses val="autoZero"/>
        <c:auto val="1"/>
        <c:lblAlgn val="ctr"/>
        <c:lblOffset val="100"/>
        <c:noMultiLvlLbl val="0"/>
      </c:catAx>
      <c:valAx>
        <c:axId val="3965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WLTC'!$BE$79:$BL$79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F-4370-8D92-FA06D264E7CB}"/>
            </c:ext>
          </c:extLst>
        </c:ser>
        <c:ser>
          <c:idx val="1"/>
          <c:order val="1"/>
          <c:tx>
            <c:strRef>
              <c:f>'Variant 6 - WLTC'!$BD$80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WLTC'!$BE$80:$BL$80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F-4370-8D92-FA06D264E7CB}"/>
            </c:ext>
          </c:extLst>
        </c:ser>
        <c:ser>
          <c:idx val="2"/>
          <c:order val="2"/>
          <c:tx>
            <c:strRef>
              <c:f>'Variant 6 - WLTC'!$BD$81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WLTC'!$BE$81:$BL$81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F-4370-8D92-FA06D264E7CB}"/>
            </c:ext>
          </c:extLst>
        </c:ser>
        <c:ser>
          <c:idx val="3"/>
          <c:order val="3"/>
          <c:tx>
            <c:strRef>
              <c:f>'Variant 6 - WLTC'!$BD$82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WLTC'!$BE$82:$BL$82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F-4370-8D92-FA06D264E7CB}"/>
            </c:ext>
          </c:extLst>
        </c:ser>
        <c:ser>
          <c:idx val="4"/>
          <c:order val="4"/>
          <c:tx>
            <c:strRef>
              <c:f>'Variant 6 - WLTC'!$BD$83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2F-4370-8D92-FA06D264E7CB}"/>
            </c:ext>
          </c:extLst>
        </c:ser>
        <c:ser>
          <c:idx val="5"/>
          <c:order val="5"/>
          <c:tx>
            <c:strRef>
              <c:f>'Variant 6 - WLTC'!$BD$84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WLTC'!$BE$84:$BL$84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2F-4370-8D92-FA06D264E7CB}"/>
            </c:ext>
          </c:extLst>
        </c:ser>
        <c:ser>
          <c:idx val="6"/>
          <c:order val="6"/>
          <c:tx>
            <c:strRef>
              <c:f>'Variant 6 - WLTC'!$BD$85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WLTC'!$BE$85:$BL$85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2F-4370-8D92-FA06D264E7CB}"/>
            </c:ext>
          </c:extLst>
        </c:ser>
        <c:ser>
          <c:idx val="7"/>
          <c:order val="7"/>
          <c:tx>
            <c:strRef>
              <c:f>'Variant 6 - WLTC'!$BD$86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WLTC'!$BE$86:$BL$86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2F-4370-8D92-FA06D264E7CB}"/>
            </c:ext>
          </c:extLst>
        </c:ser>
        <c:ser>
          <c:idx val="8"/>
          <c:order val="8"/>
          <c:tx>
            <c:strRef>
              <c:f>'Variant 6 - WLTC'!$BD$87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WLTC'!$BE$87:$BL$87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2F-4370-8D92-FA06D264E7CB}"/>
            </c:ext>
          </c:extLst>
        </c:ser>
        <c:ser>
          <c:idx val="9"/>
          <c:order val="9"/>
          <c:tx>
            <c:strRef>
              <c:f>'Variant 6 - WLTC'!$BD$88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WLTC'!$BE$88:$BL$88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2F-4370-8D92-FA06D264E7CB}"/>
            </c:ext>
          </c:extLst>
        </c:ser>
        <c:ser>
          <c:idx val="10"/>
          <c:order val="10"/>
          <c:tx>
            <c:strRef>
              <c:f>'Variant 6 - WLTC'!$BD$89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WLTC'!$BE$89:$BL$89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2F-4370-8D92-FA06D264E7CB}"/>
            </c:ext>
          </c:extLst>
        </c:ser>
        <c:ser>
          <c:idx val="11"/>
          <c:order val="11"/>
          <c:tx>
            <c:strRef>
              <c:f>'Variant 6 - WLTC'!$BD$90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WLTC'!$BE$90:$BL$90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2F-4370-8D92-FA06D264E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7624"/>
        <c:axId val="396578016"/>
      </c:radarChart>
      <c:catAx>
        <c:axId val="39657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8016"/>
        <c:crosses val="autoZero"/>
        <c:auto val="1"/>
        <c:lblAlgn val="ctr"/>
        <c:lblOffset val="100"/>
        <c:noMultiLvlLbl val="0"/>
      </c:catAx>
      <c:valAx>
        <c:axId val="3965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WLTC'!$BD$45</c:f>
              <c:strCache>
                <c:ptCount val="1"/>
                <c:pt idx="0">
                  <c:v>Euro 6d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WLTC'!$BE$45:$BL$45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WLTC'!$BE$43:$BL$43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425-4A07-9E2C-26F7386E3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8800"/>
        <c:axId val="396579192"/>
      </c:radarChart>
      <c:catAx>
        <c:axId val="39657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9192"/>
        <c:crosses val="autoZero"/>
        <c:auto val="1"/>
        <c:lblAlgn val="ctr"/>
        <c:lblOffset val="100"/>
        <c:noMultiLvlLbl val="0"/>
      </c:catAx>
      <c:valAx>
        <c:axId val="39657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88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WLTC'!$BD$53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WLTC'!$BE$53:$BL$53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WLTC'!$BE$43:$BL$43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EEB-4BC9-BAAE-181E9658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2328"/>
        <c:axId val="396582720"/>
      </c:radarChart>
      <c:catAx>
        <c:axId val="39658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2720"/>
        <c:crosses val="autoZero"/>
        <c:auto val="1"/>
        <c:lblAlgn val="ctr"/>
        <c:lblOffset val="100"/>
        <c:noMultiLvlLbl val="0"/>
      </c:catAx>
      <c:valAx>
        <c:axId val="3965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232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WLTC'!$BD$162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WLTC'!$BE$162:$BL$162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D22-4165-BFD2-05C0B633F8B9}"/>
            </c:ext>
          </c:extLst>
        </c:ser>
        <c:ser>
          <c:idx val="1"/>
          <c:order val="1"/>
          <c:tx>
            <c:strRef>
              <c:f>'Variant 6 - WLTC'!$BD$163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val>
            <c:numRef>
              <c:f>'Variant 6 - WLTC'!$BE$163:$BL$163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2D22-4165-BFD2-05C0B633F8B9}"/>
            </c:ext>
          </c:extLst>
        </c:ser>
        <c:ser>
          <c:idx val="4"/>
          <c:order val="2"/>
          <c:tx>
            <c:strRef>
              <c:f>'Variant 6 - WLTC'!$BD$168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2D22-4165-BFD2-05C0B633F8B9}"/>
            </c:ext>
          </c:extLst>
        </c:ser>
        <c:ser>
          <c:idx val="5"/>
          <c:order val="3"/>
          <c:tx>
            <c:strRef>
              <c:f>'Variant 6 - WLTC'!$BD$169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WLTC'!$BE$169:$BL$169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2D22-4165-BFD2-05C0B633F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3504"/>
        <c:axId val="396583896"/>
      </c:radarChart>
      <c:catAx>
        <c:axId val="3965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3896"/>
        <c:crosses val="autoZero"/>
        <c:auto val="1"/>
        <c:lblAlgn val="ctr"/>
        <c:lblOffset val="100"/>
        <c:noMultiLvlLbl val="0"/>
      </c:catAx>
      <c:valAx>
        <c:axId val="39658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WLTC'!$BD$174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WLTC'!$BE$174:$BL$174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B17-4042-8764-39FECB3CB709}"/>
            </c:ext>
          </c:extLst>
        </c:ser>
        <c:ser>
          <c:idx val="1"/>
          <c:order val="1"/>
          <c:tx>
            <c:strRef>
              <c:f>'Variant 6 - WLTC'!$BD$175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val>
            <c:numRef>
              <c:f>'Variant 6 - WLTC'!$BE$175:$BL$175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B17-4042-8764-39FECB3CB709}"/>
            </c:ext>
          </c:extLst>
        </c:ser>
        <c:ser>
          <c:idx val="4"/>
          <c:order val="2"/>
          <c:tx>
            <c:strRef>
              <c:f>'Variant 6 - WLTC'!$BD$180</c:f>
              <c:strCache>
                <c:ptCount val="1"/>
                <c:pt idx="0">
                  <c:v>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WLTC'!$BE$180:$BL$180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B17-4042-8764-39FECB3CB709}"/>
            </c:ext>
          </c:extLst>
        </c:ser>
        <c:ser>
          <c:idx val="5"/>
          <c:order val="3"/>
          <c:tx>
            <c:strRef>
              <c:f>'Variant 6 - WLTC'!$BD$181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WLTC'!$BE$181:$BL$181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B17-4042-8764-39FECB3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4680"/>
        <c:axId val="396585072"/>
      </c:radarChart>
      <c:catAx>
        <c:axId val="39658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5072"/>
        <c:crosses val="autoZero"/>
        <c:auto val="1"/>
        <c:lblAlgn val="ctr"/>
        <c:lblOffset val="100"/>
        <c:noMultiLvlLbl val="0"/>
      </c:catAx>
      <c:valAx>
        <c:axId val="3965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WLTC'!$BD$46</c:f>
              <c:strCache>
                <c:ptCount val="1"/>
                <c:pt idx="0">
                  <c:v>1st WLTC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WLTC'!$BE$46:$BL$46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3-4376-88DA-638CF8987DF2}"/>
            </c:ext>
          </c:extLst>
        </c:ser>
        <c:ser>
          <c:idx val="4"/>
          <c:order val="1"/>
          <c:tx>
            <c:strRef>
              <c:f>'Variant 6 - WLTC'!$BD$50</c:f>
              <c:strCache>
                <c:ptCount val="1"/>
                <c:pt idx="0">
                  <c:v>0.7*IEF WLTC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WLTC'!$BE$50:$BL$50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3-4376-88DA-638CF8987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5464"/>
        <c:axId val="396585856"/>
      </c:radarChart>
      <c:catAx>
        <c:axId val="39658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5856"/>
        <c:crosses val="autoZero"/>
        <c:auto val="1"/>
        <c:lblAlgn val="ctr"/>
        <c:lblOffset val="100"/>
        <c:noMultiLvlLbl val="0"/>
      </c:catAx>
      <c:valAx>
        <c:axId val="3965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546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WLTC'!$BD$54</c:f>
              <c:strCache>
                <c:ptCount val="1"/>
                <c:pt idx="0">
                  <c:v>WLTC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WLTC'!$BE$54:$BL$54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9-4ADE-A6FB-31A7A0C8CA75}"/>
            </c:ext>
          </c:extLst>
        </c:ser>
        <c:ser>
          <c:idx val="4"/>
          <c:order val="1"/>
          <c:tx>
            <c:strRef>
              <c:f>'Variant 6 - WLTC'!$BD$57</c:f>
              <c:strCache>
                <c:ptCount val="1"/>
                <c:pt idx="0">
                  <c:v>IEF WLTC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WLTC'!$BE$57:$BL$57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9-4ADE-A6FB-31A7A0C8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6640"/>
        <c:axId val="396587032"/>
      </c:radarChart>
      <c:catAx>
        <c:axId val="3965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7032"/>
        <c:crosses val="autoZero"/>
        <c:auto val="1"/>
        <c:lblAlgn val="ctr"/>
        <c:lblOffset val="100"/>
        <c:noMultiLvlLbl val="0"/>
      </c:catAx>
      <c:valAx>
        <c:axId val="39658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664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WLTC'!$BD$168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F-4AEC-83A4-D6A10F87434B}"/>
            </c:ext>
          </c:extLst>
        </c:ser>
        <c:ser>
          <c:idx val="4"/>
          <c:order val="1"/>
          <c:tx>
            <c:strRef>
              <c:f>'Variant 6 - WLTC'!$BD$172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F-4AEC-83A4-D6A10F87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7816"/>
        <c:axId val="396588208"/>
      </c:radarChart>
      <c:catAx>
        <c:axId val="39658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8208"/>
        <c:crosses val="autoZero"/>
        <c:auto val="1"/>
        <c:lblAlgn val="ctr"/>
        <c:lblOffset val="100"/>
        <c:noMultiLvlLbl val="0"/>
      </c:catAx>
      <c:valAx>
        <c:axId val="3965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781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WLTC'!$BD$176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WLTC'!$BE$176:$BL$176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6-4572-84C1-105B8431CC52}"/>
            </c:ext>
          </c:extLst>
        </c:ser>
        <c:ser>
          <c:idx val="4"/>
          <c:order val="1"/>
          <c:tx>
            <c:strRef>
              <c:f>'Variant 6 - WLTC'!$BD$180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WLTC'!$BE$180:$BL$180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C6-4572-84C1-105B8431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8992"/>
        <c:axId val="396589384"/>
      </c:radarChart>
      <c:catAx>
        <c:axId val="3965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9384"/>
        <c:crosses val="autoZero"/>
        <c:auto val="1"/>
        <c:lblAlgn val="ctr"/>
        <c:lblOffset val="100"/>
        <c:noMultiLvlLbl val="0"/>
      </c:catAx>
      <c:valAx>
        <c:axId val="3965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899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431271695876725"/>
          <c:y val="5.5445869266341721E-2"/>
          <c:w val="0.71019177038354087"/>
          <c:h val="0.6709621297337833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WLTC'!$BD$131</c:f>
              <c:strCache>
                <c:ptCount val="1"/>
                <c:pt idx="0">
                  <c:v>1st aggressive @ minimum moderate temperature limit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WLTC'!$BE$131:$BL$131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1-4A39-B134-4FD277EB4C49}"/>
            </c:ext>
          </c:extLst>
        </c:ser>
        <c:ser>
          <c:idx val="1"/>
          <c:order val="1"/>
          <c:tx>
            <c:strRef>
              <c:f>'Variant 6 - WLTC'!$BD$132</c:f>
              <c:strCache>
                <c:ptCount val="1"/>
                <c:pt idx="0">
                  <c:v>1st aggressive @ maximum moderate temperature limitt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WLTC'!$BE$132:$BL$132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1-4A39-B134-4FD277EB4C49}"/>
            </c:ext>
          </c:extLst>
        </c:ser>
        <c:ser>
          <c:idx val="2"/>
          <c:order val="2"/>
          <c:tx>
            <c:strRef>
              <c:f>'Variant 6 - WLTC'!$BD$133</c:f>
              <c:strCache>
                <c:ptCount val="1"/>
                <c:pt idx="0">
                  <c:v>1st aggressive @ maximum moderate temperature limit and extended altitude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WLTC'!$BE$133:$BL$133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1-4A39-B134-4FD277EB4C49}"/>
            </c:ext>
          </c:extLst>
        </c:ser>
        <c:ser>
          <c:idx val="3"/>
          <c:order val="3"/>
          <c:tx>
            <c:strRef>
              <c:f>'Variant 6 - WLTC'!$BD$134</c:f>
              <c:strCache>
                <c:ptCount val="1"/>
                <c:pt idx="0">
                  <c:v>1st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WLTC'!$BE$134:$BL$134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1-4A39-B134-4FD277EB4C49}"/>
            </c:ext>
          </c:extLst>
        </c:ser>
        <c:ser>
          <c:idx val="4"/>
          <c:order val="4"/>
          <c:tx>
            <c:strRef>
              <c:f>'Variant 6 - WLTC'!$BD$137</c:f>
              <c:strCache>
                <c:ptCount val="1"/>
                <c:pt idx="0">
                  <c:v>0.7*IEF aggressive @ minimum moderate temperature limit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WLTC'!$BE$137:$BL$137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71-4A39-B134-4FD277EB4C49}"/>
            </c:ext>
          </c:extLst>
        </c:ser>
        <c:ser>
          <c:idx val="5"/>
          <c:order val="5"/>
          <c:tx>
            <c:strRef>
              <c:f>'Variant 6 - WLTC'!$BD$138</c:f>
              <c:strCache>
                <c:ptCount val="1"/>
                <c:pt idx="0">
                  <c:v>0.7*IEF aggressive @ maximum moderate temperature limitt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WLTC'!$BE$138:$BL$138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71-4A39-B134-4FD277EB4C49}"/>
            </c:ext>
          </c:extLst>
        </c:ser>
        <c:ser>
          <c:idx val="6"/>
          <c:order val="6"/>
          <c:tx>
            <c:strRef>
              <c:f>'Variant 6 - WLTC'!$BD$139</c:f>
              <c:strCache>
                <c:ptCount val="1"/>
                <c:pt idx="0">
                  <c:v>0.7*IEF aggressive @ maximum moderate temperature limit and extended altitude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WLTC'!$BE$139:$BL$139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71-4A39-B134-4FD277EB4C49}"/>
            </c:ext>
          </c:extLst>
        </c:ser>
        <c:ser>
          <c:idx val="7"/>
          <c:order val="7"/>
          <c:tx>
            <c:strRef>
              <c:f>'Variant 6 - WLTC'!$BD$140</c:f>
              <c:strCache>
                <c:ptCount val="1"/>
                <c:pt idx="0">
                  <c:v>0.7*IEF 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WLTC'!$BE$140:$BL$140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71-4A39-B134-4FD277EB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0168"/>
        <c:axId val="396590560"/>
      </c:radarChart>
      <c:catAx>
        <c:axId val="39659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0560"/>
        <c:crosses val="autoZero"/>
        <c:auto val="1"/>
        <c:lblAlgn val="ctr"/>
        <c:lblOffset val="100"/>
        <c:noMultiLvlLbl val="0"/>
      </c:catAx>
      <c:valAx>
        <c:axId val="3965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712279965004375"/>
          <c:w val="0.9690077046820762"/>
          <c:h val="0.211604749406324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657078147489628"/>
          <c:y val="5.0366504186976635E-2"/>
          <c:w val="0.66718101769536886"/>
          <c:h val="0.6303272090988627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WLTC'!$BD$143</c:f>
              <c:strCache>
                <c:ptCount val="1"/>
                <c:pt idx="0">
                  <c:v>aggressive @ minimum moderate temperature limit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WLTC'!$BE$143:$BL$143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4-4134-B38B-8E6CB186984A}"/>
            </c:ext>
          </c:extLst>
        </c:ser>
        <c:ser>
          <c:idx val="1"/>
          <c:order val="1"/>
          <c:tx>
            <c:strRef>
              <c:f>'Variant 6 - WLTC'!$BD$144</c:f>
              <c:strCache>
                <c:ptCount val="1"/>
                <c:pt idx="0">
                  <c:v>aggressive @ maximum moderate temperature limitt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WLTC'!$BE$144:$BL$144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4-4134-B38B-8E6CB186984A}"/>
            </c:ext>
          </c:extLst>
        </c:ser>
        <c:ser>
          <c:idx val="2"/>
          <c:order val="2"/>
          <c:tx>
            <c:strRef>
              <c:f>'Variant 6 - WLTC'!$BD$145</c:f>
              <c:strCache>
                <c:ptCount val="1"/>
                <c:pt idx="0">
                  <c:v>aggressive @ maximum moderate temperature limit and extended altitude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WLTC'!$BE$145:$BL$145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4-4134-B38B-8E6CB186984A}"/>
            </c:ext>
          </c:extLst>
        </c:ser>
        <c:ser>
          <c:idx val="3"/>
          <c:order val="3"/>
          <c:tx>
            <c:strRef>
              <c:f>'Variant 6 - WLTC'!$BD$146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WLTC'!$BE$146:$BL$146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4-4134-B38B-8E6CB186984A}"/>
            </c:ext>
          </c:extLst>
        </c:ser>
        <c:ser>
          <c:idx val="4"/>
          <c:order val="4"/>
          <c:tx>
            <c:strRef>
              <c:f>'Variant 6 - WLTC'!$BD$149</c:f>
              <c:strCache>
                <c:ptCount val="1"/>
                <c:pt idx="0">
                  <c:v>IEF aggressive @ minimum moderate temperature limit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WLTC'!$BE$149:$BL$149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04-4134-B38B-8E6CB186984A}"/>
            </c:ext>
          </c:extLst>
        </c:ser>
        <c:ser>
          <c:idx val="5"/>
          <c:order val="5"/>
          <c:tx>
            <c:strRef>
              <c:f>'Variant 6 - WLTC'!$BD$150</c:f>
              <c:strCache>
                <c:ptCount val="1"/>
                <c:pt idx="0">
                  <c:v>IEF aggressive @ maximum moderate temperature limitt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WLTC'!$BE$150:$BL$150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04-4134-B38B-8E6CB186984A}"/>
            </c:ext>
          </c:extLst>
        </c:ser>
        <c:ser>
          <c:idx val="6"/>
          <c:order val="6"/>
          <c:tx>
            <c:strRef>
              <c:f>'Variant 6 - WLTC'!$BD$151</c:f>
              <c:strCache>
                <c:ptCount val="1"/>
                <c:pt idx="0">
                  <c:v>IEF aggressive @ maximum moderate temperature limit and extended altitude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WLTC'!$BE$151:$BL$151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04-4134-B38B-8E6CB186984A}"/>
            </c:ext>
          </c:extLst>
        </c:ser>
        <c:ser>
          <c:idx val="7"/>
          <c:order val="7"/>
          <c:tx>
            <c:strRef>
              <c:f>'Variant 6 - WLTC'!$BD$152</c:f>
              <c:strCache>
                <c:ptCount val="1"/>
                <c:pt idx="0">
                  <c:v>IEF 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WLTC'!$BE$152:$BL$152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04-4134-B38B-8E6CB1869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1736"/>
        <c:axId val="396592128"/>
      </c:radarChart>
      <c:catAx>
        <c:axId val="39659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2128"/>
        <c:crosses val="autoZero"/>
        <c:auto val="1"/>
        <c:lblAlgn val="ctr"/>
        <c:lblOffset val="100"/>
        <c:noMultiLvlLbl val="0"/>
      </c:catAx>
      <c:valAx>
        <c:axId val="3965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7884704411948502"/>
          <c:w val="0.9690077046820762"/>
          <c:h val="0.2039857017872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WLTC'!$BD$189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WLTC'!$BE$189:$BL$189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A-4A17-9FA4-BCF1E81BCF71}"/>
            </c:ext>
          </c:extLst>
        </c:ser>
        <c:ser>
          <c:idx val="1"/>
          <c:order val="1"/>
          <c:tx>
            <c:strRef>
              <c:f>'Variant 6 - WLTC'!$BD$190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WLTC'!$BE$190:$BL$190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A-4A17-9FA4-BCF1E81BCF71}"/>
            </c:ext>
          </c:extLst>
        </c:ser>
        <c:ser>
          <c:idx val="2"/>
          <c:order val="2"/>
          <c:tx>
            <c:strRef>
              <c:f>'Variant 6 - WLTC'!$BD$191</c:f>
              <c:strCache>
                <c:ptCount val="1"/>
                <c:pt idx="0">
                  <c:v>1st City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WLTC'!$BE$191:$BL$191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A-4A17-9FA4-BCF1E81BCF71}"/>
            </c:ext>
          </c:extLst>
        </c:ser>
        <c:ser>
          <c:idx val="3"/>
          <c:order val="3"/>
          <c:tx>
            <c:strRef>
              <c:f>'Variant 6 - WLTC'!$BD$192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WLTC'!$BE$192:$BL$192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A-4A17-9FA4-BCF1E81BCF71}"/>
            </c:ext>
          </c:extLst>
        </c:ser>
        <c:ser>
          <c:idx val="4"/>
          <c:order val="4"/>
          <c:tx>
            <c:strRef>
              <c:f>'Variant 6 - WLTC'!$BD$193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WLTC'!$BE$193:$BL$193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A-4A17-9FA4-BCF1E81BCF71}"/>
            </c:ext>
          </c:extLst>
        </c:ser>
        <c:ser>
          <c:idx val="5"/>
          <c:order val="5"/>
          <c:tx>
            <c:strRef>
              <c:f>'Variant 6 - WLTC'!$BD$194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WLTC'!$BE$194:$BL$194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4A-4A17-9FA4-BCF1E81BCF71}"/>
            </c:ext>
          </c:extLst>
        </c:ser>
        <c:ser>
          <c:idx val="6"/>
          <c:order val="6"/>
          <c:tx>
            <c:strRef>
              <c:f>'Variant 6 - WLTC'!$BD$195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WLTC'!$BE$195:$BL$195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4A-4A17-9FA4-BCF1E81BCF71}"/>
            </c:ext>
          </c:extLst>
        </c:ser>
        <c:ser>
          <c:idx val="7"/>
          <c:order val="7"/>
          <c:tx>
            <c:strRef>
              <c:f>'Variant 6 - WLTC'!$BD$196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WLTC'!$BE$196:$BL$196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4A-4A17-9FA4-BCF1E81BCF71}"/>
            </c:ext>
          </c:extLst>
        </c:ser>
        <c:ser>
          <c:idx val="8"/>
          <c:order val="8"/>
          <c:tx>
            <c:strRef>
              <c:f>'Variant 6 - WLTC'!$BD$197</c:f>
              <c:strCache>
                <c:ptCount val="1"/>
                <c:pt idx="0">
                  <c:v>0.7*IEF City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WLTC'!$BE$197:$BL$197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4A-4A17-9FA4-BCF1E81BCF71}"/>
            </c:ext>
          </c:extLst>
        </c:ser>
        <c:ser>
          <c:idx val="9"/>
          <c:order val="9"/>
          <c:tx>
            <c:strRef>
              <c:f>'Variant 6 - WLTC'!$BD$198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WLTC'!$BE$198:$BL$198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4A-4A17-9FA4-BCF1E81BCF71}"/>
            </c:ext>
          </c:extLst>
        </c:ser>
        <c:ser>
          <c:idx val="10"/>
          <c:order val="10"/>
          <c:tx>
            <c:strRef>
              <c:f>'Variant 6 - WLTC'!$BD$199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WLTC'!$BE$199:$BL$199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4A-4A17-9FA4-BCF1E81BCF71}"/>
            </c:ext>
          </c:extLst>
        </c:ser>
        <c:ser>
          <c:idx val="11"/>
          <c:order val="11"/>
          <c:tx>
            <c:strRef>
              <c:f>'Variant 6 - WLTC'!$BD$200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WLTC'!$BE$200:$BL$200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4A-4A17-9FA4-BCF1E81B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81152"/>
        <c:axId val="396580760"/>
      </c:radarChart>
      <c:catAx>
        <c:axId val="396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0760"/>
        <c:crosses val="autoZero"/>
        <c:auto val="1"/>
        <c:lblAlgn val="ctr"/>
        <c:lblOffset val="100"/>
        <c:noMultiLvlLbl val="0"/>
      </c:catAx>
      <c:valAx>
        <c:axId val="39658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WLTC'!$BD$201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WLTC'!$BE$201:$BL$201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2-4A98-96E5-2B5204CDF7F4}"/>
            </c:ext>
          </c:extLst>
        </c:ser>
        <c:ser>
          <c:idx val="1"/>
          <c:order val="1"/>
          <c:tx>
            <c:strRef>
              <c:f>'Variant 6 - WLTC'!$BD$202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WLTC'!$BE$202:$BL$202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2-4A98-96E5-2B5204CDF7F4}"/>
            </c:ext>
          </c:extLst>
        </c:ser>
        <c:ser>
          <c:idx val="2"/>
          <c:order val="2"/>
          <c:tx>
            <c:strRef>
              <c:f>'Variant 6 - WLTC'!$BD$203</c:f>
              <c:strCache>
                <c:ptCount val="1"/>
                <c:pt idx="0">
                  <c:v>City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WLTC'!$BE$203:$BL$203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2-4A98-96E5-2B5204CDF7F4}"/>
            </c:ext>
          </c:extLst>
        </c:ser>
        <c:ser>
          <c:idx val="3"/>
          <c:order val="3"/>
          <c:tx>
            <c:strRef>
              <c:f>'Variant 6 - WLTC'!$BD$204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WLTC'!$BE$204:$BL$204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2-4A98-96E5-2B5204CDF7F4}"/>
            </c:ext>
          </c:extLst>
        </c:ser>
        <c:ser>
          <c:idx val="4"/>
          <c:order val="4"/>
          <c:tx>
            <c:strRef>
              <c:f>'Variant 6 - WLTC'!$BD$205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WLTC'!$BE$205:$BL$205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2-4A98-96E5-2B5204CDF7F4}"/>
            </c:ext>
          </c:extLst>
        </c:ser>
        <c:ser>
          <c:idx val="5"/>
          <c:order val="5"/>
          <c:tx>
            <c:strRef>
              <c:f>'Variant 6 - WLTC'!$BD$206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WLTC'!$BE$206:$BL$206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2-4A98-96E5-2B5204CDF7F4}"/>
            </c:ext>
          </c:extLst>
        </c:ser>
        <c:ser>
          <c:idx val="6"/>
          <c:order val="6"/>
          <c:tx>
            <c:strRef>
              <c:f>'Variant 6 - WLTC'!$BD$207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WLTC'!$BE$207:$BL$207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2-4A98-96E5-2B5204CDF7F4}"/>
            </c:ext>
          </c:extLst>
        </c:ser>
        <c:ser>
          <c:idx val="7"/>
          <c:order val="7"/>
          <c:tx>
            <c:strRef>
              <c:f>'Variant 6 - WLTC'!$BD$208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WLTC'!$BE$208:$BL$208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F2-4A98-96E5-2B5204CDF7F4}"/>
            </c:ext>
          </c:extLst>
        </c:ser>
        <c:ser>
          <c:idx val="8"/>
          <c:order val="8"/>
          <c:tx>
            <c:strRef>
              <c:f>'Variant 6 - WLTC'!$BD$209</c:f>
              <c:strCache>
                <c:ptCount val="1"/>
                <c:pt idx="0">
                  <c:v>IEF City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WLTC'!$BE$209:$BL$209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F2-4A98-96E5-2B5204CDF7F4}"/>
            </c:ext>
          </c:extLst>
        </c:ser>
        <c:ser>
          <c:idx val="9"/>
          <c:order val="9"/>
          <c:tx>
            <c:strRef>
              <c:f>'Variant 6 - WLTC'!$BD$210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WLTC'!$BE$210:$BL$210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F2-4A98-96E5-2B5204CDF7F4}"/>
            </c:ext>
          </c:extLst>
        </c:ser>
        <c:ser>
          <c:idx val="10"/>
          <c:order val="10"/>
          <c:tx>
            <c:strRef>
              <c:f>'Variant 6 - WLTC'!$BD$211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WLTC'!$BE$211:$BL$211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F2-4A98-96E5-2B5204CDF7F4}"/>
            </c:ext>
          </c:extLst>
        </c:ser>
        <c:ser>
          <c:idx val="11"/>
          <c:order val="11"/>
          <c:tx>
            <c:strRef>
              <c:f>'Variant 6 - WLTC'!$BD$212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WLTC'!$BE$212:$BL$212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F2-4A98-96E5-2B5204C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79976"/>
        <c:axId val="396579584"/>
      </c:radarChart>
      <c:catAx>
        <c:axId val="39657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9584"/>
        <c:crosses val="autoZero"/>
        <c:auto val="1"/>
        <c:lblAlgn val="ctr"/>
        <c:lblOffset val="100"/>
        <c:noMultiLvlLbl val="0"/>
      </c:catAx>
      <c:valAx>
        <c:axId val="3965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7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WLTC'!$BM$110</c:f>
              <c:strCache>
                <c:ptCount val="1"/>
                <c:pt idx="0">
                  <c:v>1st ECE -7°C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6 - WLTC'!$BN$108:$BU$108</c:f>
            </c:multiLvlStrRef>
          </c:cat>
          <c:val>
            <c:numRef>
              <c:f>'Variant 6 - WLTC'!$BN$110:$BU$110</c:f>
            </c:numRef>
          </c:val>
          <c:extLst>
            <c:ext xmlns:c16="http://schemas.microsoft.com/office/drawing/2014/chart" uri="{C3380CC4-5D6E-409C-BE32-E72D297353CC}">
              <c16:uniqueId val="{00000000-2002-4181-9A25-F7B329D88692}"/>
            </c:ext>
          </c:extLst>
        </c:ser>
        <c:ser>
          <c:idx val="4"/>
          <c:order val="1"/>
          <c:tx>
            <c:strRef>
              <c:f>'Variant 6 - WLTC'!$BM$114</c:f>
              <c:strCache>
                <c:ptCount val="1"/>
                <c:pt idx="0">
                  <c:v>0.7*IEF ECE -7°C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6 - WLTC'!$BN$108:$BU$108</c:f>
            </c:multiLvlStrRef>
          </c:cat>
          <c:val>
            <c:numRef>
              <c:f>'Variant 6 - WLTC'!$BN$114:$BU$114</c:f>
            </c:numRef>
          </c:val>
          <c:extLst>
            <c:ext xmlns:c16="http://schemas.microsoft.com/office/drawing/2014/chart" uri="{C3380CC4-5D6E-409C-BE32-E72D297353CC}">
              <c16:uniqueId val="{00000001-2002-4181-9A25-F7B329D88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2520"/>
        <c:axId val="396592912"/>
      </c:radarChart>
      <c:catAx>
        <c:axId val="39659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2912"/>
        <c:crosses val="autoZero"/>
        <c:auto val="1"/>
        <c:lblAlgn val="ctr"/>
        <c:lblOffset val="100"/>
        <c:noMultiLvlLbl val="0"/>
      </c:catAx>
      <c:valAx>
        <c:axId val="3965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252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WLTC'!$BM$118</c:f>
              <c:strCache>
                <c:ptCount val="1"/>
                <c:pt idx="0">
                  <c:v>ECE -7°C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'Variant 6 - WLTC'!$BN$108:$BU$108</c:f>
            </c:multiLvlStrRef>
          </c:cat>
          <c:val>
            <c:numRef>
              <c:f>'Variant 6 - WLTC'!$BN$118:$BU$118</c:f>
            </c:numRef>
          </c:val>
          <c:extLst>
            <c:ext xmlns:c16="http://schemas.microsoft.com/office/drawing/2014/chart" uri="{C3380CC4-5D6E-409C-BE32-E72D297353CC}">
              <c16:uniqueId val="{00000000-ADAA-441D-810E-421B28F15C0B}"/>
            </c:ext>
          </c:extLst>
        </c:ser>
        <c:ser>
          <c:idx val="4"/>
          <c:order val="1"/>
          <c:tx>
            <c:strRef>
              <c:f>'Variant 6 - WLTC'!$BM$122</c:f>
              <c:strCache>
                <c:ptCount val="1"/>
                <c:pt idx="0">
                  <c:v>IEF ECE -7°C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'Variant 6 - WLTC'!$BN$108:$BU$108</c:f>
            </c:multiLvlStrRef>
          </c:cat>
          <c:val>
            <c:numRef>
              <c:f>'Variant 6 - WLTC'!$BN$122:$BU$122</c:f>
            </c:numRef>
          </c:val>
          <c:extLst>
            <c:ext xmlns:c16="http://schemas.microsoft.com/office/drawing/2014/chart" uri="{C3380CC4-5D6E-409C-BE32-E72D297353CC}">
              <c16:uniqueId val="{00000001-ADAA-441D-810E-421B28F15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4088"/>
        <c:axId val="396594480"/>
      </c:radarChart>
      <c:catAx>
        <c:axId val="39659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4480"/>
        <c:crosses val="autoZero"/>
        <c:auto val="1"/>
        <c:lblAlgn val="ctr"/>
        <c:lblOffset val="100"/>
        <c:noMultiLvlLbl val="0"/>
      </c:catAx>
      <c:valAx>
        <c:axId val="3965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408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(Fuel2)'!$BD$13</c:f>
              <c:strCache>
                <c:ptCount val="1"/>
                <c:pt idx="0">
                  <c:v>1st 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(Fuel2)'!$BE$13:$BL$13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C-4FB7-9095-695AD56724FD}"/>
            </c:ext>
          </c:extLst>
        </c:ser>
        <c:ser>
          <c:idx val="1"/>
          <c:order val="1"/>
          <c:tx>
            <c:strRef>
              <c:f>'Variant 6 - WLTC (Fuel2)'!$BD$14</c:f>
              <c:strCache>
                <c:ptCount val="1"/>
                <c:pt idx="0">
                  <c:v>1st 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(Fuel2)'!$BE$14:$BL$14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C-4FB7-9095-695AD56724FD}"/>
            </c:ext>
          </c:extLst>
        </c:ser>
        <c:ser>
          <c:idx val="2"/>
          <c:order val="2"/>
          <c:tx>
            <c:strRef>
              <c:f>'Variant 6 - WLTC (Fuel2)'!$BD$15</c:f>
              <c:strCache>
                <c:ptCount val="1"/>
                <c:pt idx="0">
                  <c:v>1st 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(Fuel2)'!$BE$15:$BL$15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C-4FB7-9095-695AD56724FD}"/>
            </c:ext>
          </c:extLst>
        </c:ser>
        <c:ser>
          <c:idx val="3"/>
          <c:order val="3"/>
          <c:tx>
            <c:strRef>
              <c:f>'Variant 6 - WLTC (Fuel2)'!$BD$16</c:f>
              <c:strCache>
                <c:ptCount val="1"/>
                <c:pt idx="0">
                  <c:v>1st 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(Fuel2)'!$BE$16:$BL$16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C-4FB7-9095-695AD56724FD}"/>
            </c:ext>
          </c:extLst>
        </c:ser>
        <c:ser>
          <c:idx val="4"/>
          <c:order val="4"/>
          <c:tx>
            <c:strRef>
              <c:f>'Variant 6 - WLTC (Fuel2)'!$BD$17</c:f>
              <c:strCache>
                <c:ptCount val="1"/>
                <c:pt idx="0">
                  <c:v>0.7*IEF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(Fuel2)'!$BE$17:$BL$17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9C-4FB7-9095-695AD56724FD}"/>
            </c:ext>
          </c:extLst>
        </c:ser>
        <c:ser>
          <c:idx val="5"/>
          <c:order val="5"/>
          <c:tx>
            <c:strRef>
              <c:f>'Variant 6 - WLTC (Fuel2)'!$BD$18</c:f>
              <c:strCache>
                <c:ptCount val="1"/>
                <c:pt idx="0">
                  <c:v>0.7*IEFWarm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(Fuel2)'!$BE$18:$BL$18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9C-4FB7-9095-695AD56724FD}"/>
            </c:ext>
          </c:extLst>
        </c:ser>
        <c:ser>
          <c:idx val="6"/>
          <c:order val="6"/>
          <c:tx>
            <c:strRef>
              <c:f>'Variant 6 - WLTC (Fuel2)'!$BD$19</c:f>
              <c:strCache>
                <c:ptCount val="1"/>
                <c:pt idx="0">
                  <c:v>0.7*IEF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(Fuel2)'!$BE$19:$BL$19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9C-4FB7-9095-695AD56724FD}"/>
            </c:ext>
          </c:extLst>
        </c:ser>
        <c:ser>
          <c:idx val="7"/>
          <c:order val="7"/>
          <c:tx>
            <c:strRef>
              <c:f>'Variant 6 - WLTC (Fuel2)'!$BD$20</c:f>
              <c:strCache>
                <c:ptCount val="1"/>
                <c:pt idx="0">
                  <c:v>0.7*IEF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(Fuel2)'!$BE$20:$BL$20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9C-4FB7-9095-695AD567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5264"/>
        <c:axId val="396595656"/>
      </c:radarChart>
      <c:catAx>
        <c:axId val="3965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5656"/>
        <c:crosses val="autoZero"/>
        <c:auto val="1"/>
        <c:lblAlgn val="ctr"/>
        <c:lblOffset val="100"/>
        <c:noMultiLvlLbl val="0"/>
      </c:catAx>
      <c:valAx>
        <c:axId val="39659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(Fuel2)'!$BD$21</c:f>
              <c:strCache>
                <c:ptCount val="1"/>
                <c:pt idx="0">
                  <c:v>Cold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(Fuel2)'!$BE$21:$BL$21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0-4E2E-B2F5-2DA4EECFF6FC}"/>
            </c:ext>
          </c:extLst>
        </c:ser>
        <c:ser>
          <c:idx val="1"/>
          <c:order val="1"/>
          <c:tx>
            <c:strRef>
              <c:f>'Variant 6 - WLTC (Fuel2)'!$BD$22</c:f>
              <c:strCache>
                <c:ptCount val="1"/>
                <c:pt idx="0">
                  <c:v>Warm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(Fuel2)'!$BE$22:$BL$22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0-4E2E-B2F5-2DA4EECFF6FC}"/>
            </c:ext>
          </c:extLst>
        </c:ser>
        <c:ser>
          <c:idx val="2"/>
          <c:order val="2"/>
          <c:tx>
            <c:strRef>
              <c:f>'Variant 6 - WLTC (Fuel2)'!$BD$23</c:f>
              <c:strCache>
                <c:ptCount val="1"/>
                <c:pt idx="0">
                  <c:v>Hot 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(Fuel2)'!$BE$23:$BL$23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0-4E2E-B2F5-2DA4EECFF6FC}"/>
            </c:ext>
          </c:extLst>
        </c:ser>
        <c:ser>
          <c:idx val="3"/>
          <c:order val="3"/>
          <c:tx>
            <c:strRef>
              <c:f>'Variant 6 - WLTC (Fuel2)'!$BD$24</c:f>
              <c:strCache>
                <c:ptCount val="1"/>
                <c:pt idx="0">
                  <c:v>Hot 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(Fuel2)'!$BE$24:$BL$24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A0-4E2E-B2F5-2DA4EECFF6FC}"/>
            </c:ext>
          </c:extLst>
        </c:ser>
        <c:ser>
          <c:idx val="4"/>
          <c:order val="4"/>
          <c:tx>
            <c:strRef>
              <c:f>'Variant 6 - WLTC (Fuel2)'!$BD$25</c:f>
              <c:strCache>
                <c:ptCount val="1"/>
                <c:pt idx="0">
                  <c:v>IEF Cold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(Fuel2)'!$BE$25:$BL$25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A0-4E2E-B2F5-2DA4EECFF6FC}"/>
            </c:ext>
          </c:extLst>
        </c:ser>
        <c:ser>
          <c:idx val="5"/>
          <c:order val="5"/>
          <c:tx>
            <c:strRef>
              <c:f>'Variant 6 - WLTC (Fuel2)'!$BD$26</c:f>
              <c:strCache>
                <c:ptCount val="1"/>
                <c:pt idx="0">
                  <c:v>IEF Warm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(Fuel2)'!$BE$26:$BL$26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A0-4E2E-B2F5-2DA4EECFF6FC}"/>
            </c:ext>
          </c:extLst>
        </c:ser>
        <c:ser>
          <c:idx val="6"/>
          <c:order val="6"/>
          <c:tx>
            <c:strRef>
              <c:f>'Variant 6 - WLTC (Fuel2)'!$BD$27</c:f>
              <c:strCache>
                <c:ptCount val="1"/>
                <c:pt idx="0">
                  <c:v>IEF Hot 1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(Fuel2)'!$BE$27:$BL$27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A0-4E2E-B2F5-2DA4EECFF6FC}"/>
            </c:ext>
          </c:extLst>
        </c:ser>
        <c:ser>
          <c:idx val="7"/>
          <c:order val="7"/>
          <c:tx>
            <c:strRef>
              <c:f>'Variant 6 - WLTC (Fuel2)'!$BD$28</c:f>
              <c:strCache>
                <c:ptCount val="1"/>
                <c:pt idx="0">
                  <c:v>IEF Hot 2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(Fuel2)'!$BE$11:$BL$11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(Fuel2)'!$BE$28:$BL$28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A0-4E2E-B2F5-2DA4EECFF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6440"/>
        <c:axId val="396596832"/>
      </c:radarChart>
      <c:catAx>
        <c:axId val="39659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6832"/>
        <c:crosses val="autoZero"/>
        <c:auto val="1"/>
        <c:lblAlgn val="ctr"/>
        <c:lblOffset val="100"/>
        <c:noMultiLvlLbl val="0"/>
      </c:catAx>
      <c:valAx>
        <c:axId val="3965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(Fuel2)'!$BD$67</c:f>
              <c:strCache>
                <c:ptCount val="1"/>
                <c:pt idx="0">
                  <c:v>1st 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(Fuel2)'!$BE$67:$BL$67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3-4B4F-9D14-889CF0D52B5D}"/>
            </c:ext>
          </c:extLst>
        </c:ser>
        <c:ser>
          <c:idx val="1"/>
          <c:order val="1"/>
          <c:tx>
            <c:strRef>
              <c:f>'Variant 6 - WLTC (Fuel2)'!$BD$68</c:f>
              <c:strCache>
                <c:ptCount val="1"/>
                <c:pt idx="0">
                  <c:v>1st 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(Fuel2)'!$BE$68:$BL$68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3-4B4F-9D14-889CF0D52B5D}"/>
            </c:ext>
          </c:extLst>
        </c:ser>
        <c:ser>
          <c:idx val="2"/>
          <c:order val="2"/>
          <c:tx>
            <c:strRef>
              <c:f>'Variant 6 - WLTC (Fuel2)'!$BD$69</c:f>
              <c:strCache>
                <c:ptCount val="1"/>
                <c:pt idx="0">
                  <c:v>1st 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(Fuel2)'!$BE$69:$BL$69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43-4B4F-9D14-889CF0D52B5D}"/>
            </c:ext>
          </c:extLst>
        </c:ser>
        <c:ser>
          <c:idx val="3"/>
          <c:order val="3"/>
          <c:tx>
            <c:strRef>
              <c:f>'Variant 6 - WLTC (Fuel2)'!$BD$70</c:f>
              <c:strCache>
                <c:ptCount val="1"/>
                <c:pt idx="0">
                  <c:v>1st 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(Fuel2)'!$BE$70:$BL$70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43-4B4F-9D14-889CF0D52B5D}"/>
            </c:ext>
          </c:extLst>
        </c:ser>
        <c:ser>
          <c:idx val="4"/>
          <c:order val="4"/>
          <c:tx>
            <c:strRef>
              <c:f>'Variant 6 - WLTC (Fuel2)'!$BD$71</c:f>
              <c:strCache>
                <c:ptCount val="1"/>
                <c:pt idx="0">
                  <c:v>1st 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(Fuel2)'!$BE$71:$BL$71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43-4B4F-9D14-889CF0D52B5D}"/>
            </c:ext>
          </c:extLst>
        </c:ser>
        <c:ser>
          <c:idx val="5"/>
          <c:order val="5"/>
          <c:tx>
            <c:strRef>
              <c:f>'Variant 6 - WLTC (Fuel2)'!$BD$72</c:f>
              <c:strCache>
                <c:ptCount val="1"/>
                <c:pt idx="0">
                  <c:v>1st 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(Fuel2)'!$BE$72:$BL$72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43-4B4F-9D14-889CF0D52B5D}"/>
            </c:ext>
          </c:extLst>
        </c:ser>
        <c:ser>
          <c:idx val="6"/>
          <c:order val="6"/>
          <c:tx>
            <c:strRef>
              <c:f>'Variant 6 - WLTC (Fuel2)'!$BD$73</c:f>
              <c:strCache>
                <c:ptCount val="1"/>
                <c:pt idx="0">
                  <c:v>0.7*IEF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(Fuel2)'!$BE$73:$BL$73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43-4B4F-9D14-889CF0D52B5D}"/>
            </c:ext>
          </c:extLst>
        </c:ser>
        <c:ser>
          <c:idx val="7"/>
          <c:order val="7"/>
          <c:tx>
            <c:strRef>
              <c:f>'Variant 6 - WLTC (Fuel2)'!$BD$74</c:f>
              <c:strCache>
                <c:ptCount val="1"/>
                <c:pt idx="0">
                  <c:v>0.7*IEF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(Fuel2)'!$BE$74:$BL$74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43-4B4F-9D14-889CF0D52B5D}"/>
            </c:ext>
          </c:extLst>
        </c:ser>
        <c:ser>
          <c:idx val="8"/>
          <c:order val="8"/>
          <c:tx>
            <c:strRef>
              <c:f>'Variant 6 - WLTC (Fuel2)'!$BD$75</c:f>
              <c:strCache>
                <c:ptCount val="1"/>
                <c:pt idx="0">
                  <c:v>0.7*IEF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(Fuel2)'!$BE$75:$BL$75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43-4B4F-9D14-889CF0D52B5D}"/>
            </c:ext>
          </c:extLst>
        </c:ser>
        <c:ser>
          <c:idx val="9"/>
          <c:order val="9"/>
          <c:tx>
            <c:strRef>
              <c:f>'Variant 6 - WLTC (Fuel2)'!$BD$76</c:f>
              <c:strCache>
                <c:ptCount val="1"/>
                <c:pt idx="0">
                  <c:v>0.7*IEF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(Fuel2)'!$BE$76:$BL$76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43-4B4F-9D14-889CF0D52B5D}"/>
            </c:ext>
          </c:extLst>
        </c:ser>
        <c:ser>
          <c:idx val="10"/>
          <c:order val="10"/>
          <c:tx>
            <c:strRef>
              <c:f>'Variant 6 - WLTC (Fuel2)'!$BD$77</c:f>
              <c:strCache>
                <c:ptCount val="1"/>
                <c:pt idx="0">
                  <c:v>0.7*IEF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(Fuel2)'!$BE$77:$BL$77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43-4B4F-9D14-889CF0D52B5D}"/>
            </c:ext>
          </c:extLst>
        </c:ser>
        <c:ser>
          <c:idx val="11"/>
          <c:order val="11"/>
          <c:tx>
            <c:strRef>
              <c:f>'Variant 6 - WLTC (Fuel2)'!$BD$78</c:f>
              <c:strCache>
                <c:ptCount val="1"/>
                <c:pt idx="0">
                  <c:v>0.7*IEF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(Fuel2)'!$BE$78:$BL$78</c:f>
              <c:numCache>
                <c:formatCode>General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43-4B4F-9D14-889CF0D52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7616"/>
        <c:axId val="396598008"/>
      </c:radarChart>
      <c:catAx>
        <c:axId val="3965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8008"/>
        <c:crosses val="autoZero"/>
        <c:auto val="1"/>
        <c:lblAlgn val="ctr"/>
        <c:lblOffset val="100"/>
        <c:noMultiLvlLbl val="0"/>
      </c:catAx>
      <c:valAx>
        <c:axId val="39659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(Fuel2)'!$BD$79</c:f>
              <c:strCache>
                <c:ptCount val="1"/>
                <c:pt idx="0">
                  <c:v>Drive Mode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(Fuel2)'!$BE$79:$BL$79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5-410F-91EC-B1A0FCA2FEAD}"/>
            </c:ext>
          </c:extLst>
        </c:ser>
        <c:ser>
          <c:idx val="1"/>
          <c:order val="1"/>
          <c:tx>
            <c:strRef>
              <c:f>'Variant 6 - WLTC (Fuel2)'!$BD$80</c:f>
              <c:strCache>
                <c:ptCount val="1"/>
                <c:pt idx="0">
                  <c:v>Drive Mode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(Fuel2)'!$BE$80:$BL$80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5-410F-91EC-B1A0FCA2FEAD}"/>
            </c:ext>
          </c:extLst>
        </c:ser>
        <c:ser>
          <c:idx val="2"/>
          <c:order val="2"/>
          <c:tx>
            <c:strRef>
              <c:f>'Variant 6 - WLTC (Fuel2)'!$BD$81</c:f>
              <c:strCache>
                <c:ptCount val="1"/>
                <c:pt idx="0">
                  <c:v>Drive Mode 3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(Fuel2)'!$BE$81:$BL$81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5-410F-91EC-B1A0FCA2FEAD}"/>
            </c:ext>
          </c:extLst>
        </c:ser>
        <c:ser>
          <c:idx val="3"/>
          <c:order val="3"/>
          <c:tx>
            <c:strRef>
              <c:f>'Variant 6 - WLTC (Fuel2)'!$BD$82</c:f>
              <c:strCache>
                <c:ptCount val="1"/>
                <c:pt idx="0">
                  <c:v>Drive Mode 4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(Fuel2)'!$BE$82:$BL$82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5-410F-91EC-B1A0FCA2FEAD}"/>
            </c:ext>
          </c:extLst>
        </c:ser>
        <c:ser>
          <c:idx val="4"/>
          <c:order val="4"/>
          <c:tx>
            <c:strRef>
              <c:f>'Variant 6 - WLTC (Fuel2)'!$BD$83</c:f>
              <c:strCache>
                <c:ptCount val="1"/>
                <c:pt idx="0">
                  <c:v>Drive Mode 5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(Fuel2)'!$BE$83:$BL$83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5-410F-91EC-B1A0FCA2FEAD}"/>
            </c:ext>
          </c:extLst>
        </c:ser>
        <c:ser>
          <c:idx val="5"/>
          <c:order val="5"/>
          <c:tx>
            <c:strRef>
              <c:f>'Variant 6 - WLTC (Fuel2)'!$BD$84</c:f>
              <c:strCache>
                <c:ptCount val="1"/>
                <c:pt idx="0">
                  <c:v>Drive Mode 6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(Fuel2)'!$BE$84:$BL$84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5-410F-91EC-B1A0FCA2FEAD}"/>
            </c:ext>
          </c:extLst>
        </c:ser>
        <c:ser>
          <c:idx val="6"/>
          <c:order val="6"/>
          <c:tx>
            <c:strRef>
              <c:f>'Variant 6 - WLTC (Fuel2)'!$BD$85</c:f>
              <c:strCache>
                <c:ptCount val="1"/>
                <c:pt idx="0">
                  <c:v>IEF Drive Mode 1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(Fuel2)'!$BE$85:$BL$85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5-410F-91EC-B1A0FCA2FEAD}"/>
            </c:ext>
          </c:extLst>
        </c:ser>
        <c:ser>
          <c:idx val="7"/>
          <c:order val="7"/>
          <c:tx>
            <c:strRef>
              <c:f>'Variant 6 - WLTC (Fuel2)'!$BD$86</c:f>
              <c:strCache>
                <c:ptCount val="1"/>
                <c:pt idx="0">
                  <c:v>IEF Drive Mode 2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(Fuel2)'!$BE$86:$BL$86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5-410F-91EC-B1A0FCA2FEAD}"/>
            </c:ext>
          </c:extLst>
        </c:ser>
        <c:ser>
          <c:idx val="8"/>
          <c:order val="8"/>
          <c:tx>
            <c:strRef>
              <c:f>'Variant 6 - WLTC (Fuel2)'!$BD$87</c:f>
              <c:strCache>
                <c:ptCount val="1"/>
                <c:pt idx="0">
                  <c:v>IEF Drive Mode 3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(Fuel2)'!$BE$87:$BL$87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65-410F-91EC-B1A0FCA2FEAD}"/>
            </c:ext>
          </c:extLst>
        </c:ser>
        <c:ser>
          <c:idx val="9"/>
          <c:order val="9"/>
          <c:tx>
            <c:strRef>
              <c:f>'Variant 6 - WLTC (Fuel2)'!$BD$88</c:f>
              <c:strCache>
                <c:ptCount val="1"/>
                <c:pt idx="0">
                  <c:v>IEF Drive Mode 4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(Fuel2)'!$BE$88:$BL$88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65-410F-91EC-B1A0FCA2FEAD}"/>
            </c:ext>
          </c:extLst>
        </c:ser>
        <c:ser>
          <c:idx val="10"/>
          <c:order val="10"/>
          <c:tx>
            <c:strRef>
              <c:f>'Variant 6 - WLTC (Fuel2)'!$BD$89</c:f>
              <c:strCache>
                <c:ptCount val="1"/>
                <c:pt idx="0">
                  <c:v>IEF Drive Mode 5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(Fuel2)'!$BE$89:$BL$89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65-410F-91EC-B1A0FCA2FEAD}"/>
            </c:ext>
          </c:extLst>
        </c:ser>
        <c:ser>
          <c:idx val="11"/>
          <c:order val="11"/>
          <c:tx>
            <c:strRef>
              <c:f>'Variant 6 - WLTC (Fuel2)'!$BD$90</c:f>
              <c:strCache>
                <c:ptCount val="1"/>
                <c:pt idx="0">
                  <c:v>IEF Drive Mode 6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(Fuel2)'!$BE$65:$BL$65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(Fuel2)'!$BE$90:$BL$90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65-410F-91EC-B1A0FCA2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99184"/>
        <c:axId val="396599576"/>
      </c:radarChart>
      <c:catAx>
        <c:axId val="3965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9576"/>
        <c:crosses val="autoZero"/>
        <c:auto val="1"/>
        <c:lblAlgn val="ctr"/>
        <c:lblOffset val="100"/>
        <c:noMultiLvlLbl val="0"/>
      </c:catAx>
      <c:valAx>
        <c:axId val="3965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(Fuel2)'!$BD$45</c:f>
              <c:strCache>
                <c:ptCount val="1"/>
                <c:pt idx="0">
                  <c:v>Euro 6d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 (Fuel2)'!$BE$45:$BL$45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(Fuel2)'!$BE$43:$BL$43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4743-4452-9D40-CB7699B4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600360"/>
        <c:axId val="396600752"/>
      </c:radarChart>
      <c:catAx>
        <c:axId val="39660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0752"/>
        <c:crosses val="autoZero"/>
        <c:auto val="1"/>
        <c:lblAlgn val="ctr"/>
        <c:lblOffset val="100"/>
        <c:noMultiLvlLbl val="0"/>
      </c:catAx>
      <c:valAx>
        <c:axId val="3966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036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(Fuel2)'!$BD$53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 (Fuel2)'!$BE$53:$BL$53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(Fuel2)'!$BE$43:$BL$43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8447-4C91-B078-463E835A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603888"/>
        <c:axId val="396604280"/>
      </c:radarChart>
      <c:catAx>
        <c:axId val="3966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4280"/>
        <c:crosses val="autoZero"/>
        <c:auto val="1"/>
        <c:lblAlgn val="ctr"/>
        <c:lblOffset val="100"/>
        <c:noMultiLvlLbl val="0"/>
      </c:catAx>
      <c:valAx>
        <c:axId val="39660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388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(Fuel2)'!$BD$162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 (Fuel2)'!$BE$162:$BL$162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228-4AF0-8594-85EC2ECE76FD}"/>
            </c:ext>
          </c:extLst>
        </c:ser>
        <c:ser>
          <c:idx val="1"/>
          <c:order val="1"/>
          <c:tx>
            <c:strRef>
              <c:f>'Variant 6 - WLTC (Fuel2)'!$BD$163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val>
            <c:numRef>
              <c:f>'Variant 6 - WLTC (Fuel2)'!$BE$163:$BL$163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228-4AF0-8594-85EC2ECE76FD}"/>
            </c:ext>
          </c:extLst>
        </c:ser>
        <c:ser>
          <c:idx val="4"/>
          <c:order val="2"/>
          <c:tx>
            <c:strRef>
              <c:f>'Variant 6 - WLTC (Fuel2)'!$BD$168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 (Fuel2)'!$BE$168:$BL$168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228-4AF0-8594-85EC2ECE76FD}"/>
            </c:ext>
          </c:extLst>
        </c:ser>
        <c:ser>
          <c:idx val="5"/>
          <c:order val="3"/>
          <c:tx>
            <c:strRef>
              <c:f>'Variant 6 - WLTC (Fuel2)'!$BD$169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 (Fuel2)'!$BE$169:$BL$169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228-4AF0-8594-85EC2ECE7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9000"/>
        <c:axId val="395148608"/>
      </c:radarChart>
      <c:catAx>
        <c:axId val="39514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8608"/>
        <c:crosses val="autoZero"/>
        <c:auto val="1"/>
        <c:lblAlgn val="ctr"/>
        <c:lblOffset val="100"/>
        <c:noMultiLvlLbl val="0"/>
      </c:catAx>
      <c:valAx>
        <c:axId val="3951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16471411131833"/>
          <c:y val="0.11044190389662831"/>
          <c:w val="0.79028892557785113"/>
          <c:h val="0.62687550454956664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(Fuel2)'!$BD$174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'Variant 6 - WLTC (Fuel2)'!$BE$174:$BL$174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B92-4770-9F84-A61F9A62A6C5}"/>
            </c:ext>
          </c:extLst>
        </c:ser>
        <c:ser>
          <c:idx val="1"/>
          <c:order val="1"/>
          <c:tx>
            <c:strRef>
              <c:f>'Variant 6 - WLTC (Fuel2)'!$BD$175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val>
            <c:numRef>
              <c:f>'Variant 6 - WLTC (Fuel2)'!$BE$175:$BL$175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B92-4770-9F84-A61F9A62A6C5}"/>
            </c:ext>
          </c:extLst>
        </c:ser>
        <c:ser>
          <c:idx val="4"/>
          <c:order val="2"/>
          <c:tx>
            <c:strRef>
              <c:f>'Variant 6 - WLTC (Fuel2)'!$BD$180</c:f>
              <c:strCache>
                <c:ptCount val="1"/>
                <c:pt idx="0">
                  <c:v>IEF s.s.e.t.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 (Fuel2)'!$BE$180:$BL$180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EB92-4770-9F84-A61F9A62A6C5}"/>
            </c:ext>
          </c:extLst>
        </c:ser>
        <c:ser>
          <c:idx val="5"/>
          <c:order val="3"/>
          <c:tx>
            <c:strRef>
              <c:f>'Variant 6 - WLTC (Fuel2)'!$BD$181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'Variant 6 - WLTC (Fuel2)'!$BE$181:$BL$181</c:f>
              <c:numCache>
                <c:formatCode>General</c:formatCode>
                <c:ptCount val="6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'Variant 6 - WLTC (Fuel2)'!$BE$160:$BL$160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EB92-4770-9F84-A61F9A62A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0560"/>
        <c:axId val="402030952"/>
      </c:radarChart>
      <c:catAx>
        <c:axId val="4020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0952"/>
        <c:crosses val="autoZero"/>
        <c:auto val="1"/>
        <c:lblAlgn val="ctr"/>
        <c:lblOffset val="100"/>
        <c:noMultiLvlLbl val="0"/>
      </c:catAx>
      <c:valAx>
        <c:axId val="40203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4065507267542094"/>
          <c:w val="0.96454618575903817"/>
          <c:h val="0.15934492732457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(Fuel2)'!$BD$46</c:f>
              <c:strCache>
                <c:ptCount val="1"/>
                <c:pt idx="0">
                  <c:v>1st WLTC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 (Fuel2)'!$BE$46:$BL$46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7-4904-95A5-C15A49763B40}"/>
            </c:ext>
          </c:extLst>
        </c:ser>
        <c:ser>
          <c:idx val="4"/>
          <c:order val="1"/>
          <c:tx>
            <c:strRef>
              <c:f>'Variant 6 - WLTC (Fuel2)'!$BD$50</c:f>
              <c:strCache>
                <c:ptCount val="1"/>
                <c:pt idx="0">
                  <c:v>0.7*IEF WLTC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 (Fuel2)'!$BE$50:$BL$50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7-4904-95A5-C15A49763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1344"/>
        <c:axId val="402031736"/>
      </c:radarChart>
      <c:catAx>
        <c:axId val="4020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1736"/>
        <c:crosses val="autoZero"/>
        <c:auto val="1"/>
        <c:lblAlgn val="ctr"/>
        <c:lblOffset val="100"/>
        <c:noMultiLvlLbl val="0"/>
      </c:catAx>
      <c:valAx>
        <c:axId val="40203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1344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(Fuel2)'!$BD$54</c:f>
              <c:strCache>
                <c:ptCount val="1"/>
                <c:pt idx="0">
                  <c:v>WLTC 14°C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 (Fuel2)'!$BE$54:$BL$54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4-4CA5-8F29-CEF9744F4172}"/>
            </c:ext>
          </c:extLst>
        </c:ser>
        <c:ser>
          <c:idx val="4"/>
          <c:order val="1"/>
          <c:tx>
            <c:strRef>
              <c:f>'Variant 6 - WLTC (Fuel2)'!$BD$57</c:f>
              <c:strCache>
                <c:ptCount val="1"/>
                <c:pt idx="0">
                  <c:v>IEF WLTC 14°C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NMHC</c:v>
              </c:pt>
              <c:pt idx="1">
                <c:v>THC</c:v>
              </c:pt>
              <c:pt idx="2">
                <c:v>CO</c:v>
              </c:pt>
              <c:pt idx="3">
                <c:v>NOx</c:v>
              </c:pt>
              <c:pt idx="4">
                <c:v>PM</c:v>
              </c:pt>
              <c:pt idx="5">
                <c:v>PN</c:v>
              </c:pt>
              <c:pt idx="6">
                <c:v>CO2</c:v>
              </c:pt>
            </c:strLit>
          </c:cat>
          <c:val>
            <c:numRef>
              <c:f>'Variant 6 - WLTC (Fuel2)'!$BE$57:$BL$57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4-4CA5-8F29-CEF9744F4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2520"/>
        <c:axId val="402032912"/>
      </c:radarChart>
      <c:catAx>
        <c:axId val="40203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2912"/>
        <c:crosses val="autoZero"/>
        <c:auto val="1"/>
        <c:lblAlgn val="ctr"/>
        <c:lblOffset val="100"/>
        <c:noMultiLvlLbl val="0"/>
      </c:catAx>
      <c:valAx>
        <c:axId val="4020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252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(Fuel2)'!$BD$168</c:f>
              <c:strCache>
                <c:ptCount val="1"/>
                <c:pt idx="0">
                  <c:v>1st 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(Fuel2)'!$BE$168:$BL$168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0-4254-BEA7-89A2D595BFE8}"/>
            </c:ext>
          </c:extLst>
        </c:ser>
        <c:ser>
          <c:idx val="4"/>
          <c:order val="1"/>
          <c:tx>
            <c:strRef>
              <c:f>'Variant 6 - WLTC (Fuel2)'!$BD$172</c:f>
              <c:strCache>
                <c:ptCount val="1"/>
                <c:pt idx="0">
                  <c:v>0.7*IEF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(Fuel2)'!$BE$172:$BL$172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0-4254-BEA7-89A2D595B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3696"/>
        <c:axId val="402034088"/>
      </c:radarChart>
      <c:catAx>
        <c:axId val="4020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4088"/>
        <c:crosses val="autoZero"/>
        <c:auto val="1"/>
        <c:lblAlgn val="ctr"/>
        <c:lblOffset val="100"/>
        <c:noMultiLvlLbl val="0"/>
      </c:catAx>
      <c:valAx>
        <c:axId val="4020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3696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(Fuel2)'!$BD$176</c:f>
              <c:strCache>
                <c:ptCount val="1"/>
                <c:pt idx="0">
                  <c:v>s.s.e.t.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(Fuel2)'!$BE$176:$BL$176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5-4894-8FF8-CD3B3A225DA9}"/>
            </c:ext>
          </c:extLst>
        </c:ser>
        <c:ser>
          <c:idx val="4"/>
          <c:order val="1"/>
          <c:tx>
            <c:strRef>
              <c:f>'Variant 6 - WLTC (Fuel2)'!$BD$180</c:f>
              <c:strCache>
                <c:ptCount val="1"/>
                <c:pt idx="0">
                  <c:v>IEF s.s.e.t.</c:v>
                </c:pt>
              </c:strCache>
            </c:strRef>
          </c:tx>
          <c:spPr>
            <a:ln w="15875" cap="rnd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(Fuel2)'!$BE$166:$BL$166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(Fuel2)'!$BE$180:$BL$180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5-4894-8FF8-CD3B3A22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4872"/>
        <c:axId val="402035264"/>
      </c:radarChart>
      <c:catAx>
        <c:axId val="40203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5264"/>
        <c:crosses val="autoZero"/>
        <c:auto val="1"/>
        <c:lblAlgn val="ctr"/>
        <c:lblOffset val="100"/>
        <c:noMultiLvlLbl val="0"/>
      </c:catAx>
      <c:valAx>
        <c:axId val="40203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4872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431271695876725"/>
          <c:y val="5.5445869266341721E-2"/>
          <c:w val="0.71019177038354087"/>
          <c:h val="0.6709621297337833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(Fuel2)'!$BD$131</c:f>
              <c:strCache>
                <c:ptCount val="1"/>
                <c:pt idx="0">
                  <c:v>1st aggressive @ minimum moderate temperature limit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(Fuel2)'!$BE$131:$BL$131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7-43D6-BA38-245B1A139C64}"/>
            </c:ext>
          </c:extLst>
        </c:ser>
        <c:ser>
          <c:idx val="1"/>
          <c:order val="1"/>
          <c:tx>
            <c:strRef>
              <c:f>'Variant 6 - WLTC (Fuel2)'!$BD$132</c:f>
              <c:strCache>
                <c:ptCount val="1"/>
                <c:pt idx="0">
                  <c:v>1st aggressive @ maximum moderate temperature limitt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(Fuel2)'!$BE$132:$BL$132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7-43D6-BA38-245B1A139C64}"/>
            </c:ext>
          </c:extLst>
        </c:ser>
        <c:ser>
          <c:idx val="2"/>
          <c:order val="2"/>
          <c:tx>
            <c:strRef>
              <c:f>'Variant 6 - WLTC (Fuel2)'!$BD$133</c:f>
              <c:strCache>
                <c:ptCount val="1"/>
                <c:pt idx="0">
                  <c:v>1st aggressive @ maximum moderate temperature limit and extended altitude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(Fuel2)'!$BE$133:$BL$133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A7-43D6-BA38-245B1A139C64}"/>
            </c:ext>
          </c:extLst>
        </c:ser>
        <c:ser>
          <c:idx val="3"/>
          <c:order val="3"/>
          <c:tx>
            <c:strRef>
              <c:f>'Variant 6 - WLTC (Fuel2)'!$BD$134</c:f>
              <c:strCache>
                <c:ptCount val="1"/>
                <c:pt idx="0">
                  <c:v>1st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(Fuel2)'!$BE$134:$BL$134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A7-43D6-BA38-245B1A139C64}"/>
            </c:ext>
          </c:extLst>
        </c:ser>
        <c:ser>
          <c:idx val="4"/>
          <c:order val="4"/>
          <c:tx>
            <c:strRef>
              <c:f>'Variant 6 - WLTC (Fuel2)'!$BD$137</c:f>
              <c:strCache>
                <c:ptCount val="1"/>
                <c:pt idx="0">
                  <c:v>0.7*IEF aggressive @ minimum moderate temperature limit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(Fuel2)'!$BE$137:$BL$137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A7-43D6-BA38-245B1A139C64}"/>
            </c:ext>
          </c:extLst>
        </c:ser>
        <c:ser>
          <c:idx val="5"/>
          <c:order val="5"/>
          <c:tx>
            <c:strRef>
              <c:f>'Variant 6 - WLTC (Fuel2)'!$BD$138</c:f>
              <c:strCache>
                <c:ptCount val="1"/>
                <c:pt idx="0">
                  <c:v>0.7*IEF aggressive @ maximum moderate temperature limitt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(Fuel2)'!$BE$138:$BL$138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A7-43D6-BA38-245B1A139C64}"/>
            </c:ext>
          </c:extLst>
        </c:ser>
        <c:ser>
          <c:idx val="6"/>
          <c:order val="6"/>
          <c:tx>
            <c:strRef>
              <c:f>'Variant 6 - WLTC (Fuel2)'!$BD$139</c:f>
              <c:strCache>
                <c:ptCount val="1"/>
                <c:pt idx="0">
                  <c:v>0.7*IEF aggressive @ maximum moderate temperature limit and extended altitude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(Fuel2)'!$BE$139:$BL$139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A7-43D6-BA38-245B1A139C64}"/>
            </c:ext>
          </c:extLst>
        </c:ser>
        <c:ser>
          <c:idx val="7"/>
          <c:order val="7"/>
          <c:tx>
            <c:strRef>
              <c:f>'Variant 6 - WLTC (Fuel2)'!$BD$140</c:f>
              <c:strCache>
                <c:ptCount val="1"/>
                <c:pt idx="0">
                  <c:v>0.7*IEF 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(Fuel2)'!$BE$140:$BL$140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7-43D6-BA38-245B1A13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6048"/>
        <c:axId val="402036440"/>
      </c:radarChart>
      <c:catAx>
        <c:axId val="40203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6440"/>
        <c:crosses val="autoZero"/>
        <c:auto val="1"/>
        <c:lblAlgn val="ctr"/>
        <c:lblOffset val="100"/>
        <c:noMultiLvlLbl val="0"/>
      </c:catAx>
      <c:valAx>
        <c:axId val="40203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712279965004375"/>
          <c:w val="0.9690077046820762"/>
          <c:h val="0.211604749406324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657078147489628"/>
          <c:y val="5.0366504186976635E-2"/>
          <c:w val="0.66718101769536886"/>
          <c:h val="0.6303272090988627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(Fuel2)'!$BD$143</c:f>
              <c:strCache>
                <c:ptCount val="1"/>
                <c:pt idx="0">
                  <c:v>aggressive @ minimum moderate temperature limit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(Fuel2)'!$BE$143:$BL$143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2-4BB0-A806-611C2E09FD14}"/>
            </c:ext>
          </c:extLst>
        </c:ser>
        <c:ser>
          <c:idx val="1"/>
          <c:order val="1"/>
          <c:tx>
            <c:strRef>
              <c:f>'Variant 6 - WLTC (Fuel2)'!$BD$144</c:f>
              <c:strCache>
                <c:ptCount val="1"/>
                <c:pt idx="0">
                  <c:v>aggressive @ maximum moderate temperature limitt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(Fuel2)'!$BE$144:$BL$144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2-4BB0-A806-611C2E09FD14}"/>
            </c:ext>
          </c:extLst>
        </c:ser>
        <c:ser>
          <c:idx val="2"/>
          <c:order val="2"/>
          <c:tx>
            <c:strRef>
              <c:f>'Variant 6 - WLTC (Fuel2)'!$BD$145</c:f>
              <c:strCache>
                <c:ptCount val="1"/>
                <c:pt idx="0">
                  <c:v>aggressive @ maximum moderate temperature limit and extended altitude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(Fuel2)'!$BE$145:$BL$145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62-4BB0-A806-611C2E09FD14}"/>
            </c:ext>
          </c:extLst>
        </c:ser>
        <c:ser>
          <c:idx val="3"/>
          <c:order val="3"/>
          <c:tx>
            <c:strRef>
              <c:f>'Variant 6 - WLTC (Fuel2)'!$BD$146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(Fuel2)'!$BE$146:$BL$146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62-4BB0-A806-611C2E09FD14}"/>
            </c:ext>
          </c:extLst>
        </c:ser>
        <c:ser>
          <c:idx val="4"/>
          <c:order val="4"/>
          <c:tx>
            <c:strRef>
              <c:f>'Variant 6 - WLTC (Fuel2)'!$BD$149</c:f>
              <c:strCache>
                <c:ptCount val="1"/>
                <c:pt idx="0">
                  <c:v>IEF aggressive @ minimum moderate temperature limit</c:v>
                </c:pt>
              </c:strCache>
            </c:strRef>
          </c:tx>
          <c:spPr>
            <a:ln w="15875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(Fuel2)'!$BE$149:$BL$149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62-4BB0-A806-611C2E09FD14}"/>
            </c:ext>
          </c:extLst>
        </c:ser>
        <c:ser>
          <c:idx val="5"/>
          <c:order val="5"/>
          <c:tx>
            <c:strRef>
              <c:f>'Variant 6 - WLTC (Fuel2)'!$BD$150</c:f>
              <c:strCache>
                <c:ptCount val="1"/>
                <c:pt idx="0">
                  <c:v>IEF aggressive @ maximum moderate temperature limitt</c:v>
                </c:pt>
              </c:strCache>
            </c:strRef>
          </c:tx>
          <c:spPr>
            <a:ln w="158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(Fuel2)'!$BE$150:$BL$150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62-4BB0-A806-611C2E09FD14}"/>
            </c:ext>
          </c:extLst>
        </c:ser>
        <c:ser>
          <c:idx val="6"/>
          <c:order val="6"/>
          <c:tx>
            <c:strRef>
              <c:f>'Variant 6 - WLTC (Fuel2)'!$BD$151</c:f>
              <c:strCache>
                <c:ptCount val="1"/>
                <c:pt idx="0">
                  <c:v>IEF aggressive @ maximum moderate temperature limit and extended altitude</c:v>
                </c:pt>
              </c:strCache>
            </c:strRef>
          </c:tx>
          <c:spPr>
            <a:ln w="15875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(Fuel2)'!$BE$151:$BL$151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62-4BB0-A806-611C2E09FD14}"/>
            </c:ext>
          </c:extLst>
        </c:ser>
        <c:ser>
          <c:idx val="7"/>
          <c:order val="7"/>
          <c:tx>
            <c:strRef>
              <c:f>'Variant 6 - WLTC (Fuel2)'!$BD$152</c:f>
              <c:strCache>
                <c:ptCount val="1"/>
                <c:pt idx="0">
                  <c:v>IEF </c:v>
                </c:pt>
              </c:strCache>
            </c:strRef>
          </c:tx>
          <c:spPr>
            <a:ln w="158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(Fuel2)'!$BE$129:$BL$129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(Fuel2)'!$BE$152:$BL$152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62-4BB0-A806-611C2E0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7616"/>
        <c:axId val="402038008"/>
      </c:radarChart>
      <c:catAx>
        <c:axId val="40203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8008"/>
        <c:crosses val="autoZero"/>
        <c:auto val="1"/>
        <c:lblAlgn val="ctr"/>
        <c:lblOffset val="100"/>
        <c:noMultiLvlLbl val="0"/>
      </c:catAx>
      <c:valAx>
        <c:axId val="40203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7884704411948502"/>
          <c:w val="0.9690077046820762"/>
          <c:h val="0.2039857017872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(Fuel2)'!$BD$189</c:f>
              <c:strCache>
                <c:ptCount val="1"/>
                <c:pt idx="0">
                  <c:v>1st 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(Fuel2)'!$BE$189:$BL$189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E-4E75-93FC-E3EAD6B53B88}"/>
            </c:ext>
          </c:extLst>
        </c:ser>
        <c:ser>
          <c:idx val="1"/>
          <c:order val="1"/>
          <c:tx>
            <c:strRef>
              <c:f>'Variant 6 - WLTC (Fuel2)'!$BD$190</c:f>
              <c:strCache>
                <c:ptCount val="1"/>
                <c:pt idx="0">
                  <c:v>1st 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(Fuel2)'!$BE$190:$BL$190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E-4E75-93FC-E3EAD6B53B88}"/>
            </c:ext>
          </c:extLst>
        </c:ser>
        <c:ser>
          <c:idx val="2"/>
          <c:order val="2"/>
          <c:tx>
            <c:strRef>
              <c:f>'Variant 6 - WLTC (Fuel2)'!$BD$191</c:f>
              <c:strCache>
                <c:ptCount val="1"/>
                <c:pt idx="0">
                  <c:v>1st City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(Fuel2)'!$BE$191:$BL$191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E-4E75-93FC-E3EAD6B53B88}"/>
            </c:ext>
          </c:extLst>
        </c:ser>
        <c:ser>
          <c:idx val="3"/>
          <c:order val="3"/>
          <c:tx>
            <c:strRef>
              <c:f>'Variant 6 - WLTC (Fuel2)'!$BD$192</c:f>
              <c:strCache>
                <c:ptCount val="1"/>
                <c:pt idx="0">
                  <c:v>1st 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(Fuel2)'!$BE$192:$BL$192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E-4E75-93FC-E3EAD6B53B88}"/>
            </c:ext>
          </c:extLst>
        </c:ser>
        <c:ser>
          <c:idx val="4"/>
          <c:order val="4"/>
          <c:tx>
            <c:strRef>
              <c:f>'Variant 6 - WLTC (Fuel2)'!$BD$193</c:f>
              <c:strCache>
                <c:ptCount val="1"/>
                <c:pt idx="0">
                  <c:v>1st 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(Fuel2)'!$BE$193:$BL$193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1E-4E75-93FC-E3EAD6B53B88}"/>
            </c:ext>
          </c:extLst>
        </c:ser>
        <c:ser>
          <c:idx val="5"/>
          <c:order val="5"/>
          <c:tx>
            <c:strRef>
              <c:f>'Variant 6 - WLTC (Fuel2)'!$BD$194</c:f>
              <c:strCache>
                <c:ptCount val="1"/>
                <c:pt idx="0">
                  <c:v>1st 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(Fuel2)'!$BE$194:$BL$194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1E-4E75-93FC-E3EAD6B53B88}"/>
            </c:ext>
          </c:extLst>
        </c:ser>
        <c:ser>
          <c:idx val="6"/>
          <c:order val="6"/>
          <c:tx>
            <c:strRef>
              <c:f>'Variant 6 - WLTC (Fuel2)'!$BD$195</c:f>
              <c:strCache>
                <c:ptCount val="1"/>
                <c:pt idx="0">
                  <c:v>0.7*IEF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(Fuel2)'!$BE$195:$BL$195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1E-4E75-93FC-E3EAD6B53B88}"/>
            </c:ext>
          </c:extLst>
        </c:ser>
        <c:ser>
          <c:idx val="7"/>
          <c:order val="7"/>
          <c:tx>
            <c:strRef>
              <c:f>'Variant 6 - WLTC (Fuel2)'!$BD$196</c:f>
              <c:strCache>
                <c:ptCount val="1"/>
                <c:pt idx="0">
                  <c:v>0.7*IEF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(Fuel2)'!$BE$196:$BL$196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1E-4E75-93FC-E3EAD6B53B88}"/>
            </c:ext>
          </c:extLst>
        </c:ser>
        <c:ser>
          <c:idx val="8"/>
          <c:order val="8"/>
          <c:tx>
            <c:strRef>
              <c:f>'Variant 6 - WLTC (Fuel2)'!$BD$197</c:f>
              <c:strCache>
                <c:ptCount val="1"/>
                <c:pt idx="0">
                  <c:v>0.7*IEF City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(Fuel2)'!$BE$197:$BL$197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1E-4E75-93FC-E3EAD6B53B88}"/>
            </c:ext>
          </c:extLst>
        </c:ser>
        <c:ser>
          <c:idx val="9"/>
          <c:order val="9"/>
          <c:tx>
            <c:strRef>
              <c:f>'Variant 6 - WLTC (Fuel2)'!$BD$198</c:f>
              <c:strCache>
                <c:ptCount val="1"/>
                <c:pt idx="0">
                  <c:v>0.7*IEF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(Fuel2)'!$BE$198:$BL$198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1E-4E75-93FC-E3EAD6B53B88}"/>
            </c:ext>
          </c:extLst>
        </c:ser>
        <c:ser>
          <c:idx val="10"/>
          <c:order val="10"/>
          <c:tx>
            <c:strRef>
              <c:f>'Variant 6 - WLTC (Fuel2)'!$BD$199</c:f>
              <c:strCache>
                <c:ptCount val="1"/>
                <c:pt idx="0">
                  <c:v>0.7*IEF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(Fuel2)'!$BE$199:$BL$199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1E-4E75-93FC-E3EAD6B53B88}"/>
            </c:ext>
          </c:extLst>
        </c:ser>
        <c:ser>
          <c:idx val="11"/>
          <c:order val="11"/>
          <c:tx>
            <c:strRef>
              <c:f>'Variant 6 - WLTC (Fuel2)'!$BD$200</c:f>
              <c:strCache>
                <c:ptCount val="1"/>
                <c:pt idx="0">
                  <c:v>0.7*IEF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(Fuel2)'!$BE$200:$BL$200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1E-4E75-93FC-E3EAD6B53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602712"/>
        <c:axId val="396602320"/>
      </c:radarChart>
      <c:catAx>
        <c:axId val="39660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2320"/>
        <c:crosses val="autoZero"/>
        <c:auto val="1"/>
        <c:lblAlgn val="ctr"/>
        <c:lblOffset val="100"/>
        <c:noMultiLvlLbl val="0"/>
      </c:catAx>
      <c:valAx>
        <c:axId val="39660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079650325967318"/>
          <c:y val="7.1162766168912026E-2"/>
          <c:w val="0.75857886715773437"/>
          <c:h val="0.58153804962942235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(Fuel2)'!$BD$201</c:f>
              <c:strCache>
                <c:ptCount val="1"/>
                <c:pt idx="0">
                  <c:v>City (unweighted)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(Fuel2)'!$BE$201:$BL$201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5-4F89-90EF-672602BAB30E}"/>
            </c:ext>
          </c:extLst>
        </c:ser>
        <c:ser>
          <c:idx val="1"/>
          <c:order val="1"/>
          <c:tx>
            <c:strRef>
              <c:f>'Variant 6 - WLTC (Fuel2)'!$BD$202</c:f>
              <c:strCache>
                <c:ptCount val="1"/>
                <c:pt idx="0">
                  <c:v>City (EMROAD)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>
                    <a:lumMod val="95000"/>
                    <a:lumOff val="5000"/>
                    <a:alpha val="97000"/>
                  </a:schemeClr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(Fuel2)'!$BE$202:$BL$202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5-4F89-90EF-672602BAB30E}"/>
            </c:ext>
          </c:extLst>
        </c:ser>
        <c:ser>
          <c:idx val="2"/>
          <c:order val="2"/>
          <c:tx>
            <c:strRef>
              <c:f>'Variant 6 - WLTC (Fuel2)'!$BD$203</c:f>
              <c:strCache>
                <c:ptCount val="1"/>
                <c:pt idx="0">
                  <c:v>City (SPF)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(Fuel2)'!$BE$203:$BL$203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5-4F89-90EF-672602BAB30E}"/>
            </c:ext>
          </c:extLst>
        </c:ser>
        <c:ser>
          <c:idx val="3"/>
          <c:order val="3"/>
          <c:tx>
            <c:strRef>
              <c:f>'Variant 6 - WLTC (Fuel2)'!$BD$204</c:f>
              <c:strCache>
                <c:ptCount val="1"/>
                <c:pt idx="0">
                  <c:v>Total (unweighted)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(Fuel2)'!$BE$204:$BL$204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E5-4F89-90EF-672602BAB30E}"/>
            </c:ext>
          </c:extLst>
        </c:ser>
        <c:ser>
          <c:idx val="4"/>
          <c:order val="4"/>
          <c:tx>
            <c:strRef>
              <c:f>'Variant 6 - WLTC (Fuel2)'!$BD$205</c:f>
              <c:strCache>
                <c:ptCount val="1"/>
                <c:pt idx="0">
                  <c:v>Total (EMROAD)</c:v>
                </c:pt>
              </c:strCache>
            </c:strRef>
          </c:tx>
          <c:spPr>
            <a:ln w="317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(Fuel2)'!$BE$205:$BL$205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5-4F89-90EF-672602BAB30E}"/>
            </c:ext>
          </c:extLst>
        </c:ser>
        <c:ser>
          <c:idx val="5"/>
          <c:order val="5"/>
          <c:tx>
            <c:strRef>
              <c:f>'Variant 6 - WLTC (Fuel2)'!$BD$206</c:f>
              <c:strCache>
                <c:ptCount val="1"/>
                <c:pt idx="0">
                  <c:v>Total (SPF)</c:v>
                </c:pt>
              </c:strCache>
            </c:strRef>
          </c:tx>
          <c:spPr>
            <a:ln w="31750" cap="rnd">
              <a:solidFill>
                <a:srgbClr val="663300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6633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(Fuel2)'!$BE$206:$BL$206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E5-4F89-90EF-672602BAB30E}"/>
            </c:ext>
          </c:extLst>
        </c:ser>
        <c:ser>
          <c:idx val="6"/>
          <c:order val="6"/>
          <c:tx>
            <c:strRef>
              <c:f>'Variant 6 - WLTC (Fuel2)'!$BD$207</c:f>
              <c:strCache>
                <c:ptCount val="1"/>
                <c:pt idx="0">
                  <c:v>IEF City (unweighted)</c:v>
                </c:pt>
              </c:strCache>
            </c:strRef>
          </c:tx>
          <c:spPr>
            <a:ln w="15875" cap="rnd">
              <a:solidFill>
                <a:srgbClr val="4472C4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(Fuel2)'!$BE$207:$BL$207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E5-4F89-90EF-672602BAB30E}"/>
            </c:ext>
          </c:extLst>
        </c:ser>
        <c:ser>
          <c:idx val="7"/>
          <c:order val="7"/>
          <c:tx>
            <c:strRef>
              <c:f>'Variant 6 - WLTC (Fuel2)'!$BD$208</c:f>
              <c:strCache>
                <c:ptCount val="1"/>
                <c:pt idx="0">
                  <c:v>IEF City (EMROAD)</c:v>
                </c:pt>
              </c:strCache>
            </c:strRef>
          </c:tx>
          <c:spPr>
            <a:ln w="15875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(Fuel2)'!$BE$208:$BL$208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E5-4F89-90EF-672602BAB30E}"/>
            </c:ext>
          </c:extLst>
        </c:ser>
        <c:ser>
          <c:idx val="8"/>
          <c:order val="8"/>
          <c:tx>
            <c:strRef>
              <c:f>'Variant 6 - WLTC (Fuel2)'!$BD$209</c:f>
              <c:strCache>
                <c:ptCount val="1"/>
                <c:pt idx="0">
                  <c:v>IEF City (SPF)</c:v>
                </c:pt>
              </c:strCache>
            </c:strRef>
          </c:tx>
          <c:spPr>
            <a:ln w="15875" cap="rnd">
              <a:solidFill>
                <a:srgbClr val="FFC000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(Fuel2)'!$BE$209:$BL$209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E5-4F89-90EF-672602BAB30E}"/>
            </c:ext>
          </c:extLst>
        </c:ser>
        <c:ser>
          <c:idx val="9"/>
          <c:order val="9"/>
          <c:tx>
            <c:strRef>
              <c:f>'Variant 6 - WLTC (Fuel2)'!$BD$210</c:f>
              <c:strCache>
                <c:ptCount val="1"/>
                <c:pt idx="0">
                  <c:v>IEF Total (unweighted)</c:v>
                </c:pt>
              </c:strCache>
            </c:strRef>
          </c:tx>
          <c:spPr>
            <a:ln w="15875" cap="rnd">
              <a:solidFill>
                <a:srgbClr val="8A101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(Fuel2)'!$BE$210:$BL$210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E5-4F89-90EF-672602BAB30E}"/>
            </c:ext>
          </c:extLst>
        </c:ser>
        <c:ser>
          <c:idx val="10"/>
          <c:order val="10"/>
          <c:tx>
            <c:strRef>
              <c:f>'Variant 6 - WLTC (Fuel2)'!$BD$211</c:f>
              <c:strCache>
                <c:ptCount val="1"/>
                <c:pt idx="0">
                  <c:v>IEF Total (EMROAD)</c:v>
                </c:pt>
              </c:strCache>
            </c:strRef>
          </c:tx>
          <c:spPr>
            <a:ln w="15875" cap="rnd">
              <a:solidFill>
                <a:srgbClr val="6F2F2F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(Fuel2)'!$BE$211:$BL$211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E5-4F89-90EF-672602BAB30E}"/>
            </c:ext>
          </c:extLst>
        </c:ser>
        <c:ser>
          <c:idx val="11"/>
          <c:order val="11"/>
          <c:tx>
            <c:strRef>
              <c:f>'Variant 6 - WLTC (Fuel2)'!$BD$212</c:f>
              <c:strCache>
                <c:ptCount val="1"/>
                <c:pt idx="0">
                  <c:v>IEF Total (SPF)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'Variant 6 - WLTC (Fuel2)'!$BE$187:$BL$187</c:f>
              <c:strCache>
                <c:ptCount val="6"/>
                <c:pt idx="0">
                  <c:v>NMHC 
[g/km]</c:v>
                </c:pt>
                <c:pt idx="1">
                  <c:v>THC
[g/km]</c:v>
                </c:pt>
                <c:pt idx="2">
                  <c:v>CO
[g/km]</c:v>
                </c:pt>
                <c:pt idx="3">
                  <c:v>NOx
[g/km]</c:v>
                </c:pt>
                <c:pt idx="4">
                  <c:v>PM
[mg/km]</c:v>
                </c:pt>
                <c:pt idx="5">
                  <c:v>PN
[#/km]</c:v>
                </c:pt>
              </c:strCache>
            </c:strRef>
          </c:cat>
          <c:val>
            <c:numRef>
              <c:f>'Variant 6 - WLTC (Fuel2)'!$BE$212:$BL$212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E5-4F89-90EF-672602BAB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601536"/>
        <c:axId val="396601144"/>
      </c:radarChart>
      <c:catAx>
        <c:axId val="3966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1144"/>
        <c:crosses val="autoZero"/>
        <c:auto val="1"/>
        <c:lblAlgn val="ctr"/>
        <c:lblOffset val="100"/>
        <c:noMultiLvlLbl val="0"/>
      </c:catAx>
      <c:valAx>
        <c:axId val="39660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72112905515867709"/>
          <c:w val="0.9690077046820762"/>
          <c:h val="0.26170356217064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(Fuel2)'!$BM$110</c:f>
              <c:strCache>
                <c:ptCount val="1"/>
                <c:pt idx="0">
                  <c:v>1st ECE -7°C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(Fuel2)'!$BN$108:$BU$108</c:f>
              <c:strCache>
                <c:ptCount val="2"/>
                <c:pt idx="0">
                  <c:v>THC
[g/km]</c:v>
                </c:pt>
                <c:pt idx="1">
                  <c:v>CO
[g/km]</c:v>
                </c:pt>
              </c:strCache>
            </c:strRef>
          </c:cat>
          <c:val>
            <c:numRef>
              <c:f>'Variant 6 - WLTC (Fuel2)'!$BN$110:$BU$110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8-4248-9CB4-AD933AD4AE92}"/>
            </c:ext>
          </c:extLst>
        </c:ser>
        <c:ser>
          <c:idx val="4"/>
          <c:order val="1"/>
          <c:tx>
            <c:strRef>
              <c:f>'Variant 6 - WLTC (Fuel2)'!$BM$114</c:f>
              <c:strCache>
                <c:ptCount val="1"/>
                <c:pt idx="0">
                  <c:v>0.7*IEF ECE -7°C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6 - WLTC (Fuel2)'!$BN$108:$BU$108</c:f>
              <c:strCache>
                <c:ptCount val="2"/>
                <c:pt idx="0">
                  <c:v>THC
[g/km]</c:v>
                </c:pt>
                <c:pt idx="1">
                  <c:v>CO
[g/km]</c:v>
                </c:pt>
              </c:strCache>
            </c:strRef>
          </c:cat>
          <c:val>
            <c:numRef>
              <c:f>'Variant 6 - WLTC (Fuel2)'!$BN$114:$BU$114</c:f>
              <c:numCache>
                <c:formatCode>General</c:formatCode>
                <c:ptCount val="2"/>
                <c:pt idx="0">
                  <c:v>0.7</c:v>
                </c:pt>
                <c:pt idx="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8-4248-9CB4-AD933AD4A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8400"/>
        <c:axId val="402038792"/>
      </c:radarChart>
      <c:catAx>
        <c:axId val="4020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8792"/>
        <c:crosses val="autoZero"/>
        <c:auto val="1"/>
        <c:lblAlgn val="ctr"/>
        <c:lblOffset val="100"/>
        <c:noMultiLvlLbl val="0"/>
      </c:catAx>
      <c:valAx>
        <c:axId val="40203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8400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2562018457372"/>
          <c:y val="7.3223615288432298E-2"/>
          <c:w val="0.74782617898569126"/>
          <c:h val="0.7959694952294053"/>
        </c:manualLayout>
      </c:layout>
      <c:radarChart>
        <c:radarStyle val="marker"/>
        <c:varyColors val="0"/>
        <c:ser>
          <c:idx val="0"/>
          <c:order val="0"/>
          <c:tx>
            <c:strRef>
              <c:f>'Variant 6 - WLTC (Fuel2)'!$BM$118</c:f>
              <c:strCache>
                <c:ptCount val="1"/>
                <c:pt idx="0">
                  <c:v>ECE -7°C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'Variant 6 - WLTC (Fuel2)'!$BN$108:$BU$108</c:f>
              <c:strCache>
                <c:ptCount val="2"/>
                <c:pt idx="0">
                  <c:v>THC
[g/km]</c:v>
                </c:pt>
                <c:pt idx="1">
                  <c:v>CO
[g/km]</c:v>
                </c:pt>
              </c:strCache>
            </c:strRef>
          </c:cat>
          <c:val>
            <c:numRef>
              <c:f>'Variant 6 - WLTC (Fuel2)'!$BN$118:$BU$118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6-49A3-BF43-F95170DAB3D2}"/>
            </c:ext>
          </c:extLst>
        </c:ser>
        <c:ser>
          <c:idx val="4"/>
          <c:order val="1"/>
          <c:tx>
            <c:strRef>
              <c:f>'Variant 6 - WLTC (Fuel2)'!$BM$122</c:f>
              <c:strCache>
                <c:ptCount val="1"/>
                <c:pt idx="0">
                  <c:v>IEF ECE -7°C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'Variant 6 - WLTC (Fuel2)'!$BN$108:$BU$108</c:f>
              <c:strCache>
                <c:ptCount val="2"/>
                <c:pt idx="0">
                  <c:v>THC
[g/km]</c:v>
                </c:pt>
                <c:pt idx="1">
                  <c:v>CO
[g/km]</c:v>
                </c:pt>
              </c:strCache>
            </c:strRef>
          </c:cat>
          <c:val>
            <c:numRef>
              <c:f>'Variant 6 - WLTC (Fuel2)'!$BN$122:$BU$122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6-49A3-BF43-F95170DAB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39968"/>
        <c:axId val="402040360"/>
      </c:radarChart>
      <c:catAx>
        <c:axId val="4020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40360"/>
        <c:crosses val="autoZero"/>
        <c:auto val="1"/>
        <c:lblAlgn val="ctr"/>
        <c:lblOffset val="100"/>
        <c:noMultiLvlLbl val="0"/>
      </c:catAx>
      <c:valAx>
        <c:axId val="40204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9968"/>
        <c:crosses val="autoZero"/>
        <c:crossBetween val="between"/>
      </c:valAx>
      <c:spPr>
        <a:noFill/>
        <a:ln>
          <a:noFill/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1.8184319701972748E-2"/>
          <c:y val="0.88805334955448156"/>
          <c:w val="0.9690077046820762"/>
          <c:h val="9.477926847126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9.xml"/><Relationship Id="rId5" Type="http://schemas.openxmlformats.org/officeDocument/2006/relationships/chart" Target="../charts/chart5.xml"/><Relationship Id="rId10" Type="http://schemas.openxmlformats.org/officeDocument/2006/relationships/chart" Target="../charts/chart8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13.xml"/><Relationship Id="rId7" Type="http://schemas.openxmlformats.org/officeDocument/2006/relationships/image" Target="../media/image2.png"/><Relationship Id="rId12" Type="http://schemas.openxmlformats.org/officeDocument/2006/relationships/chart" Target="../charts/chart20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19.xml"/><Relationship Id="rId5" Type="http://schemas.openxmlformats.org/officeDocument/2006/relationships/chart" Target="../charts/chart15.xml"/><Relationship Id="rId10" Type="http://schemas.openxmlformats.org/officeDocument/2006/relationships/chart" Target="../charts/chart18.xml"/><Relationship Id="rId4" Type="http://schemas.openxmlformats.org/officeDocument/2006/relationships/chart" Target="../charts/chart14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1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0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image" Target="../media/image3.png"/><Relationship Id="rId5" Type="http://schemas.openxmlformats.org/officeDocument/2006/relationships/chart" Target="../charts/chart25.xml"/><Relationship Id="rId10" Type="http://schemas.openxmlformats.org/officeDocument/2006/relationships/image" Target="../media/image2.png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3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chart" Target="../charts/chart42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image" Target="../media/image3.png"/><Relationship Id="rId5" Type="http://schemas.openxmlformats.org/officeDocument/2006/relationships/chart" Target="../charts/chart37.xml"/><Relationship Id="rId10" Type="http://schemas.openxmlformats.org/officeDocument/2006/relationships/image" Target="../media/image2.png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18" Type="http://schemas.openxmlformats.org/officeDocument/2006/relationships/image" Target="../media/image3.png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17" Type="http://schemas.openxmlformats.org/officeDocument/2006/relationships/image" Target="../media/image2.png"/><Relationship Id="rId2" Type="http://schemas.openxmlformats.org/officeDocument/2006/relationships/chart" Target="../charts/chart46.xml"/><Relationship Id="rId16" Type="http://schemas.openxmlformats.org/officeDocument/2006/relationships/chart" Target="../charts/chart60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5" Type="http://schemas.openxmlformats.org/officeDocument/2006/relationships/chart" Target="../charts/chart5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Relationship Id="rId14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image" Target="../media/image3.png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image" Target="../media/image2.png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13" Type="http://schemas.openxmlformats.org/officeDocument/2006/relationships/chart" Target="../charts/chart89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2" Type="http://schemas.openxmlformats.org/officeDocument/2006/relationships/chart" Target="../charts/chart78.xml"/><Relationship Id="rId16" Type="http://schemas.openxmlformats.org/officeDocument/2006/relationships/image" Target="../media/image3.png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5" Type="http://schemas.openxmlformats.org/officeDocument/2006/relationships/chart" Target="../charts/chart81.xml"/><Relationship Id="rId15" Type="http://schemas.openxmlformats.org/officeDocument/2006/relationships/image" Target="../media/image2.png"/><Relationship Id="rId10" Type="http://schemas.openxmlformats.org/officeDocument/2006/relationships/chart" Target="../charts/chart86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Relationship Id="rId14" Type="http://schemas.openxmlformats.org/officeDocument/2006/relationships/chart" Target="../charts/chart9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13" Type="http://schemas.openxmlformats.org/officeDocument/2006/relationships/chart" Target="../charts/chart103.xml"/><Relationship Id="rId18" Type="http://schemas.openxmlformats.org/officeDocument/2006/relationships/image" Target="../media/image3.png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12" Type="http://schemas.openxmlformats.org/officeDocument/2006/relationships/chart" Target="../charts/chart102.xml"/><Relationship Id="rId17" Type="http://schemas.openxmlformats.org/officeDocument/2006/relationships/image" Target="../media/image2.png"/><Relationship Id="rId2" Type="http://schemas.openxmlformats.org/officeDocument/2006/relationships/chart" Target="../charts/chart92.xml"/><Relationship Id="rId16" Type="http://schemas.openxmlformats.org/officeDocument/2006/relationships/chart" Target="../charts/chart106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11" Type="http://schemas.openxmlformats.org/officeDocument/2006/relationships/chart" Target="../charts/chart101.xml"/><Relationship Id="rId5" Type="http://schemas.openxmlformats.org/officeDocument/2006/relationships/chart" Target="../charts/chart95.xml"/><Relationship Id="rId15" Type="http://schemas.openxmlformats.org/officeDocument/2006/relationships/chart" Target="../charts/chart105.xml"/><Relationship Id="rId10" Type="http://schemas.openxmlformats.org/officeDocument/2006/relationships/chart" Target="../charts/chart100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Relationship Id="rId14" Type="http://schemas.openxmlformats.org/officeDocument/2006/relationships/chart" Target="../charts/chart10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4.xml"/><Relationship Id="rId13" Type="http://schemas.openxmlformats.org/officeDocument/2006/relationships/chart" Target="../charts/chart119.xml"/><Relationship Id="rId18" Type="http://schemas.openxmlformats.org/officeDocument/2006/relationships/image" Target="../media/image3.png"/><Relationship Id="rId3" Type="http://schemas.openxmlformats.org/officeDocument/2006/relationships/chart" Target="../charts/chart109.xml"/><Relationship Id="rId7" Type="http://schemas.openxmlformats.org/officeDocument/2006/relationships/chart" Target="../charts/chart113.xml"/><Relationship Id="rId12" Type="http://schemas.openxmlformats.org/officeDocument/2006/relationships/chart" Target="../charts/chart118.xml"/><Relationship Id="rId17" Type="http://schemas.openxmlformats.org/officeDocument/2006/relationships/image" Target="../media/image2.png"/><Relationship Id="rId2" Type="http://schemas.openxmlformats.org/officeDocument/2006/relationships/chart" Target="../charts/chart108.xml"/><Relationship Id="rId16" Type="http://schemas.openxmlformats.org/officeDocument/2006/relationships/chart" Target="../charts/chart122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11" Type="http://schemas.openxmlformats.org/officeDocument/2006/relationships/chart" Target="../charts/chart117.xml"/><Relationship Id="rId5" Type="http://schemas.openxmlformats.org/officeDocument/2006/relationships/chart" Target="../charts/chart111.xml"/><Relationship Id="rId15" Type="http://schemas.openxmlformats.org/officeDocument/2006/relationships/chart" Target="../charts/chart121.xml"/><Relationship Id="rId10" Type="http://schemas.openxmlformats.org/officeDocument/2006/relationships/chart" Target="../charts/chart116.xml"/><Relationship Id="rId4" Type="http://schemas.openxmlformats.org/officeDocument/2006/relationships/chart" Target="../charts/chart110.xml"/><Relationship Id="rId9" Type="http://schemas.openxmlformats.org/officeDocument/2006/relationships/chart" Target="../charts/chart115.xml"/><Relationship Id="rId14" Type="http://schemas.openxmlformats.org/officeDocument/2006/relationships/chart" Target="../charts/chart12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3.xml"/><Relationship Id="rId3" Type="http://schemas.openxmlformats.org/officeDocument/2006/relationships/chart" Target="../charts/chart125.xml"/><Relationship Id="rId7" Type="http://schemas.openxmlformats.org/officeDocument/2006/relationships/chart" Target="../charts/chart129.xml"/><Relationship Id="rId12" Type="http://schemas.openxmlformats.org/officeDocument/2006/relationships/chart" Target="../charts/chart132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image" Target="../media/image3.png"/><Relationship Id="rId5" Type="http://schemas.openxmlformats.org/officeDocument/2006/relationships/chart" Target="../charts/chart127.xml"/><Relationship Id="rId10" Type="http://schemas.openxmlformats.org/officeDocument/2006/relationships/image" Target="../media/image2.png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2.xml"/><Relationship Id="rId13" Type="http://schemas.openxmlformats.org/officeDocument/2006/relationships/chart" Target="../charts/chart145.xml"/><Relationship Id="rId3" Type="http://schemas.openxmlformats.org/officeDocument/2006/relationships/chart" Target="../charts/chart137.xml"/><Relationship Id="rId7" Type="http://schemas.openxmlformats.org/officeDocument/2006/relationships/chart" Target="../charts/chart141.xml"/><Relationship Id="rId12" Type="http://schemas.openxmlformats.org/officeDocument/2006/relationships/chart" Target="../charts/chart144.xml"/><Relationship Id="rId2" Type="http://schemas.openxmlformats.org/officeDocument/2006/relationships/chart" Target="../charts/chart136.xml"/><Relationship Id="rId1" Type="http://schemas.openxmlformats.org/officeDocument/2006/relationships/chart" Target="../charts/chart135.xml"/><Relationship Id="rId6" Type="http://schemas.openxmlformats.org/officeDocument/2006/relationships/chart" Target="../charts/chart140.xml"/><Relationship Id="rId11" Type="http://schemas.openxmlformats.org/officeDocument/2006/relationships/image" Target="../media/image3.png"/><Relationship Id="rId5" Type="http://schemas.openxmlformats.org/officeDocument/2006/relationships/chart" Target="../charts/chart139.xml"/><Relationship Id="rId10" Type="http://schemas.openxmlformats.org/officeDocument/2006/relationships/image" Target="../media/image2.png"/><Relationship Id="rId4" Type="http://schemas.openxmlformats.org/officeDocument/2006/relationships/chart" Target="../charts/chart138.xml"/><Relationship Id="rId9" Type="http://schemas.openxmlformats.org/officeDocument/2006/relationships/chart" Target="../charts/chart143.xml"/><Relationship Id="rId14" Type="http://schemas.openxmlformats.org/officeDocument/2006/relationships/chart" Target="../charts/chart14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4.xml"/><Relationship Id="rId13" Type="http://schemas.openxmlformats.org/officeDocument/2006/relationships/chart" Target="../charts/chart159.xml"/><Relationship Id="rId3" Type="http://schemas.openxmlformats.org/officeDocument/2006/relationships/chart" Target="../charts/chart149.xml"/><Relationship Id="rId7" Type="http://schemas.openxmlformats.org/officeDocument/2006/relationships/chart" Target="../charts/chart153.xml"/><Relationship Id="rId12" Type="http://schemas.openxmlformats.org/officeDocument/2006/relationships/chart" Target="../charts/chart158.xml"/><Relationship Id="rId2" Type="http://schemas.openxmlformats.org/officeDocument/2006/relationships/chart" Target="../charts/chart148.xml"/><Relationship Id="rId16" Type="http://schemas.openxmlformats.org/officeDocument/2006/relationships/image" Target="../media/image3.png"/><Relationship Id="rId1" Type="http://schemas.openxmlformats.org/officeDocument/2006/relationships/chart" Target="../charts/chart147.xml"/><Relationship Id="rId6" Type="http://schemas.openxmlformats.org/officeDocument/2006/relationships/chart" Target="../charts/chart152.xml"/><Relationship Id="rId11" Type="http://schemas.openxmlformats.org/officeDocument/2006/relationships/chart" Target="../charts/chart157.xml"/><Relationship Id="rId5" Type="http://schemas.openxmlformats.org/officeDocument/2006/relationships/chart" Target="../charts/chart151.xml"/><Relationship Id="rId15" Type="http://schemas.openxmlformats.org/officeDocument/2006/relationships/image" Target="../media/image2.png"/><Relationship Id="rId10" Type="http://schemas.openxmlformats.org/officeDocument/2006/relationships/chart" Target="../charts/chart156.xml"/><Relationship Id="rId4" Type="http://schemas.openxmlformats.org/officeDocument/2006/relationships/chart" Target="../charts/chart150.xml"/><Relationship Id="rId9" Type="http://schemas.openxmlformats.org/officeDocument/2006/relationships/chart" Target="../charts/chart155.xml"/><Relationship Id="rId14" Type="http://schemas.openxmlformats.org/officeDocument/2006/relationships/chart" Target="../charts/chart160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13" Type="http://schemas.openxmlformats.org/officeDocument/2006/relationships/chart" Target="../charts/chart173.xml"/><Relationship Id="rId18" Type="http://schemas.openxmlformats.org/officeDocument/2006/relationships/chart" Target="../charts/chart176.xml"/><Relationship Id="rId3" Type="http://schemas.openxmlformats.org/officeDocument/2006/relationships/chart" Target="../charts/chart163.xml"/><Relationship Id="rId7" Type="http://schemas.openxmlformats.org/officeDocument/2006/relationships/chart" Target="../charts/chart167.xml"/><Relationship Id="rId12" Type="http://schemas.openxmlformats.org/officeDocument/2006/relationships/chart" Target="../charts/chart172.xml"/><Relationship Id="rId17" Type="http://schemas.openxmlformats.org/officeDocument/2006/relationships/chart" Target="../charts/chart175.xml"/><Relationship Id="rId2" Type="http://schemas.openxmlformats.org/officeDocument/2006/relationships/chart" Target="../charts/chart162.xml"/><Relationship Id="rId16" Type="http://schemas.openxmlformats.org/officeDocument/2006/relationships/image" Target="../media/image3.png"/><Relationship Id="rId20" Type="http://schemas.openxmlformats.org/officeDocument/2006/relationships/chart" Target="../charts/chart178.xml"/><Relationship Id="rId1" Type="http://schemas.openxmlformats.org/officeDocument/2006/relationships/chart" Target="../charts/chart161.xml"/><Relationship Id="rId6" Type="http://schemas.openxmlformats.org/officeDocument/2006/relationships/chart" Target="../charts/chart166.xml"/><Relationship Id="rId11" Type="http://schemas.openxmlformats.org/officeDocument/2006/relationships/chart" Target="../charts/chart171.xml"/><Relationship Id="rId5" Type="http://schemas.openxmlformats.org/officeDocument/2006/relationships/chart" Target="../charts/chart165.xml"/><Relationship Id="rId15" Type="http://schemas.openxmlformats.org/officeDocument/2006/relationships/image" Target="../media/image2.png"/><Relationship Id="rId10" Type="http://schemas.openxmlformats.org/officeDocument/2006/relationships/chart" Target="../charts/chart170.xml"/><Relationship Id="rId19" Type="http://schemas.openxmlformats.org/officeDocument/2006/relationships/chart" Target="../charts/chart177.xml"/><Relationship Id="rId4" Type="http://schemas.openxmlformats.org/officeDocument/2006/relationships/chart" Target="../charts/chart164.xml"/><Relationship Id="rId9" Type="http://schemas.openxmlformats.org/officeDocument/2006/relationships/chart" Target="../charts/chart169.xml"/><Relationship Id="rId14" Type="http://schemas.openxmlformats.org/officeDocument/2006/relationships/chart" Target="../charts/chart17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13" Type="http://schemas.openxmlformats.org/officeDocument/2006/relationships/chart" Target="../charts/chart191.xml"/><Relationship Id="rId18" Type="http://schemas.openxmlformats.org/officeDocument/2006/relationships/chart" Target="../charts/chart194.xml"/><Relationship Id="rId3" Type="http://schemas.openxmlformats.org/officeDocument/2006/relationships/chart" Target="../charts/chart181.xml"/><Relationship Id="rId7" Type="http://schemas.openxmlformats.org/officeDocument/2006/relationships/chart" Target="../charts/chart185.xml"/><Relationship Id="rId12" Type="http://schemas.openxmlformats.org/officeDocument/2006/relationships/chart" Target="../charts/chart190.xml"/><Relationship Id="rId17" Type="http://schemas.openxmlformats.org/officeDocument/2006/relationships/chart" Target="../charts/chart193.xml"/><Relationship Id="rId2" Type="http://schemas.openxmlformats.org/officeDocument/2006/relationships/chart" Target="../charts/chart180.xml"/><Relationship Id="rId16" Type="http://schemas.openxmlformats.org/officeDocument/2006/relationships/image" Target="../media/image3.png"/><Relationship Id="rId20" Type="http://schemas.openxmlformats.org/officeDocument/2006/relationships/chart" Target="../charts/chart196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11" Type="http://schemas.openxmlformats.org/officeDocument/2006/relationships/chart" Target="../charts/chart189.xml"/><Relationship Id="rId5" Type="http://schemas.openxmlformats.org/officeDocument/2006/relationships/chart" Target="../charts/chart183.xml"/><Relationship Id="rId15" Type="http://schemas.openxmlformats.org/officeDocument/2006/relationships/image" Target="../media/image2.png"/><Relationship Id="rId10" Type="http://schemas.openxmlformats.org/officeDocument/2006/relationships/chart" Target="../charts/chart188.xml"/><Relationship Id="rId19" Type="http://schemas.openxmlformats.org/officeDocument/2006/relationships/chart" Target="../charts/chart195.xml"/><Relationship Id="rId4" Type="http://schemas.openxmlformats.org/officeDocument/2006/relationships/chart" Target="../charts/chart182.xml"/><Relationship Id="rId9" Type="http://schemas.openxmlformats.org/officeDocument/2006/relationships/chart" Target="../charts/chart187.xml"/><Relationship Id="rId14" Type="http://schemas.openxmlformats.org/officeDocument/2006/relationships/chart" Target="../charts/chart1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14</xdr:col>
      <xdr:colOff>0</xdr:colOff>
      <xdr:row>53</xdr:row>
      <xdr:rowOff>76200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90725"/>
          <a:ext cx="9906000" cy="7524750"/>
        </a:xfrm>
        <a:prstGeom prst="rect">
          <a:avLst/>
        </a:prstGeom>
        <a:noFill/>
        <a:ln w="38100">
          <a:solidFill>
            <a:schemeClr val="accent6"/>
          </a:solidFill>
        </a:ln>
      </xdr:spPr>
    </xdr:pic>
    <xdr:clientData/>
  </xdr:twoCellAnchor>
  <xdr:twoCellAnchor>
    <xdr:from>
      <xdr:col>11</xdr:col>
      <xdr:colOff>390525</xdr:colOff>
      <xdr:row>0</xdr:row>
      <xdr:rowOff>0</xdr:rowOff>
    </xdr:from>
    <xdr:to>
      <xdr:col>14</xdr:col>
      <xdr:colOff>329938</xdr:colOff>
      <xdr:row>2</xdr:row>
      <xdr:rowOff>28575</xdr:rowOff>
    </xdr:to>
    <xdr:grpSp>
      <xdr:nvGrpSpPr>
        <xdr:cNvPr id="8" name="Group 5"/>
        <xdr:cNvGrpSpPr>
          <a:grpSpLocks/>
        </xdr:cNvGrpSpPr>
      </xdr:nvGrpSpPr>
      <xdr:grpSpPr bwMode="auto">
        <a:xfrm>
          <a:off x="8772525" y="0"/>
          <a:ext cx="2225413" cy="571500"/>
          <a:chOff x="727" y="468"/>
          <a:chExt cx="184" cy="48"/>
        </a:xfrm>
      </xdr:grpSpPr>
      <xdr:pic>
        <xdr:nvPicPr>
          <xdr:cNvPr id="9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28575</xdr:colOff>
      <xdr:row>60</xdr:row>
      <xdr:rowOff>123825</xdr:rowOff>
    </xdr:from>
    <xdr:to>
      <xdr:col>14</xdr:col>
      <xdr:colOff>180975</xdr:colOff>
      <xdr:row>129</xdr:row>
      <xdr:rowOff>114299</xdr:rowOff>
    </xdr:to>
    <xdr:grpSp>
      <xdr:nvGrpSpPr>
        <xdr:cNvPr id="31" name="Gruppieren 30"/>
        <xdr:cNvGrpSpPr/>
      </xdr:nvGrpSpPr>
      <xdr:grpSpPr>
        <a:xfrm>
          <a:off x="790575" y="10191750"/>
          <a:ext cx="10058400" cy="11163299"/>
          <a:chOff x="781050" y="10344150"/>
          <a:chExt cx="10058400" cy="11096624"/>
        </a:xfrm>
      </xdr:grpSpPr>
      <xdr:pic>
        <xdr:nvPicPr>
          <xdr:cNvPr id="7" name="Grafik 6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"/>
          <a:stretch/>
        </xdr:blipFill>
        <xdr:spPr>
          <a:xfrm>
            <a:off x="790575" y="10258425"/>
            <a:ext cx="10058400" cy="456847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" name="Grafik 10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3609" y="14820899"/>
            <a:ext cx="6052280" cy="6600825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</xdr:col>
      <xdr:colOff>190500</xdr:colOff>
      <xdr:row>13</xdr:row>
      <xdr:rowOff>19050</xdr:rowOff>
    </xdr:from>
    <xdr:to>
      <xdr:col>4</xdr:col>
      <xdr:colOff>209550</xdr:colOff>
      <xdr:row>15</xdr:row>
      <xdr:rowOff>76200</xdr:rowOff>
    </xdr:to>
    <xdr:sp macro="" textlink="">
      <xdr:nvSpPr>
        <xdr:cNvPr id="32" name="Abgerundetes Rechteck 31"/>
        <xdr:cNvSpPr/>
      </xdr:nvSpPr>
      <xdr:spPr>
        <a:xfrm>
          <a:off x="952500" y="2981325"/>
          <a:ext cx="2305050" cy="3810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228600</xdr:colOff>
      <xdr:row>13</xdr:row>
      <xdr:rowOff>95250</xdr:rowOff>
    </xdr:from>
    <xdr:to>
      <xdr:col>5</xdr:col>
      <xdr:colOff>66675</xdr:colOff>
      <xdr:row>14</xdr:row>
      <xdr:rowOff>133350</xdr:rowOff>
    </xdr:to>
    <xdr:sp macro="" textlink="">
      <xdr:nvSpPr>
        <xdr:cNvPr id="33" name="Pfeil nach rechts 32"/>
        <xdr:cNvSpPr/>
      </xdr:nvSpPr>
      <xdr:spPr>
        <a:xfrm>
          <a:off x="3276600" y="3057525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US" sz="12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76199</xdr:colOff>
      <xdr:row>13</xdr:row>
      <xdr:rowOff>38100</xdr:rowOff>
    </xdr:from>
    <xdr:to>
      <xdr:col>8</xdr:col>
      <xdr:colOff>47625</xdr:colOff>
      <xdr:row>16</xdr:row>
      <xdr:rowOff>28575</xdr:rowOff>
    </xdr:to>
    <xdr:sp macro="" textlink="">
      <xdr:nvSpPr>
        <xdr:cNvPr id="34" name="Rechteck 33"/>
        <xdr:cNvSpPr/>
      </xdr:nvSpPr>
      <xdr:spPr>
        <a:xfrm>
          <a:off x="3886199" y="3000375"/>
          <a:ext cx="2257426" cy="476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Select Number of Variants (</a:t>
          </a:r>
          <a:r>
            <a:rPr lang="en-US" sz="1200" b="1" baseline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1- 10 Variants are possible)</a:t>
          </a:r>
          <a:endParaRPr lang="en-US" sz="12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752475</xdr:colOff>
      <xdr:row>17</xdr:row>
      <xdr:rowOff>19050</xdr:rowOff>
    </xdr:from>
    <xdr:to>
      <xdr:col>14</xdr:col>
      <xdr:colOff>590550</xdr:colOff>
      <xdr:row>18</xdr:row>
      <xdr:rowOff>57150</xdr:rowOff>
    </xdr:to>
    <xdr:sp macro="" textlink="">
      <xdr:nvSpPr>
        <xdr:cNvPr id="40" name="Pfeil nach rechts 39"/>
        <xdr:cNvSpPr/>
      </xdr:nvSpPr>
      <xdr:spPr>
        <a:xfrm>
          <a:off x="10658475" y="3629025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US" sz="12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609600</xdr:colOff>
      <xdr:row>16</xdr:row>
      <xdr:rowOff>66674</xdr:rowOff>
    </xdr:from>
    <xdr:to>
      <xdr:col>17</xdr:col>
      <xdr:colOff>733425</xdr:colOff>
      <xdr:row>20</xdr:row>
      <xdr:rowOff>105833</xdr:rowOff>
    </xdr:to>
    <xdr:sp macro="" textlink="">
      <xdr:nvSpPr>
        <xdr:cNvPr id="41" name="Rechteck 40"/>
        <xdr:cNvSpPr/>
      </xdr:nvSpPr>
      <xdr:spPr>
        <a:xfrm>
          <a:off x="11277600" y="2903007"/>
          <a:ext cx="2409825" cy="6741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Enter   [Project/ Variant] and</a:t>
          </a:r>
        </a:p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select the specific variant by clicking at the field  </a:t>
          </a:r>
        </a:p>
      </xdr:txBody>
    </xdr:sp>
    <xdr:clientData/>
  </xdr:twoCellAnchor>
  <xdr:twoCellAnchor>
    <xdr:from>
      <xdr:col>3</xdr:col>
      <xdr:colOff>314324</xdr:colOff>
      <xdr:row>19</xdr:row>
      <xdr:rowOff>28575</xdr:rowOff>
    </xdr:from>
    <xdr:to>
      <xdr:col>7</xdr:col>
      <xdr:colOff>438149</xdr:colOff>
      <xdr:row>21</xdr:row>
      <xdr:rowOff>85725</xdr:rowOff>
    </xdr:to>
    <xdr:sp macro="" textlink="">
      <xdr:nvSpPr>
        <xdr:cNvPr id="43" name="Abgerundetes Rechteck 42"/>
        <xdr:cNvSpPr/>
      </xdr:nvSpPr>
      <xdr:spPr>
        <a:xfrm>
          <a:off x="2600324" y="3962400"/>
          <a:ext cx="3171825" cy="3810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709083</xdr:colOff>
      <xdr:row>21</xdr:row>
      <xdr:rowOff>85725</xdr:rowOff>
    </xdr:from>
    <xdr:to>
      <xdr:col>4</xdr:col>
      <xdr:colOff>142875</xdr:colOff>
      <xdr:row>24</xdr:row>
      <xdr:rowOff>63503</xdr:rowOff>
    </xdr:to>
    <xdr:sp macro="" textlink="">
      <xdr:nvSpPr>
        <xdr:cNvPr id="44" name="Pfeil nach rechts 43"/>
        <xdr:cNvSpPr/>
      </xdr:nvSpPr>
      <xdr:spPr>
        <a:xfrm rot="5400000">
          <a:off x="2865965" y="3844926"/>
          <a:ext cx="454028" cy="195792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US" sz="12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313267</xdr:colOff>
      <xdr:row>24</xdr:row>
      <xdr:rowOff>68793</xdr:rowOff>
    </xdr:from>
    <xdr:to>
      <xdr:col>7</xdr:col>
      <xdr:colOff>360892</xdr:colOff>
      <xdr:row>29</xdr:row>
      <xdr:rowOff>105834</xdr:rowOff>
    </xdr:to>
    <xdr:sp macro="" textlink="">
      <xdr:nvSpPr>
        <xdr:cNvPr id="45" name="Rechteck 44"/>
        <xdr:cNvSpPr/>
      </xdr:nvSpPr>
      <xdr:spPr>
        <a:xfrm>
          <a:off x="1075267" y="4175126"/>
          <a:ext cx="4619625" cy="83079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Select which tests are mandatory (Drop- Down to "Yes") and which are skipped (Drop- Down to "No"). If no, a comment is mandatory. There will display an additional signature field (see 4) )</a:t>
          </a:r>
        </a:p>
      </xdr:txBody>
    </xdr:sp>
    <xdr:clientData/>
  </xdr:twoCellAnchor>
  <xdr:twoCellAnchor>
    <xdr:from>
      <xdr:col>5</xdr:col>
      <xdr:colOff>266700</xdr:colOff>
      <xdr:row>20</xdr:row>
      <xdr:rowOff>0</xdr:rowOff>
    </xdr:from>
    <xdr:to>
      <xdr:col>6</xdr:col>
      <xdr:colOff>371475</xdr:colOff>
      <xdr:row>21</xdr:row>
      <xdr:rowOff>76200</xdr:rowOff>
    </xdr:to>
    <xdr:sp macro="" textlink="">
      <xdr:nvSpPr>
        <xdr:cNvPr id="49" name="Textfeld 48"/>
        <xdr:cNvSpPr txBox="1"/>
      </xdr:nvSpPr>
      <xdr:spPr>
        <a:xfrm>
          <a:off x="4076700" y="4095750"/>
          <a:ext cx="8667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Comment</a:t>
          </a:r>
        </a:p>
      </xdr:txBody>
    </xdr:sp>
    <xdr:clientData/>
  </xdr:twoCellAnchor>
  <xdr:twoCellAnchor>
    <xdr:from>
      <xdr:col>14</xdr:col>
      <xdr:colOff>28575</xdr:colOff>
      <xdr:row>49</xdr:row>
      <xdr:rowOff>152400</xdr:rowOff>
    </xdr:from>
    <xdr:to>
      <xdr:col>14</xdr:col>
      <xdr:colOff>628650</xdr:colOff>
      <xdr:row>51</xdr:row>
      <xdr:rowOff>28575</xdr:rowOff>
    </xdr:to>
    <xdr:sp macro="" textlink="">
      <xdr:nvSpPr>
        <xdr:cNvPr id="50" name="Pfeil nach rechts 49"/>
        <xdr:cNvSpPr/>
      </xdr:nvSpPr>
      <xdr:spPr>
        <a:xfrm>
          <a:off x="10696575" y="8943975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638174</xdr:colOff>
      <xdr:row>49</xdr:row>
      <xdr:rowOff>47625</xdr:rowOff>
    </xdr:from>
    <xdr:to>
      <xdr:col>18</xdr:col>
      <xdr:colOff>761999</xdr:colOff>
      <xdr:row>52</xdr:row>
      <xdr:rowOff>152400</xdr:rowOff>
    </xdr:to>
    <xdr:sp macro="" textlink="">
      <xdr:nvSpPr>
        <xdr:cNvPr id="51" name="Rechteck 50"/>
        <xdr:cNvSpPr/>
      </xdr:nvSpPr>
      <xdr:spPr>
        <a:xfrm>
          <a:off x="11306174" y="8839200"/>
          <a:ext cx="3171825" cy="5905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Additional signature field, if tests are skipped. It will display automatically.</a:t>
          </a:r>
        </a:p>
      </xdr:txBody>
    </xdr:sp>
    <xdr:clientData/>
  </xdr:twoCellAnchor>
  <xdr:twoCellAnchor>
    <xdr:from>
      <xdr:col>8</xdr:col>
      <xdr:colOff>723900</xdr:colOff>
      <xdr:row>49</xdr:row>
      <xdr:rowOff>19050</xdr:rowOff>
    </xdr:from>
    <xdr:to>
      <xdr:col>9</xdr:col>
      <xdr:colOff>371476</xdr:colOff>
      <xdr:row>51</xdr:row>
      <xdr:rowOff>104775</xdr:rowOff>
    </xdr:to>
    <xdr:sp macro="" textlink="">
      <xdr:nvSpPr>
        <xdr:cNvPr id="52" name="Zehneck 51"/>
        <xdr:cNvSpPr/>
      </xdr:nvSpPr>
      <xdr:spPr>
        <a:xfrm>
          <a:off x="6819900" y="8810625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4)</a:t>
          </a:r>
        </a:p>
      </xdr:txBody>
    </xdr:sp>
    <xdr:clientData/>
  </xdr:twoCellAnchor>
  <xdr:twoCellAnchor>
    <xdr:from>
      <xdr:col>0</xdr:col>
      <xdr:colOff>704850</xdr:colOff>
      <xdr:row>6</xdr:row>
      <xdr:rowOff>104775</xdr:rowOff>
    </xdr:from>
    <xdr:to>
      <xdr:col>13</xdr:col>
      <xdr:colOff>752475</xdr:colOff>
      <xdr:row>53</xdr:row>
      <xdr:rowOff>114300</xdr:rowOff>
    </xdr:to>
    <xdr:sp macro="" textlink="">
      <xdr:nvSpPr>
        <xdr:cNvPr id="55" name="Rechteck 54"/>
        <xdr:cNvSpPr/>
      </xdr:nvSpPr>
      <xdr:spPr>
        <a:xfrm>
          <a:off x="704850" y="1933575"/>
          <a:ext cx="9953625" cy="7620000"/>
        </a:xfrm>
        <a:prstGeom prst="rect">
          <a:avLst/>
        </a:prstGeom>
        <a:noFill/>
        <a:ln w="57150">
          <a:solidFill>
            <a:schemeClr val="accent1"/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409575</xdr:colOff>
      <xdr:row>49</xdr:row>
      <xdr:rowOff>9524</xdr:rowOff>
    </xdr:from>
    <xdr:to>
      <xdr:col>14</xdr:col>
      <xdr:colOff>38100</xdr:colOff>
      <xdr:row>52</xdr:row>
      <xdr:rowOff>85724</xdr:rowOff>
    </xdr:to>
    <xdr:sp macro="" textlink="">
      <xdr:nvSpPr>
        <xdr:cNvPr id="42" name="Abgerundetes Rechteck 41"/>
        <xdr:cNvSpPr/>
      </xdr:nvSpPr>
      <xdr:spPr>
        <a:xfrm>
          <a:off x="7267575" y="8801099"/>
          <a:ext cx="3438525" cy="561975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219074</xdr:colOff>
      <xdr:row>16</xdr:row>
      <xdr:rowOff>114300</xdr:rowOff>
    </xdr:from>
    <xdr:to>
      <xdr:col>13</xdr:col>
      <xdr:colOff>742949</xdr:colOff>
      <xdr:row>19</xdr:row>
      <xdr:rowOff>9525</xdr:rowOff>
    </xdr:to>
    <xdr:sp macro="" textlink="">
      <xdr:nvSpPr>
        <xdr:cNvPr id="39" name="Abgerundetes Rechteck 38"/>
        <xdr:cNvSpPr/>
      </xdr:nvSpPr>
      <xdr:spPr>
        <a:xfrm>
          <a:off x="981074" y="3562350"/>
          <a:ext cx="9667875" cy="3810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590550</xdr:colOff>
      <xdr:row>16</xdr:row>
      <xdr:rowOff>85725</xdr:rowOff>
    </xdr:from>
    <xdr:to>
      <xdr:col>1</xdr:col>
      <xdr:colOff>238126</xdr:colOff>
      <xdr:row>19</xdr:row>
      <xdr:rowOff>9525</xdr:rowOff>
    </xdr:to>
    <xdr:sp macro="" textlink="">
      <xdr:nvSpPr>
        <xdr:cNvPr id="47" name="Zehneck 46"/>
        <xdr:cNvSpPr/>
      </xdr:nvSpPr>
      <xdr:spPr>
        <a:xfrm>
          <a:off x="590550" y="3533775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2)</a:t>
          </a:r>
        </a:p>
      </xdr:txBody>
    </xdr:sp>
    <xdr:clientData/>
  </xdr:twoCellAnchor>
  <xdr:twoCellAnchor>
    <xdr:from>
      <xdr:col>0</xdr:col>
      <xdr:colOff>552450</xdr:colOff>
      <xdr:row>12</xdr:row>
      <xdr:rowOff>152400</xdr:rowOff>
    </xdr:from>
    <xdr:to>
      <xdr:col>1</xdr:col>
      <xdr:colOff>200026</xdr:colOff>
      <xdr:row>15</xdr:row>
      <xdr:rowOff>76200</xdr:rowOff>
    </xdr:to>
    <xdr:sp macro="" textlink="">
      <xdr:nvSpPr>
        <xdr:cNvPr id="46" name="Zehneck 45"/>
        <xdr:cNvSpPr/>
      </xdr:nvSpPr>
      <xdr:spPr>
        <a:xfrm>
          <a:off x="552450" y="295275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1)</a:t>
          </a:r>
        </a:p>
      </xdr:txBody>
    </xdr:sp>
    <xdr:clientData/>
  </xdr:twoCellAnchor>
  <xdr:twoCellAnchor>
    <xdr:from>
      <xdr:col>2</xdr:col>
      <xdr:colOff>638175</xdr:colOff>
      <xdr:row>18</xdr:row>
      <xdr:rowOff>142875</xdr:rowOff>
    </xdr:from>
    <xdr:to>
      <xdr:col>3</xdr:col>
      <xdr:colOff>285751</xdr:colOff>
      <xdr:row>21</xdr:row>
      <xdr:rowOff>66675</xdr:rowOff>
    </xdr:to>
    <xdr:sp macro="" textlink="">
      <xdr:nvSpPr>
        <xdr:cNvPr id="48" name="Zehneck 47"/>
        <xdr:cNvSpPr/>
      </xdr:nvSpPr>
      <xdr:spPr>
        <a:xfrm>
          <a:off x="2162175" y="3914775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3)</a:t>
          </a:r>
        </a:p>
      </xdr:txBody>
    </xdr:sp>
    <xdr:clientData/>
  </xdr:twoCellAnchor>
  <xdr:twoCellAnchor>
    <xdr:from>
      <xdr:col>13</xdr:col>
      <xdr:colOff>733425</xdr:colOff>
      <xdr:row>36</xdr:row>
      <xdr:rowOff>66675</xdr:rowOff>
    </xdr:from>
    <xdr:to>
      <xdr:col>14</xdr:col>
      <xdr:colOff>571500</xdr:colOff>
      <xdr:row>37</xdr:row>
      <xdr:rowOff>104775</xdr:rowOff>
    </xdr:to>
    <xdr:sp macro="" textlink="">
      <xdr:nvSpPr>
        <xdr:cNvPr id="56" name="Pfeil nach rechts 55"/>
        <xdr:cNvSpPr/>
      </xdr:nvSpPr>
      <xdr:spPr>
        <a:xfrm>
          <a:off x="10639425" y="6753225"/>
          <a:ext cx="600075" cy="200025"/>
        </a:xfrm>
        <a:prstGeom prst="rightArrow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590550</xdr:colOff>
      <xdr:row>34</xdr:row>
      <xdr:rowOff>76199</xdr:rowOff>
    </xdr:from>
    <xdr:to>
      <xdr:col>18</xdr:col>
      <xdr:colOff>371475</xdr:colOff>
      <xdr:row>39</xdr:row>
      <xdr:rowOff>133349</xdr:rowOff>
    </xdr:to>
    <xdr:sp macro="" textlink="">
      <xdr:nvSpPr>
        <xdr:cNvPr id="57" name="Rechteck 56"/>
        <xdr:cNvSpPr/>
      </xdr:nvSpPr>
      <xdr:spPr>
        <a:xfrm>
          <a:off x="11258550" y="6438899"/>
          <a:ext cx="2828925" cy="86677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is the first page if you print the "Release of Measurement Program". If there are more than 2 Variants: Each 2 Variants, one page.</a:t>
          </a:r>
          <a:endParaRPr lang="en-US" sz="1100" baseline="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9525</xdr:colOff>
      <xdr:row>60</xdr:row>
      <xdr:rowOff>9524</xdr:rowOff>
    </xdr:from>
    <xdr:to>
      <xdr:col>9</xdr:col>
      <xdr:colOff>19050</xdr:colOff>
      <xdr:row>129</xdr:row>
      <xdr:rowOff>85725</xdr:rowOff>
    </xdr:to>
    <xdr:sp macro="" textlink="">
      <xdr:nvSpPr>
        <xdr:cNvPr id="58" name="Rechteck 57"/>
        <xdr:cNvSpPr/>
      </xdr:nvSpPr>
      <xdr:spPr>
        <a:xfrm>
          <a:off x="771525" y="10810874"/>
          <a:ext cx="6105525" cy="11249026"/>
        </a:xfrm>
        <a:prstGeom prst="rect">
          <a:avLst/>
        </a:prstGeom>
        <a:noFill/>
        <a:ln w="57150">
          <a:solidFill>
            <a:schemeClr val="accent1"/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38100</xdr:colOff>
      <xdr:row>94</xdr:row>
      <xdr:rowOff>152400</xdr:rowOff>
    </xdr:from>
    <xdr:to>
      <xdr:col>9</xdr:col>
      <xdr:colOff>638175</xdr:colOff>
      <xdr:row>96</xdr:row>
      <xdr:rowOff>28575</xdr:rowOff>
    </xdr:to>
    <xdr:sp macro="" textlink="">
      <xdr:nvSpPr>
        <xdr:cNvPr id="60" name="Pfeil nach rechts 59"/>
        <xdr:cNvSpPr/>
      </xdr:nvSpPr>
      <xdr:spPr>
        <a:xfrm>
          <a:off x="6896100" y="17602200"/>
          <a:ext cx="600075" cy="200025"/>
        </a:xfrm>
        <a:prstGeom prst="rightArrow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295275</xdr:colOff>
      <xdr:row>66</xdr:row>
      <xdr:rowOff>95249</xdr:rowOff>
    </xdr:from>
    <xdr:to>
      <xdr:col>6</xdr:col>
      <xdr:colOff>104775</xdr:colOff>
      <xdr:row>71</xdr:row>
      <xdr:rowOff>38099</xdr:rowOff>
    </xdr:to>
    <xdr:sp macro="" textlink="">
      <xdr:nvSpPr>
        <xdr:cNvPr id="62" name="Abgerundetes Rechteck 61"/>
        <xdr:cNvSpPr/>
      </xdr:nvSpPr>
      <xdr:spPr>
        <a:xfrm>
          <a:off x="1057275" y="11868149"/>
          <a:ext cx="3619500" cy="752475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6</xdr:col>
      <xdr:colOff>714375</xdr:colOff>
      <xdr:row>68</xdr:row>
      <xdr:rowOff>152400</xdr:rowOff>
    </xdr:to>
    <xdr:sp macro="" textlink="">
      <xdr:nvSpPr>
        <xdr:cNvPr id="67" name="Pfeil nach rechts 66"/>
        <xdr:cNvSpPr/>
      </xdr:nvSpPr>
      <xdr:spPr>
        <a:xfrm>
          <a:off x="4686300" y="12049125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723898</xdr:colOff>
      <xdr:row>66</xdr:row>
      <xdr:rowOff>161924</xdr:rowOff>
    </xdr:from>
    <xdr:to>
      <xdr:col>10</xdr:col>
      <xdr:colOff>28575</xdr:colOff>
      <xdr:row>70</xdr:row>
      <xdr:rowOff>133349</xdr:rowOff>
    </xdr:to>
    <xdr:sp macro="" textlink="">
      <xdr:nvSpPr>
        <xdr:cNvPr id="68" name="Rechteck 67"/>
        <xdr:cNvSpPr/>
      </xdr:nvSpPr>
      <xdr:spPr>
        <a:xfrm>
          <a:off x="5295898" y="11934824"/>
          <a:ext cx="2352677" cy="6191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First fill in these Informations about the Project</a:t>
          </a:r>
        </a:p>
      </xdr:txBody>
    </xdr:sp>
    <xdr:clientData/>
  </xdr:twoCellAnchor>
  <xdr:twoCellAnchor>
    <xdr:from>
      <xdr:col>4</xdr:col>
      <xdr:colOff>180975</xdr:colOff>
      <xdr:row>71</xdr:row>
      <xdr:rowOff>133351</xdr:rowOff>
    </xdr:from>
    <xdr:to>
      <xdr:col>7</xdr:col>
      <xdr:colOff>428625</xdr:colOff>
      <xdr:row>74</xdr:row>
      <xdr:rowOff>104776</xdr:rowOff>
    </xdr:to>
    <xdr:sp macro="" textlink="">
      <xdr:nvSpPr>
        <xdr:cNvPr id="69" name="Abgerundetes Rechteck 68"/>
        <xdr:cNvSpPr/>
      </xdr:nvSpPr>
      <xdr:spPr>
        <a:xfrm>
          <a:off x="3228975" y="12715876"/>
          <a:ext cx="2533650" cy="4572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542925</xdr:colOff>
      <xdr:row>71</xdr:row>
      <xdr:rowOff>142875</xdr:rowOff>
    </xdr:from>
    <xdr:to>
      <xdr:col>4</xdr:col>
      <xdr:colOff>190501</xdr:colOff>
      <xdr:row>74</xdr:row>
      <xdr:rowOff>66675</xdr:rowOff>
    </xdr:to>
    <xdr:sp macro="" textlink="">
      <xdr:nvSpPr>
        <xdr:cNvPr id="70" name="Zehneck 69"/>
        <xdr:cNvSpPr/>
      </xdr:nvSpPr>
      <xdr:spPr>
        <a:xfrm>
          <a:off x="2828925" y="1272540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2)</a:t>
          </a:r>
        </a:p>
      </xdr:txBody>
    </xdr:sp>
    <xdr:clientData/>
  </xdr:twoCellAnchor>
  <xdr:twoCellAnchor>
    <xdr:from>
      <xdr:col>0</xdr:col>
      <xdr:colOff>647700</xdr:colOff>
      <xdr:row>65</xdr:row>
      <xdr:rowOff>104775</xdr:rowOff>
    </xdr:from>
    <xdr:to>
      <xdr:col>1</xdr:col>
      <xdr:colOff>295276</xdr:colOff>
      <xdr:row>68</xdr:row>
      <xdr:rowOff>28575</xdr:rowOff>
    </xdr:to>
    <xdr:sp macro="" textlink="">
      <xdr:nvSpPr>
        <xdr:cNvPr id="61" name="Zehneck 60"/>
        <xdr:cNvSpPr/>
      </xdr:nvSpPr>
      <xdr:spPr>
        <a:xfrm>
          <a:off x="647700" y="1171575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1)</a:t>
          </a:r>
        </a:p>
      </xdr:txBody>
    </xdr:sp>
    <xdr:clientData/>
  </xdr:twoCellAnchor>
  <xdr:twoCellAnchor>
    <xdr:from>
      <xdr:col>7</xdr:col>
      <xdr:colOff>438150</xdr:colOff>
      <xdr:row>72</xdr:row>
      <xdr:rowOff>66675</xdr:rowOff>
    </xdr:from>
    <xdr:to>
      <xdr:col>8</xdr:col>
      <xdr:colOff>276225</xdr:colOff>
      <xdr:row>73</xdr:row>
      <xdr:rowOff>104775</xdr:rowOff>
    </xdr:to>
    <xdr:sp macro="" textlink="">
      <xdr:nvSpPr>
        <xdr:cNvPr id="71" name="Pfeil nach rechts 70"/>
        <xdr:cNvSpPr/>
      </xdr:nvSpPr>
      <xdr:spPr>
        <a:xfrm>
          <a:off x="5772150" y="12811125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295274</xdr:colOff>
      <xdr:row>71</xdr:row>
      <xdr:rowOff>95251</xdr:rowOff>
    </xdr:from>
    <xdr:to>
      <xdr:col>13</xdr:col>
      <xdr:colOff>590549</xdr:colOff>
      <xdr:row>76</xdr:row>
      <xdr:rowOff>38100</xdr:rowOff>
    </xdr:to>
    <xdr:sp macro="" textlink="">
      <xdr:nvSpPr>
        <xdr:cNvPr id="72" name="Rechteck 71"/>
        <xdr:cNvSpPr/>
      </xdr:nvSpPr>
      <xdr:spPr>
        <a:xfrm>
          <a:off x="6391274" y="12677776"/>
          <a:ext cx="4105275" cy="75247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Click on the Name and select the Variant, which you want to evaluate first. The Sheet (Variant X - XXXX) will display right to the "Release of Results"- Sheet. Contuine below!</a:t>
          </a:r>
        </a:p>
      </xdr:txBody>
    </xdr:sp>
    <xdr:clientData/>
  </xdr:twoCellAnchor>
  <xdr:twoCellAnchor>
    <xdr:from>
      <xdr:col>12</xdr:col>
      <xdr:colOff>152400</xdr:colOff>
      <xdr:row>68</xdr:row>
      <xdr:rowOff>47625</xdr:rowOff>
    </xdr:from>
    <xdr:to>
      <xdr:col>13</xdr:col>
      <xdr:colOff>123825</xdr:colOff>
      <xdr:row>70</xdr:row>
      <xdr:rowOff>0</xdr:rowOff>
    </xdr:to>
    <xdr:sp macro="" textlink="">
      <xdr:nvSpPr>
        <xdr:cNvPr id="73" name="Abgerundetes Rechteck 72"/>
        <xdr:cNvSpPr/>
      </xdr:nvSpPr>
      <xdr:spPr>
        <a:xfrm>
          <a:off x="9296400" y="12144375"/>
          <a:ext cx="733425" cy="276225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142874</xdr:colOff>
      <xdr:row>68</xdr:row>
      <xdr:rowOff>85726</xdr:rowOff>
    </xdr:from>
    <xdr:to>
      <xdr:col>14</xdr:col>
      <xdr:colOff>571499</xdr:colOff>
      <xdr:row>69</xdr:row>
      <xdr:rowOff>133351</xdr:rowOff>
    </xdr:to>
    <xdr:sp macro="" textlink="">
      <xdr:nvSpPr>
        <xdr:cNvPr id="75" name="Pfeil nach rechts 74"/>
        <xdr:cNvSpPr/>
      </xdr:nvSpPr>
      <xdr:spPr>
        <a:xfrm>
          <a:off x="10048874" y="12182476"/>
          <a:ext cx="1190625" cy="209550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590550</xdr:colOff>
      <xdr:row>67</xdr:row>
      <xdr:rowOff>152399</xdr:rowOff>
    </xdr:from>
    <xdr:to>
      <xdr:col>17</xdr:col>
      <xdr:colOff>657227</xdr:colOff>
      <xdr:row>75</xdr:row>
      <xdr:rowOff>47624</xdr:rowOff>
    </xdr:to>
    <xdr:sp macro="" textlink="">
      <xdr:nvSpPr>
        <xdr:cNvPr id="76" name="Rechteck 75"/>
        <xdr:cNvSpPr/>
      </xdr:nvSpPr>
      <xdr:spPr>
        <a:xfrm>
          <a:off x="11258550" y="12087224"/>
          <a:ext cx="2352677" cy="11906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you are finished with "C) Variant X - XXXX"- How to: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Click "Import" to Import Data from "Variant X - XXXX"- Sheet: Results </a:t>
          </a:r>
        </a:p>
      </xdr:txBody>
    </xdr:sp>
    <xdr:clientData/>
  </xdr:twoCellAnchor>
  <xdr:twoCellAnchor>
    <xdr:from>
      <xdr:col>11</xdr:col>
      <xdr:colOff>552450</xdr:colOff>
      <xdr:row>68</xdr:row>
      <xdr:rowOff>152400</xdr:rowOff>
    </xdr:from>
    <xdr:to>
      <xdr:col>12</xdr:col>
      <xdr:colOff>200026</xdr:colOff>
      <xdr:row>71</xdr:row>
      <xdr:rowOff>76200</xdr:rowOff>
    </xdr:to>
    <xdr:sp macro="" textlink="">
      <xdr:nvSpPr>
        <xdr:cNvPr id="74" name="Zehneck 73"/>
        <xdr:cNvSpPr/>
      </xdr:nvSpPr>
      <xdr:spPr>
        <a:xfrm>
          <a:off x="8934450" y="1224915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3)</a:t>
          </a:r>
        </a:p>
      </xdr:txBody>
    </xdr:sp>
    <xdr:clientData/>
  </xdr:twoCellAnchor>
  <xdr:twoCellAnchor>
    <xdr:from>
      <xdr:col>10</xdr:col>
      <xdr:colOff>14288</xdr:colOff>
      <xdr:row>76</xdr:row>
      <xdr:rowOff>47625</xdr:rowOff>
    </xdr:from>
    <xdr:to>
      <xdr:col>10</xdr:col>
      <xdr:colOff>419100</xdr:colOff>
      <xdr:row>135</xdr:row>
      <xdr:rowOff>38100</xdr:rowOff>
    </xdr:to>
    <xdr:sp macro="" textlink="">
      <xdr:nvSpPr>
        <xdr:cNvPr id="79" name="Pfeil nach rechts 78"/>
        <xdr:cNvSpPr/>
      </xdr:nvSpPr>
      <xdr:spPr>
        <a:xfrm rot="5400000">
          <a:off x="3064669" y="19152394"/>
          <a:ext cx="9544050" cy="404812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</xdr:col>
      <xdr:colOff>761999</xdr:colOff>
      <xdr:row>142</xdr:row>
      <xdr:rowOff>0</xdr:rowOff>
    </xdr:from>
    <xdr:to>
      <xdr:col>20</xdr:col>
      <xdr:colOff>66674</xdr:colOff>
      <xdr:row>174</xdr:row>
      <xdr:rowOff>50407</xdr:rowOff>
    </xdr:to>
    <xdr:pic>
      <xdr:nvPicPr>
        <xdr:cNvPr id="80" name="Grafik 7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4145875"/>
          <a:ext cx="12258675" cy="5232007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78</xdr:row>
      <xdr:rowOff>142875</xdr:rowOff>
    </xdr:from>
    <xdr:to>
      <xdr:col>1</xdr:col>
      <xdr:colOff>304801</xdr:colOff>
      <xdr:row>81</xdr:row>
      <xdr:rowOff>66675</xdr:rowOff>
    </xdr:to>
    <xdr:sp macro="" textlink="">
      <xdr:nvSpPr>
        <xdr:cNvPr id="81" name="Zehneck 80"/>
        <xdr:cNvSpPr/>
      </xdr:nvSpPr>
      <xdr:spPr>
        <a:xfrm>
          <a:off x="657225" y="15001875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4)</a:t>
          </a:r>
        </a:p>
      </xdr:txBody>
    </xdr:sp>
    <xdr:clientData/>
  </xdr:twoCellAnchor>
  <xdr:twoCellAnchor>
    <xdr:from>
      <xdr:col>1</xdr:col>
      <xdr:colOff>276225</xdr:colOff>
      <xdr:row>79</xdr:row>
      <xdr:rowOff>133350</xdr:rowOff>
    </xdr:from>
    <xdr:to>
      <xdr:col>8</xdr:col>
      <xdr:colOff>485775</xdr:colOff>
      <xdr:row>88</xdr:row>
      <xdr:rowOff>123824</xdr:rowOff>
    </xdr:to>
    <xdr:sp macro="" textlink="">
      <xdr:nvSpPr>
        <xdr:cNvPr id="82" name="Abgerundetes Rechteck 81"/>
        <xdr:cNvSpPr/>
      </xdr:nvSpPr>
      <xdr:spPr>
        <a:xfrm>
          <a:off x="1038225" y="15154275"/>
          <a:ext cx="5543550" cy="1447799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504825</xdr:colOff>
      <xdr:row>81</xdr:row>
      <xdr:rowOff>9525</xdr:rowOff>
    </xdr:from>
    <xdr:to>
      <xdr:col>9</xdr:col>
      <xdr:colOff>342900</xdr:colOff>
      <xdr:row>82</xdr:row>
      <xdr:rowOff>47625</xdr:rowOff>
    </xdr:to>
    <xdr:sp macro="" textlink="">
      <xdr:nvSpPr>
        <xdr:cNvPr id="83" name="Pfeil nach rechts 82"/>
        <xdr:cNvSpPr/>
      </xdr:nvSpPr>
      <xdr:spPr>
        <a:xfrm>
          <a:off x="6600825" y="15354300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742950</xdr:colOff>
      <xdr:row>141</xdr:row>
      <xdr:rowOff>114300</xdr:rowOff>
    </xdr:from>
    <xdr:to>
      <xdr:col>20</xdr:col>
      <xdr:colOff>57150</xdr:colOff>
      <xdr:row>173</xdr:row>
      <xdr:rowOff>152400</xdr:rowOff>
    </xdr:to>
    <xdr:sp macro="" textlink="">
      <xdr:nvSpPr>
        <xdr:cNvPr id="84" name="Rechteck 83"/>
        <xdr:cNvSpPr/>
      </xdr:nvSpPr>
      <xdr:spPr>
        <a:xfrm>
          <a:off x="742950" y="25241250"/>
          <a:ext cx="12268200" cy="5219700"/>
        </a:xfrm>
        <a:prstGeom prst="rect">
          <a:avLst/>
        </a:prstGeom>
        <a:noFill/>
        <a:ln w="57150">
          <a:solidFill>
            <a:schemeClr val="accent1"/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76200</xdr:colOff>
      <xdr:row>169</xdr:row>
      <xdr:rowOff>142875</xdr:rowOff>
    </xdr:from>
    <xdr:to>
      <xdr:col>20</xdr:col>
      <xdr:colOff>676275</xdr:colOff>
      <xdr:row>171</xdr:row>
      <xdr:rowOff>19050</xdr:rowOff>
    </xdr:to>
    <xdr:sp macro="" textlink="">
      <xdr:nvSpPr>
        <xdr:cNvPr id="85" name="Pfeil nach rechts 84"/>
        <xdr:cNvSpPr/>
      </xdr:nvSpPr>
      <xdr:spPr>
        <a:xfrm>
          <a:off x="13030200" y="30260925"/>
          <a:ext cx="600075" cy="200025"/>
        </a:xfrm>
        <a:prstGeom prst="rightArrow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685800</xdr:colOff>
      <xdr:row>169</xdr:row>
      <xdr:rowOff>0</xdr:rowOff>
    </xdr:from>
    <xdr:to>
      <xdr:col>24</xdr:col>
      <xdr:colOff>466725</xdr:colOff>
      <xdr:row>172</xdr:row>
      <xdr:rowOff>57149</xdr:rowOff>
    </xdr:to>
    <xdr:sp macro="" textlink="">
      <xdr:nvSpPr>
        <xdr:cNvPr id="86" name="Rechteck 85"/>
        <xdr:cNvSpPr/>
      </xdr:nvSpPr>
      <xdr:spPr>
        <a:xfrm>
          <a:off x="13639800" y="30118050"/>
          <a:ext cx="2828925" cy="542924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is the printing area of the each  "Variant X - XXXX"- Sheet.</a:t>
          </a:r>
          <a:endParaRPr lang="en-US" sz="1100" baseline="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371475</xdr:colOff>
      <xdr:row>80</xdr:row>
      <xdr:rowOff>19050</xdr:rowOff>
    </xdr:from>
    <xdr:to>
      <xdr:col>15</xdr:col>
      <xdr:colOff>323850</xdr:colOff>
      <xdr:row>88</xdr:row>
      <xdr:rowOff>142875</xdr:rowOff>
    </xdr:to>
    <xdr:sp macro="" textlink="">
      <xdr:nvSpPr>
        <xdr:cNvPr id="87" name="Rechteck 86"/>
        <xdr:cNvSpPr/>
      </xdr:nvSpPr>
      <xdr:spPr>
        <a:xfrm>
          <a:off x="7229475" y="15201900"/>
          <a:ext cx="4524375" cy="14192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After Importing the Data from "Variant X- XXXX" you will get automatically the Target [IEF], Result [IEF] and Status for each test.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is a "#", it means the test is refused/ IEF is not met. Please select "B" or "C" in the Drop- Down Menu and write down a Comment in the Remark field. </a:t>
          </a:r>
        </a:p>
      </xdr:txBody>
    </xdr:sp>
    <xdr:clientData/>
  </xdr:twoCellAnchor>
  <xdr:twoCellAnchor>
    <xdr:from>
      <xdr:col>6</xdr:col>
      <xdr:colOff>0</xdr:colOff>
      <xdr:row>82</xdr:row>
      <xdr:rowOff>123825</xdr:rowOff>
    </xdr:from>
    <xdr:to>
      <xdr:col>7</xdr:col>
      <xdr:colOff>104775</xdr:colOff>
      <xdr:row>84</xdr:row>
      <xdr:rowOff>38100</xdr:rowOff>
    </xdr:to>
    <xdr:sp macro="" textlink="">
      <xdr:nvSpPr>
        <xdr:cNvPr id="88" name="Textfeld 87"/>
        <xdr:cNvSpPr txBox="1"/>
      </xdr:nvSpPr>
      <xdr:spPr>
        <a:xfrm>
          <a:off x="4572000" y="15630525"/>
          <a:ext cx="8667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Comment</a:t>
          </a:r>
        </a:p>
      </xdr:txBody>
    </xdr:sp>
    <xdr:clientData/>
  </xdr:twoCellAnchor>
  <xdr:twoCellAnchor>
    <xdr:from>
      <xdr:col>6</xdr:col>
      <xdr:colOff>0</xdr:colOff>
      <xdr:row>83</xdr:row>
      <xdr:rowOff>133350</xdr:rowOff>
    </xdr:from>
    <xdr:to>
      <xdr:col>7</xdr:col>
      <xdr:colOff>104775</xdr:colOff>
      <xdr:row>85</xdr:row>
      <xdr:rowOff>47625</xdr:rowOff>
    </xdr:to>
    <xdr:sp macro="" textlink="">
      <xdr:nvSpPr>
        <xdr:cNvPr id="89" name="Textfeld 88"/>
        <xdr:cNvSpPr txBox="1"/>
      </xdr:nvSpPr>
      <xdr:spPr>
        <a:xfrm>
          <a:off x="4572000" y="15801975"/>
          <a:ext cx="8667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Comment</a:t>
          </a:r>
        </a:p>
      </xdr:txBody>
    </xdr:sp>
    <xdr:clientData/>
  </xdr:twoCellAnchor>
  <xdr:twoCellAnchor>
    <xdr:from>
      <xdr:col>0</xdr:col>
      <xdr:colOff>361950</xdr:colOff>
      <xdr:row>121</xdr:row>
      <xdr:rowOff>123825</xdr:rowOff>
    </xdr:from>
    <xdr:to>
      <xdr:col>1</xdr:col>
      <xdr:colOff>9526</xdr:colOff>
      <xdr:row>124</xdr:row>
      <xdr:rowOff>47625</xdr:rowOff>
    </xdr:to>
    <xdr:sp macro="" textlink="">
      <xdr:nvSpPr>
        <xdr:cNvPr id="95" name="Zehneck 94"/>
        <xdr:cNvSpPr/>
      </xdr:nvSpPr>
      <xdr:spPr>
        <a:xfrm>
          <a:off x="361950" y="2194560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5)</a:t>
          </a:r>
        </a:p>
      </xdr:txBody>
    </xdr:sp>
    <xdr:clientData/>
  </xdr:twoCellAnchor>
  <xdr:twoCellAnchor>
    <xdr:from>
      <xdr:col>0</xdr:col>
      <xdr:colOff>742950</xdr:colOff>
      <xdr:row>123</xdr:row>
      <xdr:rowOff>95251</xdr:rowOff>
    </xdr:from>
    <xdr:to>
      <xdr:col>9</xdr:col>
      <xdr:colOff>19050</xdr:colOff>
      <xdr:row>129</xdr:row>
      <xdr:rowOff>95251</xdr:rowOff>
    </xdr:to>
    <xdr:sp macro="" textlink="">
      <xdr:nvSpPr>
        <xdr:cNvPr id="96" name="Abgerundetes Rechteck 95"/>
        <xdr:cNvSpPr/>
      </xdr:nvSpPr>
      <xdr:spPr>
        <a:xfrm>
          <a:off x="742950" y="22240876"/>
          <a:ext cx="6134100" cy="97155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28575</xdr:colOff>
      <xdr:row>124</xdr:row>
      <xdr:rowOff>114300</xdr:rowOff>
    </xdr:from>
    <xdr:to>
      <xdr:col>9</xdr:col>
      <xdr:colOff>628650</xdr:colOff>
      <xdr:row>125</xdr:row>
      <xdr:rowOff>152400</xdr:rowOff>
    </xdr:to>
    <xdr:sp macro="" textlink="">
      <xdr:nvSpPr>
        <xdr:cNvPr id="97" name="Pfeil nach rechts 96"/>
        <xdr:cNvSpPr/>
      </xdr:nvSpPr>
      <xdr:spPr>
        <a:xfrm>
          <a:off x="6886575" y="22421850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647700</xdr:colOff>
      <xdr:row>124</xdr:row>
      <xdr:rowOff>19050</xdr:rowOff>
    </xdr:from>
    <xdr:to>
      <xdr:col>15</xdr:col>
      <xdr:colOff>600075</xdr:colOff>
      <xdr:row>127</xdr:row>
      <xdr:rowOff>0</xdr:rowOff>
    </xdr:to>
    <xdr:sp macro="" textlink="">
      <xdr:nvSpPr>
        <xdr:cNvPr id="98" name="Rechteck 97"/>
        <xdr:cNvSpPr/>
      </xdr:nvSpPr>
      <xdr:spPr>
        <a:xfrm>
          <a:off x="7505700" y="22326600"/>
          <a:ext cx="4524375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additional signature field will display automatically if one test is refused / IEF is not met ("B" or "C"- Status).</a:t>
          </a:r>
        </a:p>
      </xdr:txBody>
    </xdr:sp>
    <xdr:clientData/>
  </xdr:twoCellAnchor>
  <xdr:twoCellAnchor>
    <xdr:from>
      <xdr:col>10</xdr:col>
      <xdr:colOff>142875</xdr:colOff>
      <xdr:row>63</xdr:row>
      <xdr:rowOff>19050</xdr:rowOff>
    </xdr:from>
    <xdr:to>
      <xdr:col>10</xdr:col>
      <xdr:colOff>552451</xdr:colOff>
      <xdr:row>65</xdr:row>
      <xdr:rowOff>104775</xdr:rowOff>
    </xdr:to>
    <xdr:sp macro="" textlink="">
      <xdr:nvSpPr>
        <xdr:cNvPr id="99" name="Zehneck 98"/>
        <xdr:cNvSpPr/>
      </xdr:nvSpPr>
      <xdr:spPr>
        <a:xfrm>
          <a:off x="7762875" y="12449175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6)</a:t>
          </a:r>
        </a:p>
      </xdr:txBody>
    </xdr:sp>
    <xdr:clientData/>
  </xdr:twoCellAnchor>
  <xdr:twoCellAnchor>
    <xdr:from>
      <xdr:col>10</xdr:col>
      <xdr:colOff>523875</xdr:colOff>
      <xdr:row>64</xdr:row>
      <xdr:rowOff>95250</xdr:rowOff>
    </xdr:from>
    <xdr:to>
      <xdr:col>13</xdr:col>
      <xdr:colOff>685800</xdr:colOff>
      <xdr:row>68</xdr:row>
      <xdr:rowOff>38100</xdr:rowOff>
    </xdr:to>
    <xdr:sp macro="" textlink="">
      <xdr:nvSpPr>
        <xdr:cNvPr id="100" name="Abgerundetes Rechteck 99"/>
        <xdr:cNvSpPr/>
      </xdr:nvSpPr>
      <xdr:spPr>
        <a:xfrm>
          <a:off x="8143875" y="12687300"/>
          <a:ext cx="2447925" cy="59055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619125</xdr:colOff>
      <xdr:row>62</xdr:row>
      <xdr:rowOff>142875</xdr:rowOff>
    </xdr:from>
    <xdr:to>
      <xdr:col>15</xdr:col>
      <xdr:colOff>285750</xdr:colOff>
      <xdr:row>64</xdr:row>
      <xdr:rowOff>28575</xdr:rowOff>
    </xdr:to>
    <xdr:sp macro="" textlink="">
      <xdr:nvSpPr>
        <xdr:cNvPr id="101" name="Pfeil nach rechts 100"/>
        <xdr:cNvSpPr/>
      </xdr:nvSpPr>
      <xdr:spPr>
        <a:xfrm rot="20338021">
          <a:off x="10525125" y="12411075"/>
          <a:ext cx="1190625" cy="209550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247650</xdr:colOff>
      <xdr:row>57</xdr:row>
      <xdr:rowOff>142875</xdr:rowOff>
    </xdr:from>
    <xdr:to>
      <xdr:col>22</xdr:col>
      <xdr:colOff>123825</xdr:colOff>
      <xdr:row>65</xdr:row>
      <xdr:rowOff>142875</xdr:rowOff>
    </xdr:to>
    <xdr:sp macro="" textlink="">
      <xdr:nvSpPr>
        <xdr:cNvPr id="104" name="Rechteck 103"/>
        <xdr:cNvSpPr/>
      </xdr:nvSpPr>
      <xdr:spPr>
        <a:xfrm>
          <a:off x="11677650" y="11534775"/>
          <a:ext cx="5210175" cy="1362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box will not be printed!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With the "Save"- Function you can see your imported and remarked data for a variant. It is neccessary to click the "Save"- Button when you are switching between different variants.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With the "Clear"- Function you can clear your imported and remarked data for a variant. You can use it, when you dont need the data any more. </a:t>
          </a:r>
        </a:p>
      </xdr:txBody>
    </xdr:sp>
    <xdr:clientData/>
  </xdr:twoCellAnchor>
  <xdr:twoCellAnchor>
    <xdr:from>
      <xdr:col>10</xdr:col>
      <xdr:colOff>85725</xdr:colOff>
      <xdr:row>141</xdr:row>
      <xdr:rowOff>114300</xdr:rowOff>
    </xdr:from>
    <xdr:to>
      <xdr:col>10</xdr:col>
      <xdr:colOff>495301</xdr:colOff>
      <xdr:row>144</xdr:row>
      <xdr:rowOff>38100</xdr:rowOff>
    </xdr:to>
    <xdr:sp macro="" textlink="">
      <xdr:nvSpPr>
        <xdr:cNvPr id="105" name="Zehneck 104"/>
        <xdr:cNvSpPr/>
      </xdr:nvSpPr>
      <xdr:spPr>
        <a:xfrm>
          <a:off x="5419725" y="2569845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1)</a:t>
          </a:r>
        </a:p>
      </xdr:txBody>
    </xdr:sp>
    <xdr:clientData/>
  </xdr:twoCellAnchor>
  <xdr:twoCellAnchor>
    <xdr:from>
      <xdr:col>10</xdr:col>
      <xdr:colOff>495300</xdr:colOff>
      <xdr:row>142</xdr:row>
      <xdr:rowOff>9525</xdr:rowOff>
    </xdr:from>
    <xdr:to>
      <xdr:col>12</xdr:col>
      <xdr:colOff>266700</xdr:colOff>
      <xdr:row>144</xdr:row>
      <xdr:rowOff>57150</xdr:rowOff>
    </xdr:to>
    <xdr:sp macro="" textlink="">
      <xdr:nvSpPr>
        <xdr:cNvPr id="106" name="Abgerundetes Rechteck 105"/>
        <xdr:cNvSpPr/>
      </xdr:nvSpPr>
      <xdr:spPr>
        <a:xfrm>
          <a:off x="5829300" y="25755600"/>
          <a:ext cx="1295400" cy="371475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619125</xdr:colOff>
      <xdr:row>138</xdr:row>
      <xdr:rowOff>190500</xdr:rowOff>
    </xdr:from>
    <xdr:to>
      <xdr:col>12</xdr:col>
      <xdr:colOff>57150</xdr:colOff>
      <xdr:row>142</xdr:row>
      <xdr:rowOff>9525</xdr:rowOff>
    </xdr:to>
    <xdr:sp macro="" textlink="">
      <xdr:nvSpPr>
        <xdr:cNvPr id="107" name="Pfeil nach rechts 106"/>
        <xdr:cNvSpPr/>
      </xdr:nvSpPr>
      <xdr:spPr>
        <a:xfrm rot="16200000">
          <a:off x="6515100" y="25355550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104775</xdr:colOff>
      <xdr:row>136</xdr:row>
      <xdr:rowOff>57150</xdr:rowOff>
    </xdr:from>
    <xdr:to>
      <xdr:col>13</xdr:col>
      <xdr:colOff>619124</xdr:colOff>
      <xdr:row>138</xdr:row>
      <xdr:rowOff>171450</xdr:rowOff>
    </xdr:to>
    <xdr:sp macro="" textlink="">
      <xdr:nvSpPr>
        <xdr:cNvPr id="108" name="Rechteck 107"/>
        <xdr:cNvSpPr/>
      </xdr:nvSpPr>
      <xdr:spPr>
        <a:xfrm>
          <a:off x="5438775" y="24631650"/>
          <a:ext cx="2800349" cy="5048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First fill in the Name of the Project. You can overwrite this field!</a:t>
          </a:r>
        </a:p>
      </xdr:txBody>
    </xdr:sp>
    <xdr:clientData/>
  </xdr:twoCellAnchor>
  <xdr:twoCellAnchor>
    <xdr:from>
      <xdr:col>3</xdr:col>
      <xdr:colOff>447675</xdr:colOff>
      <xdr:row>144</xdr:row>
      <xdr:rowOff>28575</xdr:rowOff>
    </xdr:from>
    <xdr:to>
      <xdr:col>4</xdr:col>
      <xdr:colOff>95251</xdr:colOff>
      <xdr:row>146</xdr:row>
      <xdr:rowOff>114300</xdr:rowOff>
    </xdr:to>
    <xdr:sp macro="" textlink="">
      <xdr:nvSpPr>
        <xdr:cNvPr id="109" name="Zehneck 108"/>
        <xdr:cNvSpPr/>
      </xdr:nvSpPr>
      <xdr:spPr>
        <a:xfrm>
          <a:off x="447675" y="2609850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2)</a:t>
          </a:r>
        </a:p>
      </xdr:txBody>
    </xdr:sp>
    <xdr:clientData/>
  </xdr:twoCellAnchor>
  <xdr:twoCellAnchor>
    <xdr:from>
      <xdr:col>4</xdr:col>
      <xdr:colOff>104773</xdr:colOff>
      <xdr:row>145</xdr:row>
      <xdr:rowOff>142875</xdr:rowOff>
    </xdr:from>
    <xdr:to>
      <xdr:col>11</xdr:col>
      <xdr:colOff>409574</xdr:colOff>
      <xdr:row>150</xdr:row>
      <xdr:rowOff>133350</xdr:rowOff>
    </xdr:to>
    <xdr:sp macro="" textlink="">
      <xdr:nvSpPr>
        <xdr:cNvPr id="110" name="Abgerundetes Rechteck 109"/>
        <xdr:cNvSpPr/>
      </xdr:nvSpPr>
      <xdr:spPr>
        <a:xfrm>
          <a:off x="866773" y="26374725"/>
          <a:ext cx="5638801" cy="8001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419099</xdr:colOff>
      <xdr:row>147</xdr:row>
      <xdr:rowOff>38100</xdr:rowOff>
    </xdr:from>
    <xdr:to>
      <xdr:col>12</xdr:col>
      <xdr:colOff>257174</xdr:colOff>
      <xdr:row>148</xdr:row>
      <xdr:rowOff>76200</xdr:rowOff>
    </xdr:to>
    <xdr:sp macro="" textlink="">
      <xdr:nvSpPr>
        <xdr:cNvPr id="111" name="Pfeil nach rechts 110"/>
        <xdr:cNvSpPr/>
      </xdr:nvSpPr>
      <xdr:spPr>
        <a:xfrm>
          <a:off x="6515099" y="26593800"/>
          <a:ext cx="600075" cy="200025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266699</xdr:colOff>
      <xdr:row>145</xdr:row>
      <xdr:rowOff>142875</xdr:rowOff>
    </xdr:from>
    <xdr:to>
      <xdr:col>19</xdr:col>
      <xdr:colOff>666750</xdr:colOff>
      <xdr:row>150</xdr:row>
      <xdr:rowOff>152400</xdr:rowOff>
    </xdr:to>
    <xdr:sp macro="" textlink="">
      <xdr:nvSpPr>
        <xdr:cNvPr id="112" name="Rechteck 111"/>
        <xdr:cNvSpPr/>
      </xdr:nvSpPr>
      <xdr:spPr>
        <a:xfrm>
          <a:off x="9410699" y="26698575"/>
          <a:ext cx="5734051" cy="8191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Overwrite the white fields to fill in the "Regulation" and Emission legislation limits for different temperature. If Emission legislation limits does not exist, overwrite the "1" with a "-".  The both diagrams fit to number of Emission legislation limits.</a:t>
          </a:r>
        </a:p>
      </xdr:txBody>
    </xdr:sp>
    <xdr:clientData/>
  </xdr:twoCellAnchor>
  <xdr:twoCellAnchor>
    <xdr:from>
      <xdr:col>4</xdr:col>
      <xdr:colOff>85725</xdr:colOff>
      <xdr:row>156</xdr:row>
      <xdr:rowOff>114300</xdr:rowOff>
    </xdr:from>
    <xdr:to>
      <xdr:col>11</xdr:col>
      <xdr:colOff>419100</xdr:colOff>
      <xdr:row>161</xdr:row>
      <xdr:rowOff>104775</xdr:rowOff>
    </xdr:to>
    <xdr:sp macro="" textlink="">
      <xdr:nvSpPr>
        <xdr:cNvPr id="120" name="Abgerundetes Rechteck 119"/>
        <xdr:cNvSpPr/>
      </xdr:nvSpPr>
      <xdr:spPr>
        <a:xfrm>
          <a:off x="3133725" y="28451175"/>
          <a:ext cx="5667375" cy="800100"/>
        </a:xfrm>
        <a:prstGeom prst="roundRect">
          <a:avLst/>
        </a:prstGeom>
        <a:noFill/>
        <a:ln w="38100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542925</xdr:colOff>
      <xdr:row>154</xdr:row>
      <xdr:rowOff>104775</xdr:rowOff>
    </xdr:from>
    <xdr:to>
      <xdr:col>4</xdr:col>
      <xdr:colOff>190501</xdr:colOff>
      <xdr:row>157</xdr:row>
      <xdr:rowOff>28575</xdr:rowOff>
    </xdr:to>
    <xdr:sp macro="" textlink="">
      <xdr:nvSpPr>
        <xdr:cNvPr id="122" name="Zehneck 121"/>
        <xdr:cNvSpPr/>
      </xdr:nvSpPr>
      <xdr:spPr>
        <a:xfrm>
          <a:off x="2828925" y="28117800"/>
          <a:ext cx="409576" cy="409575"/>
        </a:xfrm>
        <a:prstGeom prst="dec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3)</a:t>
          </a:r>
        </a:p>
      </xdr:txBody>
    </xdr:sp>
    <xdr:clientData/>
  </xdr:twoCellAnchor>
  <xdr:twoCellAnchor>
    <xdr:from>
      <xdr:col>0</xdr:col>
      <xdr:colOff>297391</xdr:colOff>
      <xdr:row>160</xdr:row>
      <xdr:rowOff>4233</xdr:rowOff>
    </xdr:from>
    <xdr:to>
      <xdr:col>3</xdr:col>
      <xdr:colOff>592667</xdr:colOff>
      <xdr:row>171</xdr:row>
      <xdr:rowOff>124883</xdr:rowOff>
    </xdr:to>
    <xdr:sp macro="" textlink="">
      <xdr:nvSpPr>
        <xdr:cNvPr id="123" name="Rechteck 122"/>
        <xdr:cNvSpPr/>
      </xdr:nvSpPr>
      <xdr:spPr>
        <a:xfrm>
          <a:off x="297391" y="26790650"/>
          <a:ext cx="2581276" cy="18669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The special thing about this phase is, you need either a "global" CET or a CET for each component. Without a CET, you will NOT get a Result and Status.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 please fill in a CET.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Please fill out the name of the measurements N1 and N2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noProof="0" smtClean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Additional column (3rd Measurement) can not be added.</a:t>
          </a:r>
        </a:p>
      </xdr:txBody>
    </xdr:sp>
    <xdr:clientData/>
  </xdr:twoCellAnchor>
  <xdr:twoCellAnchor>
    <xdr:from>
      <xdr:col>9</xdr:col>
      <xdr:colOff>647700</xdr:colOff>
      <xdr:row>94</xdr:row>
      <xdr:rowOff>1</xdr:rowOff>
    </xdr:from>
    <xdr:to>
      <xdr:col>13</xdr:col>
      <xdr:colOff>428625</xdr:colOff>
      <xdr:row>97</xdr:row>
      <xdr:rowOff>57150</xdr:rowOff>
    </xdr:to>
    <xdr:sp macro="" textlink="">
      <xdr:nvSpPr>
        <xdr:cNvPr id="59" name="Rechteck 58"/>
        <xdr:cNvSpPr/>
      </xdr:nvSpPr>
      <xdr:spPr>
        <a:xfrm>
          <a:off x="7505700" y="17449801"/>
          <a:ext cx="2828925" cy="542924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50000"/>
                </a:schemeClr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is the printing area of the "Release of Results"- Sheet.</a:t>
          </a:r>
          <a:endParaRPr lang="en-US" sz="1100" baseline="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317498</xdr:colOff>
      <xdr:row>158</xdr:row>
      <xdr:rowOff>4</xdr:rowOff>
    </xdr:from>
    <xdr:to>
      <xdr:col>4</xdr:col>
      <xdr:colOff>155573</xdr:colOff>
      <xdr:row>159</xdr:row>
      <xdr:rowOff>38104</xdr:rowOff>
    </xdr:to>
    <xdr:sp macro="" textlink="">
      <xdr:nvSpPr>
        <xdr:cNvPr id="77" name="Pfeil nach rechts 76"/>
        <xdr:cNvSpPr/>
      </xdr:nvSpPr>
      <xdr:spPr>
        <a:xfrm rot="8392885">
          <a:off x="2603498" y="26468921"/>
          <a:ext cx="600075" cy="196850"/>
        </a:xfrm>
        <a:prstGeom prst="right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 noProof="0" smtClean="0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2133600</xdr:colOff>
          <xdr:row>3</xdr:row>
          <xdr:rowOff>38100</xdr:rowOff>
        </xdr:from>
        <xdr:to>
          <xdr:col>2</xdr:col>
          <xdr:colOff>342900</xdr:colOff>
          <xdr:row>3</xdr:row>
          <xdr:rowOff>257175</xdr:rowOff>
        </xdr:to>
        <xdr:sp macro="" textlink="">
          <xdr:nvSpPr>
            <xdr:cNvPr id="53255" name="Button 7" hidden="1">
              <a:extLst>
                <a:ext uri="{63B3BB69-23CF-44E3-9099-C40C66FF867C}">
                  <a14:compatExt spid="_x0000_s5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2124075</xdr:colOff>
          <xdr:row>3</xdr:row>
          <xdr:rowOff>314325</xdr:rowOff>
        </xdr:from>
        <xdr:to>
          <xdr:col>2</xdr:col>
          <xdr:colOff>333375</xdr:colOff>
          <xdr:row>4</xdr:row>
          <xdr:rowOff>95250</xdr:rowOff>
        </xdr:to>
        <xdr:sp macro="" textlink="">
          <xdr:nvSpPr>
            <xdr:cNvPr id="53256" name="Button 8" hidden="1">
              <a:extLst>
                <a:ext uri="{63B3BB69-23CF-44E3-9099-C40C66FF867C}">
                  <a14:compatExt spid="_x0000_s5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▼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2181225</xdr:colOff>
      <xdr:row>0</xdr:row>
      <xdr:rowOff>133351</xdr:rowOff>
    </xdr:from>
    <xdr:to>
      <xdr:col>7</xdr:col>
      <xdr:colOff>180975</xdr:colOff>
      <xdr:row>2</xdr:row>
      <xdr:rowOff>38101</xdr:rowOff>
    </xdr:to>
    <xdr:grpSp>
      <xdr:nvGrpSpPr>
        <xdr:cNvPr id="4" name="Group 5"/>
        <xdr:cNvGrpSpPr>
          <a:grpSpLocks/>
        </xdr:cNvGrpSpPr>
      </xdr:nvGrpSpPr>
      <xdr:grpSpPr bwMode="auto">
        <a:xfrm>
          <a:off x="13526558" y="133351"/>
          <a:ext cx="1513417" cy="455083"/>
          <a:chOff x="727" y="468"/>
          <a:chExt cx="184" cy="48"/>
        </a:xfrm>
      </xdr:grpSpPr>
      <xdr:pic>
        <xdr:nvPicPr>
          <xdr:cNvPr id="5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1598083</xdr:colOff>
      <xdr:row>0</xdr:row>
      <xdr:rowOff>19050</xdr:rowOff>
    </xdr:from>
    <xdr:to>
      <xdr:col>14</xdr:col>
      <xdr:colOff>203200</xdr:colOff>
      <xdr:row>3</xdr:row>
      <xdr:rowOff>164042</xdr:rowOff>
    </xdr:to>
    <xdr:grpSp>
      <xdr:nvGrpSpPr>
        <xdr:cNvPr id="2" name="Group 5"/>
        <xdr:cNvGrpSpPr>
          <a:grpSpLocks/>
        </xdr:cNvGrpSpPr>
      </xdr:nvGrpSpPr>
      <xdr:grpSpPr bwMode="auto">
        <a:xfrm>
          <a:off x="9980083" y="19050"/>
          <a:ext cx="2272242" cy="525992"/>
          <a:chOff x="727" y="468"/>
          <a:chExt cx="184" cy="48"/>
        </a:xfrm>
      </xdr:grpSpPr>
      <xdr:pic>
        <xdr:nvPicPr>
          <xdr:cNvPr id="3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1019175</xdr:colOff>
          <xdr:row>9</xdr:row>
          <xdr:rowOff>85725</xdr:rowOff>
        </xdr:from>
        <xdr:to>
          <xdr:col>18</xdr:col>
          <xdr:colOff>2143125</xdr:colOff>
          <xdr:row>11</xdr:row>
          <xdr:rowOff>123825</xdr:rowOff>
        </xdr:to>
        <xdr:sp macro="" textlink="">
          <xdr:nvSpPr>
            <xdr:cNvPr id="2087" name="Button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1943100</xdr:colOff>
          <xdr:row>12</xdr:row>
          <xdr:rowOff>47625</xdr:rowOff>
        </xdr:from>
        <xdr:to>
          <xdr:col>18</xdr:col>
          <xdr:colOff>962025</xdr:colOff>
          <xdr:row>14</xdr:row>
          <xdr:rowOff>57150</xdr:rowOff>
        </xdr:to>
        <xdr:sp macro="" textlink="">
          <xdr:nvSpPr>
            <xdr:cNvPr id="2088" name="Button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1933575</xdr:colOff>
          <xdr:row>9</xdr:row>
          <xdr:rowOff>104775</xdr:rowOff>
        </xdr:from>
        <xdr:to>
          <xdr:col>18</xdr:col>
          <xdr:colOff>971550</xdr:colOff>
          <xdr:row>11</xdr:row>
          <xdr:rowOff>114300</xdr:rowOff>
        </xdr:to>
        <xdr:sp macro="" textlink="">
          <xdr:nvSpPr>
            <xdr:cNvPr id="2089" name="Button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11" name="Group 5"/>
        <xdr:cNvGrpSpPr>
          <a:grpSpLocks/>
        </xdr:cNvGrpSpPr>
      </xdr:nvGrpSpPr>
      <xdr:grpSpPr bwMode="auto">
        <a:xfrm>
          <a:off x="14040908" y="66675"/>
          <a:ext cx="2229647" cy="557742"/>
          <a:chOff x="727" y="468"/>
          <a:chExt cx="184" cy="48"/>
        </a:xfrm>
      </xdr:grpSpPr>
      <xdr:pic>
        <xdr:nvPicPr>
          <xdr:cNvPr id="12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8" name="Group 5"/>
        <xdr:cNvGrpSpPr>
          <a:grpSpLocks/>
        </xdr:cNvGrpSpPr>
      </xdr:nvGrpSpPr>
      <xdr:grpSpPr bwMode="auto">
        <a:xfrm>
          <a:off x="14040908" y="66675"/>
          <a:ext cx="2229647" cy="557742"/>
          <a:chOff x="727" y="468"/>
          <a:chExt cx="184" cy="48"/>
        </a:xfrm>
      </xdr:grpSpPr>
      <xdr:pic>
        <xdr:nvPicPr>
          <xdr:cNvPr id="9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12" name="Diagramm 1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13" name="Diagramm 1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37</xdr:row>
      <xdr:rowOff>190499</xdr:rowOff>
    </xdr:from>
    <xdr:to>
      <xdr:col>18</xdr:col>
      <xdr:colOff>0</xdr:colOff>
      <xdr:row>68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69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75</xdr:row>
      <xdr:rowOff>0</xdr:rowOff>
    </xdr:from>
    <xdr:to>
      <xdr:col>18</xdr:col>
      <xdr:colOff>0</xdr:colOff>
      <xdr:row>96</xdr:row>
      <xdr:rowOff>0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18</xdr:col>
      <xdr:colOff>0</xdr:colOff>
      <xdr:row>186</xdr:row>
      <xdr:rowOff>190500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186</xdr:row>
      <xdr:rowOff>190500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11" name="Group 5"/>
        <xdr:cNvGrpSpPr>
          <a:grpSpLocks/>
        </xdr:cNvGrpSpPr>
      </xdr:nvGrpSpPr>
      <xdr:grpSpPr bwMode="auto">
        <a:xfrm>
          <a:off x="14040908" y="66675"/>
          <a:ext cx="2229647" cy="557742"/>
          <a:chOff x="727" y="468"/>
          <a:chExt cx="184" cy="48"/>
        </a:xfrm>
      </xdr:grpSpPr>
      <xdr:pic>
        <xdr:nvPicPr>
          <xdr:cNvPr id="12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18</xdr:col>
      <xdr:colOff>0</xdr:colOff>
      <xdr:row>75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37</xdr:row>
      <xdr:rowOff>190499</xdr:rowOff>
    </xdr:from>
    <xdr:to>
      <xdr:col>18</xdr:col>
      <xdr:colOff>0</xdr:colOff>
      <xdr:row>68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69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75</xdr:row>
      <xdr:rowOff>0</xdr:rowOff>
    </xdr:from>
    <xdr:to>
      <xdr:col>18</xdr:col>
      <xdr:colOff>0</xdr:colOff>
      <xdr:row>96</xdr:row>
      <xdr:rowOff>0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12" name="Diagramm 1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13" name="Diagramm 1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18</xdr:col>
      <xdr:colOff>0</xdr:colOff>
      <xdr:row>186</xdr:row>
      <xdr:rowOff>190500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186</xdr:row>
      <xdr:rowOff>190500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29" name="Group 5"/>
        <xdr:cNvGrpSpPr>
          <a:grpSpLocks/>
        </xdr:cNvGrpSpPr>
      </xdr:nvGrpSpPr>
      <xdr:grpSpPr bwMode="auto">
        <a:xfrm>
          <a:off x="14040908" y="66675"/>
          <a:ext cx="2229647" cy="557742"/>
          <a:chOff x="727" y="468"/>
          <a:chExt cx="184" cy="48"/>
        </a:xfrm>
      </xdr:grpSpPr>
      <xdr:pic>
        <xdr:nvPicPr>
          <xdr:cNvPr id="30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1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18</xdr:col>
      <xdr:colOff>0</xdr:colOff>
      <xdr:row>75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20" name="Diagramm 1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21" name="Diagramm 2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18</xdr:col>
      <xdr:colOff>0</xdr:colOff>
      <xdr:row>151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151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157</xdr:row>
      <xdr:rowOff>0</xdr:rowOff>
    </xdr:from>
    <xdr:to>
      <xdr:col>18</xdr:col>
      <xdr:colOff>0</xdr:colOff>
      <xdr:row>178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157</xdr:row>
      <xdr:rowOff>0</xdr:rowOff>
    </xdr:from>
    <xdr:to>
      <xdr:col>22</xdr:col>
      <xdr:colOff>0</xdr:colOff>
      <xdr:row>178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184</xdr:row>
      <xdr:rowOff>0</xdr:rowOff>
    </xdr:from>
    <xdr:to>
      <xdr:col>17</xdr:col>
      <xdr:colOff>1181099</xdr:colOff>
      <xdr:row>204</xdr:row>
      <xdr:rowOff>190499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184</xdr:row>
      <xdr:rowOff>0</xdr:rowOff>
    </xdr:from>
    <xdr:to>
      <xdr:col>22</xdr:col>
      <xdr:colOff>0</xdr:colOff>
      <xdr:row>205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211</xdr:row>
      <xdr:rowOff>0</xdr:rowOff>
    </xdr:from>
    <xdr:to>
      <xdr:col>18</xdr:col>
      <xdr:colOff>0</xdr:colOff>
      <xdr:row>241</xdr:row>
      <xdr:rowOff>190500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0</xdr:colOff>
      <xdr:row>211</xdr:row>
      <xdr:rowOff>0</xdr:rowOff>
    </xdr:from>
    <xdr:to>
      <xdr:col>22</xdr:col>
      <xdr:colOff>0</xdr:colOff>
      <xdr:row>241</xdr:row>
      <xdr:rowOff>190500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136712</xdr:colOff>
      <xdr:row>0</xdr:row>
      <xdr:rowOff>45945</xdr:rowOff>
    </xdr:from>
    <xdr:to>
      <xdr:col>19</xdr:col>
      <xdr:colOff>362996</xdr:colOff>
      <xdr:row>1</xdr:row>
      <xdr:rowOff>286187</xdr:rowOff>
    </xdr:to>
    <xdr:grpSp>
      <xdr:nvGrpSpPr>
        <xdr:cNvPr id="20" name="Group 5"/>
        <xdr:cNvGrpSpPr>
          <a:grpSpLocks/>
        </xdr:cNvGrpSpPr>
      </xdr:nvGrpSpPr>
      <xdr:grpSpPr bwMode="auto">
        <a:xfrm>
          <a:off x="14350129" y="45945"/>
          <a:ext cx="2226534" cy="557742"/>
          <a:chOff x="727" y="468"/>
          <a:chExt cx="184" cy="48"/>
        </a:xfrm>
      </xdr:grpSpPr>
      <xdr:pic>
        <xdr:nvPicPr>
          <xdr:cNvPr id="21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2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18</xdr:col>
      <xdr:colOff>0</xdr:colOff>
      <xdr:row>151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151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157</xdr:row>
      <xdr:rowOff>0</xdr:rowOff>
    </xdr:from>
    <xdr:to>
      <xdr:col>18</xdr:col>
      <xdr:colOff>0</xdr:colOff>
      <xdr:row>178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157</xdr:row>
      <xdr:rowOff>0</xdr:rowOff>
    </xdr:from>
    <xdr:to>
      <xdr:col>22</xdr:col>
      <xdr:colOff>0</xdr:colOff>
      <xdr:row>178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184</xdr:row>
      <xdr:rowOff>0</xdr:rowOff>
    </xdr:from>
    <xdr:to>
      <xdr:col>17</xdr:col>
      <xdr:colOff>1181099</xdr:colOff>
      <xdr:row>204</xdr:row>
      <xdr:rowOff>190499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184</xdr:row>
      <xdr:rowOff>0</xdr:rowOff>
    </xdr:from>
    <xdr:to>
      <xdr:col>22</xdr:col>
      <xdr:colOff>0</xdr:colOff>
      <xdr:row>205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211</xdr:row>
      <xdr:rowOff>0</xdr:rowOff>
    </xdr:from>
    <xdr:to>
      <xdr:col>18</xdr:col>
      <xdr:colOff>0</xdr:colOff>
      <xdr:row>241</xdr:row>
      <xdr:rowOff>190500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0</xdr:colOff>
      <xdr:row>211</xdr:row>
      <xdr:rowOff>0</xdr:rowOff>
    </xdr:from>
    <xdr:to>
      <xdr:col>22</xdr:col>
      <xdr:colOff>0</xdr:colOff>
      <xdr:row>241</xdr:row>
      <xdr:rowOff>190500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114299</xdr:colOff>
      <xdr:row>0</xdr:row>
      <xdr:rowOff>34739</xdr:rowOff>
    </xdr:from>
    <xdr:to>
      <xdr:col>19</xdr:col>
      <xdr:colOff>340583</xdr:colOff>
      <xdr:row>1</xdr:row>
      <xdr:rowOff>274981</xdr:rowOff>
    </xdr:to>
    <xdr:grpSp>
      <xdr:nvGrpSpPr>
        <xdr:cNvPr id="20" name="Group 5"/>
        <xdr:cNvGrpSpPr>
          <a:grpSpLocks/>
        </xdr:cNvGrpSpPr>
      </xdr:nvGrpSpPr>
      <xdr:grpSpPr bwMode="auto">
        <a:xfrm>
          <a:off x="14327716" y="34739"/>
          <a:ext cx="2226534" cy="557742"/>
          <a:chOff x="727" y="468"/>
          <a:chExt cx="184" cy="48"/>
        </a:xfrm>
      </xdr:grpSpPr>
      <xdr:pic>
        <xdr:nvPicPr>
          <xdr:cNvPr id="21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2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18</xdr:col>
      <xdr:colOff>0</xdr:colOff>
      <xdr:row>150</xdr:row>
      <xdr:rowOff>0</xdr:rowOff>
    </xdr:to>
    <xdr:graphicFrame macro="">
      <xdr:nvGraphicFramePr>
        <xdr:cNvPr id="12" name="Diagramm 1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13" name="Diagramm 1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17</xdr:col>
      <xdr:colOff>1181099</xdr:colOff>
      <xdr:row>176</xdr:row>
      <xdr:rowOff>190499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177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183</xdr:row>
      <xdr:rowOff>0</xdr:rowOff>
    </xdr:from>
    <xdr:to>
      <xdr:col>18</xdr:col>
      <xdr:colOff>0</xdr:colOff>
      <xdr:row>213</xdr:row>
      <xdr:rowOff>190500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183</xdr:row>
      <xdr:rowOff>0</xdr:rowOff>
    </xdr:from>
    <xdr:to>
      <xdr:col>22</xdr:col>
      <xdr:colOff>0</xdr:colOff>
      <xdr:row>213</xdr:row>
      <xdr:rowOff>190500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124385</xdr:colOff>
      <xdr:row>0</xdr:row>
      <xdr:rowOff>70037</xdr:rowOff>
    </xdr:from>
    <xdr:to>
      <xdr:col>18</xdr:col>
      <xdr:colOff>1168697</xdr:colOff>
      <xdr:row>1</xdr:row>
      <xdr:rowOff>310279</xdr:rowOff>
    </xdr:to>
    <xdr:grpSp>
      <xdr:nvGrpSpPr>
        <xdr:cNvPr id="18" name="Group 5"/>
        <xdr:cNvGrpSpPr>
          <a:grpSpLocks/>
        </xdr:cNvGrpSpPr>
      </xdr:nvGrpSpPr>
      <xdr:grpSpPr bwMode="auto">
        <a:xfrm>
          <a:off x="14041468" y="70037"/>
          <a:ext cx="2229646" cy="557742"/>
          <a:chOff x="727" y="468"/>
          <a:chExt cx="184" cy="48"/>
        </a:xfrm>
      </xdr:grpSpPr>
      <xdr:pic>
        <xdr:nvPicPr>
          <xdr:cNvPr id="19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0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11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11</xdr:row>
      <xdr:rowOff>0</xdr:rowOff>
    </xdr:from>
    <xdr:to>
      <xdr:col>22</xdr:col>
      <xdr:colOff>0</xdr:colOff>
      <xdr:row>33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39</xdr:row>
      <xdr:rowOff>0</xdr:rowOff>
    </xdr:from>
    <xdr:to>
      <xdr:col>18</xdr:col>
      <xdr:colOff>0</xdr:colOff>
      <xdr:row>60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39</xdr:row>
      <xdr:rowOff>0</xdr:rowOff>
    </xdr:from>
    <xdr:to>
      <xdr:col>22</xdr:col>
      <xdr:colOff>0</xdr:colOff>
      <xdr:row>60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65</xdr:row>
      <xdr:rowOff>190499</xdr:rowOff>
    </xdr:from>
    <xdr:to>
      <xdr:col>18</xdr:col>
      <xdr:colOff>0</xdr:colOff>
      <xdr:row>96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66</xdr:row>
      <xdr:rowOff>0</xdr:rowOff>
    </xdr:from>
    <xdr:to>
      <xdr:col>22</xdr:col>
      <xdr:colOff>0</xdr:colOff>
      <xdr:row>97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103</xdr:row>
      <xdr:rowOff>0</xdr:rowOff>
    </xdr:from>
    <xdr:to>
      <xdr:col>18</xdr:col>
      <xdr:colOff>0</xdr:colOff>
      <xdr:row>124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103</xdr:row>
      <xdr:rowOff>0</xdr:rowOff>
    </xdr:from>
    <xdr:to>
      <xdr:col>22</xdr:col>
      <xdr:colOff>0</xdr:colOff>
      <xdr:row>124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130</xdr:row>
      <xdr:rowOff>0</xdr:rowOff>
    </xdr:from>
    <xdr:to>
      <xdr:col>18</xdr:col>
      <xdr:colOff>0</xdr:colOff>
      <xdr:row>152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130</xdr:row>
      <xdr:rowOff>0</xdr:rowOff>
    </xdr:from>
    <xdr:to>
      <xdr:col>22</xdr:col>
      <xdr:colOff>0</xdr:colOff>
      <xdr:row>152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158</xdr:row>
      <xdr:rowOff>0</xdr:rowOff>
    </xdr:from>
    <xdr:to>
      <xdr:col>18</xdr:col>
      <xdr:colOff>0</xdr:colOff>
      <xdr:row>179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158</xdr:row>
      <xdr:rowOff>0</xdr:rowOff>
    </xdr:from>
    <xdr:to>
      <xdr:col>22</xdr:col>
      <xdr:colOff>0</xdr:colOff>
      <xdr:row>179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185</xdr:row>
      <xdr:rowOff>0</xdr:rowOff>
    </xdr:from>
    <xdr:to>
      <xdr:col>17</xdr:col>
      <xdr:colOff>1181099</xdr:colOff>
      <xdr:row>205</xdr:row>
      <xdr:rowOff>190499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185</xdr:row>
      <xdr:rowOff>0</xdr:rowOff>
    </xdr:from>
    <xdr:to>
      <xdr:col>22</xdr:col>
      <xdr:colOff>0</xdr:colOff>
      <xdr:row>206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212</xdr:row>
      <xdr:rowOff>0</xdr:rowOff>
    </xdr:from>
    <xdr:to>
      <xdr:col>18</xdr:col>
      <xdr:colOff>0</xdr:colOff>
      <xdr:row>242</xdr:row>
      <xdr:rowOff>190500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0</xdr:colOff>
      <xdr:row>212</xdr:row>
      <xdr:rowOff>0</xdr:rowOff>
    </xdr:from>
    <xdr:to>
      <xdr:col>22</xdr:col>
      <xdr:colOff>0</xdr:colOff>
      <xdr:row>242</xdr:row>
      <xdr:rowOff>190500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124385</xdr:colOff>
      <xdr:row>0</xdr:row>
      <xdr:rowOff>70037</xdr:rowOff>
    </xdr:from>
    <xdr:to>
      <xdr:col>18</xdr:col>
      <xdr:colOff>1168697</xdr:colOff>
      <xdr:row>1</xdr:row>
      <xdr:rowOff>310279</xdr:rowOff>
    </xdr:to>
    <xdr:grpSp>
      <xdr:nvGrpSpPr>
        <xdr:cNvPr id="20" name="Group 5"/>
        <xdr:cNvGrpSpPr>
          <a:grpSpLocks/>
        </xdr:cNvGrpSpPr>
      </xdr:nvGrpSpPr>
      <xdr:grpSpPr bwMode="auto">
        <a:xfrm>
          <a:off x="14041468" y="70037"/>
          <a:ext cx="2229646" cy="557742"/>
          <a:chOff x="727" y="468"/>
          <a:chExt cx="184" cy="48"/>
        </a:xfrm>
      </xdr:grpSpPr>
      <xdr:pic>
        <xdr:nvPicPr>
          <xdr:cNvPr id="21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2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11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11</xdr:row>
      <xdr:rowOff>0</xdr:rowOff>
    </xdr:from>
    <xdr:to>
      <xdr:col>22</xdr:col>
      <xdr:colOff>0</xdr:colOff>
      <xdr:row>33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39</xdr:row>
      <xdr:rowOff>0</xdr:rowOff>
    </xdr:from>
    <xdr:to>
      <xdr:col>18</xdr:col>
      <xdr:colOff>0</xdr:colOff>
      <xdr:row>60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39</xdr:row>
      <xdr:rowOff>0</xdr:rowOff>
    </xdr:from>
    <xdr:to>
      <xdr:col>22</xdr:col>
      <xdr:colOff>0</xdr:colOff>
      <xdr:row>60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65</xdr:row>
      <xdr:rowOff>190499</xdr:rowOff>
    </xdr:from>
    <xdr:to>
      <xdr:col>18</xdr:col>
      <xdr:colOff>0</xdr:colOff>
      <xdr:row>96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66</xdr:row>
      <xdr:rowOff>0</xdr:rowOff>
    </xdr:from>
    <xdr:to>
      <xdr:col>22</xdr:col>
      <xdr:colOff>0</xdr:colOff>
      <xdr:row>97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103</xdr:row>
      <xdr:rowOff>0</xdr:rowOff>
    </xdr:from>
    <xdr:to>
      <xdr:col>18</xdr:col>
      <xdr:colOff>0</xdr:colOff>
      <xdr:row>124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103</xdr:row>
      <xdr:rowOff>0</xdr:rowOff>
    </xdr:from>
    <xdr:to>
      <xdr:col>22</xdr:col>
      <xdr:colOff>0</xdr:colOff>
      <xdr:row>124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130</xdr:row>
      <xdr:rowOff>0</xdr:rowOff>
    </xdr:from>
    <xdr:to>
      <xdr:col>18</xdr:col>
      <xdr:colOff>0</xdr:colOff>
      <xdr:row>152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130</xdr:row>
      <xdr:rowOff>0</xdr:rowOff>
    </xdr:from>
    <xdr:to>
      <xdr:col>22</xdr:col>
      <xdr:colOff>0</xdr:colOff>
      <xdr:row>152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158</xdr:row>
      <xdr:rowOff>0</xdr:rowOff>
    </xdr:from>
    <xdr:to>
      <xdr:col>18</xdr:col>
      <xdr:colOff>0</xdr:colOff>
      <xdr:row>179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158</xdr:row>
      <xdr:rowOff>0</xdr:rowOff>
    </xdr:from>
    <xdr:to>
      <xdr:col>22</xdr:col>
      <xdr:colOff>0</xdr:colOff>
      <xdr:row>179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185</xdr:row>
      <xdr:rowOff>0</xdr:rowOff>
    </xdr:from>
    <xdr:to>
      <xdr:col>17</xdr:col>
      <xdr:colOff>1181099</xdr:colOff>
      <xdr:row>205</xdr:row>
      <xdr:rowOff>190499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185</xdr:row>
      <xdr:rowOff>0</xdr:rowOff>
    </xdr:from>
    <xdr:to>
      <xdr:col>22</xdr:col>
      <xdr:colOff>0</xdr:colOff>
      <xdr:row>206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212</xdr:row>
      <xdr:rowOff>0</xdr:rowOff>
    </xdr:from>
    <xdr:to>
      <xdr:col>18</xdr:col>
      <xdr:colOff>0</xdr:colOff>
      <xdr:row>242</xdr:row>
      <xdr:rowOff>190500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0</xdr:colOff>
      <xdr:row>212</xdr:row>
      <xdr:rowOff>0</xdr:rowOff>
    </xdr:from>
    <xdr:to>
      <xdr:col>22</xdr:col>
      <xdr:colOff>0</xdr:colOff>
      <xdr:row>242</xdr:row>
      <xdr:rowOff>190500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135591</xdr:colOff>
      <xdr:row>0</xdr:row>
      <xdr:rowOff>103655</xdr:rowOff>
    </xdr:from>
    <xdr:to>
      <xdr:col>19</xdr:col>
      <xdr:colOff>3286</xdr:colOff>
      <xdr:row>2</xdr:row>
      <xdr:rowOff>30133</xdr:rowOff>
    </xdr:to>
    <xdr:grpSp>
      <xdr:nvGrpSpPr>
        <xdr:cNvPr id="20" name="Group 5"/>
        <xdr:cNvGrpSpPr>
          <a:grpSpLocks/>
        </xdr:cNvGrpSpPr>
      </xdr:nvGrpSpPr>
      <xdr:grpSpPr bwMode="auto">
        <a:xfrm>
          <a:off x="14154150" y="103655"/>
          <a:ext cx="2220930" cy="554007"/>
          <a:chOff x="727" y="468"/>
          <a:chExt cx="184" cy="48"/>
        </a:xfrm>
      </xdr:grpSpPr>
      <xdr:pic>
        <xdr:nvPicPr>
          <xdr:cNvPr id="21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2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37</xdr:row>
      <xdr:rowOff>190499</xdr:rowOff>
    </xdr:from>
    <xdr:to>
      <xdr:col>18</xdr:col>
      <xdr:colOff>0</xdr:colOff>
      <xdr:row>68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69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75</xdr:row>
      <xdr:rowOff>0</xdr:rowOff>
    </xdr:from>
    <xdr:to>
      <xdr:col>18</xdr:col>
      <xdr:colOff>0</xdr:colOff>
      <xdr:row>96</xdr:row>
      <xdr:rowOff>0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18</xdr:col>
      <xdr:colOff>0</xdr:colOff>
      <xdr:row>186</xdr:row>
      <xdr:rowOff>190500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186</xdr:row>
      <xdr:rowOff>190500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11" name="Group 5"/>
        <xdr:cNvGrpSpPr>
          <a:grpSpLocks/>
        </xdr:cNvGrpSpPr>
      </xdr:nvGrpSpPr>
      <xdr:grpSpPr bwMode="auto">
        <a:xfrm>
          <a:off x="14030325" y="66675"/>
          <a:ext cx="2225413" cy="554567"/>
          <a:chOff x="727" y="468"/>
          <a:chExt cx="184" cy="48"/>
        </a:xfrm>
      </xdr:grpSpPr>
      <xdr:pic>
        <xdr:nvPicPr>
          <xdr:cNvPr id="12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18</xdr:col>
      <xdr:colOff>0</xdr:colOff>
      <xdr:row>75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37</xdr:row>
      <xdr:rowOff>190499</xdr:rowOff>
    </xdr:from>
    <xdr:to>
      <xdr:col>18</xdr:col>
      <xdr:colOff>0</xdr:colOff>
      <xdr:row>68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69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75</xdr:row>
      <xdr:rowOff>0</xdr:rowOff>
    </xdr:from>
    <xdr:to>
      <xdr:col>18</xdr:col>
      <xdr:colOff>0</xdr:colOff>
      <xdr:row>96</xdr:row>
      <xdr:rowOff>0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17</xdr:col>
      <xdr:colOff>1181099</xdr:colOff>
      <xdr:row>149</xdr:row>
      <xdr:rowOff>190499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18</xdr:col>
      <xdr:colOff>0</xdr:colOff>
      <xdr:row>186</xdr:row>
      <xdr:rowOff>190500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186</xdr:row>
      <xdr:rowOff>190500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123825</xdr:colOff>
      <xdr:row>0</xdr:row>
      <xdr:rowOff>66675</xdr:rowOff>
    </xdr:from>
    <xdr:to>
      <xdr:col>18</xdr:col>
      <xdr:colOff>1168138</xdr:colOff>
      <xdr:row>1</xdr:row>
      <xdr:rowOff>306917</xdr:rowOff>
    </xdr:to>
    <xdr:grpSp>
      <xdr:nvGrpSpPr>
        <xdr:cNvPr id="11" name="Group 5"/>
        <xdr:cNvGrpSpPr>
          <a:grpSpLocks/>
        </xdr:cNvGrpSpPr>
      </xdr:nvGrpSpPr>
      <xdr:grpSpPr bwMode="auto">
        <a:xfrm>
          <a:off x="14030325" y="66675"/>
          <a:ext cx="2225413" cy="554567"/>
          <a:chOff x="727" y="468"/>
          <a:chExt cx="184" cy="48"/>
        </a:xfrm>
      </xdr:grpSpPr>
      <xdr:pic>
        <xdr:nvPicPr>
          <xdr:cNvPr id="12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18</xdr:col>
      <xdr:colOff>0</xdr:colOff>
      <xdr:row>75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6" name="Diagramm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123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123</xdr:row>
      <xdr:rowOff>0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129</xdr:row>
      <xdr:rowOff>0</xdr:rowOff>
    </xdr:from>
    <xdr:to>
      <xdr:col>18</xdr:col>
      <xdr:colOff>0</xdr:colOff>
      <xdr:row>150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22</xdr:col>
      <xdr:colOff>0</xdr:colOff>
      <xdr:row>150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156</xdr:row>
      <xdr:rowOff>0</xdr:rowOff>
    </xdr:from>
    <xdr:to>
      <xdr:col>17</xdr:col>
      <xdr:colOff>1181099</xdr:colOff>
      <xdr:row>176</xdr:row>
      <xdr:rowOff>190499</xdr:rowOff>
    </xdr:to>
    <xdr:graphicFrame macro="">
      <xdr:nvGraphicFramePr>
        <xdr:cNvPr id="12" name="Diagramm 1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156</xdr:row>
      <xdr:rowOff>0</xdr:rowOff>
    </xdr:from>
    <xdr:to>
      <xdr:col>22</xdr:col>
      <xdr:colOff>0</xdr:colOff>
      <xdr:row>177</xdr:row>
      <xdr:rowOff>0</xdr:rowOff>
    </xdr:to>
    <xdr:graphicFrame macro="">
      <xdr:nvGraphicFramePr>
        <xdr:cNvPr id="13" name="Diagramm 1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183</xdr:row>
      <xdr:rowOff>0</xdr:rowOff>
    </xdr:from>
    <xdr:to>
      <xdr:col>18</xdr:col>
      <xdr:colOff>0</xdr:colOff>
      <xdr:row>213</xdr:row>
      <xdr:rowOff>190500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183</xdr:row>
      <xdr:rowOff>0</xdr:rowOff>
    </xdr:from>
    <xdr:to>
      <xdr:col>22</xdr:col>
      <xdr:colOff>0</xdr:colOff>
      <xdr:row>213</xdr:row>
      <xdr:rowOff>190500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124385</xdr:colOff>
      <xdr:row>0</xdr:row>
      <xdr:rowOff>70037</xdr:rowOff>
    </xdr:from>
    <xdr:to>
      <xdr:col>18</xdr:col>
      <xdr:colOff>1168697</xdr:colOff>
      <xdr:row>1</xdr:row>
      <xdr:rowOff>310279</xdr:rowOff>
    </xdr:to>
    <xdr:grpSp>
      <xdr:nvGrpSpPr>
        <xdr:cNvPr id="16" name="Group 5"/>
        <xdr:cNvGrpSpPr>
          <a:grpSpLocks/>
        </xdr:cNvGrpSpPr>
      </xdr:nvGrpSpPr>
      <xdr:grpSpPr bwMode="auto">
        <a:xfrm>
          <a:off x="14030885" y="70037"/>
          <a:ext cx="2220930" cy="554007"/>
          <a:chOff x="727" y="468"/>
          <a:chExt cx="184" cy="48"/>
        </a:xfrm>
      </xdr:grpSpPr>
      <xdr:pic>
        <xdr:nvPicPr>
          <xdr:cNvPr id="17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161</xdr:row>
      <xdr:rowOff>0</xdr:rowOff>
    </xdr:from>
    <xdr:to>
      <xdr:col>17</xdr:col>
      <xdr:colOff>1181099</xdr:colOff>
      <xdr:row>181</xdr:row>
      <xdr:rowOff>190499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161</xdr:row>
      <xdr:rowOff>0</xdr:rowOff>
    </xdr:from>
    <xdr:to>
      <xdr:col>22</xdr:col>
      <xdr:colOff>0</xdr:colOff>
      <xdr:row>182</xdr:row>
      <xdr:rowOff>0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17" name="Diagramm 1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161</xdr:row>
      <xdr:rowOff>0</xdr:rowOff>
    </xdr:from>
    <xdr:to>
      <xdr:col>18</xdr:col>
      <xdr:colOff>0</xdr:colOff>
      <xdr:row>182</xdr:row>
      <xdr:rowOff>0</xdr:rowOff>
    </xdr:to>
    <xdr:graphicFrame macro="">
      <xdr:nvGraphicFramePr>
        <xdr:cNvPr id="18" name="Diagramm 1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161</xdr:row>
      <xdr:rowOff>0</xdr:rowOff>
    </xdr:from>
    <xdr:to>
      <xdr:col>22</xdr:col>
      <xdr:colOff>0</xdr:colOff>
      <xdr:row>182</xdr:row>
      <xdr:rowOff>0</xdr:rowOff>
    </xdr:to>
    <xdr:graphicFrame macro="">
      <xdr:nvGraphicFramePr>
        <xdr:cNvPr id="19" name="Diagramm 1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130</xdr:row>
      <xdr:rowOff>0</xdr:rowOff>
    </xdr:from>
    <xdr:to>
      <xdr:col>18</xdr:col>
      <xdr:colOff>0</xdr:colOff>
      <xdr:row>154</xdr:row>
      <xdr:rowOff>180975</xdr:rowOff>
    </xdr:to>
    <xdr:graphicFrame macro="">
      <xdr:nvGraphicFramePr>
        <xdr:cNvPr id="20" name="Diagramm 1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130</xdr:row>
      <xdr:rowOff>0</xdr:rowOff>
    </xdr:from>
    <xdr:to>
      <xdr:col>22</xdr:col>
      <xdr:colOff>0</xdr:colOff>
      <xdr:row>154</xdr:row>
      <xdr:rowOff>180975</xdr:rowOff>
    </xdr:to>
    <xdr:graphicFrame macro="">
      <xdr:nvGraphicFramePr>
        <xdr:cNvPr id="21" name="Diagramm 2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57150</xdr:colOff>
      <xdr:row>0</xdr:row>
      <xdr:rowOff>57150</xdr:rowOff>
    </xdr:from>
    <xdr:to>
      <xdr:col>18</xdr:col>
      <xdr:colOff>1101463</xdr:colOff>
      <xdr:row>1</xdr:row>
      <xdr:rowOff>297392</xdr:rowOff>
    </xdr:to>
    <xdr:grpSp>
      <xdr:nvGrpSpPr>
        <xdr:cNvPr id="39" name="Group 5"/>
        <xdr:cNvGrpSpPr>
          <a:grpSpLocks/>
        </xdr:cNvGrpSpPr>
      </xdr:nvGrpSpPr>
      <xdr:grpSpPr bwMode="auto">
        <a:xfrm>
          <a:off x="13963650" y="57150"/>
          <a:ext cx="2225413" cy="554567"/>
          <a:chOff x="727" y="468"/>
          <a:chExt cx="184" cy="48"/>
        </a:xfrm>
      </xdr:grpSpPr>
      <xdr:pic>
        <xdr:nvPicPr>
          <xdr:cNvPr id="40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</xdr:col>
      <xdr:colOff>0</xdr:colOff>
      <xdr:row>188</xdr:row>
      <xdr:rowOff>1</xdr:rowOff>
    </xdr:from>
    <xdr:to>
      <xdr:col>18</xdr:col>
      <xdr:colOff>0</xdr:colOff>
      <xdr:row>220</xdr:row>
      <xdr:rowOff>1</xdr:rowOff>
    </xdr:to>
    <xdr:graphicFrame macro="">
      <xdr:nvGraphicFramePr>
        <xdr:cNvPr id="29" name="Diagramm 2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0</xdr:colOff>
      <xdr:row>188</xdr:row>
      <xdr:rowOff>0</xdr:rowOff>
    </xdr:from>
    <xdr:to>
      <xdr:col>22</xdr:col>
      <xdr:colOff>0</xdr:colOff>
      <xdr:row>220</xdr:row>
      <xdr:rowOff>0</xdr:rowOff>
    </xdr:to>
    <xdr:graphicFrame macro="">
      <xdr:nvGraphicFramePr>
        <xdr:cNvPr id="31" name="Diagramm 3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124</xdr:row>
      <xdr:rowOff>0</xdr:rowOff>
    </xdr:to>
    <xdr:graphicFrame macro="">
      <xdr:nvGraphicFramePr>
        <xdr:cNvPr id="33" name="Diagramm 3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124</xdr:row>
      <xdr:rowOff>0</xdr:rowOff>
    </xdr:to>
    <xdr:graphicFrame macro="">
      <xdr:nvGraphicFramePr>
        <xdr:cNvPr id="34" name="Diagramm 3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18</xdr:col>
      <xdr:colOff>0</xdr:colOff>
      <xdr:row>32</xdr:row>
      <xdr:rowOff>0</xdr:rowOff>
    </xdr:to>
    <xdr:graphicFrame macro="">
      <xdr:nvGraphicFramePr>
        <xdr:cNvPr id="2" name="Diagramm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3" name="Diagramm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64</xdr:row>
      <xdr:rowOff>190499</xdr:rowOff>
    </xdr:from>
    <xdr:to>
      <xdr:col>18</xdr:col>
      <xdr:colOff>0</xdr:colOff>
      <xdr:row>95</xdr:row>
      <xdr:rowOff>200024</xdr:rowOff>
    </xdr:to>
    <xdr:graphicFrame macro="">
      <xdr:nvGraphicFramePr>
        <xdr:cNvPr id="4" name="Diagramm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22</xdr:col>
      <xdr:colOff>0</xdr:colOff>
      <xdr:row>96</xdr:row>
      <xdr:rowOff>0</xdr:rowOff>
    </xdr:to>
    <xdr:graphicFrame macro="">
      <xdr:nvGraphicFramePr>
        <xdr:cNvPr id="5" name="Diagramm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7" name="Diagramm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8" name="Diagramm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161</xdr:row>
      <xdr:rowOff>0</xdr:rowOff>
    </xdr:from>
    <xdr:to>
      <xdr:col>17</xdr:col>
      <xdr:colOff>1181099</xdr:colOff>
      <xdr:row>181</xdr:row>
      <xdr:rowOff>190499</xdr:rowOff>
    </xdr:to>
    <xdr:graphicFrame macro="">
      <xdr:nvGraphicFramePr>
        <xdr:cNvPr id="9" name="Diagramm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161</xdr:row>
      <xdr:rowOff>0</xdr:rowOff>
    </xdr:from>
    <xdr:to>
      <xdr:col>22</xdr:col>
      <xdr:colOff>0</xdr:colOff>
      <xdr:row>182</xdr:row>
      <xdr:rowOff>0</xdr:rowOff>
    </xdr:to>
    <xdr:graphicFrame macro="">
      <xdr:nvGraphicFramePr>
        <xdr:cNvPr id="10" name="Diagramm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38</xdr:row>
      <xdr:rowOff>0</xdr:rowOff>
    </xdr:from>
    <xdr:to>
      <xdr:col>18</xdr:col>
      <xdr:colOff>0</xdr:colOff>
      <xdr:row>59</xdr:row>
      <xdr:rowOff>0</xdr:rowOff>
    </xdr:to>
    <xdr:graphicFrame macro="">
      <xdr:nvGraphicFramePr>
        <xdr:cNvPr id="11" name="Diagramm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22</xdr:col>
      <xdr:colOff>0</xdr:colOff>
      <xdr:row>59</xdr:row>
      <xdr:rowOff>0</xdr:rowOff>
    </xdr:to>
    <xdr:graphicFrame macro="">
      <xdr:nvGraphicFramePr>
        <xdr:cNvPr id="12" name="Diagramm 1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161</xdr:row>
      <xdr:rowOff>0</xdr:rowOff>
    </xdr:from>
    <xdr:to>
      <xdr:col>18</xdr:col>
      <xdr:colOff>0</xdr:colOff>
      <xdr:row>182</xdr:row>
      <xdr:rowOff>0</xdr:rowOff>
    </xdr:to>
    <xdr:graphicFrame macro="">
      <xdr:nvGraphicFramePr>
        <xdr:cNvPr id="13" name="Diagramm 1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161</xdr:row>
      <xdr:rowOff>0</xdr:rowOff>
    </xdr:from>
    <xdr:to>
      <xdr:col>22</xdr:col>
      <xdr:colOff>0</xdr:colOff>
      <xdr:row>182</xdr:row>
      <xdr:rowOff>0</xdr:rowOff>
    </xdr:to>
    <xdr:graphicFrame macro="">
      <xdr:nvGraphicFramePr>
        <xdr:cNvPr id="14" name="Diagramm 1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130</xdr:row>
      <xdr:rowOff>0</xdr:rowOff>
    </xdr:from>
    <xdr:to>
      <xdr:col>18</xdr:col>
      <xdr:colOff>0</xdr:colOff>
      <xdr:row>154</xdr:row>
      <xdr:rowOff>180975</xdr:rowOff>
    </xdr:to>
    <xdr:graphicFrame macro="">
      <xdr:nvGraphicFramePr>
        <xdr:cNvPr id="15" name="Diagramm 1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130</xdr:row>
      <xdr:rowOff>0</xdr:rowOff>
    </xdr:from>
    <xdr:to>
      <xdr:col>22</xdr:col>
      <xdr:colOff>0</xdr:colOff>
      <xdr:row>154</xdr:row>
      <xdr:rowOff>180975</xdr:rowOff>
    </xdr:to>
    <xdr:graphicFrame macro="">
      <xdr:nvGraphicFramePr>
        <xdr:cNvPr id="16" name="Diagramm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57150</xdr:colOff>
      <xdr:row>0</xdr:row>
      <xdr:rowOff>57150</xdr:rowOff>
    </xdr:from>
    <xdr:to>
      <xdr:col>18</xdr:col>
      <xdr:colOff>1101463</xdr:colOff>
      <xdr:row>1</xdr:row>
      <xdr:rowOff>297392</xdr:rowOff>
    </xdr:to>
    <xdr:grpSp>
      <xdr:nvGrpSpPr>
        <xdr:cNvPr id="19" name="Group 5"/>
        <xdr:cNvGrpSpPr>
          <a:grpSpLocks/>
        </xdr:cNvGrpSpPr>
      </xdr:nvGrpSpPr>
      <xdr:grpSpPr bwMode="auto">
        <a:xfrm>
          <a:off x="13963650" y="57150"/>
          <a:ext cx="2225413" cy="554567"/>
          <a:chOff x="727" y="468"/>
          <a:chExt cx="184" cy="48"/>
        </a:xfrm>
      </xdr:grpSpPr>
      <xdr:pic>
        <xdr:nvPicPr>
          <xdr:cNvPr id="20" name="Picture 6" descr="bosch_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9209" r="-26457" b="-15308"/>
          <a:stretch>
            <a:fillRect/>
          </a:stretch>
        </xdr:blipFill>
        <xdr:spPr bwMode="auto">
          <a:xfrm>
            <a:off x="776" y="468"/>
            <a:ext cx="135" cy="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1" name="Picture 7" descr="Bosch_GR_Bildmarke_9,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" y="473"/>
            <a:ext cx="38" cy="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</xdr:col>
      <xdr:colOff>0</xdr:colOff>
      <xdr:row>188</xdr:row>
      <xdr:rowOff>1</xdr:rowOff>
    </xdr:from>
    <xdr:to>
      <xdr:col>18</xdr:col>
      <xdr:colOff>0</xdr:colOff>
      <xdr:row>220</xdr:row>
      <xdr:rowOff>1</xdr:rowOff>
    </xdr:to>
    <xdr:graphicFrame macro="">
      <xdr:nvGraphicFramePr>
        <xdr:cNvPr id="22" name="Diagramm 2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0</xdr:colOff>
      <xdr:row>188</xdr:row>
      <xdr:rowOff>0</xdr:rowOff>
    </xdr:from>
    <xdr:to>
      <xdr:col>22</xdr:col>
      <xdr:colOff>0</xdr:colOff>
      <xdr:row>220</xdr:row>
      <xdr:rowOff>0</xdr:rowOff>
    </xdr:to>
    <xdr:graphicFrame macro="">
      <xdr:nvGraphicFramePr>
        <xdr:cNvPr id="23" name="Diagramm 2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102</xdr:row>
      <xdr:rowOff>0</xdr:rowOff>
    </xdr:from>
    <xdr:to>
      <xdr:col>18</xdr:col>
      <xdr:colOff>0</xdr:colOff>
      <xdr:row>124</xdr:row>
      <xdr:rowOff>0</xdr:rowOff>
    </xdr:to>
    <xdr:graphicFrame macro="">
      <xdr:nvGraphicFramePr>
        <xdr:cNvPr id="25" name="Diagramm 2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22</xdr:col>
      <xdr:colOff>0</xdr:colOff>
      <xdr:row>124</xdr:row>
      <xdr:rowOff>0</xdr:rowOff>
    </xdr:to>
    <xdr:graphicFrame macro="">
      <xdr:nvGraphicFramePr>
        <xdr:cNvPr id="26" name="Diagramm 2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ites.inside-share.bosch.com/Users/ASC4ABT/Desktop/Saier_Christian/von_Dennis/Compliance%20Codex/VA_PT_05_TPL_Calibration_Compliance_Confirmation_Letter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-To"/>
      <sheetName val="Decision Matrix ComplianceCodex"/>
      <sheetName val="Kodex Prüfblatt Gasoline Cal."/>
      <sheetName val="Kodex Prüfprogramm Diesel"/>
      <sheetName val="Kodex Prüfblatt Diesel Cal."/>
      <sheetName val="History"/>
      <sheetName val="Daten Gasoline"/>
      <sheetName val="Variant 1 - NEDC"/>
      <sheetName val="Variant 2 - FTP75"/>
      <sheetName val="Variant 3 - JC08"/>
      <sheetName val="Variant 4 - MIDC"/>
      <sheetName val="Variant 5 - WMTC"/>
      <sheetName val="Variant 6 - WLTC"/>
      <sheetName val="Daten Diesel"/>
      <sheetName val="Anleitung VBA"/>
    </sheetNames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omments" Target="../comments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V140"/>
  <sheetViews>
    <sheetView showGridLines="0" zoomScaleNormal="100" workbookViewId="0">
      <selection activeCell="C4" sqref="C4"/>
    </sheetView>
  </sheetViews>
  <sheetFormatPr baseColWidth="10" defaultRowHeight="12.75" x14ac:dyDescent="0.2"/>
  <sheetData>
    <row r="1" spans="1:22" s="149" customFormat="1" ht="30" customHeight="1" x14ac:dyDescent="0.2">
      <c r="A1" s="579" t="s">
        <v>221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</row>
    <row r="2" spans="1:22" s="149" customFormat="1" ht="12.75" customHeight="1" x14ac:dyDescent="0.2">
      <c r="A2" s="579"/>
      <c r="B2" s="579"/>
      <c r="C2" s="579"/>
      <c r="D2" s="579"/>
      <c r="E2" s="579"/>
      <c r="F2" s="579"/>
      <c r="G2" s="579"/>
      <c r="H2" s="579"/>
      <c r="I2" s="579"/>
      <c r="J2" s="579"/>
      <c r="K2" s="579"/>
      <c r="L2" s="579"/>
      <c r="M2" s="579"/>
      <c r="N2" s="579"/>
      <c r="O2" s="579"/>
    </row>
    <row r="3" spans="1:22" s="149" customFormat="1" ht="12.75" customHeight="1" x14ac:dyDescent="0.2">
      <c r="A3" s="179"/>
      <c r="B3" s="580" t="s">
        <v>236</v>
      </c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179"/>
    </row>
    <row r="4" spans="1:22" s="149" customFormat="1" ht="12.75" customHeight="1" x14ac:dyDescent="0.2">
      <c r="A4" s="179"/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</row>
    <row r="5" spans="1:22" x14ac:dyDescent="0.2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</row>
    <row r="6" spans="1:22" ht="18" x14ac:dyDescent="0.25">
      <c r="B6" s="310" t="s">
        <v>223</v>
      </c>
    </row>
    <row r="57" spans="1:22" x14ac:dyDescent="0.2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</row>
    <row r="59" spans="1:22" ht="18" x14ac:dyDescent="0.25">
      <c r="B59" s="310" t="s">
        <v>224</v>
      </c>
    </row>
    <row r="136" spans="1:22" x14ac:dyDescent="0.2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</row>
    <row r="138" spans="1:22" ht="18" x14ac:dyDescent="0.25">
      <c r="B138" s="310" t="s">
        <v>225</v>
      </c>
    </row>
    <row r="139" spans="1:22" ht="18" x14ac:dyDescent="0.25">
      <c r="B139" s="147" t="s">
        <v>222</v>
      </c>
      <c r="E139" s="148"/>
    </row>
    <row r="140" spans="1:22" ht="18" x14ac:dyDescent="0.25">
      <c r="E140" s="148"/>
    </row>
  </sheetData>
  <sheetProtection password="8952" sheet="1" objects="1" scenarios="1" selectLockedCells="1" selectUnlockedCells="1"/>
  <mergeCells count="2">
    <mergeCell ref="A1:O2"/>
    <mergeCell ref="B3:N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8"/>
  <dimension ref="A1:C6"/>
  <sheetViews>
    <sheetView workbookViewId="0">
      <selection activeCell="C6" sqref="C6"/>
    </sheetView>
  </sheetViews>
  <sheetFormatPr baseColWidth="10" defaultRowHeight="12.75" x14ac:dyDescent="0.2"/>
  <cols>
    <col min="1" max="1" width="13.42578125" style="182" customWidth="1"/>
    <col min="2" max="2" width="28.5703125" style="182" customWidth="1"/>
    <col min="3" max="3" width="93" style="182" customWidth="1"/>
    <col min="4" max="16384" width="11.42578125" style="182"/>
  </cols>
  <sheetData>
    <row r="1" spans="1:3" s="184" customFormat="1" x14ac:dyDescent="0.2">
      <c r="A1" s="183" t="s">
        <v>10</v>
      </c>
      <c r="B1" s="183" t="s">
        <v>227</v>
      </c>
      <c r="C1" s="183" t="s">
        <v>228</v>
      </c>
    </row>
    <row r="2" spans="1:3" s="184" customFormat="1" x14ac:dyDescent="0.2">
      <c r="A2" s="184" t="s">
        <v>235</v>
      </c>
      <c r="B2" s="184" t="s">
        <v>229</v>
      </c>
      <c r="C2" s="184" t="s">
        <v>230</v>
      </c>
    </row>
    <row r="3" spans="1:3" s="184" customFormat="1" x14ac:dyDescent="0.2">
      <c r="A3" s="309" t="s">
        <v>234</v>
      </c>
      <c r="B3" s="184" t="s">
        <v>229</v>
      </c>
      <c r="C3" s="184" t="s">
        <v>255</v>
      </c>
    </row>
    <row r="4" spans="1:3" x14ac:dyDescent="0.2">
      <c r="A4" s="182" t="s">
        <v>334</v>
      </c>
      <c r="B4" s="182" t="s">
        <v>277</v>
      </c>
      <c r="C4" s="182" t="s">
        <v>333</v>
      </c>
    </row>
    <row r="5" spans="1:3" x14ac:dyDescent="0.2">
      <c r="A5" s="182" t="s">
        <v>349</v>
      </c>
      <c r="B5" s="182" t="s">
        <v>350</v>
      </c>
      <c r="C5" s="182" t="s">
        <v>351</v>
      </c>
    </row>
    <row r="6" spans="1:3" x14ac:dyDescent="0.2">
      <c r="A6" s="182" t="s">
        <v>352</v>
      </c>
      <c r="B6" s="182" t="s">
        <v>350</v>
      </c>
      <c r="C6" s="182" t="s">
        <v>353</v>
      </c>
    </row>
  </sheetData>
  <sheetProtection password="8952" sheet="1" objects="1" scenarios="1" selectLockedCells="1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7">
    <pageSetUpPr fitToPage="1"/>
  </sheetPr>
  <dimension ref="A1:AV53"/>
  <sheetViews>
    <sheetView showGridLines="0" zoomScale="90" zoomScaleNormal="90" workbookViewId="0">
      <selection activeCell="C7" sqref="C7:D7"/>
    </sheetView>
  </sheetViews>
  <sheetFormatPr baseColWidth="10" defaultRowHeight="12.75" x14ac:dyDescent="0.2"/>
  <cols>
    <col min="1" max="1" width="6.7109375" style="184" customWidth="1"/>
    <col min="2" max="2" width="33.7109375" style="184" customWidth="1"/>
    <col min="3" max="3" width="21.7109375" style="184" customWidth="1"/>
    <col min="4" max="4" width="52.7109375" style="184" customWidth="1"/>
    <col min="5" max="5" width="33.5703125" style="184" customWidth="1"/>
    <col min="6" max="6" width="21.7109375" style="184" customWidth="1"/>
    <col min="7" max="7" width="52.7109375" style="184" customWidth="1"/>
    <col min="8" max="8" width="33.42578125" style="184" customWidth="1"/>
    <col min="9" max="9" width="21.7109375" style="184" customWidth="1"/>
    <col min="10" max="10" width="52.7109375" style="184" customWidth="1"/>
    <col min="11" max="11" width="33.5703125" style="184" customWidth="1"/>
    <col min="12" max="12" width="21.7109375" style="184" customWidth="1"/>
    <col min="13" max="13" width="52.7109375" style="184" customWidth="1"/>
    <col min="14" max="14" width="33.5703125" style="184" customWidth="1"/>
    <col min="15" max="15" width="21.7109375" style="184" customWidth="1"/>
    <col min="16" max="16" width="52.7109375" style="184" customWidth="1"/>
    <col min="17" max="17" width="33.42578125" style="184" customWidth="1"/>
    <col min="18" max="18" width="21.7109375" style="184" customWidth="1"/>
    <col min="19" max="19" width="52.7109375" style="184" customWidth="1"/>
    <col min="20" max="20" width="33.5703125" style="184" customWidth="1"/>
    <col min="21" max="21" width="21.7109375" style="184" customWidth="1"/>
    <col min="22" max="22" width="52.7109375" style="184" customWidth="1"/>
    <col min="23" max="23" width="33.5703125" style="184" customWidth="1"/>
    <col min="24" max="24" width="21.7109375" style="184" customWidth="1"/>
    <col min="25" max="25" width="52.7109375" style="184" customWidth="1"/>
    <col min="26" max="26" width="33.42578125" style="184" customWidth="1"/>
    <col min="27" max="27" width="21.7109375" style="184" customWidth="1"/>
    <col min="28" max="28" width="52.7109375" style="184" customWidth="1"/>
    <col min="29" max="29" width="33.5703125" style="184" customWidth="1"/>
    <col min="30" max="30" width="21.7109375" style="184" customWidth="1"/>
    <col min="31" max="31" width="52.7109375" style="184" customWidth="1"/>
    <col min="32" max="16384" width="11.42578125" style="184"/>
  </cols>
  <sheetData>
    <row r="1" spans="1:48" ht="13.5" thickBot="1" x14ac:dyDescent="0.25">
      <c r="A1" s="230"/>
      <c r="B1" s="246"/>
      <c r="C1" s="246"/>
      <c r="D1" s="246"/>
      <c r="E1" s="246"/>
      <c r="F1" s="246"/>
      <c r="G1" s="246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</row>
    <row r="2" spans="1:48" ht="30" customHeight="1" thickBot="1" x14ac:dyDescent="0.25">
      <c r="A2" s="231"/>
      <c r="B2" s="587" t="s">
        <v>231</v>
      </c>
      <c r="C2" s="588"/>
      <c r="D2" s="588"/>
      <c r="E2" s="588"/>
      <c r="F2" s="588"/>
      <c r="G2" s="589"/>
      <c r="H2" s="231"/>
      <c r="I2" s="231"/>
      <c r="J2" s="231"/>
      <c r="K2" s="231"/>
      <c r="L2" s="231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0"/>
      <c r="AV2" s="230"/>
    </row>
    <row r="3" spans="1:48" ht="70.5" customHeight="1" thickBot="1" x14ac:dyDescent="0.25">
      <c r="A3" s="328"/>
      <c r="B3" s="590" t="s">
        <v>192</v>
      </c>
      <c r="C3" s="591"/>
      <c r="D3" s="591"/>
      <c r="E3" s="591"/>
      <c r="F3" s="591"/>
      <c r="G3" s="592"/>
      <c r="H3" s="232"/>
      <c r="I3" s="232"/>
      <c r="J3" s="232"/>
      <c r="K3" s="232"/>
      <c r="L3" s="232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  <c r="AN3" s="230"/>
      <c r="AO3" s="230"/>
      <c r="AP3" s="230"/>
      <c r="AQ3" s="230"/>
      <c r="AR3" s="230"/>
      <c r="AS3" s="230"/>
      <c r="AT3" s="230"/>
      <c r="AU3" s="230"/>
      <c r="AV3" s="230"/>
    </row>
    <row r="4" spans="1:48" ht="34.5" customHeight="1" x14ac:dyDescent="0.4">
      <c r="B4" s="329" t="s">
        <v>193</v>
      </c>
      <c r="C4" s="233">
        <v>7</v>
      </c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  <c r="AN4" s="230"/>
      <c r="AO4" s="230"/>
      <c r="AP4" s="230"/>
      <c r="AQ4" s="230"/>
      <c r="AR4" s="230"/>
      <c r="AS4" s="230"/>
      <c r="AT4" s="230"/>
      <c r="AU4" s="230"/>
      <c r="AV4" s="230"/>
    </row>
    <row r="5" spans="1:48" ht="15" customHeight="1" x14ac:dyDescent="0.2">
      <c r="A5" s="230"/>
      <c r="B5" s="234"/>
      <c r="C5" s="235"/>
      <c r="D5" s="235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</row>
    <row r="6" spans="1:48" ht="19.5" customHeight="1" thickBot="1" x14ac:dyDescent="0.25">
      <c r="A6" s="230"/>
      <c r="B6" s="236"/>
      <c r="C6" s="237"/>
      <c r="D6" s="237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0"/>
      <c r="AR6" s="230"/>
      <c r="AS6" s="230"/>
      <c r="AT6" s="230"/>
      <c r="AU6" s="230"/>
      <c r="AV6" s="230"/>
    </row>
    <row r="7" spans="1:48" ht="23.25" customHeight="1" x14ac:dyDescent="0.2">
      <c r="A7" s="230"/>
      <c r="B7" s="583" t="s">
        <v>195</v>
      </c>
      <c r="C7" s="581" t="s">
        <v>232</v>
      </c>
      <c r="D7" s="582"/>
      <c r="E7" s="583" t="s">
        <v>195</v>
      </c>
      <c r="F7" s="581" t="s">
        <v>339</v>
      </c>
      <c r="G7" s="582"/>
      <c r="H7" s="583" t="s">
        <v>195</v>
      </c>
      <c r="I7" s="581" t="s">
        <v>335</v>
      </c>
      <c r="J7" s="582"/>
      <c r="K7" s="583" t="s">
        <v>195</v>
      </c>
      <c r="L7" s="581" t="s">
        <v>338</v>
      </c>
      <c r="M7" s="582"/>
      <c r="N7" s="583" t="s">
        <v>195</v>
      </c>
      <c r="O7" s="581" t="s">
        <v>337</v>
      </c>
      <c r="P7" s="582"/>
      <c r="Q7" s="583" t="s">
        <v>195</v>
      </c>
      <c r="R7" s="581"/>
      <c r="S7" s="582"/>
      <c r="T7" s="583" t="s">
        <v>195</v>
      </c>
      <c r="U7" s="581"/>
      <c r="V7" s="582"/>
      <c r="W7"/>
      <c r="X7"/>
      <c r="Y7"/>
      <c r="Z7"/>
      <c r="AA7"/>
      <c r="AB7"/>
      <c r="AC7"/>
      <c r="AD7"/>
      <c r="AE7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  <c r="AS7" s="230"/>
      <c r="AT7" s="230"/>
      <c r="AU7" s="230"/>
      <c r="AV7" s="230"/>
    </row>
    <row r="8" spans="1:48" ht="16.5" customHeight="1" thickBot="1" x14ac:dyDescent="0.25">
      <c r="A8" s="230"/>
      <c r="B8" s="584"/>
      <c r="C8" s="194" t="s">
        <v>191</v>
      </c>
      <c r="D8" s="195" t="s">
        <v>194</v>
      </c>
      <c r="E8" s="584"/>
      <c r="F8" s="194" t="s">
        <v>191</v>
      </c>
      <c r="G8" s="195" t="s">
        <v>194</v>
      </c>
      <c r="H8" s="584"/>
      <c r="I8" s="194" t="s">
        <v>191</v>
      </c>
      <c r="J8" s="195" t="s">
        <v>194</v>
      </c>
      <c r="K8" s="584"/>
      <c r="L8" s="194" t="s">
        <v>191</v>
      </c>
      <c r="M8" s="195" t="s">
        <v>194</v>
      </c>
      <c r="N8" s="584"/>
      <c r="O8" s="194" t="s">
        <v>191</v>
      </c>
      <c r="P8" s="195" t="s">
        <v>194</v>
      </c>
      <c r="Q8" s="584"/>
      <c r="R8" s="194" t="s">
        <v>191</v>
      </c>
      <c r="S8" s="195" t="s">
        <v>194</v>
      </c>
      <c r="T8" s="584"/>
      <c r="U8" s="194" t="s">
        <v>191</v>
      </c>
      <c r="V8" s="195" t="s">
        <v>194</v>
      </c>
      <c r="W8"/>
      <c r="X8"/>
      <c r="Y8"/>
      <c r="Z8"/>
      <c r="AA8"/>
      <c r="AB8"/>
      <c r="AC8"/>
      <c r="AD8"/>
      <c r="AE8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  <c r="AQ8" s="230"/>
      <c r="AR8" s="230"/>
      <c r="AS8" s="230"/>
      <c r="AT8" s="230"/>
      <c r="AU8" s="230"/>
      <c r="AV8" s="230"/>
    </row>
    <row r="9" spans="1:48" ht="23.25" customHeight="1" x14ac:dyDescent="0.2">
      <c r="A9" s="230"/>
      <c r="B9" s="238" t="s">
        <v>144</v>
      </c>
      <c r="C9" s="196" t="s">
        <v>18</v>
      </c>
      <c r="D9" s="197"/>
      <c r="E9" s="238" t="s">
        <v>152</v>
      </c>
      <c r="F9" s="196"/>
      <c r="G9" s="197"/>
      <c r="H9" s="264" t="s">
        <v>145</v>
      </c>
      <c r="I9" s="196"/>
      <c r="J9" s="202"/>
      <c r="K9" s="264" t="s">
        <v>190</v>
      </c>
      <c r="L9" s="196"/>
      <c r="M9" s="202"/>
      <c r="N9" s="238" t="s">
        <v>151</v>
      </c>
      <c r="O9" s="196"/>
      <c r="P9" s="197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  <c r="AS9" s="230"/>
      <c r="AT9" s="230"/>
      <c r="AU9" s="230"/>
      <c r="AV9" s="230"/>
    </row>
    <row r="10" spans="1:48" ht="23.25" customHeight="1" x14ac:dyDescent="0.2">
      <c r="A10" s="230"/>
      <c r="B10" s="239" t="s">
        <v>53</v>
      </c>
      <c r="C10" s="198" t="s">
        <v>19</v>
      </c>
      <c r="D10" s="199"/>
      <c r="E10" s="239" t="s">
        <v>340</v>
      </c>
      <c r="F10" s="198"/>
      <c r="G10" s="199"/>
      <c r="H10" s="265" t="s">
        <v>146</v>
      </c>
      <c r="I10" s="198"/>
      <c r="J10" s="203"/>
      <c r="K10" s="265" t="s">
        <v>241</v>
      </c>
      <c r="L10" s="198"/>
      <c r="M10" s="203"/>
      <c r="N10" s="243"/>
      <c r="O10" s="244"/>
      <c r="P10" s="245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</row>
    <row r="11" spans="1:48" ht="23.25" customHeight="1" x14ac:dyDescent="0.2">
      <c r="A11" s="230"/>
      <c r="B11" s="239" t="s">
        <v>54</v>
      </c>
      <c r="C11" s="198" t="s">
        <v>18</v>
      </c>
      <c r="D11" s="199"/>
      <c r="E11" s="239" t="s">
        <v>341</v>
      </c>
      <c r="F11" s="198"/>
      <c r="G11" s="199"/>
      <c r="H11" s="265" t="s">
        <v>147</v>
      </c>
      <c r="I11" s="198"/>
      <c r="J11" s="204"/>
      <c r="K11" s="265" t="s">
        <v>242</v>
      </c>
      <c r="L11" s="198"/>
      <c r="M11" s="204"/>
      <c r="N11" s="239" t="s">
        <v>51</v>
      </c>
      <c r="O11" s="198"/>
      <c r="P11" s="199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</row>
    <row r="12" spans="1:48" ht="23.25" customHeight="1" x14ac:dyDescent="0.2">
      <c r="A12" s="230"/>
      <c r="B12" s="239" t="s">
        <v>55</v>
      </c>
      <c r="C12" s="198"/>
      <c r="D12" s="199"/>
      <c r="E12" s="243"/>
      <c r="F12" s="244"/>
      <c r="G12" s="245"/>
      <c r="H12" s="240"/>
      <c r="I12" s="241"/>
      <c r="J12" s="242"/>
      <c r="K12" s="240"/>
      <c r="L12" s="241"/>
      <c r="M12" s="242"/>
      <c r="N12" s="239" t="s">
        <v>37</v>
      </c>
      <c r="O12" s="198"/>
      <c r="P12" s="199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  <c r="AS12" s="230"/>
      <c r="AT12" s="230"/>
      <c r="AU12" s="230"/>
      <c r="AV12" s="230"/>
    </row>
    <row r="13" spans="1:48" ht="23.25" customHeight="1" x14ac:dyDescent="0.2">
      <c r="A13" s="230"/>
      <c r="B13" s="240"/>
      <c r="C13" s="241"/>
      <c r="D13" s="242"/>
      <c r="E13" s="243"/>
      <c r="F13" s="244"/>
      <c r="G13" s="245"/>
      <c r="H13" s="243"/>
      <c r="I13" s="244"/>
      <c r="J13" s="245"/>
      <c r="K13" s="243"/>
      <c r="L13" s="244"/>
      <c r="M13" s="245"/>
      <c r="N13" s="240"/>
      <c r="O13" s="241"/>
      <c r="P13" s="242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0"/>
      <c r="AT13" s="230"/>
      <c r="AU13" s="230"/>
      <c r="AV13" s="230"/>
    </row>
    <row r="14" spans="1:48" ht="23.25" customHeight="1" x14ac:dyDescent="0.2">
      <c r="A14" s="230"/>
      <c r="B14" s="243"/>
      <c r="C14" s="244"/>
      <c r="D14" s="245"/>
      <c r="E14" s="243"/>
      <c r="F14" s="244"/>
      <c r="G14" s="245"/>
      <c r="H14" s="243"/>
      <c r="I14" s="244"/>
      <c r="J14" s="245"/>
      <c r="K14" s="243"/>
      <c r="L14" s="244"/>
      <c r="M14" s="245"/>
      <c r="N14" s="243"/>
      <c r="O14" s="244"/>
      <c r="P14" s="245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</row>
    <row r="15" spans="1:48" ht="23.25" customHeight="1" x14ac:dyDescent="0.2">
      <c r="A15" s="230"/>
      <c r="B15" s="243"/>
      <c r="C15" s="244"/>
      <c r="D15" s="245"/>
      <c r="E15" s="243"/>
      <c r="F15" s="244"/>
      <c r="G15" s="245"/>
      <c r="H15" s="266" t="s">
        <v>148</v>
      </c>
      <c r="I15" s="198"/>
      <c r="J15" s="204"/>
      <c r="K15" s="243"/>
      <c r="L15" s="244"/>
      <c r="M15" s="245"/>
      <c r="N15" s="243"/>
      <c r="O15" s="244"/>
      <c r="P15" s="24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  <c r="AQ15" s="230"/>
      <c r="AR15" s="230"/>
      <c r="AS15" s="230"/>
      <c r="AT15" s="230"/>
      <c r="AU15" s="230"/>
      <c r="AV15" s="230"/>
    </row>
    <row r="16" spans="1:48" ht="23.25" customHeight="1" x14ac:dyDescent="0.2">
      <c r="A16" s="230"/>
      <c r="B16" s="243"/>
      <c r="C16" s="244"/>
      <c r="D16" s="245"/>
      <c r="E16" s="243"/>
      <c r="F16" s="244"/>
      <c r="G16" s="245"/>
      <c r="H16" s="266" t="s">
        <v>149</v>
      </c>
      <c r="I16" s="198"/>
      <c r="J16" s="204"/>
      <c r="K16" s="243"/>
      <c r="L16" s="244"/>
      <c r="M16" s="245"/>
      <c r="N16" s="243"/>
      <c r="O16" s="244"/>
      <c r="P16" s="245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</row>
    <row r="17" spans="1:48" ht="23.25" customHeight="1" x14ac:dyDescent="0.2">
      <c r="A17" s="230"/>
      <c r="B17" s="239" t="s">
        <v>182</v>
      </c>
      <c r="C17" s="198"/>
      <c r="D17" s="199"/>
      <c r="E17" s="239" t="s">
        <v>174</v>
      </c>
      <c r="F17" s="198"/>
      <c r="G17" s="199"/>
      <c r="H17" s="265" t="s">
        <v>183</v>
      </c>
      <c r="I17" s="198"/>
      <c r="J17" s="204"/>
      <c r="K17" s="243"/>
      <c r="L17" s="244"/>
      <c r="M17" s="245"/>
      <c r="N17" s="243"/>
      <c r="O17" s="244"/>
      <c r="P17" s="245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</row>
    <row r="18" spans="1:48" ht="23.25" customHeight="1" x14ac:dyDescent="0.2">
      <c r="A18" s="230"/>
      <c r="B18" s="243"/>
      <c r="C18" s="244"/>
      <c r="D18" s="245"/>
      <c r="E18" s="243"/>
      <c r="F18" s="244"/>
      <c r="G18" s="245"/>
      <c r="H18" s="243"/>
      <c r="I18" s="244"/>
      <c r="J18" s="245"/>
      <c r="K18" s="243"/>
      <c r="L18" s="244"/>
      <c r="M18" s="245"/>
      <c r="N18" s="243"/>
      <c r="O18" s="244"/>
      <c r="P18" s="245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</row>
    <row r="19" spans="1:48" ht="23.25" customHeight="1" x14ac:dyDescent="0.2">
      <c r="A19" s="230"/>
      <c r="B19" s="243"/>
      <c r="C19" s="244"/>
      <c r="D19" s="245"/>
      <c r="E19" s="243"/>
      <c r="F19" s="244"/>
      <c r="G19" s="245"/>
      <c r="H19" s="243"/>
      <c r="I19" s="244"/>
      <c r="J19" s="245"/>
      <c r="K19" s="243"/>
      <c r="L19" s="244"/>
      <c r="M19" s="245"/>
      <c r="N19" s="243"/>
      <c r="O19" s="244"/>
      <c r="P19" s="245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</row>
    <row r="20" spans="1:48" ht="23.25" customHeight="1" x14ac:dyDescent="0.2">
      <c r="A20" s="230"/>
      <c r="B20" s="243"/>
      <c r="C20" s="244"/>
      <c r="D20" s="245"/>
      <c r="E20" s="243"/>
      <c r="F20" s="244"/>
      <c r="G20" s="245"/>
      <c r="H20" s="243"/>
      <c r="I20" s="244"/>
      <c r="J20" s="245"/>
      <c r="K20" s="243"/>
      <c r="L20" s="244"/>
      <c r="M20" s="245"/>
      <c r="N20" s="243"/>
      <c r="O20" s="244"/>
      <c r="P20" s="245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</row>
    <row r="21" spans="1:48" ht="23.25" customHeight="1" x14ac:dyDescent="0.2">
      <c r="A21" s="230"/>
      <c r="B21" s="239" t="s">
        <v>209</v>
      </c>
      <c r="C21" s="198"/>
      <c r="D21" s="199"/>
      <c r="E21" s="239" t="s">
        <v>27</v>
      </c>
      <c r="F21" s="198"/>
      <c r="G21" s="199"/>
      <c r="H21" s="266" t="s">
        <v>209</v>
      </c>
      <c r="I21" s="198"/>
      <c r="J21" s="204"/>
      <c r="K21" s="266" t="s">
        <v>243</v>
      </c>
      <c r="L21" s="198"/>
      <c r="M21" s="204"/>
      <c r="N21" s="239" t="s">
        <v>243</v>
      </c>
      <c r="O21" s="198"/>
      <c r="P21" s="199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</row>
    <row r="22" spans="1:48" ht="23.25" customHeight="1" x14ac:dyDescent="0.2">
      <c r="A22" s="230"/>
      <c r="B22" s="243"/>
      <c r="C22" s="244"/>
      <c r="D22" s="245"/>
      <c r="E22" s="243"/>
      <c r="F22" s="244"/>
      <c r="G22" s="245"/>
      <c r="H22" s="243"/>
      <c r="I22" s="244"/>
      <c r="J22" s="245"/>
      <c r="K22" s="243"/>
      <c r="L22" s="244"/>
      <c r="M22" s="245"/>
      <c r="N22" s="243"/>
      <c r="O22" s="244"/>
      <c r="P22" s="245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</row>
    <row r="23" spans="1:48" ht="23.25" customHeight="1" x14ac:dyDescent="0.2">
      <c r="A23" s="230"/>
      <c r="B23" s="239" t="s">
        <v>218</v>
      </c>
      <c r="C23" s="198"/>
      <c r="D23" s="199"/>
      <c r="E23" s="239" t="s">
        <v>297</v>
      </c>
      <c r="F23" s="198"/>
      <c r="G23" s="199"/>
      <c r="H23" s="266" t="s">
        <v>218</v>
      </c>
      <c r="I23" s="198"/>
      <c r="J23" s="204"/>
      <c r="K23" s="266" t="s">
        <v>244</v>
      </c>
      <c r="L23" s="198"/>
      <c r="M23" s="204"/>
      <c r="N23" s="239" t="s">
        <v>244</v>
      </c>
      <c r="O23" s="198"/>
      <c r="P23" s="199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</row>
    <row r="24" spans="1:48" ht="23.25" customHeight="1" x14ac:dyDescent="0.2">
      <c r="A24" s="230"/>
      <c r="B24" s="243"/>
      <c r="C24" s="244"/>
      <c r="D24" s="245"/>
      <c r="E24" s="243"/>
      <c r="F24" s="244"/>
      <c r="G24" s="245"/>
      <c r="H24" s="243"/>
      <c r="I24" s="244"/>
      <c r="J24" s="245"/>
      <c r="K24" s="243"/>
      <c r="L24" s="244"/>
      <c r="M24" s="245"/>
      <c r="N24" s="243"/>
      <c r="O24" s="244"/>
      <c r="P24" s="245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</row>
    <row r="25" spans="1:48" ht="23.25" customHeight="1" x14ac:dyDescent="0.2">
      <c r="A25" s="230"/>
      <c r="B25" s="239" t="s">
        <v>219</v>
      </c>
      <c r="C25" s="198"/>
      <c r="D25" s="199"/>
      <c r="E25" s="239" t="s">
        <v>1</v>
      </c>
      <c r="F25" s="198"/>
      <c r="G25" s="199"/>
      <c r="H25" s="266" t="s">
        <v>219</v>
      </c>
      <c r="I25" s="198"/>
      <c r="J25" s="204"/>
      <c r="K25" s="243"/>
      <c r="L25" s="244"/>
      <c r="M25" s="245"/>
      <c r="N25" s="239" t="s">
        <v>296</v>
      </c>
      <c r="O25" s="198"/>
      <c r="P25" s="199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23.25" customHeight="1" x14ac:dyDescent="0.2">
      <c r="A26" s="230"/>
      <c r="B26" s="243"/>
      <c r="C26" s="244"/>
      <c r="D26" s="245"/>
      <c r="E26" s="243"/>
      <c r="F26" s="244"/>
      <c r="G26" s="245"/>
      <c r="H26" s="243"/>
      <c r="I26" s="244"/>
      <c r="J26" s="245"/>
      <c r="K26" s="243"/>
      <c r="L26" s="244"/>
      <c r="M26" s="245"/>
      <c r="N26" s="243"/>
      <c r="O26" s="244"/>
      <c r="P26" s="245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</row>
    <row r="27" spans="1:48" ht="24" customHeight="1" thickBot="1" x14ac:dyDescent="0.25">
      <c r="A27" s="246"/>
      <c r="B27" s="247"/>
      <c r="C27" s="248"/>
      <c r="D27" s="249"/>
      <c r="E27" s="243"/>
      <c r="F27" s="244"/>
      <c r="G27" s="245"/>
      <c r="H27" s="247"/>
      <c r="I27" s="248"/>
      <c r="J27" s="249"/>
      <c r="K27" s="247"/>
      <c r="L27" s="248"/>
      <c r="M27" s="249"/>
      <c r="N27" s="247"/>
      <c r="O27" s="248"/>
      <c r="P27" s="249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3.5" thickBot="1" x14ac:dyDescent="0.25">
      <c r="A28" s="246"/>
      <c r="B28" s="283" t="s">
        <v>3</v>
      </c>
      <c r="C28" s="585"/>
      <c r="D28" s="586"/>
      <c r="E28" s="283" t="s">
        <v>3</v>
      </c>
      <c r="F28" s="585"/>
      <c r="G28" s="586"/>
      <c r="H28" s="284" t="s">
        <v>3</v>
      </c>
      <c r="I28" s="585"/>
      <c r="J28" s="586"/>
      <c r="K28" s="283" t="s">
        <v>3</v>
      </c>
      <c r="L28" s="585"/>
      <c r="M28" s="586"/>
      <c r="N28" s="283" t="s">
        <v>3</v>
      </c>
      <c r="O28" s="585"/>
      <c r="P28" s="586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x14ac:dyDescent="0.2">
      <c r="A29" s="246"/>
      <c r="B29" s="250"/>
      <c r="C29" s="251"/>
      <c r="D29" s="251"/>
      <c r="E29" s="251"/>
      <c r="F29" s="251"/>
      <c r="G29" s="252"/>
      <c r="H29" s="230"/>
      <c r="I29" s="230"/>
      <c r="J29" s="230"/>
      <c r="K29" s="246"/>
      <c r="L29" s="593"/>
      <c r="M29" s="593"/>
      <c r="N29" s="246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  <row r="30" spans="1:48" x14ac:dyDescent="0.2">
      <c r="A30" s="246"/>
      <c r="B30" s="253"/>
      <c r="C30" s="254"/>
      <c r="D30" s="254"/>
      <c r="E30" s="246"/>
      <c r="F30" s="246"/>
      <c r="G30" s="255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  <c r="AN30" s="230"/>
      <c r="AO30" s="230"/>
      <c r="AP30" s="230"/>
      <c r="AQ30" s="230"/>
      <c r="AR30" s="230"/>
      <c r="AS30" s="230"/>
      <c r="AT30" s="230"/>
      <c r="AU30" s="230"/>
      <c r="AV30" s="230"/>
    </row>
    <row r="31" spans="1:48" x14ac:dyDescent="0.2">
      <c r="A31" s="246"/>
      <c r="B31" s="256"/>
      <c r="C31" s="594" t="s">
        <v>280</v>
      </c>
      <c r="D31" s="595"/>
      <c r="E31" s="600"/>
      <c r="F31" s="600"/>
      <c r="G31" s="255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0"/>
      <c r="AT31" s="230"/>
      <c r="AU31" s="230"/>
      <c r="AV31" s="230"/>
    </row>
    <row r="32" spans="1:48" x14ac:dyDescent="0.2">
      <c r="A32" s="246"/>
      <c r="B32" s="256"/>
      <c r="C32" s="596"/>
      <c r="D32" s="597"/>
      <c r="E32" s="600"/>
      <c r="F32" s="600"/>
      <c r="G32" s="255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</row>
    <row r="33" spans="1:48" x14ac:dyDescent="0.2">
      <c r="A33" s="246"/>
      <c r="B33" s="256"/>
      <c r="C33" s="596"/>
      <c r="D33" s="597"/>
      <c r="E33" s="600"/>
      <c r="F33" s="600"/>
      <c r="G33" s="255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</row>
    <row r="34" spans="1:48" x14ac:dyDescent="0.2">
      <c r="A34" s="246"/>
      <c r="B34" s="256"/>
      <c r="C34" s="598"/>
      <c r="D34" s="599"/>
      <c r="E34" s="600"/>
      <c r="F34" s="600"/>
      <c r="G34" s="255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  <c r="AN34" s="230"/>
      <c r="AO34" s="230"/>
      <c r="AP34" s="230"/>
      <c r="AQ34" s="230"/>
      <c r="AR34" s="230"/>
      <c r="AS34" s="230"/>
      <c r="AT34" s="230"/>
      <c r="AU34" s="230"/>
      <c r="AV34" s="230"/>
    </row>
    <row r="35" spans="1:48" x14ac:dyDescent="0.2">
      <c r="A35" s="246"/>
      <c r="B35" s="257"/>
      <c r="C35" s="246"/>
      <c r="D35" s="258"/>
      <c r="E35" s="246"/>
      <c r="F35" s="246"/>
      <c r="G35" s="255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230"/>
      <c r="AO35" s="230"/>
      <c r="AP35" s="230"/>
      <c r="AQ35" s="230"/>
      <c r="AR35" s="230"/>
      <c r="AS35" s="230"/>
      <c r="AT35" s="230"/>
      <c r="AU35" s="230"/>
      <c r="AV35" s="230"/>
    </row>
    <row r="36" spans="1:48" x14ac:dyDescent="0.2">
      <c r="A36" s="246"/>
      <c r="B36" s="256"/>
      <c r="C36" s="594" t="s">
        <v>281</v>
      </c>
      <c r="D36" s="595"/>
      <c r="E36" s="259"/>
      <c r="F36" s="200"/>
      <c r="G36" s="201"/>
      <c r="H36" s="230"/>
      <c r="I36" s="230"/>
      <c r="J36" s="230"/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  <c r="X36" s="230"/>
      <c r="Y36" s="230"/>
      <c r="Z36" s="230"/>
      <c r="AA36" s="230"/>
      <c r="AB36" s="2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230"/>
      <c r="AO36" s="230"/>
      <c r="AP36" s="230"/>
      <c r="AQ36" s="230"/>
      <c r="AR36" s="230"/>
      <c r="AS36" s="230"/>
      <c r="AT36" s="230"/>
      <c r="AU36" s="230"/>
      <c r="AV36" s="230"/>
    </row>
    <row r="37" spans="1:48" x14ac:dyDescent="0.2">
      <c r="A37" s="246"/>
      <c r="B37" s="256"/>
      <c r="C37" s="596"/>
      <c r="D37" s="597"/>
      <c r="E37" s="259"/>
      <c r="F37" s="200"/>
      <c r="G37" s="201"/>
      <c r="H37" s="230"/>
      <c r="I37" s="230"/>
      <c r="J37" s="230"/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230"/>
      <c r="AO37" s="230"/>
      <c r="AP37" s="230"/>
      <c r="AQ37" s="230"/>
      <c r="AR37" s="230"/>
      <c r="AS37" s="230"/>
      <c r="AT37" s="230"/>
      <c r="AU37" s="230"/>
      <c r="AV37" s="230"/>
    </row>
    <row r="38" spans="1:48" x14ac:dyDescent="0.2">
      <c r="A38" s="246"/>
      <c r="B38" s="256"/>
      <c r="C38" s="596"/>
      <c r="D38" s="597"/>
      <c r="E38" s="259"/>
      <c r="F38" s="200"/>
      <c r="G38" s="201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230"/>
      <c r="AP38" s="230"/>
      <c r="AQ38" s="230"/>
      <c r="AR38" s="230"/>
      <c r="AS38" s="230"/>
      <c r="AT38" s="230"/>
      <c r="AU38" s="230"/>
      <c r="AV38" s="230"/>
    </row>
    <row r="39" spans="1:48" x14ac:dyDescent="0.2">
      <c r="A39" s="246"/>
      <c r="B39" s="256"/>
      <c r="C39" s="598"/>
      <c r="D39" s="599"/>
      <c r="E39" s="259"/>
      <c r="F39" s="200"/>
      <c r="G39" s="201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O39" s="230"/>
      <c r="AP39" s="230"/>
      <c r="AQ39" s="230"/>
      <c r="AR39" s="230"/>
      <c r="AS39" s="230"/>
      <c r="AT39" s="230"/>
      <c r="AU39" s="230"/>
      <c r="AV39" s="230"/>
    </row>
    <row r="40" spans="1:48" ht="13.5" thickBot="1" x14ac:dyDescent="0.25">
      <c r="A40" s="246"/>
      <c r="B40" s="260"/>
      <c r="C40" s="261"/>
      <c r="D40" s="261"/>
      <c r="E40" s="261"/>
      <c r="F40" s="261"/>
      <c r="G40" s="262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230"/>
      <c r="AP40" s="230"/>
      <c r="AQ40" s="230"/>
      <c r="AR40" s="230"/>
      <c r="AS40" s="230"/>
      <c r="AT40" s="230"/>
      <c r="AU40" s="230"/>
      <c r="AV40" s="230"/>
    </row>
    <row r="41" spans="1:48" x14ac:dyDescent="0.2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30"/>
      <c r="AS41" s="230"/>
      <c r="AT41" s="230"/>
      <c r="AU41" s="230"/>
      <c r="AV41" s="230"/>
    </row>
    <row r="42" spans="1:48" x14ac:dyDescent="0.2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  <c r="AN42" s="230"/>
      <c r="AO42" s="230"/>
      <c r="AP42" s="230"/>
      <c r="AQ42" s="230"/>
      <c r="AR42" s="230"/>
      <c r="AS42" s="230"/>
      <c r="AT42" s="230"/>
      <c r="AU42" s="230"/>
      <c r="AV42" s="230"/>
    </row>
    <row r="43" spans="1:48" x14ac:dyDescent="0.2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  <c r="AN43" s="230"/>
      <c r="AO43" s="230"/>
      <c r="AP43" s="230"/>
      <c r="AQ43" s="230"/>
      <c r="AR43" s="230"/>
      <c r="AS43" s="230"/>
      <c r="AT43" s="230"/>
      <c r="AU43" s="230"/>
      <c r="AV43" s="230"/>
    </row>
    <row r="44" spans="1:48" x14ac:dyDescent="0.2">
      <c r="A44" s="281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  <c r="AN44" s="230"/>
      <c r="AO44" s="230"/>
      <c r="AP44" s="230"/>
      <c r="AQ44" s="230"/>
      <c r="AR44" s="230"/>
      <c r="AS44" s="230"/>
      <c r="AT44" s="230"/>
      <c r="AU44" s="230"/>
      <c r="AV44" s="230"/>
    </row>
    <row r="45" spans="1:48" x14ac:dyDescent="0.2">
      <c r="A45" s="230"/>
      <c r="B45" s="230"/>
      <c r="C45" s="230"/>
      <c r="D45" s="230"/>
      <c r="E45" s="230"/>
      <c r="F45" s="230"/>
      <c r="G45" s="230"/>
      <c r="H45" s="230"/>
      <c r="I45" s="230"/>
      <c r="J45" s="230" t="s">
        <v>133</v>
      </c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  <c r="AN45" s="230"/>
      <c r="AO45" s="230"/>
      <c r="AP45" s="230"/>
      <c r="AQ45" s="230"/>
      <c r="AR45" s="230"/>
      <c r="AS45" s="230"/>
      <c r="AT45" s="230"/>
      <c r="AU45" s="230"/>
      <c r="AV45" s="230"/>
    </row>
    <row r="46" spans="1:48" x14ac:dyDescent="0.2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  <c r="AN46" s="230"/>
      <c r="AO46" s="230"/>
      <c r="AP46" s="230"/>
      <c r="AQ46" s="230"/>
      <c r="AR46" s="230"/>
      <c r="AS46" s="230"/>
      <c r="AT46" s="230"/>
      <c r="AU46" s="230"/>
      <c r="AV46" s="230"/>
    </row>
    <row r="47" spans="1:48" x14ac:dyDescent="0.2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  <c r="AN47" s="230"/>
      <c r="AO47" s="230"/>
      <c r="AP47" s="230"/>
      <c r="AQ47" s="230"/>
      <c r="AR47" s="230"/>
      <c r="AS47" s="230"/>
      <c r="AT47" s="230"/>
      <c r="AU47" s="230"/>
      <c r="AV47" s="230"/>
    </row>
    <row r="48" spans="1:48" x14ac:dyDescent="0.2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230"/>
      <c r="AQ48" s="230"/>
      <c r="AR48" s="230"/>
      <c r="AS48" s="230"/>
      <c r="AT48" s="230"/>
      <c r="AU48" s="230"/>
      <c r="AV48" s="230"/>
    </row>
    <row r="49" spans="1:48" x14ac:dyDescent="0.2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  <c r="AN49" s="230"/>
      <c r="AO49" s="230"/>
      <c r="AP49" s="230"/>
      <c r="AQ49" s="230"/>
      <c r="AR49" s="230"/>
      <c r="AS49" s="230"/>
      <c r="AT49" s="230"/>
      <c r="AU49" s="230"/>
      <c r="AV49" s="230"/>
    </row>
    <row r="50" spans="1:48" x14ac:dyDescent="0.2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  <c r="AN50" s="230"/>
      <c r="AO50" s="230"/>
      <c r="AP50" s="230"/>
      <c r="AQ50" s="230"/>
      <c r="AR50" s="230"/>
      <c r="AS50" s="230"/>
      <c r="AT50" s="230"/>
      <c r="AU50" s="230"/>
      <c r="AV50" s="230"/>
    </row>
    <row r="51" spans="1:48" x14ac:dyDescent="0.2">
      <c r="A51" s="230"/>
      <c r="B51" s="230"/>
      <c r="C51" s="230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  <c r="AN51" s="230"/>
      <c r="AO51" s="230"/>
      <c r="AP51" s="230"/>
      <c r="AQ51" s="230"/>
      <c r="AR51" s="230"/>
      <c r="AS51" s="230"/>
      <c r="AT51" s="230"/>
      <c r="AU51" s="230"/>
      <c r="AV51" s="230"/>
    </row>
    <row r="52" spans="1:48" x14ac:dyDescent="0.2">
      <c r="A52" s="230"/>
      <c r="B52" s="230"/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</row>
    <row r="53" spans="1:48" x14ac:dyDescent="0.2">
      <c r="A53" s="230"/>
      <c r="B53" s="230"/>
      <c r="C53" s="230"/>
      <c r="D53" s="230"/>
      <c r="E53" s="230"/>
      <c r="F53" s="230"/>
      <c r="G53" s="230"/>
      <c r="H53" s="230"/>
      <c r="I53" s="230"/>
      <c r="J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30"/>
      <c r="AT53" s="230"/>
      <c r="AU53" s="230"/>
      <c r="AV53" s="230"/>
    </row>
  </sheetData>
  <sheetProtection algorithmName="SHA-512" hashValue="tfVmzVVr3aWZs1VE4yJIJ3yKSMD1pSd4Fg4Gjqj2YOLRwVLAS5WJXl2s3AKmv/iIJ0sH92Hr6QgnEYw10cOyXg==" saltValue="nMZxK5Yd3+t+oz/EV4Ta3w==" spinCount="100000" sheet="1" objects="1" scenarios="1" selectLockedCells="1"/>
  <mergeCells count="25">
    <mergeCell ref="L29:M29"/>
    <mergeCell ref="C36:D39"/>
    <mergeCell ref="B7:B8"/>
    <mergeCell ref="E31:F34"/>
    <mergeCell ref="C28:D28"/>
    <mergeCell ref="C31:D34"/>
    <mergeCell ref="C7:D7"/>
    <mergeCell ref="E7:E8"/>
    <mergeCell ref="F7:G7"/>
    <mergeCell ref="H7:H8"/>
    <mergeCell ref="I7:J7"/>
    <mergeCell ref="K7:K8"/>
    <mergeCell ref="L7:M7"/>
    <mergeCell ref="F28:G28"/>
    <mergeCell ref="I28:J28"/>
    <mergeCell ref="B2:G2"/>
    <mergeCell ref="B3:G3"/>
    <mergeCell ref="Q7:Q8"/>
    <mergeCell ref="R7:S7"/>
    <mergeCell ref="T7:T8"/>
    <mergeCell ref="U7:V7"/>
    <mergeCell ref="N7:N8"/>
    <mergeCell ref="O7:P7"/>
    <mergeCell ref="L28:M28"/>
    <mergeCell ref="O28:P28"/>
  </mergeCells>
  <conditionalFormatting sqref="AF8:XFD19">
    <cfRule type="containsText" dxfId="3129" priority="17377" operator="containsText" text="nicht zutreffend">
      <formula>NOT(ISERROR(SEARCH("nicht zutreffend",AF8)))</formula>
    </cfRule>
  </conditionalFormatting>
  <conditionalFormatting sqref="C30">
    <cfRule type="cellIs" dxfId="3128" priority="17375" operator="equal">
      <formula>"nein"</formula>
    </cfRule>
    <cfRule type="cellIs" dxfId="3127" priority="17376" operator="equal">
      <formula>"ja"</formula>
    </cfRule>
  </conditionalFormatting>
  <conditionalFormatting sqref="C30">
    <cfRule type="cellIs" dxfId="3126" priority="17374" operator="equal">
      <formula>"nicht zutreffend"</formula>
    </cfRule>
  </conditionalFormatting>
  <conditionalFormatting sqref="L29">
    <cfRule type="cellIs" dxfId="3125" priority="2691" operator="equal">
      <formula>"nicht zutreffend"</formula>
    </cfRule>
  </conditionalFormatting>
  <conditionalFormatting sqref="L29">
    <cfRule type="cellIs" dxfId="3124" priority="2692" operator="equal">
      <formula>"nein"</formula>
    </cfRule>
    <cfRule type="cellIs" dxfId="3123" priority="2693" operator="equal">
      <formula>"ja"</formula>
    </cfRule>
  </conditionalFormatting>
  <conditionalFormatting sqref="C28">
    <cfRule type="cellIs" dxfId="3122" priority="133" operator="equal">
      <formula>"nein"</formula>
    </cfRule>
    <cfRule type="cellIs" dxfId="3121" priority="134" operator="equal">
      <formula>"ja"</formula>
    </cfRule>
  </conditionalFormatting>
  <conditionalFormatting sqref="C28">
    <cfRule type="cellIs" dxfId="3120" priority="132" operator="equal">
      <formula>"nicht zutreffend"</formula>
    </cfRule>
  </conditionalFormatting>
  <conditionalFormatting sqref="C17 C21 C23 C25">
    <cfRule type="containsText" dxfId="3119" priority="130" operator="containsText" text="Yes">
      <formula>NOT(ISERROR(SEARCH("Yes",C17)))</formula>
    </cfRule>
    <cfRule type="containsText" dxfId="3118" priority="131" operator="containsText" text="No">
      <formula>NOT(ISERROR(SEARCH("No",C17)))</formula>
    </cfRule>
  </conditionalFormatting>
  <conditionalFormatting sqref="C12">
    <cfRule type="containsText" dxfId="3117" priority="128" operator="containsText" text="Yes">
      <formula>NOT(ISERROR(SEARCH("Yes",C12)))</formula>
    </cfRule>
    <cfRule type="containsText" dxfId="3116" priority="129" operator="containsText" text="No">
      <formula>NOT(ISERROR(SEARCH("No",C12)))</formula>
    </cfRule>
  </conditionalFormatting>
  <conditionalFormatting sqref="C11">
    <cfRule type="containsText" dxfId="3115" priority="126" operator="containsText" text="Yes">
      <formula>NOT(ISERROR(SEARCH("Yes",C11)))</formula>
    </cfRule>
    <cfRule type="containsText" dxfId="3114" priority="127" operator="containsText" text="No">
      <formula>NOT(ISERROR(SEARCH("No",C11)))</formula>
    </cfRule>
  </conditionalFormatting>
  <conditionalFormatting sqref="C10">
    <cfRule type="containsText" dxfId="3113" priority="124" operator="containsText" text="Yes">
      <formula>NOT(ISERROR(SEARCH("Yes",C10)))</formula>
    </cfRule>
    <cfRule type="containsText" dxfId="3112" priority="125" operator="containsText" text="No">
      <formula>NOT(ISERROR(SEARCH("No",C10)))</formula>
    </cfRule>
  </conditionalFormatting>
  <conditionalFormatting sqref="C9">
    <cfRule type="containsText" dxfId="3111" priority="122" operator="containsText" text="Yes">
      <formula>NOT(ISERROR(SEARCH("Yes",C9)))</formula>
    </cfRule>
    <cfRule type="containsText" dxfId="3110" priority="123" operator="containsText" text="No">
      <formula>NOT(ISERROR(SEARCH("No",C9)))</formula>
    </cfRule>
  </conditionalFormatting>
  <conditionalFormatting sqref="I28">
    <cfRule type="cellIs" dxfId="3109" priority="91" operator="equal">
      <formula>"nein"</formula>
    </cfRule>
    <cfRule type="cellIs" dxfId="3108" priority="92" operator="equal">
      <formula>"ja"</formula>
    </cfRule>
  </conditionalFormatting>
  <conditionalFormatting sqref="I28">
    <cfRule type="cellIs" dxfId="3107" priority="90" operator="equal">
      <formula>"nicht zutreffend"</formula>
    </cfRule>
  </conditionalFormatting>
  <conditionalFormatting sqref="I12:I14">
    <cfRule type="containsText" dxfId="3106" priority="88" operator="containsText" text="Nein">
      <formula>NOT(ISERROR(SEARCH("Nein",I12)))</formula>
    </cfRule>
    <cfRule type="containsText" dxfId="3105" priority="89" operator="containsText" text="Ja">
      <formula>NOT(ISERROR(SEARCH("Ja",I12)))</formula>
    </cfRule>
  </conditionalFormatting>
  <conditionalFormatting sqref="I18">
    <cfRule type="containsText" dxfId="3104" priority="86" operator="containsText" text="Nein">
      <formula>NOT(ISERROR(SEARCH("Nein",I18)))</formula>
    </cfRule>
    <cfRule type="containsText" dxfId="3103" priority="87" operator="containsText" text="Ja">
      <formula>NOT(ISERROR(SEARCH("Ja",I18)))</formula>
    </cfRule>
  </conditionalFormatting>
  <conditionalFormatting sqref="I19:I20">
    <cfRule type="containsText" dxfId="3102" priority="84" operator="containsText" text="Nein">
      <formula>NOT(ISERROR(SEARCH("Nein",I19)))</formula>
    </cfRule>
    <cfRule type="containsText" dxfId="3101" priority="85" operator="containsText" text="Ja">
      <formula>NOT(ISERROR(SEARCH("Ja",I19)))</formula>
    </cfRule>
  </conditionalFormatting>
  <conditionalFormatting sqref="I22">
    <cfRule type="containsText" dxfId="3100" priority="82" operator="containsText" text="Nein">
      <formula>NOT(ISERROR(SEARCH("Nein",I22)))</formula>
    </cfRule>
    <cfRule type="containsText" dxfId="3099" priority="83" operator="containsText" text="Ja">
      <formula>NOT(ISERROR(SEARCH("Ja",I22)))</formula>
    </cfRule>
  </conditionalFormatting>
  <conditionalFormatting sqref="I9">
    <cfRule type="containsText" dxfId="3098" priority="80" operator="containsText" text="Yes">
      <formula>NOT(ISERROR(SEARCH("Yes",I9)))</formula>
    </cfRule>
    <cfRule type="containsText" dxfId="3097" priority="81" operator="containsText" text="No">
      <formula>NOT(ISERROR(SEARCH("No",I9)))</formula>
    </cfRule>
  </conditionalFormatting>
  <conditionalFormatting sqref="I10">
    <cfRule type="containsText" dxfId="3096" priority="78" operator="containsText" text="Yes">
      <formula>NOT(ISERROR(SEARCH("Yes",I10)))</formula>
    </cfRule>
    <cfRule type="containsText" dxfId="3095" priority="79" operator="containsText" text="No">
      <formula>NOT(ISERROR(SEARCH("No",I10)))</formula>
    </cfRule>
  </conditionalFormatting>
  <conditionalFormatting sqref="I11">
    <cfRule type="containsText" dxfId="3094" priority="76" operator="containsText" text="Yes">
      <formula>NOT(ISERROR(SEARCH("Yes",I11)))</formula>
    </cfRule>
    <cfRule type="containsText" dxfId="3093" priority="77" operator="containsText" text="No">
      <formula>NOT(ISERROR(SEARCH("No",I11)))</formula>
    </cfRule>
  </conditionalFormatting>
  <conditionalFormatting sqref="I15">
    <cfRule type="containsText" dxfId="3092" priority="74" operator="containsText" text="Yes">
      <formula>NOT(ISERROR(SEARCH("Yes",I15)))</formula>
    </cfRule>
    <cfRule type="containsText" dxfId="3091" priority="75" operator="containsText" text="No">
      <formula>NOT(ISERROR(SEARCH("No",I15)))</formula>
    </cfRule>
  </conditionalFormatting>
  <conditionalFormatting sqref="I16">
    <cfRule type="containsText" dxfId="3090" priority="72" operator="containsText" text="Yes">
      <formula>NOT(ISERROR(SEARCH("Yes",I16)))</formula>
    </cfRule>
    <cfRule type="containsText" dxfId="3089" priority="73" operator="containsText" text="No">
      <formula>NOT(ISERROR(SEARCH("No",I16)))</formula>
    </cfRule>
  </conditionalFormatting>
  <conditionalFormatting sqref="I17">
    <cfRule type="containsText" dxfId="3088" priority="70" operator="containsText" text="Yes">
      <formula>NOT(ISERROR(SEARCH("Yes",I17)))</formula>
    </cfRule>
    <cfRule type="containsText" dxfId="3087" priority="71" operator="containsText" text="No">
      <formula>NOT(ISERROR(SEARCH("No",I17)))</formula>
    </cfRule>
  </conditionalFormatting>
  <conditionalFormatting sqref="I21">
    <cfRule type="containsText" dxfId="3086" priority="68" operator="containsText" text="Yes">
      <formula>NOT(ISERROR(SEARCH("Yes",I21)))</formula>
    </cfRule>
    <cfRule type="containsText" dxfId="3085" priority="69" operator="containsText" text="No">
      <formula>NOT(ISERROR(SEARCH("No",I21)))</formula>
    </cfRule>
  </conditionalFormatting>
  <conditionalFormatting sqref="I23">
    <cfRule type="containsText" dxfId="3084" priority="66" operator="containsText" text="Yes">
      <formula>NOT(ISERROR(SEARCH("Yes",I23)))</formula>
    </cfRule>
    <cfRule type="containsText" dxfId="3083" priority="67" operator="containsText" text="No">
      <formula>NOT(ISERROR(SEARCH("No",I23)))</formula>
    </cfRule>
  </conditionalFormatting>
  <conditionalFormatting sqref="I25">
    <cfRule type="containsText" dxfId="3082" priority="64" operator="containsText" text="Yes">
      <formula>NOT(ISERROR(SEARCH("Yes",I25)))</formula>
    </cfRule>
    <cfRule type="containsText" dxfId="3081" priority="65" operator="containsText" text="No">
      <formula>NOT(ISERROR(SEARCH("No",I25)))</formula>
    </cfRule>
  </conditionalFormatting>
  <conditionalFormatting sqref="F28">
    <cfRule type="cellIs" dxfId="3080" priority="62" operator="equal">
      <formula>"nein"</formula>
    </cfRule>
    <cfRule type="cellIs" dxfId="3079" priority="63" operator="equal">
      <formula>"ja"</formula>
    </cfRule>
  </conditionalFormatting>
  <conditionalFormatting sqref="F28">
    <cfRule type="cellIs" dxfId="3078" priority="61" operator="equal">
      <formula>"nicht zutreffend"</formula>
    </cfRule>
  </conditionalFormatting>
  <conditionalFormatting sqref="F9">
    <cfRule type="containsText" dxfId="3077" priority="59" operator="containsText" text="Yes">
      <formula>NOT(ISERROR(SEARCH("Yes",F9)))</formula>
    </cfRule>
    <cfRule type="containsText" dxfId="3076" priority="60" operator="containsText" text="No">
      <formula>NOT(ISERROR(SEARCH("No",F9)))</formula>
    </cfRule>
  </conditionalFormatting>
  <conditionalFormatting sqref="F11">
    <cfRule type="containsText" dxfId="3075" priority="57" operator="containsText" text="Yes">
      <formula>NOT(ISERROR(SEARCH("Yes",F11)))</formula>
    </cfRule>
    <cfRule type="containsText" dxfId="3074" priority="58" operator="containsText" text="No">
      <formula>NOT(ISERROR(SEARCH("No",F11)))</formula>
    </cfRule>
  </conditionalFormatting>
  <conditionalFormatting sqref="F17">
    <cfRule type="containsText" dxfId="3073" priority="55" operator="containsText" text="Yes">
      <formula>NOT(ISERROR(SEARCH("Yes",F17)))</formula>
    </cfRule>
    <cfRule type="containsText" dxfId="3072" priority="56" operator="containsText" text="No">
      <formula>NOT(ISERROR(SEARCH("No",F17)))</formula>
    </cfRule>
  </conditionalFormatting>
  <conditionalFormatting sqref="F21">
    <cfRule type="containsText" dxfId="3071" priority="53" operator="containsText" text="Yes">
      <formula>NOT(ISERROR(SEARCH("Yes",F21)))</formula>
    </cfRule>
    <cfRule type="containsText" dxfId="3070" priority="54" operator="containsText" text="No">
      <formula>NOT(ISERROR(SEARCH("No",F21)))</formula>
    </cfRule>
  </conditionalFormatting>
  <conditionalFormatting sqref="F23">
    <cfRule type="containsText" dxfId="3069" priority="51" operator="containsText" text="Yes">
      <formula>NOT(ISERROR(SEARCH("Yes",F23)))</formula>
    </cfRule>
    <cfRule type="containsText" dxfId="3068" priority="52" operator="containsText" text="No">
      <formula>NOT(ISERROR(SEARCH("No",F23)))</formula>
    </cfRule>
  </conditionalFormatting>
  <conditionalFormatting sqref="F25">
    <cfRule type="containsText" dxfId="3067" priority="49" operator="containsText" text="Yes">
      <formula>NOT(ISERROR(SEARCH("Yes",F25)))</formula>
    </cfRule>
    <cfRule type="containsText" dxfId="3066" priority="50" operator="containsText" text="No">
      <formula>NOT(ISERROR(SEARCH("No",F25)))</formula>
    </cfRule>
  </conditionalFormatting>
  <conditionalFormatting sqref="F10">
    <cfRule type="containsText" dxfId="3065" priority="47" operator="containsText" text="Yes">
      <formula>NOT(ISERROR(SEARCH("Yes",F10)))</formula>
    </cfRule>
    <cfRule type="containsText" dxfId="3064" priority="48" operator="containsText" text="No">
      <formula>NOT(ISERROR(SEARCH("No",F10)))</formula>
    </cfRule>
  </conditionalFormatting>
  <conditionalFormatting sqref="L28">
    <cfRule type="cellIs" dxfId="3063" priority="44" operator="equal">
      <formula>"nicht zutreffend"</formula>
    </cfRule>
  </conditionalFormatting>
  <conditionalFormatting sqref="L28">
    <cfRule type="cellIs" dxfId="3062" priority="45" operator="equal">
      <formula>"nein"</formula>
    </cfRule>
    <cfRule type="cellIs" dxfId="3061" priority="46" operator="equal">
      <formula>"ja"</formula>
    </cfRule>
  </conditionalFormatting>
  <conditionalFormatting sqref="L12:L14">
    <cfRule type="containsText" dxfId="3060" priority="42" operator="containsText" text="Nein">
      <formula>NOT(ISERROR(SEARCH("Nein",L12)))</formula>
    </cfRule>
    <cfRule type="containsText" dxfId="3059" priority="43" operator="containsText" text="Ja">
      <formula>NOT(ISERROR(SEARCH("Ja",L12)))</formula>
    </cfRule>
  </conditionalFormatting>
  <conditionalFormatting sqref="L18">
    <cfRule type="containsText" dxfId="3058" priority="40" operator="containsText" text="Nein">
      <formula>NOT(ISERROR(SEARCH("Nein",L18)))</formula>
    </cfRule>
    <cfRule type="containsText" dxfId="3057" priority="41" operator="containsText" text="Ja">
      <formula>NOT(ISERROR(SEARCH("Ja",L18)))</formula>
    </cfRule>
  </conditionalFormatting>
  <conditionalFormatting sqref="L20">
    <cfRule type="containsText" dxfId="3056" priority="38" operator="containsText" text="Nein">
      <formula>NOT(ISERROR(SEARCH("Nein",L20)))</formula>
    </cfRule>
    <cfRule type="containsText" dxfId="3055" priority="39" operator="containsText" text="Ja">
      <formula>NOT(ISERROR(SEARCH("Ja",L20)))</formula>
    </cfRule>
  </conditionalFormatting>
  <conditionalFormatting sqref="L22">
    <cfRule type="containsText" dxfId="3054" priority="36" operator="containsText" text="Nein">
      <formula>NOT(ISERROR(SEARCH("Nein",L22)))</formula>
    </cfRule>
    <cfRule type="containsText" dxfId="3053" priority="37" operator="containsText" text="Ja">
      <formula>NOT(ISERROR(SEARCH("Ja",L22)))</formula>
    </cfRule>
  </conditionalFormatting>
  <conditionalFormatting sqref="L9">
    <cfRule type="containsText" dxfId="3052" priority="34" operator="containsText" text="Yes">
      <formula>NOT(ISERROR(SEARCH("Yes",L9)))</formula>
    </cfRule>
    <cfRule type="containsText" dxfId="3051" priority="35" operator="containsText" text="No">
      <formula>NOT(ISERROR(SEARCH("No",L9)))</formula>
    </cfRule>
  </conditionalFormatting>
  <conditionalFormatting sqref="L10">
    <cfRule type="containsText" dxfId="3050" priority="32" operator="containsText" text="Yes">
      <formula>NOT(ISERROR(SEARCH("Yes",L10)))</formula>
    </cfRule>
    <cfRule type="containsText" dxfId="3049" priority="33" operator="containsText" text="No">
      <formula>NOT(ISERROR(SEARCH("No",L10)))</formula>
    </cfRule>
  </conditionalFormatting>
  <conditionalFormatting sqref="L11">
    <cfRule type="containsText" dxfId="3048" priority="30" operator="containsText" text="Yes">
      <formula>NOT(ISERROR(SEARCH("Yes",L11)))</formula>
    </cfRule>
    <cfRule type="containsText" dxfId="3047" priority="31" operator="containsText" text="No">
      <formula>NOT(ISERROR(SEARCH("No",L11)))</formula>
    </cfRule>
  </conditionalFormatting>
  <conditionalFormatting sqref="L21">
    <cfRule type="containsText" dxfId="3046" priority="28" operator="containsText" text="Yes">
      <formula>NOT(ISERROR(SEARCH("Yes",L21)))</formula>
    </cfRule>
    <cfRule type="containsText" dxfId="3045" priority="29" operator="containsText" text="No">
      <formula>NOT(ISERROR(SEARCH("No",L21)))</formula>
    </cfRule>
  </conditionalFormatting>
  <conditionalFormatting sqref="L23">
    <cfRule type="containsText" dxfId="3044" priority="26" operator="containsText" text="Yes">
      <formula>NOT(ISERROR(SEARCH("Yes",L23)))</formula>
    </cfRule>
    <cfRule type="containsText" dxfId="3043" priority="27" operator="containsText" text="No">
      <formula>NOT(ISERROR(SEARCH("No",L23)))</formula>
    </cfRule>
  </conditionalFormatting>
  <conditionalFormatting sqref="L15">
    <cfRule type="containsText" dxfId="3042" priority="24" operator="containsText" text="Nein">
      <formula>NOT(ISERROR(SEARCH("Nein",L15)))</formula>
    </cfRule>
    <cfRule type="containsText" dxfId="3041" priority="25" operator="containsText" text="Ja">
      <formula>NOT(ISERROR(SEARCH("Ja",L15)))</formula>
    </cfRule>
  </conditionalFormatting>
  <conditionalFormatting sqref="L16">
    <cfRule type="containsText" dxfId="3040" priority="22" operator="containsText" text="Nein">
      <formula>NOT(ISERROR(SEARCH("Nein",L16)))</formula>
    </cfRule>
    <cfRule type="containsText" dxfId="3039" priority="23" operator="containsText" text="Ja">
      <formula>NOT(ISERROR(SEARCH("Ja",L16)))</formula>
    </cfRule>
  </conditionalFormatting>
  <conditionalFormatting sqref="L17">
    <cfRule type="containsText" dxfId="3038" priority="20" operator="containsText" text="Nein">
      <formula>NOT(ISERROR(SEARCH("Nein",L17)))</formula>
    </cfRule>
    <cfRule type="containsText" dxfId="3037" priority="21" operator="containsText" text="Ja">
      <formula>NOT(ISERROR(SEARCH("Ja",L17)))</formula>
    </cfRule>
  </conditionalFormatting>
  <conditionalFormatting sqref="L19">
    <cfRule type="containsText" dxfId="3036" priority="18" operator="containsText" text="Nein">
      <formula>NOT(ISERROR(SEARCH("Nein",L19)))</formula>
    </cfRule>
    <cfRule type="containsText" dxfId="3035" priority="19" operator="containsText" text="Ja">
      <formula>NOT(ISERROR(SEARCH("Ja",L19)))</formula>
    </cfRule>
  </conditionalFormatting>
  <conditionalFormatting sqref="L25">
    <cfRule type="containsText" dxfId="3034" priority="16" operator="containsText" text="Nein">
      <formula>NOT(ISERROR(SEARCH("Nein",L25)))</formula>
    </cfRule>
    <cfRule type="containsText" dxfId="3033" priority="17" operator="containsText" text="Ja">
      <formula>NOT(ISERROR(SEARCH("Ja",L25)))</formula>
    </cfRule>
  </conditionalFormatting>
  <conditionalFormatting sqref="O28">
    <cfRule type="cellIs" dxfId="3032" priority="14" operator="equal">
      <formula>"nein"</formula>
    </cfRule>
    <cfRule type="cellIs" dxfId="3031" priority="15" operator="equal">
      <formula>"ja"</formula>
    </cfRule>
  </conditionalFormatting>
  <conditionalFormatting sqref="O28">
    <cfRule type="cellIs" dxfId="3030" priority="13" operator="equal">
      <formula>"nicht zutreffend"</formula>
    </cfRule>
  </conditionalFormatting>
  <conditionalFormatting sqref="O9">
    <cfRule type="containsText" dxfId="3029" priority="11" operator="containsText" text="Yes">
      <formula>NOT(ISERROR(SEARCH("Yes",O9)))</formula>
    </cfRule>
    <cfRule type="containsText" dxfId="3028" priority="12" operator="containsText" text="No">
      <formula>NOT(ISERROR(SEARCH("No",O9)))</formula>
    </cfRule>
  </conditionalFormatting>
  <conditionalFormatting sqref="O11">
    <cfRule type="containsText" dxfId="3027" priority="9" operator="containsText" text="Yes">
      <formula>NOT(ISERROR(SEARCH("Yes",O11)))</formula>
    </cfRule>
    <cfRule type="containsText" dxfId="3026" priority="10" operator="containsText" text="No">
      <formula>NOT(ISERROR(SEARCH("No",O11)))</formula>
    </cfRule>
  </conditionalFormatting>
  <conditionalFormatting sqref="O12">
    <cfRule type="containsText" dxfId="3025" priority="7" operator="containsText" text="Yes">
      <formula>NOT(ISERROR(SEARCH("Yes",O12)))</formula>
    </cfRule>
    <cfRule type="containsText" dxfId="3024" priority="8" operator="containsText" text="No">
      <formula>NOT(ISERROR(SEARCH("No",O12)))</formula>
    </cfRule>
  </conditionalFormatting>
  <conditionalFormatting sqref="O21">
    <cfRule type="containsText" dxfId="3023" priority="5" operator="containsText" text="Yes">
      <formula>NOT(ISERROR(SEARCH("Yes",O21)))</formula>
    </cfRule>
    <cfRule type="containsText" dxfId="3022" priority="6" operator="containsText" text="No">
      <formula>NOT(ISERROR(SEARCH("No",O21)))</formula>
    </cfRule>
  </conditionalFormatting>
  <conditionalFormatting sqref="O23">
    <cfRule type="containsText" dxfId="3021" priority="3" operator="containsText" text="Yes">
      <formula>NOT(ISERROR(SEARCH("Yes",O23)))</formula>
    </cfRule>
    <cfRule type="containsText" dxfId="3020" priority="4" operator="containsText" text="No">
      <formula>NOT(ISERROR(SEARCH("No",O23)))</formula>
    </cfRule>
  </conditionalFormatting>
  <conditionalFormatting sqref="O25">
    <cfRule type="containsText" dxfId="3019" priority="1" operator="containsText" text="Yes">
      <formula>NOT(ISERROR(SEARCH("Yes",O25)))</formula>
    </cfRule>
    <cfRule type="containsText" dxfId="3018" priority="2" operator="containsText" text="No">
      <formula>NOT(ISERROR(SEARCH("No",O25)))</formula>
    </cfRule>
  </conditionalFormatting>
  <dataValidations count="4">
    <dataValidation type="list" allowBlank="1" showInputMessage="1" showErrorMessage="1" sqref="C17 C9:C12 C21 C23 C25 I9:I11 I15:I17 I21 I23 I25 F9:F11 F21 F23 F25 F17 L23 L21 L9:L11 O9 O11:O12 O21 O23 O25">
      <formula1>"Yes,No"</formula1>
    </dataValidation>
    <dataValidation type="list" allowBlank="1" showInputMessage="1" showErrorMessage="1" sqref="C7:D7 F7:G7 I7:J7 L7:M7 O7:P7 R7:S7 U7:V7">
      <formula1>RoMP</formula1>
    </dataValidation>
    <dataValidation type="list" allowBlank="1" showInputMessage="1" showErrorMessage="1" sqref="I12:I14 I18:I20 I22 I24 I26:I27 L24:L27 L22 L12:L20">
      <formula1>"Ja,Nein"</formula1>
    </dataValidation>
    <dataValidation type="list" allowBlank="1" showInputMessage="1" showErrorMessage="1" sqref="F26:F27 F12:F16 F24 F18:F20 F22 O26:O27 O10 O13:O20 O22 O24">
      <formula1>"Ja,Nein,"</formula1>
    </dataValidation>
  </dataValidations>
  <pageMargins left="0.25" right="0.25" top="0.75" bottom="0.75" header="0.3" footer="0.3"/>
  <pageSetup paperSize="9" scale="50" fitToWidth="0" orientation="landscape" horizontalDpi="1200" verticalDpi="1200" r:id="rId1"/>
  <rowBreaks count="1" manualBreakCount="1">
    <brk id="28" max="16383" man="1"/>
  </rowBreaks>
  <colBreaks count="3" manualBreakCount="3">
    <brk id="7" max="1048575" man="1"/>
    <brk id="13" max="1048575" man="1"/>
    <brk id="19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55" r:id="rId4" name="Button 7">
              <controlPr defaultSize="0" print="0" autoFill="0" autoPict="0" macro="[0]!Tabelle17.SpinButtonUp">
                <anchor moveWithCells="1" sizeWithCells="1">
                  <from>
                    <xdr:col>1</xdr:col>
                    <xdr:colOff>2133600</xdr:colOff>
                    <xdr:row>3</xdr:row>
                    <xdr:rowOff>38100</xdr:rowOff>
                  </from>
                  <to>
                    <xdr:col>2</xdr:col>
                    <xdr:colOff>342900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6" r:id="rId5" name="Button 8">
              <controlPr defaultSize="0" print="0" autoFill="0" autoPict="0" macro="[0]!Tabelle17.SpinButtonDown">
                <anchor moveWithCells="1" sizeWithCells="1">
                  <from>
                    <xdr:col>1</xdr:col>
                    <xdr:colOff>2124075</xdr:colOff>
                    <xdr:row>3</xdr:row>
                    <xdr:rowOff>314325</xdr:rowOff>
                  </from>
                  <to>
                    <xdr:col>2</xdr:col>
                    <xdr:colOff>333375</xdr:colOff>
                    <xdr:row>4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>
    <pageSetUpPr fitToPage="1"/>
  </sheetPr>
  <dimension ref="A1:AD312"/>
  <sheetViews>
    <sheetView showGridLines="0" topLeftCell="A22" zoomScale="80" zoomScaleNormal="80" workbookViewId="0">
      <selection activeCell="B25" sqref="B25"/>
    </sheetView>
  </sheetViews>
  <sheetFormatPr baseColWidth="10" defaultRowHeight="12.75" x14ac:dyDescent="0.2"/>
  <cols>
    <col min="1" max="1" width="8.7109375" customWidth="1"/>
    <col min="2" max="2" width="35.7109375" customWidth="1"/>
    <col min="3" max="6" width="10.7109375" customWidth="1"/>
    <col min="7" max="11" width="7.7109375" customWidth="1"/>
    <col min="12" max="12" width="45.7109375" customWidth="1"/>
    <col min="13" max="14" width="4.7109375" customWidth="1"/>
    <col min="16" max="16" width="11.42578125" customWidth="1"/>
    <col min="17" max="17" width="11.5703125" customWidth="1"/>
    <col min="18" max="18" width="30.28515625" bestFit="1" customWidth="1"/>
    <col min="19" max="19" width="33.5703125" customWidth="1"/>
  </cols>
  <sheetData>
    <row r="1" spans="1:30" ht="3.75" customHeight="1" thickBot="1" x14ac:dyDescent="0.25"/>
    <row r="2" spans="1:30" x14ac:dyDescent="0.2">
      <c r="A2" s="614"/>
      <c r="B2" s="615"/>
      <c r="C2" s="615"/>
      <c r="D2" s="615"/>
      <c r="E2" s="615"/>
      <c r="F2" s="615"/>
      <c r="G2" s="615"/>
      <c r="H2" s="615"/>
      <c r="I2" s="615"/>
      <c r="J2" s="615"/>
      <c r="K2" s="615"/>
      <c r="L2" s="615"/>
      <c r="M2" s="615"/>
      <c r="N2" s="616"/>
    </row>
    <row r="3" spans="1:30" x14ac:dyDescent="0.2">
      <c r="A3" s="617"/>
      <c r="B3" s="618"/>
      <c r="C3" s="618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9"/>
    </row>
    <row r="4" spans="1:30" ht="13.5" thickBot="1" x14ac:dyDescent="0.25">
      <c r="A4" s="620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N4" s="622"/>
    </row>
    <row r="5" spans="1:30" ht="23.25" thickBot="1" x14ac:dyDescent="0.25">
      <c r="A5" s="630" t="s">
        <v>25</v>
      </c>
      <c r="B5" s="631"/>
      <c r="C5" s="631"/>
      <c r="D5" s="631"/>
      <c r="E5" s="631"/>
      <c r="F5" s="631"/>
      <c r="G5" s="631"/>
      <c r="H5" s="631"/>
      <c r="I5" s="631"/>
      <c r="J5" s="631"/>
      <c r="K5" s="631"/>
      <c r="L5" s="631"/>
      <c r="M5" s="631"/>
      <c r="N5" s="632"/>
    </row>
    <row r="6" spans="1:30" ht="18.75" thickBot="1" x14ac:dyDescent="0.3">
      <c r="A6" s="633" t="s">
        <v>26</v>
      </c>
      <c r="B6" s="634"/>
      <c r="C6" s="634"/>
      <c r="D6" s="634"/>
      <c r="E6" s="634"/>
      <c r="F6" s="634"/>
      <c r="G6" s="634"/>
      <c r="H6" s="634"/>
      <c r="I6" s="634"/>
      <c r="J6" s="634"/>
      <c r="K6" s="634"/>
      <c r="L6" s="634"/>
      <c r="M6" s="634"/>
      <c r="N6" s="635"/>
    </row>
    <row r="7" spans="1:30" ht="18.75" thickBot="1" x14ac:dyDescent="0.3">
      <c r="A7" s="12"/>
      <c r="B7" s="13"/>
      <c r="C7" s="13"/>
      <c r="D7" s="13"/>
      <c r="E7" s="13"/>
      <c r="F7" s="13"/>
      <c r="G7" s="13"/>
      <c r="H7" s="13"/>
      <c r="I7" s="13"/>
      <c r="J7" s="13"/>
      <c r="K7" s="14"/>
      <c r="L7" s="13"/>
      <c r="M7" s="13"/>
      <c r="N7" s="15"/>
    </row>
    <row r="8" spans="1:30" ht="29.25" customHeight="1" thickBot="1" x14ac:dyDescent="0.25">
      <c r="A8" s="31"/>
      <c r="B8" s="22" t="s">
        <v>11</v>
      </c>
      <c r="C8" s="623" t="str">
        <f>IF(COUNTIF(F26:F60,"#")&gt;0,"[Select Status]",IF(COUNTIF(F26:F60,"C")&gt;0,"[C - IEF target not achieved, reason not fully explained]",IF(COUNTIF(F26:F60,"B")&gt;0,"[B - IEF target not achieved, due to technical reason]",IF(COUNTIF(F26:F60,"2nd")&gt;0,"[2nd - According to Codex: 2nd measurement is needed]",IF(COUNTIF(F26:F60,"A")&gt;0,"[A - IEF target achieved]","[Import Results]")))))</f>
        <v>[B - IEF target not achieved, due to technical reason]</v>
      </c>
      <c r="D8" s="624"/>
      <c r="E8" s="624"/>
      <c r="F8" s="625"/>
      <c r="H8" s="101" t="s">
        <v>18</v>
      </c>
      <c r="I8" s="339" t="str">
        <f>IF(C8="[B - IEF target not achieved, due to technical reason]","X",IF(C8="[A - IEF target achieved]","X",""))</f>
        <v>X</v>
      </c>
      <c r="J8" s="102" t="s">
        <v>19</v>
      </c>
      <c r="K8" s="340" t="str">
        <f>IF(C8="[C - IEF target not achieved, reason not fully explained]","X","")</f>
        <v/>
      </c>
      <c r="L8" s="26"/>
      <c r="M8" s="26"/>
      <c r="N8" s="27"/>
      <c r="R8" s="603" t="s">
        <v>128</v>
      </c>
      <c r="S8" s="604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</row>
    <row r="9" spans="1:30" ht="18" customHeight="1" thickBot="1" x14ac:dyDescent="0.25">
      <c r="A9" s="25"/>
      <c r="N9" s="38"/>
      <c r="Q9" s="16"/>
      <c r="R9" s="605"/>
      <c r="S9" s="606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</row>
    <row r="10" spans="1:30" x14ac:dyDescent="0.2">
      <c r="A10" s="25"/>
      <c r="B10" s="22" t="s">
        <v>12</v>
      </c>
      <c r="C10" s="629" t="s">
        <v>7</v>
      </c>
      <c r="D10" s="629"/>
      <c r="E10" s="629"/>
      <c r="F10" s="629"/>
      <c r="G10" s="629"/>
      <c r="H10" s="629"/>
      <c r="I10" s="629"/>
      <c r="J10" s="26"/>
      <c r="K10" s="26"/>
      <c r="L10" s="26"/>
      <c r="M10" s="26"/>
      <c r="N10" s="27"/>
      <c r="Q10" s="16"/>
      <c r="R10" s="186"/>
      <c r="S10" s="187"/>
    </row>
    <row r="11" spans="1:30" ht="12.75" customHeight="1" x14ac:dyDescent="0.2">
      <c r="A11" s="25"/>
      <c r="B11" s="22" t="s">
        <v>13</v>
      </c>
      <c r="C11" s="629" t="s">
        <v>23</v>
      </c>
      <c r="D11" s="629"/>
      <c r="E11" s="629"/>
      <c r="F11" s="629"/>
      <c r="G11" s="629"/>
      <c r="H11" s="629"/>
      <c r="I11" s="629"/>
      <c r="J11" s="26"/>
      <c r="K11" s="26"/>
      <c r="L11" s="26"/>
      <c r="M11" s="26"/>
      <c r="N11" s="27"/>
      <c r="Q11" s="16"/>
      <c r="R11" s="611" t="s">
        <v>202</v>
      </c>
      <c r="S11" s="187"/>
    </row>
    <row r="12" spans="1:30" ht="12.75" customHeight="1" x14ac:dyDescent="0.2">
      <c r="A12" s="25"/>
      <c r="B12" s="22" t="s">
        <v>14</v>
      </c>
      <c r="C12" s="629" t="s">
        <v>21</v>
      </c>
      <c r="D12" s="629"/>
      <c r="E12" s="629"/>
      <c r="F12" s="629"/>
      <c r="G12" s="629"/>
      <c r="H12" s="629"/>
      <c r="I12" s="629"/>
      <c r="J12" s="26"/>
      <c r="K12" s="26"/>
      <c r="L12" s="26"/>
      <c r="M12" s="26"/>
      <c r="N12" s="27"/>
      <c r="Q12" s="16"/>
      <c r="R12" s="611"/>
      <c r="S12" s="187"/>
    </row>
    <row r="13" spans="1:30" ht="12.75" customHeight="1" x14ac:dyDescent="0.2">
      <c r="A13" s="25"/>
      <c r="B13" s="22" t="s">
        <v>15</v>
      </c>
      <c r="C13" s="629" t="s">
        <v>22</v>
      </c>
      <c r="D13" s="629"/>
      <c r="E13" s="629"/>
      <c r="F13" s="629"/>
      <c r="G13" s="629"/>
      <c r="H13" s="629"/>
      <c r="I13" s="629"/>
      <c r="J13" s="26"/>
      <c r="K13" s="26"/>
      <c r="L13" s="26"/>
      <c r="M13" s="26"/>
      <c r="N13" s="27"/>
      <c r="Q13" s="16"/>
      <c r="R13" s="611"/>
      <c r="S13" s="187"/>
    </row>
    <row r="14" spans="1:30" ht="12.75" customHeight="1" x14ac:dyDescent="0.2">
      <c r="A14" s="25"/>
      <c r="B14" s="22" t="s">
        <v>17</v>
      </c>
      <c r="C14" s="629" t="s">
        <v>20</v>
      </c>
      <c r="D14" s="629"/>
      <c r="E14" s="629"/>
      <c r="F14" s="629"/>
      <c r="G14" s="629"/>
      <c r="H14" s="629"/>
      <c r="I14" s="629"/>
      <c r="J14" s="26"/>
      <c r="K14" s="26"/>
      <c r="L14" s="26"/>
      <c r="M14" s="26"/>
      <c r="N14" s="27"/>
      <c r="Q14" s="16"/>
      <c r="R14" s="611"/>
      <c r="S14" s="187"/>
    </row>
    <row r="15" spans="1:30" ht="13.5" thickBot="1" x14ac:dyDescent="0.25">
      <c r="A15" s="25"/>
      <c r="B15" s="22" t="s">
        <v>6</v>
      </c>
      <c r="C15" s="629" t="s">
        <v>8</v>
      </c>
      <c r="D15" s="629"/>
      <c r="E15" s="629"/>
      <c r="F15" s="629"/>
      <c r="G15" s="629"/>
      <c r="H15" s="629"/>
      <c r="I15" s="629"/>
      <c r="J15" s="26"/>
      <c r="K15" s="26"/>
      <c r="L15" s="26"/>
      <c r="M15" s="26"/>
      <c r="N15" s="27"/>
      <c r="Q15" s="16"/>
      <c r="R15" s="188"/>
      <c r="S15" s="189"/>
    </row>
    <row r="16" spans="1:30" x14ac:dyDescent="0.2">
      <c r="A16" s="25"/>
      <c r="B16" s="22" t="s">
        <v>16</v>
      </c>
      <c r="C16" s="629" t="s">
        <v>9</v>
      </c>
      <c r="D16" s="629"/>
      <c r="E16" s="629"/>
      <c r="F16" s="629"/>
      <c r="G16" s="629"/>
      <c r="H16" s="629"/>
      <c r="I16" s="629"/>
      <c r="J16" s="26"/>
      <c r="K16" s="26"/>
      <c r="L16" s="26"/>
      <c r="M16" s="26"/>
      <c r="N16" s="27"/>
      <c r="Q16" s="16"/>
      <c r="R16" s="607"/>
      <c r="S16" s="11"/>
      <c r="T16" s="36"/>
    </row>
    <row r="17" spans="1:20" ht="13.5" thickBot="1" x14ac:dyDescent="0.25">
      <c r="A17" s="28"/>
      <c r="B17" s="23"/>
      <c r="C17" s="24"/>
      <c r="D17" s="24"/>
      <c r="E17" s="24"/>
      <c r="F17" s="24"/>
      <c r="G17" s="24"/>
      <c r="H17" s="24"/>
      <c r="I17" s="24"/>
      <c r="J17" s="29"/>
      <c r="K17" s="29"/>
      <c r="L17" s="29"/>
      <c r="M17" s="29"/>
      <c r="N17" s="30"/>
      <c r="Q17" s="16"/>
      <c r="R17" s="607"/>
      <c r="S17" s="11"/>
    </row>
    <row r="18" spans="1:20" ht="13.5" thickBot="1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17"/>
      <c r="Q18" s="11"/>
      <c r="R18" s="11"/>
      <c r="S18" s="11"/>
    </row>
    <row r="19" spans="1:20" ht="23.25" customHeight="1" thickBot="1" x14ac:dyDescent="0.25">
      <c r="A19" s="8"/>
      <c r="B19" s="601" t="s">
        <v>127</v>
      </c>
      <c r="C19" s="601"/>
      <c r="D19" s="601"/>
      <c r="E19" s="32"/>
      <c r="F19" s="639" t="s">
        <v>247</v>
      </c>
      <c r="G19" s="639"/>
      <c r="H19" s="643"/>
      <c r="I19" s="636" t="s">
        <v>232</v>
      </c>
      <c r="J19" s="637"/>
      <c r="K19" s="637"/>
      <c r="L19" s="638"/>
      <c r="M19" s="6"/>
      <c r="N19" s="19"/>
      <c r="Q19" s="11"/>
      <c r="R19" s="11"/>
      <c r="S19" s="11"/>
    </row>
    <row r="20" spans="1:20" ht="39.75" customHeight="1" thickBot="1" x14ac:dyDescent="0.25">
      <c r="A20" s="8"/>
      <c r="B20" s="602" t="s">
        <v>201</v>
      </c>
      <c r="C20" s="602"/>
      <c r="D20" s="602"/>
      <c r="E20" s="34"/>
      <c r="F20" s="639" t="s">
        <v>332</v>
      </c>
      <c r="G20" s="639"/>
      <c r="H20" s="639"/>
      <c r="I20" s="640" t="s">
        <v>374</v>
      </c>
      <c r="J20" s="641"/>
      <c r="K20" s="642"/>
      <c r="L20" s="327"/>
      <c r="M20" s="6"/>
      <c r="N20" s="19"/>
      <c r="Q20" s="11"/>
      <c r="R20" s="11"/>
      <c r="S20" s="11"/>
    </row>
    <row r="21" spans="1:20" ht="15.75" thickBot="1" x14ac:dyDescent="0.25">
      <c r="A21" s="10"/>
      <c r="B21" s="9"/>
      <c r="C21" s="9"/>
      <c r="D21" s="9"/>
      <c r="E21" s="9"/>
      <c r="F21" s="9"/>
      <c r="G21" s="9"/>
      <c r="H21" s="5"/>
      <c r="I21" s="4"/>
      <c r="J21" s="9"/>
      <c r="K21" s="9"/>
      <c r="L21" s="9"/>
      <c r="M21" s="9"/>
      <c r="N21" s="20"/>
    </row>
    <row r="22" spans="1:20" ht="12.75" customHeight="1" x14ac:dyDescent="0.2">
      <c r="A22" s="33"/>
      <c r="B22" s="140" t="s">
        <v>24</v>
      </c>
      <c r="C22" s="141"/>
      <c r="D22" s="141"/>
      <c r="E22" s="141"/>
      <c r="F22" s="141"/>
      <c r="G22" s="141"/>
      <c r="H22" s="141"/>
      <c r="I22" s="141"/>
      <c r="J22" s="141"/>
      <c r="K22" s="141"/>
      <c r="L22" s="142"/>
      <c r="M22" s="9"/>
      <c r="N22" s="20"/>
      <c r="R22" s="645" t="s">
        <v>204</v>
      </c>
      <c r="S22" s="645"/>
    </row>
    <row r="23" spans="1:20" ht="13.5" customHeight="1" thickBot="1" x14ac:dyDescent="0.25">
      <c r="A23" s="138"/>
      <c r="B23" s="143"/>
      <c r="C23" s="144"/>
      <c r="D23" s="144"/>
      <c r="E23" s="144"/>
      <c r="F23" s="144"/>
      <c r="G23" s="144"/>
      <c r="H23" s="144"/>
      <c r="I23" s="144"/>
      <c r="J23" s="144"/>
      <c r="K23" s="144"/>
      <c r="L23" s="145"/>
      <c r="M23" s="6"/>
      <c r="N23" s="19"/>
      <c r="Q23" s="646" t="s">
        <v>203</v>
      </c>
      <c r="R23" s="645"/>
      <c r="S23" s="645"/>
      <c r="T23" s="644" t="s">
        <v>203</v>
      </c>
    </row>
    <row r="24" spans="1:20" ht="45" customHeight="1" x14ac:dyDescent="0.2">
      <c r="A24" s="138"/>
      <c r="B24" s="35" t="s">
        <v>2</v>
      </c>
      <c r="C24" s="139" t="s">
        <v>4</v>
      </c>
      <c r="D24" s="139" t="s">
        <v>375</v>
      </c>
      <c r="E24" s="315" t="s">
        <v>246</v>
      </c>
      <c r="F24" s="146" t="s">
        <v>220</v>
      </c>
      <c r="G24" s="626" t="s">
        <v>200</v>
      </c>
      <c r="H24" s="627"/>
      <c r="I24" s="627"/>
      <c r="J24" s="627"/>
      <c r="K24" s="627"/>
      <c r="L24" s="628"/>
      <c r="M24" s="7"/>
      <c r="N24" s="21"/>
      <c r="Q24" s="646"/>
      <c r="R24" s="645"/>
      <c r="S24" s="645"/>
      <c r="T24" s="644"/>
    </row>
    <row r="25" spans="1:20" ht="24.95" customHeight="1" x14ac:dyDescent="0.2">
      <c r="A25" s="138"/>
      <c r="B25" s="268" t="s">
        <v>34</v>
      </c>
      <c r="C25" s="574"/>
      <c r="D25" s="574"/>
      <c r="E25" s="574"/>
      <c r="F25" s="574" t="s">
        <v>31</v>
      </c>
      <c r="G25" s="612"/>
      <c r="H25" s="612"/>
      <c r="I25" s="612"/>
      <c r="J25" s="612"/>
      <c r="K25" s="612"/>
      <c r="L25" s="613"/>
      <c r="M25" s="7"/>
      <c r="N25" s="21"/>
      <c r="Q25" s="136"/>
      <c r="R25" s="645"/>
      <c r="S25" s="645"/>
      <c r="T25" s="137"/>
    </row>
    <row r="26" spans="1:20" ht="24.95" customHeight="1" x14ac:dyDescent="0.2">
      <c r="A26" s="3"/>
      <c r="B26" s="269" t="s">
        <v>68</v>
      </c>
      <c r="C26" s="574">
        <v>200</v>
      </c>
      <c r="D26" s="190">
        <v>525</v>
      </c>
      <c r="E26" s="190" t="s">
        <v>5</v>
      </c>
      <c r="F26" s="191" t="s">
        <v>5</v>
      </c>
      <c r="G26" s="608"/>
      <c r="H26" s="609"/>
      <c r="I26" s="609"/>
      <c r="J26" s="609"/>
      <c r="K26" s="609"/>
      <c r="L26" s="610"/>
      <c r="M26" s="4"/>
      <c r="N26" s="18"/>
      <c r="R26" s="645"/>
      <c r="S26" s="645"/>
    </row>
    <row r="27" spans="1:20" ht="24.95" customHeight="1" x14ac:dyDescent="0.2">
      <c r="A27" s="3"/>
      <c r="B27" s="270" t="s">
        <v>0</v>
      </c>
      <c r="C27" s="574">
        <v>1</v>
      </c>
      <c r="D27" s="190" t="s">
        <v>5</v>
      </c>
      <c r="E27" s="190" t="s">
        <v>5</v>
      </c>
      <c r="F27" s="191" t="s">
        <v>5</v>
      </c>
      <c r="G27" s="608"/>
      <c r="H27" s="609"/>
      <c r="I27" s="609"/>
      <c r="J27" s="609"/>
      <c r="K27" s="609"/>
      <c r="L27" s="610"/>
      <c r="M27" s="4"/>
      <c r="N27" s="18"/>
      <c r="Q27" s="646"/>
      <c r="R27" s="645"/>
      <c r="S27" s="645"/>
      <c r="T27" s="644"/>
    </row>
    <row r="28" spans="1:20" ht="24.95" customHeight="1" x14ac:dyDescent="0.2">
      <c r="A28" s="3"/>
      <c r="B28" s="270" t="s">
        <v>35</v>
      </c>
      <c r="C28" s="574">
        <v>1</v>
      </c>
      <c r="D28" s="190" t="s">
        <v>5</v>
      </c>
      <c r="E28" s="190" t="s">
        <v>5</v>
      </c>
      <c r="F28" s="191" t="s">
        <v>5</v>
      </c>
      <c r="G28" s="608"/>
      <c r="H28" s="609"/>
      <c r="I28" s="609"/>
      <c r="J28" s="609"/>
      <c r="K28" s="609"/>
      <c r="L28" s="610"/>
      <c r="M28" s="4"/>
      <c r="N28" s="18"/>
      <c r="Q28" s="646"/>
      <c r="R28" s="645"/>
      <c r="S28" s="645"/>
      <c r="T28" s="644"/>
    </row>
    <row r="29" spans="1:20" ht="24.95" customHeight="1" x14ac:dyDescent="0.2">
      <c r="A29" s="3"/>
      <c r="B29" s="271" t="s">
        <v>36</v>
      </c>
      <c r="C29" s="574">
        <v>1</v>
      </c>
      <c r="D29" s="190" t="s">
        <v>5</v>
      </c>
      <c r="E29" s="190" t="s">
        <v>5</v>
      </c>
      <c r="F29" s="191" t="s">
        <v>5</v>
      </c>
      <c r="G29" s="608"/>
      <c r="H29" s="609"/>
      <c r="I29" s="609"/>
      <c r="J29" s="609"/>
      <c r="K29" s="609"/>
      <c r="L29" s="610"/>
      <c r="M29" s="4"/>
      <c r="N29" s="18"/>
      <c r="Q29" s="136"/>
      <c r="R29" s="645"/>
      <c r="S29" s="645"/>
      <c r="T29" s="137"/>
    </row>
    <row r="30" spans="1:20" ht="24.95" customHeight="1" x14ac:dyDescent="0.2">
      <c r="A30" s="10"/>
      <c r="B30" s="272" t="s">
        <v>53</v>
      </c>
      <c r="C30" s="574">
        <v>1</v>
      </c>
      <c r="D30" s="190" t="s">
        <v>5</v>
      </c>
      <c r="E30" s="190" t="s">
        <v>5</v>
      </c>
      <c r="F30" s="191" t="s">
        <v>5</v>
      </c>
      <c r="G30" s="608"/>
      <c r="H30" s="609"/>
      <c r="I30" s="609"/>
      <c r="J30" s="609"/>
      <c r="K30" s="609"/>
      <c r="L30" s="610"/>
      <c r="M30" s="4"/>
      <c r="N30" s="18"/>
    </row>
    <row r="31" spans="1:20" ht="24.95" customHeight="1" x14ac:dyDescent="0.2">
      <c r="A31" s="10"/>
      <c r="B31" s="273" t="s">
        <v>54</v>
      </c>
      <c r="C31" s="574"/>
      <c r="D31" s="574"/>
      <c r="E31" s="574"/>
      <c r="F31" s="574" t="s">
        <v>32</v>
      </c>
      <c r="G31" s="612"/>
      <c r="H31" s="612"/>
      <c r="I31" s="612"/>
      <c r="J31" s="612"/>
      <c r="K31" s="612"/>
      <c r="L31" s="613"/>
      <c r="M31" s="4"/>
      <c r="N31" s="18"/>
    </row>
    <row r="32" spans="1:20" ht="24.95" customHeight="1" x14ac:dyDescent="0.2">
      <c r="A32" s="10"/>
      <c r="B32" s="274" t="str">
        <f>CONCATENATE("3.1 NEDC 20°C ",'Variant 1 - NEDC (Fuel1)'!$B$67)</f>
        <v>3.1 NEDC 20°C Drive Mode 1</v>
      </c>
      <c r="C32" s="574">
        <v>1</v>
      </c>
      <c r="D32" s="190" t="s">
        <v>5</v>
      </c>
      <c r="E32" s="190" t="s">
        <v>5</v>
      </c>
      <c r="F32" s="191" t="s">
        <v>5</v>
      </c>
      <c r="G32" s="608"/>
      <c r="H32" s="609"/>
      <c r="I32" s="609"/>
      <c r="J32" s="609"/>
      <c r="K32" s="609"/>
      <c r="L32" s="610"/>
      <c r="M32" s="4"/>
      <c r="N32" s="18"/>
    </row>
    <row r="33" spans="1:14" ht="24.95" customHeight="1" x14ac:dyDescent="0.2">
      <c r="A33" s="10"/>
      <c r="B33" s="274" t="str">
        <f>CONCATENATE("3.2 NEDC 20°C ",'Variant 1 - NEDC (Fuel1)'!$B$72)</f>
        <v>3.2 NEDC 20°C Drive Mode 2</v>
      </c>
      <c r="C33" s="574">
        <v>1</v>
      </c>
      <c r="D33" s="190" t="s">
        <v>5</v>
      </c>
      <c r="E33" s="190" t="s">
        <v>5</v>
      </c>
      <c r="F33" s="191" t="s">
        <v>5</v>
      </c>
      <c r="G33" s="608"/>
      <c r="H33" s="609"/>
      <c r="I33" s="609"/>
      <c r="J33" s="609"/>
      <c r="K33" s="609"/>
      <c r="L33" s="610"/>
      <c r="M33" s="4"/>
      <c r="N33" s="18"/>
    </row>
    <row r="34" spans="1:14" ht="24.95" customHeight="1" x14ac:dyDescent="0.2">
      <c r="A34" s="33"/>
      <c r="B34" s="274" t="str">
        <f>CONCATENATE("3.3 NEDC 20°C ",'Variant 1 - NEDC (Fuel1)'!$B$77)</f>
        <v>3.3 NEDC 20°C Drive Mode 3</v>
      </c>
      <c r="C34" s="574">
        <v>1</v>
      </c>
      <c r="D34" s="190" t="s">
        <v>5</v>
      </c>
      <c r="E34" s="190" t="s">
        <v>5</v>
      </c>
      <c r="F34" s="191" t="s">
        <v>5</v>
      </c>
      <c r="G34" s="608"/>
      <c r="H34" s="609"/>
      <c r="I34" s="609"/>
      <c r="J34" s="609"/>
      <c r="K34" s="609"/>
      <c r="L34" s="610"/>
      <c r="M34" s="4"/>
      <c r="N34" s="18"/>
    </row>
    <row r="35" spans="1:14" ht="24.95" customHeight="1" x14ac:dyDescent="0.2">
      <c r="A35" s="33"/>
      <c r="B35" s="274" t="str">
        <f>CONCATENATE("3.4 NEDC 20°C ",'Variant 1 - NEDC (Fuel1)'!$B$82)</f>
        <v>3.4 NEDC 20°C Drive Mode 4</v>
      </c>
      <c r="C35" s="574">
        <v>1</v>
      </c>
      <c r="D35" s="190" t="s">
        <v>5</v>
      </c>
      <c r="E35" s="190" t="s">
        <v>5</v>
      </c>
      <c r="F35" s="191" t="s">
        <v>5</v>
      </c>
      <c r="G35" s="608"/>
      <c r="H35" s="609"/>
      <c r="I35" s="609"/>
      <c r="J35" s="609"/>
      <c r="K35" s="609"/>
      <c r="L35" s="610"/>
      <c r="M35" s="4"/>
      <c r="N35" s="18"/>
    </row>
    <row r="36" spans="1:14" ht="24.95" customHeight="1" x14ac:dyDescent="0.2">
      <c r="A36" s="33"/>
      <c r="B36" s="274" t="str">
        <f>CONCATENATE("3.5 NEDC 20°C ",'Variant 1 - NEDC (Fuel1)'!$B$87)</f>
        <v>3.5 NEDC 20°C Drive Mode 5</v>
      </c>
      <c r="C36" s="574">
        <v>1</v>
      </c>
      <c r="D36" s="190" t="s">
        <v>5</v>
      </c>
      <c r="E36" s="190" t="s">
        <v>5</v>
      </c>
      <c r="F36" s="191" t="s">
        <v>5</v>
      </c>
      <c r="G36" s="608"/>
      <c r="H36" s="609"/>
      <c r="I36" s="609"/>
      <c r="J36" s="609"/>
      <c r="K36" s="609"/>
      <c r="L36" s="610"/>
      <c r="M36" s="4"/>
      <c r="N36" s="18"/>
    </row>
    <row r="37" spans="1:14" ht="24.95" customHeight="1" x14ac:dyDescent="0.2">
      <c r="A37" s="33"/>
      <c r="B37" s="274" t="str">
        <f>CONCATENATE("3.6 NEDC 20°C ",'Variant 1 - NEDC (Fuel1)'!$B$92)</f>
        <v>3.6 NEDC 20°C Drive Mode 6</v>
      </c>
      <c r="C37" s="574">
        <v>1</v>
      </c>
      <c r="D37" s="190" t="s">
        <v>5</v>
      </c>
      <c r="E37" s="190" t="s">
        <v>5</v>
      </c>
      <c r="F37" s="191" t="s">
        <v>5</v>
      </c>
      <c r="G37" s="608"/>
      <c r="H37" s="609"/>
      <c r="I37" s="609"/>
      <c r="J37" s="609"/>
      <c r="K37" s="609"/>
      <c r="L37" s="610"/>
      <c r="M37" s="4"/>
      <c r="N37" s="18"/>
    </row>
    <row r="38" spans="1:14" ht="24.95" customHeight="1" x14ac:dyDescent="0.2">
      <c r="A38" s="33"/>
      <c r="B38" s="275" t="s">
        <v>55</v>
      </c>
      <c r="C38" s="574">
        <v>1</v>
      </c>
      <c r="D38" s="190" t="s">
        <v>5</v>
      </c>
      <c r="E38" s="190" t="s">
        <v>5</v>
      </c>
      <c r="F38" s="191" t="s">
        <v>5</v>
      </c>
      <c r="G38" s="608"/>
      <c r="H38" s="609"/>
      <c r="I38" s="609"/>
      <c r="J38" s="609"/>
      <c r="K38" s="609"/>
      <c r="L38" s="610"/>
      <c r="M38" s="4"/>
      <c r="N38" s="18"/>
    </row>
    <row r="39" spans="1:14" ht="24.95" customHeight="1" x14ac:dyDescent="0.2">
      <c r="A39" s="33"/>
      <c r="B39" s="273" t="s">
        <v>182</v>
      </c>
      <c r="C39" s="574" t="s">
        <v>5</v>
      </c>
      <c r="D39" s="190" t="s">
        <v>5</v>
      </c>
      <c r="E39" s="190" t="s">
        <v>5</v>
      </c>
      <c r="F39" s="191" t="s">
        <v>5</v>
      </c>
      <c r="G39" s="608"/>
      <c r="H39" s="609"/>
      <c r="I39" s="609"/>
      <c r="J39" s="609"/>
      <c r="K39" s="609"/>
      <c r="L39" s="610"/>
      <c r="M39" s="4"/>
      <c r="N39" s="18"/>
    </row>
    <row r="40" spans="1:14" ht="24.95" customHeight="1" x14ac:dyDescent="0.2">
      <c r="A40" s="3"/>
      <c r="B40" s="275" t="s">
        <v>209</v>
      </c>
      <c r="C40" s="574" t="s">
        <v>5</v>
      </c>
      <c r="D40" s="190" t="s">
        <v>5</v>
      </c>
      <c r="E40" s="190" t="s">
        <v>5</v>
      </c>
      <c r="F40" s="191" t="s">
        <v>5</v>
      </c>
      <c r="G40" s="608"/>
      <c r="H40" s="609"/>
      <c r="I40" s="609"/>
      <c r="J40" s="609"/>
      <c r="K40" s="609"/>
      <c r="L40" s="610"/>
      <c r="M40" s="4"/>
      <c r="N40" s="18"/>
    </row>
    <row r="41" spans="1:14" ht="24.95" customHeight="1" x14ac:dyDescent="0.2">
      <c r="A41" s="3"/>
      <c r="B41" s="275" t="s">
        <v>298</v>
      </c>
      <c r="C41" s="574"/>
      <c r="D41" s="574"/>
      <c r="E41" s="574"/>
      <c r="F41" s="574"/>
      <c r="G41" s="612"/>
      <c r="H41" s="612"/>
      <c r="I41" s="612"/>
      <c r="J41" s="612"/>
      <c r="K41" s="612"/>
      <c r="L41" s="613"/>
      <c r="M41" s="4"/>
      <c r="N41" s="18"/>
    </row>
    <row r="42" spans="1:14" ht="24.95" customHeight="1" x14ac:dyDescent="0.2">
      <c r="A42" s="3"/>
      <c r="B42" s="270" t="s">
        <v>210</v>
      </c>
      <c r="C42" s="574">
        <v>2</v>
      </c>
      <c r="D42" s="190" t="s">
        <v>5</v>
      </c>
      <c r="E42" s="190" t="s">
        <v>5</v>
      </c>
      <c r="F42" s="191" t="s">
        <v>5</v>
      </c>
      <c r="G42" s="608"/>
      <c r="H42" s="609"/>
      <c r="I42" s="609"/>
      <c r="J42" s="609"/>
      <c r="K42" s="609"/>
      <c r="L42" s="610"/>
      <c r="M42" s="4"/>
      <c r="N42" s="18"/>
    </row>
    <row r="43" spans="1:14" ht="24.95" customHeight="1" x14ac:dyDescent="0.2">
      <c r="A43" s="3"/>
      <c r="B43" s="270" t="s">
        <v>211</v>
      </c>
      <c r="C43" s="574">
        <v>4</v>
      </c>
      <c r="D43" s="190" t="s">
        <v>5</v>
      </c>
      <c r="E43" s="190" t="s">
        <v>5</v>
      </c>
      <c r="F43" s="191" t="s">
        <v>5</v>
      </c>
      <c r="G43" s="608"/>
      <c r="H43" s="609"/>
      <c r="I43" s="609"/>
      <c r="J43" s="609"/>
      <c r="K43" s="609"/>
      <c r="L43" s="610"/>
      <c r="M43" s="4"/>
      <c r="N43" s="18"/>
    </row>
    <row r="44" spans="1:14" ht="24.95" customHeight="1" x14ac:dyDescent="0.2">
      <c r="A44" s="3"/>
      <c r="B44" s="275" t="s">
        <v>219</v>
      </c>
      <c r="C44" s="574"/>
      <c r="D44" s="574"/>
      <c r="E44" s="574"/>
      <c r="F44" s="574"/>
      <c r="G44" s="612"/>
      <c r="H44" s="612"/>
      <c r="I44" s="612"/>
      <c r="J44" s="612"/>
      <c r="K44" s="612"/>
      <c r="L44" s="613"/>
      <c r="M44" s="4"/>
      <c r="N44" s="18"/>
    </row>
    <row r="45" spans="1:14" ht="24.95" customHeight="1" x14ac:dyDescent="0.2">
      <c r="A45" s="3"/>
      <c r="B45" s="270" t="s">
        <v>212</v>
      </c>
      <c r="C45" s="574">
        <v>4</v>
      </c>
      <c r="D45" s="190" t="s">
        <v>5</v>
      </c>
      <c r="E45" s="190" t="s">
        <v>5</v>
      </c>
      <c r="F45" s="191" t="s">
        <v>5</v>
      </c>
      <c r="G45" s="608"/>
      <c r="H45" s="609"/>
      <c r="I45" s="609"/>
      <c r="J45" s="609"/>
      <c r="K45" s="609"/>
      <c r="L45" s="610"/>
      <c r="M45" s="4"/>
      <c r="N45" s="18"/>
    </row>
    <row r="46" spans="1:14" ht="24.95" customHeight="1" x14ac:dyDescent="0.2">
      <c r="A46" s="3"/>
      <c r="B46" s="270" t="s">
        <v>213</v>
      </c>
      <c r="C46" s="574">
        <v>4</v>
      </c>
      <c r="D46" s="190" t="s">
        <v>5</v>
      </c>
      <c r="E46" s="190" t="s">
        <v>5</v>
      </c>
      <c r="F46" s="191" t="s">
        <v>5</v>
      </c>
      <c r="G46" s="608"/>
      <c r="H46" s="609"/>
      <c r="I46" s="609"/>
      <c r="J46" s="609"/>
      <c r="K46" s="609"/>
      <c r="L46" s="610"/>
      <c r="M46" s="4"/>
      <c r="N46" s="18"/>
    </row>
    <row r="47" spans="1:14" ht="24.95" customHeight="1" x14ac:dyDescent="0.2">
      <c r="A47" s="3"/>
      <c r="B47" s="270" t="s">
        <v>214</v>
      </c>
      <c r="C47" s="574">
        <v>4</v>
      </c>
      <c r="D47" s="190" t="s">
        <v>5</v>
      </c>
      <c r="E47" s="190" t="s">
        <v>5</v>
      </c>
      <c r="F47" s="191" t="s">
        <v>5</v>
      </c>
      <c r="G47" s="608"/>
      <c r="H47" s="609"/>
      <c r="I47" s="609"/>
      <c r="J47" s="609"/>
      <c r="K47" s="609"/>
      <c r="L47" s="610"/>
      <c r="M47" s="4"/>
      <c r="N47" s="18"/>
    </row>
    <row r="48" spans="1:14" ht="24.95" customHeight="1" x14ac:dyDescent="0.2">
      <c r="A48" s="3"/>
      <c r="B48" s="270" t="s">
        <v>215</v>
      </c>
      <c r="C48" s="574">
        <v>4</v>
      </c>
      <c r="D48" s="190" t="s">
        <v>5</v>
      </c>
      <c r="E48" s="190" t="s">
        <v>5</v>
      </c>
      <c r="F48" s="191" t="s">
        <v>5</v>
      </c>
      <c r="G48" s="608"/>
      <c r="H48" s="609"/>
      <c r="I48" s="609"/>
      <c r="J48" s="609"/>
      <c r="K48" s="609"/>
      <c r="L48" s="610"/>
      <c r="M48" s="4"/>
      <c r="N48" s="18"/>
    </row>
    <row r="49" spans="1:17" ht="24.95" customHeight="1" x14ac:dyDescent="0.2">
      <c r="A49" s="3"/>
      <c r="B49" s="270" t="s">
        <v>216</v>
      </c>
      <c r="C49" s="574">
        <v>4</v>
      </c>
      <c r="D49" s="190" t="s">
        <v>5</v>
      </c>
      <c r="E49" s="190" t="s">
        <v>5</v>
      </c>
      <c r="F49" s="191" t="s">
        <v>5</v>
      </c>
      <c r="G49" s="608"/>
      <c r="H49" s="609"/>
      <c r="I49" s="609"/>
      <c r="J49" s="609"/>
      <c r="K49" s="609"/>
      <c r="L49" s="610"/>
      <c r="M49" s="4"/>
      <c r="N49" s="18"/>
    </row>
    <row r="50" spans="1:17" ht="24.95" customHeight="1" x14ac:dyDescent="0.2">
      <c r="A50" s="10"/>
      <c r="B50" s="270" t="s">
        <v>217</v>
      </c>
      <c r="C50" s="574">
        <v>4</v>
      </c>
      <c r="D50" s="190" t="s">
        <v>5</v>
      </c>
      <c r="E50" s="190" t="s">
        <v>5</v>
      </c>
      <c r="F50" s="191" t="s">
        <v>5</v>
      </c>
      <c r="G50" s="608"/>
      <c r="H50" s="609"/>
      <c r="I50" s="609"/>
      <c r="J50" s="609"/>
      <c r="K50" s="609"/>
      <c r="L50" s="610"/>
      <c r="M50" s="4"/>
      <c r="N50" s="18"/>
    </row>
    <row r="51" spans="1:17" ht="24.95" customHeight="1" x14ac:dyDescent="0.2">
      <c r="A51" s="10"/>
      <c r="B51" s="275" t="s">
        <v>5</v>
      </c>
      <c r="C51" s="572"/>
      <c r="D51" s="572"/>
      <c r="E51" s="572"/>
      <c r="F51" s="572"/>
      <c r="G51" s="655"/>
      <c r="H51" s="656"/>
      <c r="I51" s="656"/>
      <c r="J51" s="656"/>
      <c r="K51" s="656"/>
      <c r="L51" s="657"/>
      <c r="M51" s="4"/>
      <c r="N51" s="18"/>
    </row>
    <row r="52" spans="1:17" ht="24.95" customHeight="1" x14ac:dyDescent="0.2">
      <c r="A52" s="10"/>
      <c r="B52" s="275" t="s">
        <v>5</v>
      </c>
      <c r="C52" s="572"/>
      <c r="D52" s="572"/>
      <c r="E52" s="572"/>
      <c r="F52" s="572"/>
      <c r="G52" s="648"/>
      <c r="H52" s="648"/>
      <c r="I52" s="648"/>
      <c r="J52" s="648"/>
      <c r="K52" s="648"/>
      <c r="L52" s="649"/>
      <c r="M52" s="4"/>
      <c r="N52" s="18"/>
      <c r="Q52" s="135"/>
    </row>
    <row r="53" spans="1:17" ht="24.95" customHeight="1" x14ac:dyDescent="0.2">
      <c r="A53" s="10"/>
      <c r="B53" s="275" t="s">
        <v>5</v>
      </c>
      <c r="C53" s="572"/>
      <c r="D53" s="572"/>
      <c r="E53" s="572"/>
      <c r="F53" s="572"/>
      <c r="G53" s="648"/>
      <c r="H53" s="648"/>
      <c r="I53" s="648"/>
      <c r="J53" s="648"/>
      <c r="K53" s="648"/>
      <c r="L53" s="649"/>
      <c r="M53" s="4"/>
      <c r="N53" s="18"/>
      <c r="Q53" s="135"/>
    </row>
    <row r="54" spans="1:17" ht="24.95" customHeight="1" x14ac:dyDescent="0.2">
      <c r="A54" s="10"/>
      <c r="B54" s="275" t="s">
        <v>5</v>
      </c>
      <c r="C54" s="572"/>
      <c r="D54" s="572"/>
      <c r="E54" s="572"/>
      <c r="F54" s="572"/>
      <c r="G54" s="648"/>
      <c r="H54" s="648"/>
      <c r="I54" s="648"/>
      <c r="J54" s="648"/>
      <c r="K54" s="648"/>
      <c r="L54" s="649"/>
      <c r="M54" s="4"/>
      <c r="N54" s="18"/>
      <c r="Q54" s="135"/>
    </row>
    <row r="55" spans="1:17" ht="24.95" customHeight="1" x14ac:dyDescent="0.2">
      <c r="A55" s="10"/>
      <c r="B55" s="275" t="s">
        <v>5</v>
      </c>
      <c r="C55" s="572"/>
      <c r="D55" s="572"/>
      <c r="E55" s="572"/>
      <c r="F55" s="572"/>
      <c r="G55" s="648"/>
      <c r="H55" s="648"/>
      <c r="I55" s="648"/>
      <c r="J55" s="648"/>
      <c r="K55" s="648"/>
      <c r="L55" s="649"/>
      <c r="M55" s="4"/>
      <c r="N55" s="18"/>
      <c r="Q55" s="135"/>
    </row>
    <row r="56" spans="1:17" ht="24.95" customHeight="1" x14ac:dyDescent="0.2">
      <c r="A56" s="10"/>
      <c r="B56" s="275" t="s">
        <v>5</v>
      </c>
      <c r="C56" s="572"/>
      <c r="D56" s="572"/>
      <c r="E56" s="572"/>
      <c r="F56" s="572"/>
      <c r="G56" s="648"/>
      <c r="H56" s="648"/>
      <c r="I56" s="648"/>
      <c r="J56" s="648"/>
      <c r="K56" s="648"/>
      <c r="L56" s="649"/>
      <c r="M56" s="4"/>
      <c r="N56" s="18"/>
      <c r="Q56" s="135"/>
    </row>
    <row r="57" spans="1:17" ht="24.95" customHeight="1" x14ac:dyDescent="0.2">
      <c r="A57" s="10"/>
      <c r="B57" s="275" t="s">
        <v>5</v>
      </c>
      <c r="C57" s="572"/>
      <c r="D57" s="572"/>
      <c r="E57" s="572"/>
      <c r="F57" s="572"/>
      <c r="G57" s="648"/>
      <c r="H57" s="648"/>
      <c r="I57" s="648"/>
      <c r="J57" s="648"/>
      <c r="K57" s="648"/>
      <c r="L57" s="649"/>
      <c r="M57" s="4"/>
      <c r="N57" s="18"/>
      <c r="Q57" s="135"/>
    </row>
    <row r="58" spans="1:17" ht="24.95" customHeight="1" x14ac:dyDescent="0.2">
      <c r="A58" s="10"/>
      <c r="B58" s="275" t="s">
        <v>5</v>
      </c>
      <c r="C58" s="572"/>
      <c r="D58" s="572"/>
      <c r="E58" s="572"/>
      <c r="F58" s="572"/>
      <c r="G58" s="648"/>
      <c r="H58" s="648"/>
      <c r="I58" s="648"/>
      <c r="J58" s="648"/>
      <c r="K58" s="648"/>
      <c r="L58" s="649"/>
      <c r="M58" s="4"/>
      <c r="N58" s="18"/>
      <c r="Q58" s="135"/>
    </row>
    <row r="59" spans="1:17" ht="24.95" customHeight="1" x14ac:dyDescent="0.2">
      <c r="A59" s="10"/>
      <c r="B59" s="275" t="s">
        <v>5</v>
      </c>
      <c r="C59" s="572"/>
      <c r="D59" s="572"/>
      <c r="E59" s="572"/>
      <c r="F59" s="572"/>
      <c r="G59" s="648"/>
      <c r="H59" s="648"/>
      <c r="I59" s="648"/>
      <c r="J59" s="648"/>
      <c r="K59" s="648"/>
      <c r="L59" s="649"/>
      <c r="M59" s="4"/>
      <c r="N59" s="18"/>
      <c r="Q59" s="135"/>
    </row>
    <row r="60" spans="1:17" ht="24.95" customHeight="1" thickBot="1" x14ac:dyDescent="0.25">
      <c r="A60" s="10"/>
      <c r="B60" s="276" t="s">
        <v>5</v>
      </c>
      <c r="C60" s="573"/>
      <c r="D60" s="573"/>
      <c r="E60" s="573"/>
      <c r="F60" s="573"/>
      <c r="G60" s="653"/>
      <c r="H60" s="653"/>
      <c r="I60" s="653"/>
      <c r="J60" s="653"/>
      <c r="K60" s="653"/>
      <c r="L60" s="654"/>
      <c r="M60" s="4"/>
      <c r="N60" s="18"/>
    </row>
    <row r="61" spans="1:17" ht="12.75" customHeight="1" thickBot="1" x14ac:dyDescent="0.25">
      <c r="A61" s="3"/>
      <c r="B61" s="182"/>
      <c r="C61" s="182"/>
      <c r="D61" s="206"/>
      <c r="E61" s="206"/>
      <c r="F61" s="182"/>
      <c r="G61" s="182"/>
      <c r="H61" s="182"/>
      <c r="I61" s="182"/>
      <c r="J61" s="182"/>
      <c r="K61" s="182"/>
      <c r="L61" s="182"/>
      <c r="M61" s="4"/>
      <c r="N61" s="18"/>
    </row>
    <row r="62" spans="1:17" s="184" customFormat="1" x14ac:dyDescent="0.2">
      <c r="A62" s="250"/>
      <c r="B62" s="297"/>
      <c r="C62" s="297"/>
      <c r="D62" s="298"/>
      <c r="E62" s="298"/>
      <c r="F62" s="297"/>
      <c r="G62" s="297"/>
      <c r="H62" s="297"/>
      <c r="I62" s="297"/>
      <c r="J62" s="297"/>
      <c r="K62" s="297"/>
      <c r="L62" s="297"/>
      <c r="M62" s="251"/>
      <c r="N62" s="299"/>
    </row>
    <row r="63" spans="1:17" s="184" customFormat="1" ht="9.9499999999999993" customHeight="1" x14ac:dyDescent="0.2">
      <c r="A63" s="253"/>
      <c r="B63" s="259"/>
      <c r="C63" s="259"/>
      <c r="D63" s="300"/>
      <c r="E63" s="300"/>
      <c r="F63" s="259"/>
      <c r="G63" s="259"/>
      <c r="H63" s="259"/>
      <c r="I63" s="259"/>
      <c r="J63" s="259"/>
      <c r="K63" s="259"/>
      <c r="L63" s="259"/>
      <c r="M63" s="246"/>
      <c r="N63" s="301"/>
    </row>
    <row r="64" spans="1:17" s="184" customFormat="1" x14ac:dyDescent="0.2">
      <c r="A64" s="253"/>
      <c r="B64" s="594" t="s">
        <v>279</v>
      </c>
      <c r="C64" s="650"/>
      <c r="D64" s="595"/>
      <c r="E64" s="313"/>
      <c r="F64" s="296"/>
      <c r="G64" s="594" t="s">
        <v>278</v>
      </c>
      <c r="H64" s="650"/>
      <c r="I64" s="650"/>
      <c r="J64" s="650"/>
      <c r="K64" s="650"/>
      <c r="L64" s="595"/>
      <c r="M64" s="246"/>
      <c r="N64" s="302"/>
    </row>
    <row r="65" spans="1:14" s="184" customFormat="1" x14ac:dyDescent="0.2">
      <c r="A65" s="253"/>
      <c r="B65" s="596"/>
      <c r="C65" s="651"/>
      <c r="D65" s="597"/>
      <c r="E65" s="313"/>
      <c r="F65" s="296"/>
      <c r="G65" s="596"/>
      <c r="H65" s="651"/>
      <c r="I65" s="651"/>
      <c r="J65" s="651"/>
      <c r="K65" s="651"/>
      <c r="L65" s="597"/>
      <c r="M65" s="246"/>
      <c r="N65" s="302"/>
    </row>
    <row r="66" spans="1:14" s="184" customFormat="1" x14ac:dyDescent="0.2">
      <c r="A66" s="253"/>
      <c r="B66" s="596"/>
      <c r="C66" s="651"/>
      <c r="D66" s="597"/>
      <c r="E66" s="313"/>
      <c r="F66" s="296"/>
      <c r="G66" s="596"/>
      <c r="H66" s="651"/>
      <c r="I66" s="651"/>
      <c r="J66" s="651"/>
      <c r="K66" s="651"/>
      <c r="L66" s="597"/>
      <c r="M66" s="246"/>
      <c r="N66" s="302"/>
    </row>
    <row r="67" spans="1:14" s="184" customFormat="1" x14ac:dyDescent="0.2">
      <c r="A67" s="253"/>
      <c r="B67" s="598"/>
      <c r="C67" s="652"/>
      <c r="D67" s="599"/>
      <c r="E67" s="313"/>
      <c r="F67" s="296"/>
      <c r="G67" s="598"/>
      <c r="H67" s="652"/>
      <c r="I67" s="652"/>
      <c r="J67" s="652"/>
      <c r="K67" s="652"/>
      <c r="L67" s="599"/>
      <c r="M67" s="246"/>
      <c r="N67" s="302"/>
    </row>
    <row r="68" spans="1:14" s="184" customFormat="1" ht="2.4500000000000002" customHeight="1" x14ac:dyDescent="0.2">
      <c r="A68" s="253"/>
      <c r="B68" s="246"/>
      <c r="C68" s="296"/>
      <c r="D68" s="296"/>
      <c r="E68" s="313"/>
      <c r="F68" s="296"/>
      <c r="G68" s="296"/>
      <c r="H68" s="246"/>
      <c r="I68" s="296"/>
      <c r="J68" s="296"/>
      <c r="K68" s="296"/>
      <c r="L68" s="246"/>
      <c r="M68" s="296"/>
      <c r="N68" s="302"/>
    </row>
    <row r="69" spans="1:14" s="184" customFormat="1" ht="8.25" customHeight="1" thickBot="1" x14ac:dyDescent="0.25">
      <c r="A69" s="260"/>
      <c r="B69" s="647"/>
      <c r="C69" s="647"/>
      <c r="D69" s="261"/>
      <c r="E69" s="261"/>
      <c r="F69" s="261"/>
      <c r="G69" s="303"/>
      <c r="H69" s="303"/>
      <c r="I69" s="303"/>
      <c r="J69" s="303"/>
      <c r="K69" s="303"/>
      <c r="L69" s="303"/>
      <c r="M69" s="261"/>
      <c r="N69" s="262"/>
    </row>
    <row r="70" spans="1:14" s="182" customFormat="1" x14ac:dyDescent="0.2">
      <c r="A70" s="253"/>
      <c r="B70" s="246" t="s">
        <v>129</v>
      </c>
      <c r="C70" s="246"/>
      <c r="D70" s="259"/>
      <c r="E70" s="246"/>
      <c r="F70" s="246"/>
      <c r="G70" s="246"/>
      <c r="H70" s="246"/>
      <c r="I70" s="246"/>
      <c r="J70" s="246"/>
      <c r="K70" s="259"/>
      <c r="L70" s="259"/>
      <c r="M70" s="246"/>
      <c r="N70" s="301"/>
    </row>
    <row r="71" spans="1:14" s="182" customFormat="1" x14ac:dyDescent="0.2">
      <c r="A71" s="253"/>
      <c r="B71" s="246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246"/>
      <c r="N71" s="301"/>
    </row>
    <row r="72" spans="1:14" s="182" customFormat="1" x14ac:dyDescent="0.2">
      <c r="A72" s="253"/>
      <c r="B72" s="864" t="s">
        <v>282</v>
      </c>
      <c r="C72" s="865"/>
      <c r="D72" s="595"/>
      <c r="E72" s="304"/>
      <c r="F72" s="304"/>
      <c r="G72" s="594" t="s">
        <v>185</v>
      </c>
      <c r="H72" s="650"/>
      <c r="I72" s="650"/>
      <c r="J72" s="650"/>
      <c r="K72" s="650"/>
      <c r="L72" s="595"/>
      <c r="M72" s="246"/>
      <c r="N72" s="302"/>
    </row>
    <row r="73" spans="1:14" s="182" customFormat="1" x14ac:dyDescent="0.2">
      <c r="A73" s="253"/>
      <c r="B73" s="596"/>
      <c r="C73" s="651"/>
      <c r="D73" s="597"/>
      <c r="E73" s="304"/>
      <c r="F73" s="304"/>
      <c r="G73" s="596"/>
      <c r="H73" s="651"/>
      <c r="I73" s="651"/>
      <c r="J73" s="651"/>
      <c r="K73" s="651"/>
      <c r="L73" s="597"/>
      <c r="M73" s="246"/>
      <c r="N73" s="302"/>
    </row>
    <row r="74" spans="1:14" s="182" customFormat="1" x14ac:dyDescent="0.2">
      <c r="A74" s="253"/>
      <c r="B74" s="596"/>
      <c r="C74" s="651"/>
      <c r="D74" s="597"/>
      <c r="E74" s="304"/>
      <c r="F74" s="304"/>
      <c r="G74" s="596"/>
      <c r="H74" s="651"/>
      <c r="I74" s="651"/>
      <c r="J74" s="651"/>
      <c r="K74" s="651"/>
      <c r="L74" s="597"/>
      <c r="M74" s="246"/>
      <c r="N74" s="302"/>
    </row>
    <row r="75" spans="1:14" s="182" customFormat="1" x14ac:dyDescent="0.2">
      <c r="A75" s="253"/>
      <c r="B75" s="596"/>
      <c r="C75" s="651"/>
      <c r="D75" s="597"/>
      <c r="E75" s="304"/>
      <c r="F75" s="304"/>
      <c r="G75" s="596"/>
      <c r="H75" s="651"/>
      <c r="I75" s="651"/>
      <c r="J75" s="651"/>
      <c r="K75" s="651"/>
      <c r="L75" s="597"/>
      <c r="M75" s="246"/>
      <c r="N75" s="302"/>
    </row>
    <row r="76" spans="1:14" s="182" customFormat="1" x14ac:dyDescent="0.2">
      <c r="A76" s="253"/>
      <c r="B76" s="598"/>
      <c r="C76" s="652"/>
      <c r="D76" s="599"/>
      <c r="E76" s="304"/>
      <c r="F76" s="304"/>
      <c r="G76" s="598"/>
      <c r="H76" s="652"/>
      <c r="I76" s="652"/>
      <c r="J76" s="652"/>
      <c r="K76" s="652"/>
      <c r="L76" s="599"/>
      <c r="M76" s="246"/>
      <c r="N76" s="302"/>
    </row>
    <row r="77" spans="1:14" s="182" customFormat="1" x14ac:dyDescent="0.2">
      <c r="A77" s="253"/>
      <c r="B77" s="246"/>
      <c r="C77" s="246"/>
      <c r="D77" s="577"/>
      <c r="E77" s="577"/>
      <c r="F77" s="577"/>
      <c r="G77" s="577"/>
      <c r="H77" s="246"/>
      <c r="I77" s="577"/>
      <c r="J77" s="577"/>
      <c r="K77" s="577"/>
      <c r="L77" s="246"/>
      <c r="M77" s="577"/>
      <c r="N77" s="302"/>
    </row>
    <row r="78" spans="1:14" s="182" customFormat="1" x14ac:dyDescent="0.2">
      <c r="A78" s="253"/>
      <c r="B78" s="866"/>
      <c r="C78" s="866"/>
      <c r="D78" s="866"/>
      <c r="E78" s="246"/>
      <c r="F78" s="246"/>
      <c r="G78" s="578"/>
      <c r="H78" s="578"/>
      <c r="I78" s="578"/>
      <c r="J78" s="578"/>
      <c r="K78" s="578"/>
      <c r="L78" s="578"/>
      <c r="M78" s="246"/>
      <c r="N78" s="301"/>
    </row>
    <row r="79" spans="1:14" s="182" customFormat="1" ht="13.5" thickBot="1" x14ac:dyDescent="0.25">
      <c r="A79" s="260"/>
      <c r="B79" s="306" t="s">
        <v>130</v>
      </c>
      <c r="C79" s="306"/>
      <c r="D79" s="261"/>
      <c r="E79" s="261"/>
      <c r="F79" s="261"/>
      <c r="G79" s="307"/>
      <c r="H79" s="307"/>
      <c r="I79" s="307"/>
      <c r="J79" s="307"/>
      <c r="K79" s="307"/>
      <c r="L79" s="307"/>
      <c r="M79" s="307"/>
      <c r="N79" s="308"/>
    </row>
    <row r="80" spans="1:14" s="182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</row>
    <row r="81" spans="1:14" s="182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</row>
    <row r="82" spans="1:14" s="184" customFormat="1" x14ac:dyDescent="0.2">
      <c r="A82" s="182"/>
      <c r="B82" s="182"/>
      <c r="C82" s="182"/>
      <c r="D82" s="182"/>
      <c r="E82" s="182"/>
      <c r="F82" s="182"/>
      <c r="G82" s="182"/>
      <c r="H82" s="182"/>
      <c r="I82" s="182"/>
      <c r="J82" s="182"/>
      <c r="K82" s="182"/>
      <c r="L82" s="182"/>
      <c r="M82" s="182"/>
      <c r="N82" s="182"/>
    </row>
    <row r="83" spans="1:14" s="184" customFormat="1" x14ac:dyDescent="0.2">
      <c r="A83" s="182"/>
      <c r="B83" s="182"/>
      <c r="C83" s="182"/>
      <c r="D83" s="182"/>
      <c r="E83" s="182"/>
      <c r="F83" s="182"/>
      <c r="G83" s="182"/>
      <c r="H83" s="182"/>
      <c r="I83" s="182"/>
      <c r="J83" s="182"/>
      <c r="K83" s="182"/>
      <c r="L83" s="182"/>
      <c r="M83" s="182"/>
      <c r="N83" s="182"/>
    </row>
    <row r="84" spans="1:14" s="184" customFormat="1" x14ac:dyDescent="0.2">
      <c r="A84" s="182"/>
      <c r="B84" s="182"/>
      <c r="C84" s="182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</row>
    <row r="85" spans="1:14" s="184" customFormat="1" x14ac:dyDescent="0.2">
      <c r="A85" s="182"/>
      <c r="B85" s="182"/>
      <c r="C85" s="182"/>
      <c r="D85" s="182"/>
      <c r="E85" s="182"/>
      <c r="F85" s="182"/>
      <c r="G85" s="182"/>
      <c r="H85" s="182"/>
      <c r="I85" s="182"/>
      <c r="J85" s="182"/>
      <c r="K85" s="182"/>
      <c r="L85" s="182"/>
      <c r="M85" s="182"/>
      <c r="N85" s="182"/>
    </row>
    <row r="86" spans="1:14" s="184" customFormat="1" x14ac:dyDescent="0.2"/>
    <row r="87" spans="1:14" s="184" customFormat="1" x14ac:dyDescent="0.2"/>
    <row r="88" spans="1:14" s="184" customFormat="1" x14ac:dyDescent="0.2"/>
    <row r="89" spans="1:14" s="184" customFormat="1" x14ac:dyDescent="0.2"/>
    <row r="90" spans="1:14" s="184" customFormat="1" x14ac:dyDescent="0.2"/>
    <row r="91" spans="1:14" s="184" customFormat="1" x14ac:dyDescent="0.2"/>
    <row r="92" spans="1:14" s="184" customFormat="1" x14ac:dyDescent="0.2"/>
    <row r="93" spans="1:14" s="184" customFormat="1" x14ac:dyDescent="0.2"/>
    <row r="94" spans="1:14" s="184" customFormat="1" x14ac:dyDescent="0.2"/>
    <row r="312" spans="7:7" x14ac:dyDescent="0.2">
      <c r="G312" s="37"/>
    </row>
  </sheetData>
  <sheetProtection selectLockedCells="1"/>
  <mergeCells count="69">
    <mergeCell ref="B72:D76"/>
    <mergeCell ref="G72:L76"/>
    <mergeCell ref="B78:D78"/>
    <mergeCell ref="B69:C69"/>
    <mergeCell ref="G38:L38"/>
    <mergeCell ref="G57:L57"/>
    <mergeCell ref="G64:L67"/>
    <mergeCell ref="G58:L58"/>
    <mergeCell ref="G59:L59"/>
    <mergeCell ref="G60:L60"/>
    <mergeCell ref="G56:L56"/>
    <mergeCell ref="G51:L51"/>
    <mergeCell ref="G52:L52"/>
    <mergeCell ref="G53:L53"/>
    <mergeCell ref="G54:L54"/>
    <mergeCell ref="G55:L55"/>
    <mergeCell ref="B64:D67"/>
    <mergeCell ref="G35:L35"/>
    <mergeCell ref="G49:L49"/>
    <mergeCell ref="G50:L50"/>
    <mergeCell ref="G36:L36"/>
    <mergeCell ref="G37:L37"/>
    <mergeCell ref="G39:L39"/>
    <mergeCell ref="G48:L48"/>
    <mergeCell ref="G42:L42"/>
    <mergeCell ref="G40:L40"/>
    <mergeCell ref="G45:L45"/>
    <mergeCell ref="G47:L47"/>
    <mergeCell ref="G46:L46"/>
    <mergeCell ref="G43:L43"/>
    <mergeCell ref="G41:L41"/>
    <mergeCell ref="G44:L44"/>
    <mergeCell ref="T23:T24"/>
    <mergeCell ref="R26:S29"/>
    <mergeCell ref="Q27:Q28"/>
    <mergeCell ref="T27:T28"/>
    <mergeCell ref="R22:S25"/>
    <mergeCell ref="Q23:Q24"/>
    <mergeCell ref="A2:N4"/>
    <mergeCell ref="C8:F8"/>
    <mergeCell ref="G24:L24"/>
    <mergeCell ref="C13:I13"/>
    <mergeCell ref="C14:I14"/>
    <mergeCell ref="C15:I15"/>
    <mergeCell ref="C12:I12"/>
    <mergeCell ref="A5:N5"/>
    <mergeCell ref="C16:I16"/>
    <mergeCell ref="C11:I11"/>
    <mergeCell ref="A6:N6"/>
    <mergeCell ref="C10:I10"/>
    <mergeCell ref="I19:L19"/>
    <mergeCell ref="F20:H20"/>
    <mergeCell ref="I20:K20"/>
    <mergeCell ref="F19:H19"/>
    <mergeCell ref="G34:L34"/>
    <mergeCell ref="G32:L32"/>
    <mergeCell ref="G25:L25"/>
    <mergeCell ref="G26:L26"/>
    <mergeCell ref="G27:L27"/>
    <mergeCell ref="G28:L28"/>
    <mergeCell ref="G29:L29"/>
    <mergeCell ref="G30:L30"/>
    <mergeCell ref="G31:L31"/>
    <mergeCell ref="B19:D19"/>
    <mergeCell ref="B20:D20"/>
    <mergeCell ref="R8:S9"/>
    <mergeCell ref="R16:R17"/>
    <mergeCell ref="G33:L33"/>
    <mergeCell ref="R11:R14"/>
  </mergeCells>
  <conditionalFormatting sqref="G312">
    <cfRule type="cellIs" dxfId="3017" priority="486891" operator="equal">
      <formula>"nein"</formula>
    </cfRule>
    <cfRule type="cellIs" dxfId="3016" priority="486892" operator="equal">
      <formula>"ja"</formula>
    </cfRule>
  </conditionalFormatting>
  <conditionalFormatting sqref="F35">
    <cfRule type="containsText" dxfId="3015" priority="148" operator="containsText" text="2nd">
      <formula>NOT(ISERROR(SEARCH("2nd",F35)))</formula>
    </cfRule>
    <cfRule type="containsText" dxfId="3014" priority="149" operator="containsText" text="#">
      <formula>NOT(ISERROR(SEARCH("#",F35)))</formula>
    </cfRule>
    <cfRule type="containsText" dxfId="3013" priority="150" operator="containsText" text="A">
      <formula>NOT(ISERROR(SEARCH("A",F35)))</formula>
    </cfRule>
    <cfRule type="containsText" dxfId="3012" priority="151" operator="containsText" text="C">
      <formula>NOT(ISERROR(SEARCH("C",F35)))</formula>
    </cfRule>
    <cfRule type="containsText" dxfId="3011" priority="152" operator="containsText" text="B">
      <formula>NOT(ISERROR(SEARCH("B",F35)))</formula>
    </cfRule>
  </conditionalFormatting>
  <conditionalFormatting sqref="F40">
    <cfRule type="containsText" dxfId="3010" priority="98" operator="containsText" text="2nd">
      <formula>NOT(ISERROR(SEARCH("2nd",F40)))</formula>
    </cfRule>
    <cfRule type="containsText" dxfId="3009" priority="99" operator="containsText" text="#">
      <formula>NOT(ISERROR(SEARCH("#",F40)))</formula>
    </cfRule>
    <cfRule type="containsText" dxfId="3008" priority="100" operator="containsText" text="A">
      <formula>NOT(ISERROR(SEARCH("A",F40)))</formula>
    </cfRule>
    <cfRule type="containsText" dxfId="3007" priority="101" operator="containsText" text="C">
      <formula>NOT(ISERROR(SEARCH("C",F40)))</formula>
    </cfRule>
    <cfRule type="containsText" dxfId="3006" priority="102" operator="containsText" text="B">
      <formula>NOT(ISERROR(SEARCH("B",F40)))</formula>
    </cfRule>
  </conditionalFormatting>
  <conditionalFormatting sqref="F43">
    <cfRule type="containsText" dxfId="3005" priority="93" operator="containsText" text="2nd">
      <formula>NOT(ISERROR(SEARCH("2nd",F43)))</formula>
    </cfRule>
    <cfRule type="containsText" dxfId="3004" priority="94" operator="containsText" text="#">
      <formula>NOT(ISERROR(SEARCH("#",F43)))</formula>
    </cfRule>
    <cfRule type="containsText" dxfId="3003" priority="95" operator="containsText" text="A">
      <formula>NOT(ISERROR(SEARCH("A",F43)))</formula>
    </cfRule>
    <cfRule type="containsText" dxfId="3002" priority="96" operator="containsText" text="C">
      <formula>NOT(ISERROR(SEARCH("C",F43)))</formula>
    </cfRule>
    <cfRule type="containsText" dxfId="3001" priority="97" operator="containsText" text="B">
      <formula>NOT(ISERROR(SEARCH("B",F43)))</formula>
    </cfRule>
  </conditionalFormatting>
  <conditionalFormatting sqref="F46">
    <cfRule type="containsText" dxfId="3000" priority="88" operator="containsText" text="2nd">
      <formula>NOT(ISERROR(SEARCH("2nd",F46)))</formula>
    </cfRule>
    <cfRule type="containsText" dxfId="2999" priority="89" operator="containsText" text="#">
      <formula>NOT(ISERROR(SEARCH("#",F46)))</formula>
    </cfRule>
    <cfRule type="containsText" dxfId="2998" priority="90" operator="containsText" text="A">
      <formula>NOT(ISERROR(SEARCH("A",F46)))</formula>
    </cfRule>
    <cfRule type="containsText" dxfId="2997" priority="91" operator="containsText" text="C">
      <formula>NOT(ISERROR(SEARCH("C",F46)))</formula>
    </cfRule>
    <cfRule type="containsText" dxfId="2996" priority="92" operator="containsText" text="B">
      <formula>NOT(ISERROR(SEARCH("B",F46)))</formula>
    </cfRule>
  </conditionalFormatting>
  <conditionalFormatting sqref="F47">
    <cfRule type="containsText" dxfId="2995" priority="83" operator="containsText" text="2nd">
      <formula>NOT(ISERROR(SEARCH("2nd",F47)))</formula>
    </cfRule>
    <cfRule type="containsText" dxfId="2994" priority="84" operator="containsText" text="#">
      <formula>NOT(ISERROR(SEARCH("#",F47)))</formula>
    </cfRule>
    <cfRule type="containsText" dxfId="2993" priority="85" operator="containsText" text="A">
      <formula>NOT(ISERROR(SEARCH("A",F47)))</formula>
    </cfRule>
    <cfRule type="containsText" dxfId="2992" priority="86" operator="containsText" text="C">
      <formula>NOT(ISERROR(SEARCH("C",F47)))</formula>
    </cfRule>
    <cfRule type="containsText" dxfId="2991" priority="87" operator="containsText" text="B">
      <formula>NOT(ISERROR(SEARCH("B",F47)))</formula>
    </cfRule>
  </conditionalFormatting>
  <conditionalFormatting sqref="F49">
    <cfRule type="containsText" dxfId="2990" priority="73" operator="containsText" text="2nd">
      <formula>NOT(ISERROR(SEARCH("2nd",F49)))</formula>
    </cfRule>
    <cfRule type="containsText" dxfId="2989" priority="74" operator="containsText" text="#">
      <formula>NOT(ISERROR(SEARCH("#",F49)))</formula>
    </cfRule>
    <cfRule type="containsText" dxfId="2988" priority="75" operator="containsText" text="A">
      <formula>NOT(ISERROR(SEARCH("A",F49)))</formula>
    </cfRule>
    <cfRule type="containsText" dxfId="2987" priority="76" operator="containsText" text="C">
      <formula>NOT(ISERROR(SEARCH("C",F49)))</formula>
    </cfRule>
    <cfRule type="containsText" dxfId="2986" priority="77" operator="containsText" text="B">
      <formula>NOT(ISERROR(SEARCH("B",F49)))</formula>
    </cfRule>
  </conditionalFormatting>
  <conditionalFormatting sqref="G26">
    <cfRule type="expression" dxfId="2985" priority="237">
      <formula>F26="#"</formula>
    </cfRule>
    <cfRule type="expression" dxfId="2984" priority="238">
      <formula>F26="B"</formula>
    </cfRule>
    <cfRule type="expression" dxfId="2983" priority="239">
      <formula>F26="C"</formula>
    </cfRule>
    <cfRule type="expression" priority="240">
      <formula>F26="A"</formula>
    </cfRule>
    <cfRule type="expression" priority="241">
      <formula>F26=n.a.</formula>
    </cfRule>
  </conditionalFormatting>
  <conditionalFormatting sqref="F42">
    <cfRule type="containsText" dxfId="2982" priority="236" operator="containsText" text="A">
      <formula>NOT(ISERROR(SEARCH("A",F42)))</formula>
    </cfRule>
  </conditionalFormatting>
  <conditionalFormatting sqref="F45">
    <cfRule type="containsText" dxfId="2981" priority="235" operator="containsText" text="A">
      <formula>NOT(ISERROR(SEARCH("A",F45)))</formula>
    </cfRule>
  </conditionalFormatting>
  <conditionalFormatting sqref="F51:F52">
    <cfRule type="containsText" dxfId="2980" priority="234" operator="containsText" text="A">
      <formula>NOT(ISERROR(SEARCH("A",F51)))</formula>
    </cfRule>
  </conditionalFormatting>
  <conditionalFormatting sqref="F53">
    <cfRule type="containsText" dxfId="2979" priority="233" operator="containsText" text="A">
      <formula>NOT(ISERROR(SEARCH("A",F53)))</formula>
    </cfRule>
  </conditionalFormatting>
  <conditionalFormatting sqref="F54">
    <cfRule type="containsText" dxfId="2978" priority="232" operator="containsText" text="A">
      <formula>NOT(ISERROR(SEARCH("A",F54)))</formula>
    </cfRule>
  </conditionalFormatting>
  <conditionalFormatting sqref="F55">
    <cfRule type="containsText" dxfId="2977" priority="231" operator="containsText" text="A">
      <formula>NOT(ISERROR(SEARCH("A",F55)))</formula>
    </cfRule>
  </conditionalFormatting>
  <conditionalFormatting sqref="F56">
    <cfRule type="containsText" dxfId="2976" priority="230" operator="containsText" text="A">
      <formula>NOT(ISERROR(SEARCH("A",F56)))</formula>
    </cfRule>
  </conditionalFormatting>
  <conditionalFormatting sqref="F57">
    <cfRule type="containsText" dxfId="2975" priority="229" operator="containsText" text="A">
      <formula>NOT(ISERROR(SEARCH("A",F57)))</formula>
    </cfRule>
  </conditionalFormatting>
  <conditionalFormatting sqref="F58">
    <cfRule type="containsText" dxfId="2974" priority="228" operator="containsText" text="A">
      <formula>NOT(ISERROR(SEARCH("A",F58)))</formula>
    </cfRule>
  </conditionalFormatting>
  <conditionalFormatting sqref="F59">
    <cfRule type="containsText" dxfId="2973" priority="227" operator="containsText" text="A">
      <formula>NOT(ISERROR(SEARCH("A",F59)))</formula>
    </cfRule>
  </conditionalFormatting>
  <conditionalFormatting sqref="F60">
    <cfRule type="containsText" dxfId="2972" priority="226" operator="containsText" text="A">
      <formula>NOT(ISERROR(SEARCH("A",F60)))</formula>
    </cfRule>
  </conditionalFormatting>
  <conditionalFormatting sqref="G26:L26">
    <cfRule type="expression" dxfId="2971" priority="225">
      <formula>F26="2nd"</formula>
    </cfRule>
  </conditionalFormatting>
  <conditionalFormatting sqref="G27">
    <cfRule type="expression" dxfId="2970" priority="220">
      <formula>F27="#"</formula>
    </cfRule>
    <cfRule type="expression" dxfId="2969" priority="221">
      <formula>F27="B"</formula>
    </cfRule>
    <cfRule type="expression" dxfId="2968" priority="222">
      <formula>F27="C"</formula>
    </cfRule>
    <cfRule type="expression" priority="223">
      <formula>F27="A"</formula>
    </cfRule>
    <cfRule type="expression" priority="224">
      <formula>F27=n.a.</formula>
    </cfRule>
  </conditionalFormatting>
  <conditionalFormatting sqref="G27:L27">
    <cfRule type="expression" dxfId="2967" priority="219">
      <formula>F27="2nd"</formula>
    </cfRule>
  </conditionalFormatting>
  <conditionalFormatting sqref="G28">
    <cfRule type="expression" dxfId="2966" priority="214">
      <formula>F28="#"</formula>
    </cfRule>
    <cfRule type="expression" dxfId="2965" priority="215">
      <formula>F28="B"</formula>
    </cfRule>
    <cfRule type="expression" dxfId="2964" priority="216">
      <formula>F28="C"</formula>
    </cfRule>
    <cfRule type="expression" priority="217">
      <formula>F28="A"</formula>
    </cfRule>
    <cfRule type="expression" priority="218">
      <formula>F28=n.a.</formula>
    </cfRule>
  </conditionalFormatting>
  <conditionalFormatting sqref="G28:L28">
    <cfRule type="expression" dxfId="2963" priority="213">
      <formula>F28="2nd"</formula>
    </cfRule>
  </conditionalFormatting>
  <conditionalFormatting sqref="G29">
    <cfRule type="expression" dxfId="2962" priority="208">
      <formula>F29="#"</formula>
    </cfRule>
    <cfRule type="expression" dxfId="2961" priority="209">
      <formula>F29="B"</formula>
    </cfRule>
    <cfRule type="expression" dxfId="2960" priority="210">
      <formula>F29="C"</formula>
    </cfRule>
    <cfRule type="expression" priority="211">
      <formula>F29="A"</formula>
    </cfRule>
    <cfRule type="expression" priority="212">
      <formula>F29=n.a.</formula>
    </cfRule>
  </conditionalFormatting>
  <conditionalFormatting sqref="F26:F29">
    <cfRule type="containsText" dxfId="2959" priority="203" operator="containsText" text="2nd">
      <formula>NOT(ISERROR(SEARCH("2nd",F26)))</formula>
    </cfRule>
    <cfRule type="containsText" dxfId="2958" priority="204" operator="containsText" text="#">
      <formula>NOT(ISERROR(SEARCH("#",F26)))</formula>
    </cfRule>
    <cfRule type="containsText" dxfId="2957" priority="205" operator="containsText" text="A">
      <formula>NOT(ISERROR(SEARCH("A",F26)))</formula>
    </cfRule>
    <cfRule type="containsText" dxfId="2956" priority="206" operator="containsText" text="C">
      <formula>NOT(ISERROR(SEARCH("C",F26)))</formula>
    </cfRule>
    <cfRule type="containsText" dxfId="2955" priority="207" operator="containsText" text="B">
      <formula>NOT(ISERROR(SEARCH("B",F26)))</formula>
    </cfRule>
  </conditionalFormatting>
  <conditionalFormatting sqref="G29:L29">
    <cfRule type="expression" dxfId="2954" priority="202">
      <formula>F29="2nd"</formula>
    </cfRule>
  </conditionalFormatting>
  <conditionalFormatting sqref="G30">
    <cfRule type="expression" dxfId="2953" priority="197">
      <formula>F30="#"</formula>
    </cfRule>
    <cfRule type="expression" dxfId="2952" priority="198">
      <formula>F30="B"</formula>
    </cfRule>
    <cfRule type="expression" dxfId="2951" priority="199">
      <formula>F30="C"</formula>
    </cfRule>
    <cfRule type="expression" priority="200">
      <formula>F30="A"</formula>
    </cfRule>
    <cfRule type="expression" priority="201">
      <formula>F30=n.a.</formula>
    </cfRule>
  </conditionalFormatting>
  <conditionalFormatting sqref="F30">
    <cfRule type="containsText" dxfId="2950" priority="192" operator="containsText" text="2nd">
      <formula>NOT(ISERROR(SEARCH("2nd",F30)))</formula>
    </cfRule>
    <cfRule type="containsText" dxfId="2949" priority="193" operator="containsText" text="#">
      <formula>NOT(ISERROR(SEARCH("#",F30)))</formula>
    </cfRule>
    <cfRule type="containsText" dxfId="2948" priority="194" operator="containsText" text="A">
      <formula>NOT(ISERROR(SEARCH("A",F30)))</formula>
    </cfRule>
    <cfRule type="containsText" dxfId="2947" priority="195" operator="containsText" text="C">
      <formula>NOT(ISERROR(SEARCH("C",F30)))</formula>
    </cfRule>
    <cfRule type="containsText" dxfId="2946" priority="196" operator="containsText" text="B">
      <formula>NOT(ISERROR(SEARCH("B",F30)))</formula>
    </cfRule>
  </conditionalFormatting>
  <conditionalFormatting sqref="G30:L30">
    <cfRule type="expression" dxfId="2945" priority="191">
      <formula>F30="2nd"</formula>
    </cfRule>
  </conditionalFormatting>
  <conditionalFormatting sqref="G32">
    <cfRule type="expression" dxfId="2944" priority="186">
      <formula>F32="#"</formula>
    </cfRule>
    <cfRule type="expression" dxfId="2943" priority="187">
      <formula>F32="B"</formula>
    </cfRule>
    <cfRule type="expression" dxfId="2942" priority="188">
      <formula>F32="C"</formula>
    </cfRule>
    <cfRule type="expression" priority="189">
      <formula>F32="A"</formula>
    </cfRule>
    <cfRule type="expression" priority="190">
      <formula>F32=n.a.</formula>
    </cfRule>
  </conditionalFormatting>
  <conditionalFormatting sqref="F32">
    <cfRule type="containsText" dxfId="2941" priority="181" operator="containsText" text="2nd">
      <formula>NOT(ISERROR(SEARCH("2nd",F32)))</formula>
    </cfRule>
    <cfRule type="containsText" dxfId="2940" priority="182" operator="containsText" text="#">
      <formula>NOT(ISERROR(SEARCH("#",F32)))</formula>
    </cfRule>
    <cfRule type="containsText" dxfId="2939" priority="183" operator="containsText" text="A">
      <formula>NOT(ISERROR(SEARCH("A",F32)))</formula>
    </cfRule>
    <cfRule type="containsText" dxfId="2938" priority="184" operator="containsText" text="C">
      <formula>NOT(ISERROR(SEARCH("C",F32)))</formula>
    </cfRule>
    <cfRule type="containsText" dxfId="2937" priority="185" operator="containsText" text="B">
      <formula>NOT(ISERROR(SEARCH("B",F32)))</formula>
    </cfRule>
  </conditionalFormatting>
  <conditionalFormatting sqref="G32:L32">
    <cfRule type="expression" dxfId="2936" priority="180">
      <formula>F32="2nd"</formula>
    </cfRule>
  </conditionalFormatting>
  <conditionalFormatting sqref="G33">
    <cfRule type="expression" dxfId="2935" priority="175">
      <formula>F33="#"</formula>
    </cfRule>
    <cfRule type="expression" dxfId="2934" priority="176">
      <formula>F33="B"</formula>
    </cfRule>
    <cfRule type="expression" dxfId="2933" priority="177">
      <formula>F33="C"</formula>
    </cfRule>
    <cfRule type="expression" priority="178">
      <formula>F33="A"</formula>
    </cfRule>
    <cfRule type="expression" priority="179">
      <formula>F33=n.a.</formula>
    </cfRule>
  </conditionalFormatting>
  <conditionalFormatting sqref="F33">
    <cfRule type="containsText" dxfId="2932" priority="170" operator="containsText" text="2nd">
      <formula>NOT(ISERROR(SEARCH("2nd",F33)))</formula>
    </cfRule>
    <cfRule type="containsText" dxfId="2931" priority="171" operator="containsText" text="#">
      <formula>NOT(ISERROR(SEARCH("#",F33)))</formula>
    </cfRule>
    <cfRule type="containsText" dxfId="2930" priority="172" operator="containsText" text="A">
      <formula>NOT(ISERROR(SEARCH("A",F33)))</formula>
    </cfRule>
    <cfRule type="containsText" dxfId="2929" priority="173" operator="containsText" text="C">
      <formula>NOT(ISERROR(SEARCH("C",F33)))</formula>
    </cfRule>
    <cfRule type="containsText" dxfId="2928" priority="174" operator="containsText" text="B">
      <formula>NOT(ISERROR(SEARCH("B",F33)))</formula>
    </cfRule>
  </conditionalFormatting>
  <conditionalFormatting sqref="G33:L33">
    <cfRule type="expression" dxfId="2927" priority="169">
      <formula>F33="2nd"</formula>
    </cfRule>
  </conditionalFormatting>
  <conditionalFormatting sqref="G34">
    <cfRule type="expression" dxfId="2926" priority="164">
      <formula>F34="#"</formula>
    </cfRule>
    <cfRule type="expression" dxfId="2925" priority="165">
      <formula>F34="B"</formula>
    </cfRule>
    <cfRule type="expression" dxfId="2924" priority="166">
      <formula>F34="C"</formula>
    </cfRule>
    <cfRule type="expression" priority="167">
      <formula>F34="A"</formula>
    </cfRule>
    <cfRule type="expression" priority="168">
      <formula>F34=n.a.</formula>
    </cfRule>
  </conditionalFormatting>
  <conditionalFormatting sqref="F34">
    <cfRule type="containsText" dxfId="2923" priority="159" operator="containsText" text="2nd">
      <formula>NOT(ISERROR(SEARCH("2nd",F34)))</formula>
    </cfRule>
    <cfRule type="containsText" dxfId="2922" priority="160" operator="containsText" text="#">
      <formula>NOT(ISERROR(SEARCH("#",F34)))</formula>
    </cfRule>
    <cfRule type="containsText" dxfId="2921" priority="161" operator="containsText" text="A">
      <formula>NOT(ISERROR(SEARCH("A",F34)))</formula>
    </cfRule>
    <cfRule type="containsText" dxfId="2920" priority="162" operator="containsText" text="C">
      <formula>NOT(ISERROR(SEARCH("C",F34)))</formula>
    </cfRule>
    <cfRule type="containsText" dxfId="2919" priority="163" operator="containsText" text="B">
      <formula>NOT(ISERROR(SEARCH("B",F34)))</formula>
    </cfRule>
  </conditionalFormatting>
  <conditionalFormatting sqref="G34:L34">
    <cfRule type="expression" dxfId="2918" priority="158">
      <formula>F34="2nd"</formula>
    </cfRule>
  </conditionalFormatting>
  <conditionalFormatting sqref="G35">
    <cfRule type="expression" dxfId="2917" priority="153">
      <formula>F35="#"</formula>
    </cfRule>
    <cfRule type="expression" dxfId="2916" priority="154">
      <formula>F35="B"</formula>
    </cfRule>
    <cfRule type="expression" dxfId="2915" priority="155">
      <formula>F35="C"</formula>
    </cfRule>
    <cfRule type="expression" priority="156">
      <formula>F35="A"</formula>
    </cfRule>
    <cfRule type="expression" priority="157">
      <formula>F35=n.a.</formula>
    </cfRule>
  </conditionalFormatting>
  <conditionalFormatting sqref="G35:L35">
    <cfRule type="expression" dxfId="2914" priority="147">
      <formula>F35="2nd"</formula>
    </cfRule>
  </conditionalFormatting>
  <conditionalFormatting sqref="G36">
    <cfRule type="expression" dxfId="2913" priority="142">
      <formula>F36="#"</formula>
    </cfRule>
    <cfRule type="expression" dxfId="2912" priority="143">
      <formula>F36="B"</formula>
    </cfRule>
    <cfRule type="expression" dxfId="2911" priority="144">
      <formula>F36="C"</formula>
    </cfRule>
    <cfRule type="expression" priority="145">
      <formula>F36="A"</formula>
    </cfRule>
    <cfRule type="expression" priority="146">
      <formula>F36=n.a.</formula>
    </cfRule>
  </conditionalFormatting>
  <conditionalFormatting sqref="F36">
    <cfRule type="containsText" dxfId="2910" priority="137" operator="containsText" text="2nd">
      <formula>NOT(ISERROR(SEARCH("2nd",F36)))</formula>
    </cfRule>
    <cfRule type="containsText" dxfId="2909" priority="138" operator="containsText" text="#">
      <formula>NOT(ISERROR(SEARCH("#",F36)))</formula>
    </cfRule>
    <cfRule type="containsText" dxfId="2908" priority="139" operator="containsText" text="A">
      <formula>NOT(ISERROR(SEARCH("A",F36)))</formula>
    </cfRule>
    <cfRule type="containsText" dxfId="2907" priority="140" operator="containsText" text="C">
      <formula>NOT(ISERROR(SEARCH("C",F36)))</formula>
    </cfRule>
    <cfRule type="containsText" dxfId="2906" priority="141" operator="containsText" text="B">
      <formula>NOT(ISERROR(SEARCH("B",F36)))</formula>
    </cfRule>
  </conditionalFormatting>
  <conditionalFormatting sqref="G36:L36">
    <cfRule type="expression" dxfId="2905" priority="136">
      <formula>F36="2nd"</formula>
    </cfRule>
  </conditionalFormatting>
  <conditionalFormatting sqref="G37">
    <cfRule type="expression" dxfId="2904" priority="131">
      <formula>F37="#"</formula>
    </cfRule>
    <cfRule type="expression" dxfId="2903" priority="132">
      <formula>F37="B"</formula>
    </cfRule>
    <cfRule type="expression" dxfId="2902" priority="133">
      <formula>F37="C"</formula>
    </cfRule>
    <cfRule type="expression" priority="134">
      <formula>F37="A"</formula>
    </cfRule>
    <cfRule type="expression" priority="135">
      <formula>F37=n.a.</formula>
    </cfRule>
  </conditionalFormatting>
  <conditionalFormatting sqref="F37">
    <cfRule type="containsText" dxfId="2901" priority="126" operator="containsText" text="2nd">
      <formula>NOT(ISERROR(SEARCH("2nd",F37)))</formula>
    </cfRule>
    <cfRule type="containsText" dxfId="2900" priority="127" operator="containsText" text="#">
      <formula>NOT(ISERROR(SEARCH("#",F37)))</formula>
    </cfRule>
    <cfRule type="containsText" dxfId="2899" priority="128" operator="containsText" text="A">
      <formula>NOT(ISERROR(SEARCH("A",F37)))</formula>
    </cfRule>
    <cfRule type="containsText" dxfId="2898" priority="129" operator="containsText" text="C">
      <formula>NOT(ISERROR(SEARCH("C",F37)))</formula>
    </cfRule>
    <cfRule type="containsText" dxfId="2897" priority="130" operator="containsText" text="B">
      <formula>NOT(ISERROR(SEARCH("B",F37)))</formula>
    </cfRule>
  </conditionalFormatting>
  <conditionalFormatting sqref="G37:L37">
    <cfRule type="expression" dxfId="2896" priority="125">
      <formula>F37="2nd"</formula>
    </cfRule>
  </conditionalFormatting>
  <conditionalFormatting sqref="G38">
    <cfRule type="expression" dxfId="2895" priority="120">
      <formula>F38="#"</formula>
    </cfRule>
    <cfRule type="expression" dxfId="2894" priority="121">
      <formula>F38="B"</formula>
    </cfRule>
    <cfRule type="expression" dxfId="2893" priority="122">
      <formula>F38="C"</formula>
    </cfRule>
    <cfRule type="expression" priority="123">
      <formula>F38="A"</formula>
    </cfRule>
    <cfRule type="expression" priority="124">
      <formula>F38=n.a.</formula>
    </cfRule>
  </conditionalFormatting>
  <conditionalFormatting sqref="F38">
    <cfRule type="containsText" dxfId="2892" priority="115" operator="containsText" text="2nd">
      <formula>NOT(ISERROR(SEARCH("2nd",F38)))</formula>
    </cfRule>
    <cfRule type="containsText" dxfId="2891" priority="116" operator="containsText" text="#">
      <formula>NOT(ISERROR(SEARCH("#",F38)))</formula>
    </cfRule>
    <cfRule type="containsText" dxfId="2890" priority="117" operator="containsText" text="A">
      <formula>NOT(ISERROR(SEARCH("A",F38)))</formula>
    </cfRule>
    <cfRule type="containsText" dxfId="2889" priority="118" operator="containsText" text="C">
      <formula>NOT(ISERROR(SEARCH("C",F38)))</formula>
    </cfRule>
    <cfRule type="containsText" dxfId="2888" priority="119" operator="containsText" text="B">
      <formula>NOT(ISERROR(SEARCH("B",F38)))</formula>
    </cfRule>
  </conditionalFormatting>
  <conditionalFormatting sqref="G38:L38">
    <cfRule type="expression" dxfId="2887" priority="114">
      <formula>F38="2nd"</formula>
    </cfRule>
  </conditionalFormatting>
  <conditionalFormatting sqref="G39:G40 G42:G43">
    <cfRule type="expression" dxfId="2886" priority="109">
      <formula>F39="#"</formula>
    </cfRule>
    <cfRule type="expression" dxfId="2885" priority="110">
      <formula>F39="B"</formula>
    </cfRule>
    <cfRule type="expression" dxfId="2884" priority="111">
      <formula>F39="C"</formula>
    </cfRule>
    <cfRule type="expression" priority="112">
      <formula>F39="A"</formula>
    </cfRule>
    <cfRule type="expression" priority="113">
      <formula>F39=n.a.</formula>
    </cfRule>
  </conditionalFormatting>
  <conditionalFormatting sqref="F39">
    <cfRule type="containsText" dxfId="2883" priority="104" operator="containsText" text="2nd">
      <formula>NOT(ISERROR(SEARCH("2nd",F39)))</formula>
    </cfRule>
    <cfRule type="containsText" dxfId="2882" priority="105" operator="containsText" text="#">
      <formula>NOT(ISERROR(SEARCH("#",F39)))</formula>
    </cfRule>
    <cfRule type="containsText" dxfId="2881" priority="106" operator="containsText" text="A">
      <formula>NOT(ISERROR(SEARCH("A",F39)))</formula>
    </cfRule>
    <cfRule type="containsText" dxfId="2880" priority="107" operator="containsText" text="C">
      <formula>NOT(ISERROR(SEARCH("C",F39)))</formula>
    </cfRule>
    <cfRule type="containsText" dxfId="2879" priority="108" operator="containsText" text="B">
      <formula>NOT(ISERROR(SEARCH("B",F39)))</formula>
    </cfRule>
  </conditionalFormatting>
  <conditionalFormatting sqref="G39:L40 G42:L43">
    <cfRule type="expression" dxfId="2878" priority="103">
      <formula>F39="2nd"</formula>
    </cfRule>
  </conditionalFormatting>
  <conditionalFormatting sqref="F48">
    <cfRule type="containsText" dxfId="2877" priority="78" operator="containsText" text="2nd">
      <formula>NOT(ISERROR(SEARCH("2nd",F48)))</formula>
    </cfRule>
    <cfRule type="containsText" dxfId="2876" priority="79" operator="containsText" text="#">
      <formula>NOT(ISERROR(SEARCH("#",F48)))</formula>
    </cfRule>
    <cfRule type="containsText" dxfId="2875" priority="80" operator="containsText" text="A">
      <formula>NOT(ISERROR(SEARCH("A",F48)))</formula>
    </cfRule>
    <cfRule type="containsText" dxfId="2874" priority="81" operator="containsText" text="C">
      <formula>NOT(ISERROR(SEARCH("C",F48)))</formula>
    </cfRule>
    <cfRule type="containsText" dxfId="2873" priority="82" operator="containsText" text="B">
      <formula>NOT(ISERROR(SEARCH("B",F48)))</formula>
    </cfRule>
  </conditionalFormatting>
  <conditionalFormatting sqref="G45:G50">
    <cfRule type="expression" dxfId="2872" priority="68">
      <formula>F45="#"</formula>
    </cfRule>
    <cfRule type="expression" dxfId="2871" priority="69">
      <formula>F45="B"</formula>
    </cfRule>
    <cfRule type="expression" dxfId="2870" priority="70">
      <formula>F45="C"</formula>
    </cfRule>
    <cfRule type="expression" priority="71">
      <formula>F45="A"</formula>
    </cfRule>
    <cfRule type="expression" priority="72">
      <formula>F45=n.a.</formula>
    </cfRule>
  </conditionalFormatting>
  <conditionalFormatting sqref="F50">
    <cfRule type="containsText" dxfId="2869" priority="63" operator="containsText" text="2nd">
      <formula>NOT(ISERROR(SEARCH("2nd",F50)))</formula>
    </cfRule>
    <cfRule type="containsText" dxfId="2868" priority="64" operator="containsText" text="#">
      <formula>NOT(ISERROR(SEARCH("#",F50)))</formula>
    </cfRule>
    <cfRule type="containsText" dxfId="2867" priority="65" operator="containsText" text="A">
      <formula>NOT(ISERROR(SEARCH("A",F50)))</formula>
    </cfRule>
    <cfRule type="containsText" dxfId="2866" priority="66" operator="containsText" text="C">
      <formula>NOT(ISERROR(SEARCH("C",F50)))</formula>
    </cfRule>
    <cfRule type="containsText" dxfId="2865" priority="67" operator="containsText" text="B">
      <formula>NOT(ISERROR(SEARCH("B",F50)))</formula>
    </cfRule>
  </conditionalFormatting>
  <conditionalFormatting sqref="G45:L50">
    <cfRule type="expression" dxfId="2864" priority="62">
      <formula>F45="2nd"</formula>
    </cfRule>
  </conditionalFormatting>
  <conditionalFormatting sqref="G51">
    <cfRule type="expression" dxfId="2863" priority="57">
      <formula>F51="#"</formula>
    </cfRule>
    <cfRule type="expression" dxfId="2862" priority="58">
      <formula>F51="B"</formula>
    </cfRule>
    <cfRule type="expression" dxfId="2861" priority="59">
      <formula>F51="C"</formula>
    </cfRule>
    <cfRule type="expression" priority="60">
      <formula>F51="A"</formula>
    </cfRule>
    <cfRule type="expression" priority="61">
      <formula>F51=n.a.</formula>
    </cfRule>
  </conditionalFormatting>
  <conditionalFormatting sqref="G51:L51">
    <cfRule type="expression" dxfId="2860" priority="56">
      <formula>F51="2nd"</formula>
    </cfRule>
  </conditionalFormatting>
  <conditionalFormatting sqref="F40">
    <cfRule type="containsText" dxfId="2859" priority="51" operator="containsText" text="2nd">
      <formula>NOT(ISERROR(SEARCH("2nd",F40)))</formula>
    </cfRule>
    <cfRule type="containsText" dxfId="2858" priority="52" operator="containsText" text="#">
      <formula>NOT(ISERROR(SEARCH("#",F40)))</formula>
    </cfRule>
    <cfRule type="containsText" dxfId="2857" priority="53" operator="containsText" text="A">
      <formula>NOT(ISERROR(SEARCH("A",F40)))</formula>
    </cfRule>
    <cfRule type="containsText" dxfId="2856" priority="54" operator="containsText" text="C">
      <formula>NOT(ISERROR(SEARCH("C",F40)))</formula>
    </cfRule>
    <cfRule type="containsText" dxfId="2855" priority="55" operator="containsText" text="B">
      <formula>NOT(ISERROR(SEARCH("B",F40)))</formula>
    </cfRule>
  </conditionalFormatting>
  <conditionalFormatting sqref="F42">
    <cfRule type="containsText" dxfId="2854" priority="46" operator="containsText" text="2nd">
      <formula>NOT(ISERROR(SEARCH("2nd",F42)))</formula>
    </cfRule>
    <cfRule type="containsText" dxfId="2853" priority="47" operator="containsText" text="#">
      <formula>NOT(ISERROR(SEARCH("#",F42)))</formula>
    </cfRule>
    <cfRule type="containsText" dxfId="2852" priority="48" operator="containsText" text="A">
      <formula>NOT(ISERROR(SEARCH("A",F42)))</formula>
    </cfRule>
    <cfRule type="containsText" dxfId="2851" priority="49" operator="containsText" text="C">
      <formula>NOT(ISERROR(SEARCH("C",F42)))</formula>
    </cfRule>
    <cfRule type="containsText" dxfId="2850" priority="50" operator="containsText" text="B">
      <formula>NOT(ISERROR(SEARCH("B",F42)))</formula>
    </cfRule>
  </conditionalFormatting>
  <conditionalFormatting sqref="F43">
    <cfRule type="containsText" dxfId="2849" priority="41" operator="containsText" text="2nd">
      <formula>NOT(ISERROR(SEARCH("2nd",F43)))</formula>
    </cfRule>
    <cfRule type="containsText" dxfId="2848" priority="42" operator="containsText" text="#">
      <formula>NOT(ISERROR(SEARCH("#",F43)))</formula>
    </cfRule>
    <cfRule type="containsText" dxfId="2847" priority="43" operator="containsText" text="A">
      <formula>NOT(ISERROR(SEARCH("A",F43)))</formula>
    </cfRule>
    <cfRule type="containsText" dxfId="2846" priority="44" operator="containsText" text="C">
      <formula>NOT(ISERROR(SEARCH("C",F43)))</formula>
    </cfRule>
    <cfRule type="containsText" dxfId="2845" priority="45" operator="containsText" text="B">
      <formula>NOT(ISERROR(SEARCH("B",F43)))</formula>
    </cfRule>
  </conditionalFormatting>
  <conditionalFormatting sqref="F45">
    <cfRule type="containsText" dxfId="2844" priority="36" operator="containsText" text="2nd">
      <formula>NOT(ISERROR(SEARCH("2nd",F45)))</formula>
    </cfRule>
    <cfRule type="containsText" dxfId="2843" priority="37" operator="containsText" text="#">
      <formula>NOT(ISERROR(SEARCH("#",F45)))</formula>
    </cfRule>
    <cfRule type="containsText" dxfId="2842" priority="38" operator="containsText" text="A">
      <formula>NOT(ISERROR(SEARCH("A",F45)))</formula>
    </cfRule>
    <cfRule type="containsText" dxfId="2841" priority="39" operator="containsText" text="C">
      <formula>NOT(ISERROR(SEARCH("C",F45)))</formula>
    </cfRule>
    <cfRule type="containsText" dxfId="2840" priority="40" operator="containsText" text="B">
      <formula>NOT(ISERROR(SEARCH("B",F45)))</formula>
    </cfRule>
  </conditionalFormatting>
  <conditionalFormatting sqref="F46">
    <cfRule type="containsText" dxfId="2839" priority="31" operator="containsText" text="2nd">
      <formula>NOT(ISERROR(SEARCH("2nd",F46)))</formula>
    </cfRule>
    <cfRule type="containsText" dxfId="2838" priority="32" operator="containsText" text="#">
      <formula>NOT(ISERROR(SEARCH("#",F46)))</formula>
    </cfRule>
    <cfRule type="containsText" dxfId="2837" priority="33" operator="containsText" text="A">
      <formula>NOT(ISERROR(SEARCH("A",F46)))</formula>
    </cfRule>
    <cfRule type="containsText" dxfId="2836" priority="34" operator="containsText" text="C">
      <formula>NOT(ISERROR(SEARCH("C",F46)))</formula>
    </cfRule>
    <cfRule type="containsText" dxfId="2835" priority="35" operator="containsText" text="B">
      <formula>NOT(ISERROR(SEARCH("B",F46)))</formula>
    </cfRule>
  </conditionalFormatting>
  <conditionalFormatting sqref="F47">
    <cfRule type="containsText" dxfId="2834" priority="26" operator="containsText" text="2nd">
      <formula>NOT(ISERROR(SEARCH("2nd",F47)))</formula>
    </cfRule>
    <cfRule type="containsText" dxfId="2833" priority="27" operator="containsText" text="#">
      <formula>NOT(ISERROR(SEARCH("#",F47)))</formula>
    </cfRule>
    <cfRule type="containsText" dxfId="2832" priority="28" operator="containsText" text="A">
      <formula>NOT(ISERROR(SEARCH("A",F47)))</formula>
    </cfRule>
    <cfRule type="containsText" dxfId="2831" priority="29" operator="containsText" text="C">
      <formula>NOT(ISERROR(SEARCH("C",F47)))</formula>
    </cfRule>
    <cfRule type="containsText" dxfId="2830" priority="30" operator="containsText" text="B">
      <formula>NOT(ISERROR(SEARCH("B",F47)))</formula>
    </cfRule>
  </conditionalFormatting>
  <conditionalFormatting sqref="F48">
    <cfRule type="containsText" dxfId="2829" priority="21" operator="containsText" text="2nd">
      <formula>NOT(ISERROR(SEARCH("2nd",F48)))</formula>
    </cfRule>
    <cfRule type="containsText" dxfId="2828" priority="22" operator="containsText" text="#">
      <formula>NOT(ISERROR(SEARCH("#",F48)))</formula>
    </cfRule>
    <cfRule type="containsText" dxfId="2827" priority="23" operator="containsText" text="A">
      <formula>NOT(ISERROR(SEARCH("A",F48)))</formula>
    </cfRule>
    <cfRule type="containsText" dxfId="2826" priority="24" operator="containsText" text="C">
      <formula>NOT(ISERROR(SEARCH("C",F48)))</formula>
    </cfRule>
    <cfRule type="containsText" dxfId="2825" priority="25" operator="containsText" text="B">
      <formula>NOT(ISERROR(SEARCH("B",F48)))</formula>
    </cfRule>
  </conditionalFormatting>
  <conditionalFormatting sqref="F49">
    <cfRule type="containsText" dxfId="2824" priority="16" operator="containsText" text="2nd">
      <formula>NOT(ISERROR(SEARCH("2nd",F49)))</formula>
    </cfRule>
    <cfRule type="containsText" dxfId="2823" priority="17" operator="containsText" text="#">
      <formula>NOT(ISERROR(SEARCH("#",F49)))</formula>
    </cfRule>
    <cfRule type="containsText" dxfId="2822" priority="18" operator="containsText" text="A">
      <formula>NOT(ISERROR(SEARCH("A",F49)))</formula>
    </cfRule>
    <cfRule type="containsText" dxfId="2821" priority="19" operator="containsText" text="C">
      <formula>NOT(ISERROR(SEARCH("C",F49)))</formula>
    </cfRule>
    <cfRule type="containsText" dxfId="2820" priority="20" operator="containsText" text="B">
      <formula>NOT(ISERROR(SEARCH("B",F49)))</formula>
    </cfRule>
  </conditionalFormatting>
  <conditionalFormatting sqref="G45:G50">
    <cfRule type="expression" dxfId="2819" priority="11">
      <formula>F45="#"</formula>
    </cfRule>
    <cfRule type="expression" dxfId="2818" priority="12">
      <formula>F45="B"</formula>
    </cfRule>
    <cfRule type="expression" dxfId="2817" priority="13">
      <formula>F45="C"</formula>
    </cfRule>
    <cfRule type="expression" priority="14">
      <formula>F45="A"</formula>
    </cfRule>
    <cfRule type="expression" priority="15">
      <formula>F45=n.a.</formula>
    </cfRule>
  </conditionalFormatting>
  <conditionalFormatting sqref="F50">
    <cfRule type="containsText" dxfId="2816" priority="6" operator="containsText" text="2nd">
      <formula>NOT(ISERROR(SEARCH("2nd",F50)))</formula>
    </cfRule>
    <cfRule type="containsText" dxfId="2815" priority="7" operator="containsText" text="#">
      <formula>NOT(ISERROR(SEARCH("#",F50)))</formula>
    </cfRule>
    <cfRule type="containsText" dxfId="2814" priority="8" operator="containsText" text="A">
      <formula>NOT(ISERROR(SEARCH("A",F50)))</formula>
    </cfRule>
    <cfRule type="containsText" dxfId="2813" priority="9" operator="containsText" text="C">
      <formula>NOT(ISERROR(SEARCH("C",F50)))</formula>
    </cfRule>
    <cfRule type="containsText" dxfId="2812" priority="10" operator="containsText" text="B">
      <formula>NOT(ISERROR(SEARCH("B",F50)))</formula>
    </cfRule>
  </conditionalFormatting>
  <conditionalFormatting sqref="G45:L50">
    <cfRule type="expression" dxfId="2811" priority="5">
      <formula>F45="2nd"</formula>
    </cfRule>
  </conditionalFormatting>
  <conditionalFormatting sqref="F25">
    <cfRule type="containsText" dxfId="2810" priority="4" operator="containsText" text="A">
      <formula>NOT(ISERROR(SEARCH("A",F25)))</formula>
    </cfRule>
  </conditionalFormatting>
  <conditionalFormatting sqref="F31">
    <cfRule type="containsText" dxfId="2809" priority="3" operator="containsText" text="A">
      <formula>NOT(ISERROR(SEARCH("A",F31)))</formula>
    </cfRule>
  </conditionalFormatting>
  <conditionalFormatting sqref="F41">
    <cfRule type="containsText" dxfId="2808" priority="2" operator="containsText" text="A">
      <formula>NOT(ISERROR(SEARCH("A",F41)))</formula>
    </cfRule>
  </conditionalFormatting>
  <conditionalFormatting sqref="F44">
    <cfRule type="containsText" dxfId="2807" priority="1" operator="containsText" text="A">
      <formula>NOT(ISERROR(SEARCH("A",F44)))</formula>
    </cfRule>
  </conditionalFormatting>
  <dataValidations count="2">
    <dataValidation type="list" allowBlank="1" showErrorMessage="1" sqref="F32:F40 F42:F43 F45:F50 F26:F30">
      <formula1>erwListe</formula1>
    </dataValidation>
    <dataValidation type="list" allowBlank="1" showInputMessage="1" showErrorMessage="1" sqref="I20:K20">
      <mc:AlternateContent xmlns:x12ac="http://schemas.microsoft.com/office/spreadsheetml/2011/1/ac" xmlns:mc="http://schemas.openxmlformats.org/markup-compatibility/2006">
        <mc:Choice Requires="x12ac">
          <x12ac:list>"Yes, 2nd Fuel", No</x12ac:list>
        </mc:Choice>
        <mc:Fallback>
          <formula1>"Yes, 2nd Fuel, No"</formula1>
        </mc:Fallback>
      </mc:AlternateContent>
    </dataValidation>
  </dataValidations>
  <pageMargins left="0.70866141732283472" right="0.70866141732283472" top="0.74803149606299213" bottom="0.74803149606299213" header="0.31496062992125984" footer="0.31496062992125984"/>
  <pageSetup paperSize="9" scale="52" orientation="portrait" r:id="rId1"/>
  <rowBreaks count="4" manualBreakCount="4">
    <brk id="125" max="13" man="1"/>
    <brk id="165" max="13" man="1"/>
    <brk id="203" max="13" man="1"/>
    <brk id="243" max="13" man="1"/>
  </rowBreaks>
  <colBreaks count="1" manualBreakCount="1">
    <brk id="15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87" r:id="rId4" name="Button 39">
              <controlPr defaultSize="0" print="0" autoFill="0" autoPict="0" macro="[0]!Tabelle3.Clear">
                <anchor moveWithCells="1" sizeWithCells="1">
                  <from>
                    <xdr:col>18</xdr:col>
                    <xdr:colOff>1019175</xdr:colOff>
                    <xdr:row>9</xdr:row>
                    <xdr:rowOff>85725</xdr:rowOff>
                  </from>
                  <to>
                    <xdr:col>18</xdr:col>
                    <xdr:colOff>2143125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5" name="Button 40">
              <controlPr defaultSize="0" print="0" autoFill="0" autoPict="0" macro="[0]!Tabelle3.Import">
                <anchor moveWithCells="1" sizeWithCells="1">
                  <from>
                    <xdr:col>17</xdr:col>
                    <xdr:colOff>1943100</xdr:colOff>
                    <xdr:row>12</xdr:row>
                    <xdr:rowOff>47625</xdr:rowOff>
                  </from>
                  <to>
                    <xdr:col>18</xdr:col>
                    <xdr:colOff>962025</xdr:colOff>
                    <xdr:row>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6" name="Button 41">
              <controlPr defaultSize="0" print="0" autoFill="0" autoPict="0" macro="[0]!Tabelle3.Save">
                <anchor moveWithCells="1" sizeWithCells="1">
                  <from>
                    <xdr:col>17</xdr:col>
                    <xdr:colOff>1933575</xdr:colOff>
                    <xdr:row>9</xdr:row>
                    <xdr:rowOff>104775</xdr:rowOff>
                  </from>
                  <to>
                    <xdr:col>18</xdr:col>
                    <xdr:colOff>971550</xdr:colOff>
                    <xdr:row>11</xdr:row>
                    <xdr:rowOff>114300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Gasoline'!$B$2:$B$9</xm:f>
          </x14:formula1>
          <xm:sqref>I19:L19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3">
    <pageSetUpPr fitToPage="1"/>
  </sheetPr>
  <dimension ref="A1:BU153"/>
  <sheetViews>
    <sheetView showGridLines="0" zoomScale="90" zoomScaleNormal="90" workbookViewId="0">
      <selection activeCell="F6" sqref="F6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hidden="1" customWidth="1"/>
    <col min="58" max="58" width="4.42578125" style="405" hidden="1" customWidth="1"/>
    <col min="59" max="59" width="4" style="405" hidden="1" customWidth="1"/>
    <col min="60" max="60" width="4.85546875" style="405" hidden="1" customWidth="1"/>
    <col min="61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407" t="s">
        <v>308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">
        <v>284</v>
      </c>
      <c r="M4" s="410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55" t="str">
        <f>VLOOKUP(E4,'Daten Gasoline'!CU14:DC14,2,FALSE)</f>
        <v>-</v>
      </c>
      <c r="G5" s="355" t="str">
        <f>VLOOKUP(E4,'Daten Gasoline'!CU14:DC14,3,FALSE)</f>
        <v>-</v>
      </c>
      <c r="H5" s="355" t="str">
        <f>VLOOKUP(E4,'Daten Gasoline'!CU14:DC14,4,FALSE)</f>
        <v>-</v>
      </c>
      <c r="I5" s="355" t="str">
        <f>VLOOKUP(E4,'Daten Gasoline'!CU14:DC14,5,FALSE)</f>
        <v>-</v>
      </c>
      <c r="J5" s="355" t="str">
        <f>VLOOKUP(E4,'Daten Gasoline'!CU14:DC14,6,FALSE)</f>
        <v>-</v>
      </c>
      <c r="K5" s="355" t="str">
        <f>VLOOKUP(E4,'Daten Gasoline'!CU14:DC14,7,FALSE)</f>
        <v>-</v>
      </c>
      <c r="L5" s="355" t="str">
        <f>VLOOKUP(E4,'Daten Gasoline'!CU14:DC14,8,FALSE)</f>
        <v>-</v>
      </c>
      <c r="M5" s="355" t="str">
        <f>VLOOKUP(E4,'Daten Gasoline'!CU14:DC14,9,FALSE)</f>
        <v>-</v>
      </c>
      <c r="N5" s="355" t="s">
        <v>5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547"/>
      <c r="G6" s="547"/>
      <c r="H6" s="547"/>
      <c r="I6" s="547"/>
      <c r="J6" s="547"/>
      <c r="K6" s="548"/>
      <c r="L6" s="413"/>
      <c r="M6" s="413"/>
      <c r="N6" s="412"/>
      <c r="O6" s="411"/>
      <c r="P6" s="411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237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427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456"/>
      <c r="C9" s="457"/>
      <c r="D9" s="457"/>
      <c r="E9" s="457"/>
      <c r="F9" s="457"/>
      <c r="G9" s="457"/>
      <c r="H9" s="457"/>
      <c r="I9" s="457"/>
      <c r="J9" s="457"/>
      <c r="K9" s="421"/>
      <c r="L9" s="421"/>
      <c r="M9" s="421"/>
      <c r="N9" s="457"/>
      <c r="O9" s="457"/>
      <c r="P9" s="457"/>
      <c r="Q9" s="457"/>
      <c r="R9" s="457"/>
      <c r="S9" s="457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434"/>
      <c r="X11" s="434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434"/>
      <c r="X12" s="434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Other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434"/>
      <c r="X13" s="434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 t="str">
        <f t="shared" ref="BE13:BL13" si="2">IF(AND(OR($C15="-",$C15="CET",$C15=""),OR(F12="-",F12="CET",F12="")),"-",IF(AND(OR(F13="-",F13=""),OR(F14="-",F14="")),"-",IF(NOT(OR(F13="-",F13="")),F13/F$5,F14/F$5)))</f>
        <v>-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si="2"/>
        <v>-</v>
      </c>
      <c r="BL13" s="435" t="str">
        <f t="shared" si="2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L14" si="3">IF((OR($C20="-",$C20="CET",$C20="")),"-",IF(AND(OR(F18="-",F18=""),OR(F19="-",F19="")),"-",IF(NOT(OR(F18="-",F18="")),F18/F$5,F19/F$5)))</f>
        <v>-</v>
      </c>
      <c r="BF14" s="435" t="str">
        <f t="shared" si="3"/>
        <v>-</v>
      </c>
      <c r="BG14" s="435" t="str">
        <f t="shared" si="3"/>
        <v>-</v>
      </c>
      <c r="BH14" s="435" t="str">
        <f t="shared" si="3"/>
        <v>-</v>
      </c>
      <c r="BI14" s="435" t="str">
        <f t="shared" si="3"/>
        <v>-</v>
      </c>
      <c r="BJ14" s="435" t="str">
        <f t="shared" si="3"/>
        <v>-</v>
      </c>
      <c r="BK14" s="435" t="str">
        <f t="shared" si="3"/>
        <v>-</v>
      </c>
      <c r="BL14" s="435" t="str">
        <f t="shared" si="3"/>
        <v>-</v>
      </c>
    </row>
    <row r="15" spans="1:64" ht="15" customHeight="1" outlineLevel="1" thickBot="1" x14ac:dyDescent="0.3">
      <c r="A15" s="396"/>
      <c r="B15" s="680"/>
      <c r="C15" s="686" t="s">
        <v>64</v>
      </c>
      <c r="D15" s="689" t="str">
        <f>IF(AND(F16="-",G16="-",H16="-",I16="-",J16="-",K16="-",L16="-",M16="-"),"-",MAX(F16,G16,H16,I16,J16,K16,L16,M16))</f>
        <v>-</v>
      </c>
      <c r="E15" s="444" t="s">
        <v>96</v>
      </c>
      <c r="F15" s="445" t="str">
        <f t="shared" ref="F15:M15" si="4">IF(OR(F14="-",F14=""),IF(OR(F13="-",F13=""),"-",F13),IF(OR(F13="-",F13=""),F14,(F13+F14)/2))</f>
        <v>-</v>
      </c>
      <c r="G15" s="445" t="str">
        <f t="shared" si="4"/>
        <v>-</v>
      </c>
      <c r="H15" s="445" t="str">
        <f t="shared" si="4"/>
        <v>-</v>
      </c>
      <c r="I15" s="445" t="str">
        <f t="shared" si="4"/>
        <v>-</v>
      </c>
      <c r="J15" s="445" t="str">
        <f t="shared" si="4"/>
        <v>-</v>
      </c>
      <c r="K15" s="446" t="str">
        <f t="shared" si="4"/>
        <v>-</v>
      </c>
      <c r="L15" s="446" t="str">
        <f t="shared" si="4"/>
        <v>-</v>
      </c>
      <c r="M15" s="446" t="str">
        <f t="shared" si="4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434"/>
      <c r="X15" s="434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L15" si="5">IF((OR($C25="-",$C25="CET",$C25="")),"-",IF(AND(OR(F23="-",F23=""),OR(F24="-",F24="")),"-",IF(NOT(OR(F23="-",F23="")),F23/F$5,F24/F$5)))</f>
        <v>-</v>
      </c>
      <c r="BF15" s="435" t="str">
        <f t="shared" si="5"/>
        <v>-</v>
      </c>
      <c r="BG15" s="435" t="str">
        <f t="shared" si="5"/>
        <v>-</v>
      </c>
      <c r="BH15" s="435" t="str">
        <f t="shared" si="5"/>
        <v>-</v>
      </c>
      <c r="BI15" s="435" t="str">
        <f t="shared" si="5"/>
        <v>-</v>
      </c>
      <c r="BJ15" s="435" t="str">
        <f t="shared" si="5"/>
        <v>-</v>
      </c>
      <c r="BK15" s="435" t="str">
        <f t="shared" si="5"/>
        <v>-</v>
      </c>
      <c r="BL15" s="435" t="str">
        <f t="shared" si="5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K16" si="6">IF(AND(OR($C15="-",$C15="CET",$C15=""),OR(F12="-",F12="CET",F12="")),"-",IF(AND(NOT(F15="-"),NOT(F$5="-"),NOT(F$5="")),F15/F$5,"-"))</f>
        <v>-</v>
      </c>
      <c r="G16" s="448" t="str">
        <f t="shared" si="6"/>
        <v>-</v>
      </c>
      <c r="H16" s="448" t="str">
        <f t="shared" si="6"/>
        <v>-</v>
      </c>
      <c r="I16" s="448" t="str">
        <f t="shared" si="6"/>
        <v>-</v>
      </c>
      <c r="J16" s="448" t="str">
        <f t="shared" si="6"/>
        <v>-</v>
      </c>
      <c r="K16" s="449" t="str">
        <f t="shared" si="6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7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434"/>
      <c r="X16" s="434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L16" si="8">IF((OR($C30="-",$C30="CET",$C30="")),"-",IF(AND(OR(F28="-",F28=""),OR(F29="-",F29="")),"-",IF(NOT(OR(F28="-",F28="")),F28/F$5,F29/F$5)))</f>
        <v>-</v>
      </c>
      <c r="BF16" s="435" t="str">
        <f t="shared" si="8"/>
        <v>-</v>
      </c>
      <c r="BG16" s="435" t="str">
        <f t="shared" si="8"/>
        <v>-</v>
      </c>
      <c r="BH16" s="435" t="str">
        <f t="shared" si="8"/>
        <v>-</v>
      </c>
      <c r="BI16" s="435" t="str">
        <f t="shared" si="8"/>
        <v>-</v>
      </c>
      <c r="BJ16" s="435" t="str">
        <f t="shared" si="8"/>
        <v>-</v>
      </c>
      <c r="BK16" s="435" t="str">
        <f t="shared" si="8"/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9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9"/>
        <v>-</v>
      </c>
      <c r="H17" s="451" t="str">
        <f t="shared" si="9"/>
        <v>-</v>
      </c>
      <c r="I17" s="451" t="str">
        <f t="shared" si="9"/>
        <v>-</v>
      </c>
      <c r="J17" s="451" t="str">
        <f t="shared" si="9"/>
        <v>-</v>
      </c>
      <c r="K17" s="452" t="str">
        <f t="shared" si="9"/>
        <v>-</v>
      </c>
      <c r="L17" s="452" t="str">
        <f t="shared" si="9"/>
        <v>-</v>
      </c>
      <c r="M17" s="452" t="str">
        <f t="shared" si="9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434"/>
      <c r="X17" s="434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10">IF(AND(OR($C15="-",$C15="CET",$C15=""),OR(F12="-",F12="CET",F12="")),"-",0.7*IF(OR(F12="CET",F12="-",F12=""),IF(OR($C15="CET",$C15="-",$C15=""),"-",$C15),F12))</f>
        <v>-</v>
      </c>
      <c r="BF17" s="435" t="str">
        <f t="shared" si="10"/>
        <v>-</v>
      </c>
      <c r="BG17" s="435" t="str">
        <f t="shared" si="10"/>
        <v>-</v>
      </c>
      <c r="BH17" s="435" t="str">
        <f t="shared" si="10"/>
        <v>-</v>
      </c>
      <c r="BI17" s="435" t="str">
        <f t="shared" si="10"/>
        <v>-</v>
      </c>
      <c r="BJ17" s="435" t="str">
        <f t="shared" si="10"/>
        <v>-</v>
      </c>
      <c r="BK17" s="435" t="str">
        <f t="shared" si="10"/>
        <v>-</v>
      </c>
      <c r="BL17" s="435" t="str">
        <f t="shared" si="10"/>
        <v>-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434"/>
      <c r="X18" s="434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96" si="11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L18" si="12">IF(OR($C20="-",$C20="CET",$C20=""),"-",0.7*$C20)</f>
        <v>0.7</v>
      </c>
      <c r="BF18" s="435">
        <f t="shared" si="12"/>
        <v>0.7</v>
      </c>
      <c r="BG18" s="435">
        <f t="shared" si="12"/>
        <v>0.7</v>
      </c>
      <c r="BH18" s="435">
        <f t="shared" si="12"/>
        <v>0.7</v>
      </c>
      <c r="BI18" s="435">
        <f t="shared" si="12"/>
        <v>0.7</v>
      </c>
      <c r="BJ18" s="435">
        <f t="shared" si="12"/>
        <v>0.7</v>
      </c>
      <c r="BK18" s="435">
        <f t="shared" si="12"/>
        <v>0.7</v>
      </c>
      <c r="BL18" s="435">
        <f t="shared" si="12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1"/>
        <v>-</v>
      </c>
      <c r="BD19" s="429" t="str">
        <f>"0.7*IEF " &amp; B23</f>
        <v>0.7*IEF Hot 1</v>
      </c>
      <c r="BE19" s="435">
        <f t="shared" ref="BE19:BL19" si="13">IF(OR($C25="-",$C25="CET",$C25=""),"-",0.7*$C25)</f>
        <v>0.7</v>
      </c>
      <c r="BF19" s="435">
        <f t="shared" si="13"/>
        <v>0.7</v>
      </c>
      <c r="BG19" s="435">
        <f t="shared" si="13"/>
        <v>0.7</v>
      </c>
      <c r="BH19" s="435">
        <f t="shared" si="13"/>
        <v>0.7</v>
      </c>
      <c r="BI19" s="435">
        <f t="shared" si="13"/>
        <v>0.7</v>
      </c>
      <c r="BJ19" s="435">
        <f t="shared" si="13"/>
        <v>0.7</v>
      </c>
      <c r="BK19" s="435">
        <f t="shared" si="13"/>
        <v>0.7</v>
      </c>
      <c r="BL19" s="435">
        <f t="shared" si="13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M20" si="14">IF(OR(F19="-",F19=""),IF(OR(F18="-",F18=""),"-",F18),IF(OR(F18="-",F18=""),F19,(F18+F19)/2))</f>
        <v>-</v>
      </c>
      <c r="G20" s="445" t="str">
        <f t="shared" si="14"/>
        <v>-</v>
      </c>
      <c r="H20" s="445" t="str">
        <f t="shared" si="14"/>
        <v>-</v>
      </c>
      <c r="I20" s="445" t="str">
        <f t="shared" si="14"/>
        <v>-</v>
      </c>
      <c r="J20" s="445" t="str">
        <f t="shared" si="14"/>
        <v>-</v>
      </c>
      <c r="K20" s="446" t="str">
        <f t="shared" si="14"/>
        <v>-</v>
      </c>
      <c r="L20" s="446" t="str">
        <f t="shared" si="14"/>
        <v>-</v>
      </c>
      <c r="M20" s="446" t="str">
        <f t="shared" si="1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434"/>
      <c r="X20" s="434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1"/>
        <v>-</v>
      </c>
      <c r="BD20" s="429" t="str">
        <f>"0.7*IEF " &amp; B28</f>
        <v>0.7*IEF Hot 2</v>
      </c>
      <c r="BE20" s="435">
        <f t="shared" ref="BE20:BL20" si="15">IF(OR($C30="-",$C30="CET",$C30=""),"-",0.7*$C30)</f>
        <v>0.7</v>
      </c>
      <c r="BF20" s="435">
        <f t="shared" si="15"/>
        <v>0.7</v>
      </c>
      <c r="BG20" s="435">
        <f t="shared" si="15"/>
        <v>0.7</v>
      </c>
      <c r="BH20" s="435">
        <f t="shared" si="15"/>
        <v>0.7</v>
      </c>
      <c r="BI20" s="435">
        <f t="shared" si="15"/>
        <v>0.7</v>
      </c>
      <c r="BJ20" s="435">
        <f t="shared" si="15"/>
        <v>0.7</v>
      </c>
      <c r="BK20" s="435">
        <f t="shared" si="15"/>
        <v>0.7</v>
      </c>
      <c r="BL20" s="435">
        <f t="shared" si="15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M21" si="16">IF(OR($C20="-",$C20="CET",$C20=""),"-",IF(AND(NOT(F20="-"),NOT(F$5="-"),NOT(F$5="")),F20/F$5,"-"))</f>
        <v>-</v>
      </c>
      <c r="G21" s="448" t="str">
        <f t="shared" si="16"/>
        <v>-</v>
      </c>
      <c r="H21" s="448" t="str">
        <f t="shared" si="16"/>
        <v>-</v>
      </c>
      <c r="I21" s="448" t="str">
        <f t="shared" si="16"/>
        <v>-</v>
      </c>
      <c r="J21" s="448" t="str">
        <f t="shared" si="16"/>
        <v>-</v>
      </c>
      <c r="K21" s="449" t="str">
        <f t="shared" si="16"/>
        <v>-</v>
      </c>
      <c r="L21" s="449" t="str">
        <f t="shared" si="16"/>
        <v>-</v>
      </c>
      <c r="M21" s="449" t="str">
        <f t="shared" si="16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434"/>
      <c r="X21" s="434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1"/>
        <v>-</v>
      </c>
      <c r="BD21" s="429" t="str">
        <f>B12</f>
        <v>Cold</v>
      </c>
      <c r="BE21" s="435" t="str">
        <f t="shared" ref="BE21:BL21" si="17">F16</f>
        <v>-</v>
      </c>
      <c r="BF21" s="435" t="str">
        <f t="shared" si="17"/>
        <v>-</v>
      </c>
      <c r="BG21" s="435" t="str">
        <f t="shared" si="17"/>
        <v>-</v>
      </c>
      <c r="BH21" s="435" t="str">
        <f t="shared" si="17"/>
        <v>-</v>
      </c>
      <c r="BI21" s="435" t="str">
        <f t="shared" si="17"/>
        <v>-</v>
      </c>
      <c r="BJ21" s="435" t="str">
        <f t="shared" si="17"/>
        <v>-</v>
      </c>
      <c r="BK21" s="435" t="str">
        <f t="shared" si="17"/>
        <v>-</v>
      </c>
      <c r="BL21" s="435" t="str">
        <f t="shared" si="17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8"/>
        <v>-</v>
      </c>
      <c r="H22" s="451" t="str">
        <f t="shared" si="18"/>
        <v>-</v>
      </c>
      <c r="I22" s="451" t="str">
        <f t="shared" si="18"/>
        <v>-</v>
      </c>
      <c r="J22" s="451" t="str">
        <f t="shared" si="18"/>
        <v>-</v>
      </c>
      <c r="K22" s="452" t="str">
        <f t="shared" si="18"/>
        <v>-</v>
      </c>
      <c r="L22" s="452" t="str">
        <f t="shared" si="18"/>
        <v>-</v>
      </c>
      <c r="M22" s="452" t="str">
        <f t="shared" si="18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434"/>
      <c r="X22" s="434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1"/>
        <v>-</v>
      </c>
      <c r="BD22" s="429" t="str">
        <f>B18</f>
        <v>Warm</v>
      </c>
      <c r="BE22" s="435" t="str">
        <f t="shared" ref="BE22:BL22" si="19">F21</f>
        <v>-</v>
      </c>
      <c r="BF22" s="435" t="str">
        <f t="shared" si="19"/>
        <v>-</v>
      </c>
      <c r="BG22" s="435" t="str">
        <f t="shared" si="19"/>
        <v>-</v>
      </c>
      <c r="BH22" s="435" t="str">
        <f t="shared" si="19"/>
        <v>-</v>
      </c>
      <c r="BI22" s="435" t="str">
        <f t="shared" si="19"/>
        <v>-</v>
      </c>
      <c r="BJ22" s="435" t="str">
        <f t="shared" si="19"/>
        <v>-</v>
      </c>
      <c r="BK22" s="435" t="str">
        <f t="shared" si="19"/>
        <v>-</v>
      </c>
      <c r="BL22" s="435" t="str">
        <f t="shared" si="19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434"/>
      <c r="X23" s="434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1"/>
        <v>-</v>
      </c>
      <c r="BD23" s="429" t="str">
        <f>B23</f>
        <v>Hot 1</v>
      </c>
      <c r="BE23" s="435" t="str">
        <f t="shared" ref="BE23:BL23" si="20">F26</f>
        <v>-</v>
      </c>
      <c r="BF23" s="435" t="str">
        <f t="shared" si="20"/>
        <v>-</v>
      </c>
      <c r="BG23" s="435" t="str">
        <f t="shared" si="20"/>
        <v>-</v>
      </c>
      <c r="BH23" s="435" t="str">
        <f t="shared" si="20"/>
        <v>-</v>
      </c>
      <c r="BI23" s="435" t="str">
        <f t="shared" si="20"/>
        <v>-</v>
      </c>
      <c r="BJ23" s="435" t="str">
        <f t="shared" si="20"/>
        <v>-</v>
      </c>
      <c r="BK23" s="435" t="str">
        <f t="shared" si="20"/>
        <v>-</v>
      </c>
      <c r="BL23" s="435" t="str">
        <f t="shared" si="20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1"/>
        <v>-</v>
      </c>
      <c r="BD24" s="429" t="str">
        <f>B28</f>
        <v>Hot 2</v>
      </c>
      <c r="BE24" s="435" t="str">
        <f t="shared" ref="BE24:BL24" si="21">F31</f>
        <v>-</v>
      </c>
      <c r="BF24" s="435" t="str">
        <f t="shared" si="21"/>
        <v>-</v>
      </c>
      <c r="BG24" s="435" t="str">
        <f t="shared" si="21"/>
        <v>-</v>
      </c>
      <c r="BH24" s="435" t="str">
        <f t="shared" si="21"/>
        <v>-</v>
      </c>
      <c r="BI24" s="435" t="str">
        <f t="shared" si="21"/>
        <v>-</v>
      </c>
      <c r="BJ24" s="435" t="str">
        <f t="shared" si="21"/>
        <v>-</v>
      </c>
      <c r="BK24" s="435" t="str">
        <f t="shared" si="21"/>
        <v>-</v>
      </c>
      <c r="BL24" s="435" t="str">
        <f t="shared" si="21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M25" si="22">IF(OR(F24="-",F24=""),IF(OR(F23="-",F23=""),"-",F23),IF(OR(F23="-",F23=""),F24,(F23+F24)/2))</f>
        <v>-</v>
      </c>
      <c r="G25" s="445" t="str">
        <f t="shared" si="22"/>
        <v>-</v>
      </c>
      <c r="H25" s="445" t="str">
        <f t="shared" si="22"/>
        <v>-</v>
      </c>
      <c r="I25" s="445" t="str">
        <f t="shared" si="22"/>
        <v>-</v>
      </c>
      <c r="J25" s="445" t="str">
        <f t="shared" si="22"/>
        <v>-</v>
      </c>
      <c r="K25" s="446" t="str">
        <f t="shared" si="22"/>
        <v>-</v>
      </c>
      <c r="L25" s="446" t="str">
        <f t="shared" si="22"/>
        <v>-</v>
      </c>
      <c r="M25" s="446" t="str">
        <f t="shared" si="22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434"/>
      <c r="X25" s="434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1"/>
        <v>-</v>
      </c>
      <c r="BD25" s="429" t="str">
        <f>"IEF " &amp;B12</f>
        <v>IEF Cold</v>
      </c>
      <c r="BE25" s="435" t="str">
        <f t="shared" ref="BE25:BL25" si="23">IF(AND(OR($C15="-",$C15="CET",$C15=""),OR(F12="-",F12="CET",F12="")),"-",IF(OR(F12="CET",F12="-",F12=""),IF(OR($C15="CET",$C15="-",$C15=""),"-",$C15),F12))</f>
        <v>-</v>
      </c>
      <c r="BF25" s="435" t="str">
        <f t="shared" si="23"/>
        <v>-</v>
      </c>
      <c r="BG25" s="435" t="str">
        <f t="shared" si="23"/>
        <v>-</v>
      </c>
      <c r="BH25" s="435" t="str">
        <f t="shared" si="23"/>
        <v>-</v>
      </c>
      <c r="BI25" s="435" t="str">
        <f t="shared" si="23"/>
        <v>-</v>
      </c>
      <c r="BJ25" s="435" t="str">
        <f t="shared" si="23"/>
        <v>-</v>
      </c>
      <c r="BK25" s="435" t="str">
        <f t="shared" si="23"/>
        <v>-</v>
      </c>
      <c r="BL25" s="435" t="str">
        <f t="shared" si="23"/>
        <v>-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M26" si="24">IF(OR($C25="-",$C25="CET",$C25=""),"-",IF(AND(NOT(F25="-"),NOT(F$5="-"),NOT(F$5="")),F25/F$5,"-"))</f>
        <v>-</v>
      </c>
      <c r="G26" s="448" t="str">
        <f t="shared" si="24"/>
        <v>-</v>
      </c>
      <c r="H26" s="448" t="str">
        <f t="shared" si="24"/>
        <v>-</v>
      </c>
      <c r="I26" s="448" t="str">
        <f t="shared" si="24"/>
        <v>-</v>
      </c>
      <c r="J26" s="448" t="str">
        <f t="shared" si="24"/>
        <v>-</v>
      </c>
      <c r="K26" s="449" t="str">
        <f t="shared" si="24"/>
        <v>-</v>
      </c>
      <c r="L26" s="449" t="str">
        <f t="shared" si="24"/>
        <v>-</v>
      </c>
      <c r="M26" s="449" t="str">
        <f t="shared" si="2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434"/>
      <c r="X26" s="434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1"/>
        <v>-</v>
      </c>
      <c r="BD26" s="429" t="str">
        <f>"IEF " &amp; B18</f>
        <v>IEF Warm</v>
      </c>
      <c r="BE26" s="435">
        <f t="shared" ref="BE26:BL26" si="25">IF(OR($C20="CET",$C20="-",$C20=""),"-",$C20)</f>
        <v>1</v>
      </c>
      <c r="BF26" s="435">
        <f t="shared" si="25"/>
        <v>1</v>
      </c>
      <c r="BG26" s="435">
        <f t="shared" si="25"/>
        <v>1</v>
      </c>
      <c r="BH26" s="435">
        <f t="shared" si="25"/>
        <v>1</v>
      </c>
      <c r="BI26" s="435">
        <f t="shared" si="25"/>
        <v>1</v>
      </c>
      <c r="BJ26" s="435">
        <f t="shared" si="25"/>
        <v>1</v>
      </c>
      <c r="BK26" s="435">
        <f t="shared" si="25"/>
        <v>1</v>
      </c>
      <c r="BL26" s="435">
        <f t="shared" si="25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6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6"/>
        <v>-</v>
      </c>
      <c r="H27" s="451" t="str">
        <f t="shared" si="26"/>
        <v>-</v>
      </c>
      <c r="I27" s="451" t="str">
        <f t="shared" si="26"/>
        <v>-</v>
      </c>
      <c r="J27" s="451" t="str">
        <f t="shared" si="26"/>
        <v>-</v>
      </c>
      <c r="K27" s="452" t="str">
        <f t="shared" si="26"/>
        <v>-</v>
      </c>
      <c r="L27" s="452" t="str">
        <f t="shared" si="26"/>
        <v>-</v>
      </c>
      <c r="M27" s="452" t="str">
        <f t="shared" si="26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434"/>
      <c r="X27" s="434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1"/>
        <v>-</v>
      </c>
      <c r="BD27" s="429" t="str">
        <f>"IEF " &amp; B23</f>
        <v>IEF Hot 1</v>
      </c>
      <c r="BE27" s="435">
        <f t="shared" ref="BE27:BL27" si="27">IF(OR($C25="CET",$C25="-",$C25=""),"-",$C25)</f>
        <v>1</v>
      </c>
      <c r="BF27" s="435">
        <f t="shared" si="27"/>
        <v>1</v>
      </c>
      <c r="BG27" s="435">
        <f t="shared" si="27"/>
        <v>1</v>
      </c>
      <c r="BH27" s="435">
        <f t="shared" si="27"/>
        <v>1</v>
      </c>
      <c r="BI27" s="435">
        <f t="shared" si="27"/>
        <v>1</v>
      </c>
      <c r="BJ27" s="435">
        <f t="shared" si="27"/>
        <v>1</v>
      </c>
      <c r="BK27" s="435">
        <f t="shared" si="27"/>
        <v>1</v>
      </c>
      <c r="BL27" s="435">
        <f t="shared" si="27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434"/>
      <c r="X28" s="434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1"/>
        <v>-</v>
      </c>
      <c r="BD28" s="429" t="str">
        <f>"IEF " &amp; B28</f>
        <v>IEF Hot 2</v>
      </c>
      <c r="BE28" s="435">
        <f t="shared" ref="BE28:BL28" si="28">IF(OR($C30="CET",$C30="-",$C30=""),"-",$C30)</f>
        <v>1</v>
      </c>
      <c r="BF28" s="435">
        <f t="shared" si="28"/>
        <v>1</v>
      </c>
      <c r="BG28" s="435">
        <f t="shared" si="28"/>
        <v>1</v>
      </c>
      <c r="BH28" s="435">
        <f t="shared" si="28"/>
        <v>1</v>
      </c>
      <c r="BI28" s="435">
        <f t="shared" si="28"/>
        <v>1</v>
      </c>
      <c r="BJ28" s="435">
        <f t="shared" si="28"/>
        <v>1</v>
      </c>
      <c r="BK28" s="435">
        <f t="shared" si="28"/>
        <v>1</v>
      </c>
      <c r="BL28" s="435">
        <f t="shared" si="28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1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M30" si="29">IF(OR(F29="-",F29=""),IF(OR(F28="-",F28=""),"-",F28),IF(OR(F28="-",F28=""),F29,(F28+F29)/2))</f>
        <v>-</v>
      </c>
      <c r="G30" s="445" t="str">
        <f t="shared" si="29"/>
        <v>-</v>
      </c>
      <c r="H30" s="445" t="str">
        <f t="shared" si="29"/>
        <v>-</v>
      </c>
      <c r="I30" s="445" t="str">
        <f t="shared" si="29"/>
        <v>-</v>
      </c>
      <c r="J30" s="445" t="str">
        <f t="shared" si="29"/>
        <v>-</v>
      </c>
      <c r="K30" s="446" t="str">
        <f t="shared" si="29"/>
        <v>-</v>
      </c>
      <c r="L30" s="446" t="str">
        <f t="shared" si="29"/>
        <v>-</v>
      </c>
      <c r="M30" s="446" t="str">
        <f t="shared" si="29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434"/>
      <c r="X30" s="434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1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M31" si="30">IF(OR($C30="-",$C30="CET",$C30=""),"-",IF(AND(NOT(F30="-"),NOT(F$5="-"),NOT(F$5="")),F30/F$5,"-"))</f>
        <v>-</v>
      </c>
      <c r="G31" s="448" t="str">
        <f t="shared" si="30"/>
        <v>-</v>
      </c>
      <c r="H31" s="448" t="str">
        <f t="shared" si="30"/>
        <v>-</v>
      </c>
      <c r="I31" s="448" t="str">
        <f t="shared" si="30"/>
        <v>-</v>
      </c>
      <c r="J31" s="448" t="str">
        <f t="shared" si="30"/>
        <v>-</v>
      </c>
      <c r="K31" s="449" t="str">
        <f t="shared" si="30"/>
        <v>-</v>
      </c>
      <c r="L31" s="449" t="str">
        <f t="shared" si="30"/>
        <v>-</v>
      </c>
      <c r="M31" s="449" t="str">
        <f t="shared" si="30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434"/>
      <c r="X31" s="434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1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3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31"/>
        <v>-</v>
      </c>
      <c r="H32" s="451" t="str">
        <f t="shared" si="31"/>
        <v>-</v>
      </c>
      <c r="I32" s="451" t="str">
        <f t="shared" si="31"/>
        <v>-</v>
      </c>
      <c r="J32" s="451" t="str">
        <f t="shared" si="31"/>
        <v>-</v>
      </c>
      <c r="K32" s="452" t="str">
        <f t="shared" si="31"/>
        <v>-</v>
      </c>
      <c r="L32" s="452" t="str">
        <f t="shared" si="31"/>
        <v>-</v>
      </c>
      <c r="M32" s="452" t="str">
        <f t="shared" si="31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1"/>
        <v>-</v>
      </c>
    </row>
    <row r="33" spans="1:64" s="405" customFormat="1" ht="15" customHeight="1" x14ac:dyDescent="0.25">
      <c r="A33" s="401"/>
      <c r="B33" s="401"/>
      <c r="C33" s="401"/>
      <c r="D33" s="401"/>
      <c r="E33" s="401"/>
      <c r="F33" s="401"/>
      <c r="G33" s="401"/>
      <c r="H33" s="401"/>
      <c r="I33" s="401"/>
      <c r="J33" s="401"/>
      <c r="K33" s="458"/>
      <c r="L33" s="458"/>
      <c r="M33" s="458"/>
      <c r="N33" s="401"/>
      <c r="O33" s="401"/>
      <c r="P33" s="401"/>
      <c r="Q33" s="401"/>
      <c r="R33" s="401"/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  <c r="AE33" s="401"/>
      <c r="AF33" s="401"/>
      <c r="AG33" s="401"/>
      <c r="AH33" s="401"/>
      <c r="AI33" s="401"/>
      <c r="AJ33" s="401"/>
      <c r="AK33" s="401"/>
      <c r="AL33" s="401"/>
      <c r="AM33" s="401"/>
      <c r="AN33" s="401"/>
      <c r="AO33" s="401"/>
      <c r="AP33" s="401"/>
      <c r="AQ33" s="401"/>
      <c r="AR33" s="401"/>
      <c r="AS33" s="401"/>
      <c r="AT33" s="401"/>
      <c r="AU33" s="401"/>
      <c r="AV33" s="401"/>
      <c r="AW33" s="401"/>
      <c r="AX33" s="401"/>
      <c r="AY33" s="401"/>
      <c r="AZ33" s="401"/>
      <c r="BA33" s="401"/>
      <c r="BB33" s="401"/>
      <c r="BC33" s="401" t="str">
        <f t="shared" si="11"/>
        <v>-</v>
      </c>
    </row>
    <row r="34" spans="1:64" s="405" customFormat="1" ht="15" customHeight="1" x14ac:dyDescent="0.25">
      <c r="A34" s="401"/>
      <c r="B34" s="401"/>
      <c r="C34" s="401"/>
      <c r="D34" s="401"/>
      <c r="E34" s="401"/>
      <c r="F34" s="401"/>
      <c r="G34" s="401"/>
      <c r="H34" s="401"/>
      <c r="I34" s="401"/>
      <c r="J34" s="401"/>
      <c r="K34" s="458"/>
      <c r="L34" s="458"/>
      <c r="M34" s="458"/>
      <c r="N34" s="401"/>
      <c r="O34" s="401"/>
      <c r="P34" s="401"/>
      <c r="Q34" s="401"/>
      <c r="R34" s="401"/>
      <c r="S34" s="401"/>
      <c r="T34" s="401"/>
      <c r="U34" s="401"/>
      <c r="V34" s="401"/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401"/>
      <c r="AL34" s="401"/>
      <c r="AM34" s="401"/>
      <c r="AN34" s="401"/>
      <c r="AO34" s="401"/>
      <c r="AP34" s="401"/>
      <c r="AQ34" s="401"/>
      <c r="AR34" s="401"/>
      <c r="AS34" s="401"/>
      <c r="AT34" s="401"/>
      <c r="AU34" s="401"/>
      <c r="AV34" s="401"/>
      <c r="AW34" s="401"/>
      <c r="AX34" s="401"/>
      <c r="AY34" s="401"/>
      <c r="AZ34" s="401"/>
      <c r="BA34" s="401"/>
      <c r="BB34" s="401"/>
      <c r="BC34" s="401"/>
    </row>
    <row r="35" spans="1:64" s="405" customFormat="1" ht="15" customHeight="1" thickBot="1" x14ac:dyDescent="0.3">
      <c r="A35" s="401"/>
      <c r="B35" s="401"/>
      <c r="C35" s="401"/>
      <c r="D35" s="401"/>
      <c r="E35" s="401"/>
      <c r="F35" s="401"/>
      <c r="G35" s="401"/>
      <c r="H35" s="401"/>
      <c r="I35" s="401"/>
      <c r="J35" s="401"/>
      <c r="K35" s="458"/>
      <c r="L35" s="458"/>
      <c r="M35" s="458"/>
      <c r="N35" s="401"/>
      <c r="O35" s="401"/>
      <c r="P35" s="401"/>
      <c r="Q35" s="401"/>
      <c r="R35" s="401"/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401"/>
      <c r="AL35" s="401"/>
      <c r="AM35" s="401"/>
      <c r="AN35" s="401"/>
      <c r="AO35" s="401"/>
      <c r="AP35" s="401"/>
      <c r="AQ35" s="401"/>
      <c r="AR35" s="401"/>
      <c r="AS35" s="401"/>
      <c r="AT35" s="401"/>
      <c r="AU35" s="401"/>
      <c r="AV35" s="401"/>
      <c r="AW35" s="401"/>
      <c r="AX35" s="401"/>
      <c r="AY35" s="401"/>
      <c r="AZ35" s="401"/>
      <c r="BA35" s="401"/>
      <c r="BB35" s="401"/>
      <c r="BC35" s="401"/>
    </row>
    <row r="36" spans="1:64" s="405" customFormat="1" ht="24.95" customHeight="1" thickBot="1" x14ac:dyDescent="0.3">
      <c r="A36" s="396"/>
      <c r="B36" s="415">
        <v>2</v>
      </c>
      <c r="C36" s="706" t="s">
        <v>238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IF(COUNTIF(F44:N59,"refused")&gt;0,"refused",IF(COUNTIF(F44:N59,"failed")&gt;0,"failed",IF(COUNTIF(F44:N59,"passed")&gt;0,"passed","-")))</f>
        <v>-</v>
      </c>
      <c r="Q36" s="399" t="s">
        <v>80</v>
      </c>
      <c r="R36" s="399" t="str">
        <f>IF(COUNT(F40:M41)&gt;0,"listed","not listed")</f>
        <v>not listed</v>
      </c>
      <c r="S36" s="427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AI36" s="401"/>
      <c r="AJ36" s="401"/>
      <c r="AK36" s="401"/>
      <c r="AL36" s="401"/>
      <c r="AM36" s="401"/>
      <c r="AN36" s="401"/>
      <c r="AO36" s="401"/>
      <c r="AP36" s="401"/>
      <c r="AQ36" s="401"/>
      <c r="AR36" s="401"/>
      <c r="AS36" s="401"/>
      <c r="AT36" s="401"/>
      <c r="AU36" s="401"/>
      <c r="AV36" s="401"/>
      <c r="AW36" s="401"/>
      <c r="AX36" s="401"/>
      <c r="AY36" s="401"/>
      <c r="AZ36" s="401"/>
      <c r="BA36" s="401"/>
      <c r="BB36" s="401"/>
      <c r="BC36" s="401" t="str">
        <f t="shared" ref="BC36:BC59" si="32">IF(COUNTIF(F36:M36,"refused")&gt;0,"refused",IF(COUNTIF(F36:M36,"failed")&gt;0,"failed",IF(COUNTIF(F36:M36,"passed")&gt;0,"passed","-")))</f>
        <v>-</v>
      </c>
    </row>
    <row r="37" spans="1:64" s="405" customFormat="1" ht="15" customHeight="1" outlineLevel="1" thickBot="1" x14ac:dyDescent="0.3">
      <c r="A37" s="396"/>
      <c r="B37" s="456"/>
      <c r="C37" s="457"/>
      <c r="D37" s="457"/>
      <c r="E37" s="457"/>
      <c r="F37" s="457"/>
      <c r="G37" s="457"/>
      <c r="H37" s="457"/>
      <c r="I37" s="457"/>
      <c r="J37" s="457"/>
      <c r="K37" s="421"/>
      <c r="L37" s="421"/>
      <c r="M37" s="421"/>
      <c r="N37" s="457"/>
      <c r="O37" s="457"/>
      <c r="P37" s="457"/>
      <c r="Q37" s="457"/>
      <c r="R37" s="457"/>
      <c r="S37" s="457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AI37" s="401"/>
      <c r="AJ37" s="401"/>
      <c r="AK37" s="401"/>
      <c r="AL37" s="401"/>
      <c r="AM37" s="401"/>
      <c r="AN37" s="401"/>
      <c r="AO37" s="401"/>
      <c r="AP37" s="401"/>
      <c r="AQ37" s="401"/>
      <c r="AR37" s="401"/>
      <c r="AS37" s="401"/>
      <c r="AT37" s="401"/>
      <c r="AU37" s="401"/>
      <c r="AV37" s="401"/>
      <c r="AW37" s="401"/>
      <c r="AX37" s="401"/>
      <c r="AY37" s="401"/>
      <c r="AZ37" s="401"/>
      <c r="BA37" s="401"/>
      <c r="BB37" s="401"/>
      <c r="BC37" s="401" t="str">
        <f t="shared" si="32"/>
        <v>-</v>
      </c>
    </row>
    <row r="38" spans="1:64" s="405" customFormat="1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434"/>
      <c r="X38" s="434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AI38" s="401"/>
      <c r="AJ38" s="401"/>
      <c r="AK38" s="401"/>
      <c r="AL38" s="401"/>
      <c r="AM38" s="401"/>
      <c r="AN38" s="401"/>
      <c r="AO38" s="401"/>
      <c r="AP38" s="401"/>
      <c r="AQ38" s="401"/>
      <c r="AR38" s="401"/>
      <c r="AS38" s="401"/>
      <c r="AT38" s="401"/>
      <c r="AU38" s="401"/>
      <c r="AV38" s="401"/>
      <c r="AW38" s="401"/>
      <c r="AX38" s="401"/>
      <c r="AY38" s="401"/>
      <c r="AZ38" s="401"/>
      <c r="BA38" s="401"/>
      <c r="BB38" s="401"/>
      <c r="BC38" s="401" t="str">
        <f t="shared" si="32"/>
        <v>-</v>
      </c>
    </row>
    <row r="39" spans="1:64" s="405" customFormat="1" ht="35.1" customHeight="1" outlineLevel="1" thickBot="1" x14ac:dyDescent="0.3">
      <c r="A39" s="396"/>
      <c r="B39" s="731" t="s">
        <v>84</v>
      </c>
      <c r="C39" s="732"/>
      <c r="D39" s="732"/>
      <c r="E39" s="733"/>
      <c r="F39" s="425" t="str">
        <f>F$4</f>
        <v>NMHC 
[g/km]</v>
      </c>
      <c r="G39" s="425" t="str">
        <f t="shared" ref="G39:N39" si="33">G$4</f>
        <v>THC
[g/km]</v>
      </c>
      <c r="H39" s="425" t="str">
        <f t="shared" si="33"/>
        <v>CO
[g/km]</v>
      </c>
      <c r="I39" s="425" t="str">
        <f t="shared" si="33"/>
        <v>NOx
[g/km]</v>
      </c>
      <c r="J39" s="425" t="str">
        <f t="shared" si="33"/>
        <v>PM
[mg/km]</v>
      </c>
      <c r="K39" s="425" t="str">
        <f t="shared" si="33"/>
        <v>PN
[#/km]</v>
      </c>
      <c r="L39" s="426" t="str">
        <f t="shared" si="33"/>
        <v>Additional
component</v>
      </c>
      <c r="M39" s="426" t="str">
        <f t="shared" si="33"/>
        <v>Additional
component 2</v>
      </c>
      <c r="N39" s="425" t="str">
        <f t="shared" si="33"/>
        <v>CO2
[g/km]</v>
      </c>
      <c r="O39" s="669"/>
      <c r="P39" s="670"/>
      <c r="Q39" s="670"/>
      <c r="R39" s="671"/>
      <c r="S39" s="669"/>
      <c r="T39" s="670"/>
      <c r="U39" s="670"/>
      <c r="V39" s="671"/>
      <c r="W39" s="434"/>
      <c r="X39" s="434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401"/>
      <c r="AJ39" s="401"/>
      <c r="AK39" s="401"/>
      <c r="AL39" s="401"/>
      <c r="AM39" s="401"/>
      <c r="AN39" s="401"/>
      <c r="AO39" s="401"/>
      <c r="AP39" s="401"/>
      <c r="AQ39" s="401"/>
      <c r="AR39" s="401"/>
      <c r="AS39" s="401"/>
      <c r="AT39" s="401"/>
      <c r="AU39" s="401"/>
      <c r="AV39" s="401"/>
      <c r="AW39" s="401"/>
      <c r="AX39" s="401"/>
      <c r="AY39" s="401"/>
      <c r="AZ39" s="401"/>
      <c r="BA39" s="401"/>
      <c r="BB39" s="401"/>
      <c r="BC39" s="401" t="str">
        <f t="shared" si="32"/>
        <v>-</v>
      </c>
    </row>
    <row r="40" spans="1:64" s="405" customFormat="1" ht="15" customHeight="1" outlineLevel="1" x14ac:dyDescent="0.25">
      <c r="A40" s="396"/>
      <c r="B40" s="724" t="s">
        <v>102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4"/>
      <c r="S40" s="672"/>
      <c r="T40" s="673"/>
      <c r="U40" s="673"/>
      <c r="V40" s="674"/>
      <c r="W40" s="434"/>
      <c r="X40" s="434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401"/>
      <c r="AJ40" s="401"/>
      <c r="AK40" s="401"/>
      <c r="AL40" s="401"/>
      <c r="AM40" s="401"/>
      <c r="AN40" s="401"/>
      <c r="AO40" s="401"/>
      <c r="AP40" s="401"/>
      <c r="AQ40" s="401"/>
      <c r="AR40" s="401"/>
      <c r="AS40" s="401"/>
      <c r="AT40" s="401"/>
      <c r="AU40" s="401"/>
      <c r="AV40" s="401"/>
      <c r="AW40" s="401"/>
      <c r="AX40" s="401"/>
      <c r="AY40" s="401"/>
      <c r="AZ40" s="401"/>
      <c r="BA40" s="401"/>
      <c r="BB40" s="401"/>
      <c r="BC40" s="401" t="str">
        <f t="shared" si="32"/>
        <v>-</v>
      </c>
    </row>
    <row r="41" spans="1:64" s="405" customFormat="1" ht="15" customHeight="1" outlineLevel="1" thickBot="1" x14ac:dyDescent="0.3">
      <c r="A41" s="439"/>
      <c r="B41" s="725"/>
      <c r="C41" s="702"/>
      <c r="D41" s="685"/>
      <c r="E41" s="461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4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32"/>
        <v>-</v>
      </c>
    </row>
    <row r="42" spans="1:64" s="405" customFormat="1" ht="15" customHeight="1" outlineLevel="1" thickBot="1" x14ac:dyDescent="0.3">
      <c r="A42" s="396"/>
      <c r="B42" s="725"/>
      <c r="C42" s="686">
        <v>1</v>
      </c>
      <c r="D42" s="689" t="str">
        <f>IF(AND(F43="-",G43="-",H43="-",I43="-",J43="-",K43="-",L43="-",M43="-"),"-",MAX(F43,G43,H43,I43,J43,K43,L43,M43))</f>
        <v>-</v>
      </c>
      <c r="E42" s="462" t="s">
        <v>96</v>
      </c>
      <c r="F42" s="445" t="str">
        <f t="shared" ref="F42:N42" si="34">IF(OR(F41="-",F41=""),IF(OR(F40="-",F40=""),"-",F40),IF(OR(F40="-",F40=""),F41,(F40+F41)/2))</f>
        <v>-</v>
      </c>
      <c r="G42" s="445" t="str">
        <f t="shared" si="34"/>
        <v>-</v>
      </c>
      <c r="H42" s="445" t="str">
        <f t="shared" si="34"/>
        <v>-</v>
      </c>
      <c r="I42" s="445" t="str">
        <f t="shared" si="34"/>
        <v>-</v>
      </c>
      <c r="J42" s="445" t="str">
        <f t="shared" si="34"/>
        <v>-</v>
      </c>
      <c r="K42" s="446" t="str">
        <f t="shared" si="34"/>
        <v>-</v>
      </c>
      <c r="L42" s="446" t="str">
        <f t="shared" si="34"/>
        <v>-</v>
      </c>
      <c r="M42" s="446" t="str">
        <f t="shared" si="34"/>
        <v>-</v>
      </c>
      <c r="N42" s="445" t="str">
        <f t="shared" si="34"/>
        <v>-</v>
      </c>
      <c r="O42" s="672"/>
      <c r="P42" s="673"/>
      <c r="Q42" s="673"/>
      <c r="R42" s="674"/>
      <c r="S42" s="672"/>
      <c r="T42" s="673"/>
      <c r="U42" s="673"/>
      <c r="V42" s="674"/>
      <c r="W42" s="434"/>
      <c r="X42" s="434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AI42" s="401"/>
      <c r="AJ42" s="401"/>
      <c r="AK42" s="401"/>
      <c r="AL42" s="401"/>
      <c r="AM42" s="401"/>
      <c r="AN42" s="401"/>
      <c r="AO42" s="401"/>
      <c r="AP42" s="401"/>
      <c r="AQ42" s="401"/>
      <c r="AR42" s="401"/>
      <c r="AS42" s="401"/>
      <c r="AT42" s="401"/>
      <c r="AU42" s="401"/>
      <c r="AV42" s="401"/>
      <c r="AW42" s="401"/>
      <c r="AX42" s="401"/>
      <c r="AY42" s="401"/>
      <c r="AZ42" s="401"/>
      <c r="BA42" s="401"/>
      <c r="BB42" s="401"/>
      <c r="BC42" s="401" t="str">
        <f t="shared" si="32"/>
        <v>-</v>
      </c>
    </row>
    <row r="43" spans="1:64" s="405" customFormat="1" ht="15" customHeight="1" outlineLevel="1" thickBot="1" x14ac:dyDescent="0.3">
      <c r="A43" s="396"/>
      <c r="B43" s="725"/>
      <c r="C43" s="687"/>
      <c r="D43" s="690"/>
      <c r="E43" s="447" t="s">
        <v>97</v>
      </c>
      <c r="F43" s="448" t="str">
        <f t="shared" ref="F43:N43" si="35">IF(OR($C42="-",$C42="CET",$C42=""),"-",IF(AND(NOT(F42="-"),NOT(F$5="-"),NOT(F$5="")),F42/F$5,"-"))</f>
        <v>-</v>
      </c>
      <c r="G43" s="448" t="str">
        <f t="shared" si="35"/>
        <v>-</v>
      </c>
      <c r="H43" s="448" t="str">
        <f t="shared" si="35"/>
        <v>-</v>
      </c>
      <c r="I43" s="448" t="str">
        <f t="shared" si="35"/>
        <v>-</v>
      </c>
      <c r="J43" s="448" t="str">
        <f t="shared" si="35"/>
        <v>-</v>
      </c>
      <c r="K43" s="449" t="str">
        <f t="shared" si="35"/>
        <v>-</v>
      </c>
      <c r="L43" s="449" t="str">
        <f t="shared" si="35"/>
        <v>-</v>
      </c>
      <c r="M43" s="449" t="str">
        <f t="shared" si="35"/>
        <v>-</v>
      </c>
      <c r="N43" s="448" t="str">
        <f t="shared" si="35"/>
        <v>-</v>
      </c>
      <c r="O43" s="672"/>
      <c r="P43" s="673"/>
      <c r="Q43" s="673"/>
      <c r="R43" s="674"/>
      <c r="S43" s="672"/>
      <c r="T43" s="673"/>
      <c r="U43" s="673"/>
      <c r="V43" s="674"/>
      <c r="W43" s="434"/>
      <c r="X43" s="434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AI43" s="401"/>
      <c r="AJ43" s="401"/>
      <c r="AK43" s="401"/>
      <c r="AL43" s="401"/>
      <c r="AM43" s="401"/>
      <c r="AN43" s="401"/>
      <c r="AO43" s="401"/>
      <c r="AP43" s="401"/>
      <c r="AQ43" s="401"/>
      <c r="AR43" s="401"/>
      <c r="AS43" s="401"/>
      <c r="AT43" s="401"/>
      <c r="AU43" s="401"/>
      <c r="AV43" s="401"/>
      <c r="AW43" s="401"/>
      <c r="AX43" s="401"/>
      <c r="AY43" s="401"/>
      <c r="AZ43" s="401"/>
      <c r="BA43" s="401"/>
      <c r="BB43" s="401"/>
      <c r="BC43" s="401" t="str">
        <f t="shared" si="32"/>
        <v>-</v>
      </c>
    </row>
    <row r="44" spans="1:64" s="405" customFormat="1" ht="15" customHeight="1" outlineLevel="1" thickBot="1" x14ac:dyDescent="0.3">
      <c r="A44" s="396"/>
      <c r="B44" s="726"/>
      <c r="C44" s="688"/>
      <c r="D44" s="691"/>
      <c r="E44" s="451" t="s">
        <v>30</v>
      </c>
      <c r="F44" s="451" t="str">
        <f>IF(AND(OR(F40="-",F40=""),OR(F41="-",F41="")),"-",IF(OR($C42="-",$C42="",$C42="CET"),"-",IF(#REF!="not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>IF(AND(OR(G40="-",G40=""),OR(G41="-",G41="")),"-",IF(OR($C42="-",$C42="",$C42="CET"),"-",IF(#REF!="not listed","-",IF(NOT(G$5="-"),IF(AND(AND(NOT(G40=0),NOT(G40="-"),NOT(G40="")),AND(NOT(G41="-"),NOT(G41=0),NOT(G41=""))),IF(AND((G40+G41)/2&lt;1*G$5*IF(OR($C42="CET",$C42="-",$C42=""),"-",$C42),G40&lt;1.1*G$5*IF(OR($C42="CET",$C42="-",$C42=""),"-",$C42),G41&lt;1.1*G$5*IF(OR($C42="CET",$C42="-",$C42=""),"-",$C42)),"passed","refused"),IF(IF(OR(G40="-",G40=""),G41,G40)&lt;0.7*G$5*IF(OR($C42="CET",$C42="-",$C42=""),"-",$C42),"passed",IF(IF(OR(G40="-",G40=""),G41,G40)&lt;1.1*IF(OR($C42="CET",$C42="-",$C42=""),"-",$C42)*G$5,"failed","refused"))),"-"))))</f>
        <v>-</v>
      </c>
      <c r="H44" s="451" t="str">
        <f>IF(AND(OR(H40="-",H40=""),OR(H41="-",H41="")),"-",IF(OR($C42="-",$C42="",$C42="CET"),"-",IF(#REF!="not listed","-",IF(NOT(H$5="-"),IF(AND(AND(NOT(H40=0),NOT(H40="-"),NOT(H40="")),AND(NOT(H41="-"),NOT(H41=0),NOT(H41=""))),IF(AND((H40+H41)/2&lt;1*H$5*IF(OR($C42="CET",$C42="-",$C42=""),"-",$C42),H40&lt;1.1*H$5*IF(OR($C42="CET",$C42="-",$C42=""),"-",$C42),H41&lt;1.1*H$5*IF(OR($C42="CET",$C42="-",$C42=""),"-",$C42)),"passed","refused"),IF(IF(OR(H40="-",H40=""),H41,H40)&lt;0.7*H$5*IF(OR($C42="CET",$C42="-",$C42=""),"-",$C42),"passed",IF(IF(OR(H40="-",H40=""),H41,H40)&lt;1.1*IF(OR($C42="CET",$C42="-",$C42=""),"-",$C42)*H$5,"failed","refused"))),"-"))))</f>
        <v>-</v>
      </c>
      <c r="I44" s="451" t="str">
        <f>IF(AND(OR(I40="-",I40=""),OR(I41="-",I41="")),"-",IF(OR($C42="-",$C42="",$C42="CET"),"-",IF(#REF!="not listed","-",IF(NOT(I$5="-"),IF(AND(AND(NOT(I40=0),NOT(I40="-"),NOT(I40="")),AND(NOT(I41="-"),NOT(I41=0),NOT(I41=""))),IF(AND((I40+I41)/2&lt;1*I$5*IF(OR($C42="CET",$C42="-",$C42=""),"-",$C42),I40&lt;1.1*I$5*IF(OR($C42="CET",$C42="-",$C42=""),"-",$C42),I41&lt;1.1*I$5*IF(OR($C42="CET",$C42="-",$C42=""),"-",$C42)),"passed","refused"),IF(IF(OR(I40="-",I40=""),I41,I40)&lt;0.7*I$5*IF(OR($C42="CET",$C42="-",$C42=""),"-",$C42),"passed",IF(IF(OR(I40="-",I40=""),I41,I40)&lt;1.1*IF(OR($C42="CET",$C42="-",$C42=""),"-",$C42)*I$5,"failed","refused"))),"-"))))</f>
        <v>-</v>
      </c>
      <c r="J44" s="451" t="str">
        <f>IF(AND(OR(J40="-",J40=""),OR(J41="-",J41="")),"-",IF(OR($C42="-",$C42="",$C42="CET"),"-",IF(#REF!="not listed","-",IF(NOT(J$5="-"),IF(AND(AND(NOT(J40=0),NOT(J40="-"),NOT(J40="")),AND(NOT(J41="-"),NOT(J41=0),NOT(J41=""))),IF(AND((J40+J41)/2&lt;1*J$5*IF(OR($C42="CET",$C42="-",$C42=""),"-",$C42),J40&lt;1.1*J$5*IF(OR($C42="CET",$C42="-",$C42=""),"-",$C42),J41&lt;1.1*J$5*IF(OR($C42="CET",$C42="-",$C42=""),"-",$C42)),"passed","refused"),IF(IF(OR(J40="-",J40=""),J41,J40)&lt;0.7*J$5*IF(OR($C42="CET",$C42="-",$C42=""),"-",$C42),"passed",IF(IF(OR(J40="-",J40=""),J41,J40)&lt;1.1*IF(OR($C42="CET",$C42="-",$C42=""),"-",$C42)*J$5,"failed","refused"))),"-"))))</f>
        <v>-</v>
      </c>
      <c r="K44" s="452" t="str">
        <f>IF(AND(OR(K40="-",K40=""),OR(K41="-",K41="")),"-",IF(OR($C42="-",$C42="",$C42="CET"),"-",IF(#REF!="not listed","-",IF(NOT(K$5="-"),IF(AND(AND(NOT(K40=0),NOT(K40="-"),NOT(K40="")),AND(NOT(K41="-"),NOT(K41=0),NOT(K41=""))),IF(AND((K40+K41)/2&lt;1*K$5*IF(OR($C42="CET",$C42="-",$C42=""),"-",$C42),K40&lt;1.1*K$5*IF(OR($C42="CET",$C42="-",$C42=""),"-",$C42),K41&lt;1.1*K$5*IF(OR($C42="CET",$C42="-",$C42=""),"-",$C42)),"passed","refused"),IF(IF(OR(K40="-",K40=""),K41,K40)&lt;0.7*K$5*IF(OR($C42="CET",$C42="-",$C42=""),"-",$C42),"passed",IF(IF(OR(K40="-",K40=""),K41,K40)&lt;1.1*IF(OR($C42="CET",$C42="-",$C42=""),"-",$C42)*K$5,"failed","refused"))),"-"))))</f>
        <v>-</v>
      </c>
      <c r="L44" s="452" t="str">
        <f>IF(AND(OR(L40="-",L40=""),OR(L41="-",L41="")),"-",IF(OR($C42="-",$C42="",$C42="CET"),"-",IF(#REF!="not listed","-",IF(NOT(L$5="-"),IF(AND(AND(NOT(L40=0),NOT(L40="-"),NOT(L40="")),AND(NOT(L41="-"),NOT(L41=0),NOT(L41=""))),IF(AND((L40+L41)/2&lt;1*L$5*IF(OR($C42="CET",$C42="-",$C42=""),"-",$C42),L40&lt;1.1*L$5*IF(OR($C42="CET",$C42="-",$C42=""),"-",$C42),L41&lt;1.1*L$5*IF(OR($C42="CET",$C42="-",$C42=""),"-",$C42)),"passed","refused"),IF(IF(OR(L40="-",L40=""),L41,L40)&lt;0.7*L$5*IF(OR($C42="CET",$C42="-",$C42=""),"-",$C42),"passed",IF(IF(OR(L40="-",L40=""),L41,L40)&lt;1.1*IF(OR($C42="CET",$C42="-",$C42=""),"-",$C42)*L$5,"failed","refused"))),"-"))))</f>
        <v>-</v>
      </c>
      <c r="M44" s="452" t="str">
        <f>IF(AND(OR(M40="-",M40=""),OR(M41="-",M41="")),"-",IF(OR($C42="-",$C42="",$C42="CET"),"-",IF(#REF!="not listed","-",IF(NOT(M$5="-"),IF(AND(AND(NOT(M40=0),NOT(M40="-"),NOT(M40="")),AND(NOT(M41="-"),NOT(M41=0),NOT(M41=""))),IF(AND((M40+M41)/2&lt;1*M$5*IF(OR($C42="CET",$C42="-",$C42=""),"-",$C42),M40&lt;1.1*M$5*IF(OR($C42="CET",$C42="-",$C42=""),"-",$C42),M41&lt;1.1*M$5*IF(OR($C42="CET",$C42="-",$C42=""),"-",$C42)),"passed","refused"),IF(IF(OR(M40="-",M40=""),M41,M40)&lt;0.7*M$5*IF(OR($C42="CET",$C42="-",$C42=""),"-",$C42),"passed",IF(IF(OR(M40="-",M40=""),M41,M40)&lt;1.1*IF(OR($C42="CET",$C42="-",$C42=""),"-",$C42)*M$5,"failed","refused"))),"-"))))</f>
        <v>-</v>
      </c>
      <c r="N44" s="451" t="str">
        <f>IF(AND(OR(N40="-",N40=""),OR(N41="-",N41="")),"-",IF(OR($C42="-",$C42="",$C42="CET"),"-",IF(#REF!="not listed","-",IF(NOT(N$5="-"),IF(AND(AND(NOT(N40=0),NOT(N40="-"),NOT(N40="")),AND(NOT(N41="-"),NOT(N41=0),NOT(N41=""))),IF(AND((N40+N41)/2&lt;1*N$5*IF(OR($C42="CET",$C42="-",$C42=""),"-",$C42),N40&lt;1.1*N$5*IF(OR($C42="CET",$C42="-",$C42=""),"-",$C42),N41&lt;1.1*N$5*IF(OR($C42="CET",$C42="-",$C42=""),"-",$C42)),"passed","refused"),IF(IF(OR(N40="-",N40=""),N41,N40)&lt;0.7*N$5*IF(OR($C42="CET",$C42="-",$C42=""),"-",$C42),"passed",IF(IF(OR(N40="-",N40=""),N41,N40)&lt;1.1*IF(OR($C42="CET",$C42="-",$C42=""),"-",$C42)*N$5,"failed","refused"))),"-"))))</f>
        <v>-</v>
      </c>
      <c r="O44" s="672"/>
      <c r="P44" s="673"/>
      <c r="Q44" s="673"/>
      <c r="R44" s="674"/>
      <c r="S44" s="672"/>
      <c r="T44" s="673"/>
      <c r="U44" s="673"/>
      <c r="V44" s="674"/>
      <c r="W44" s="434"/>
      <c r="X44" s="434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AI44" s="401"/>
      <c r="AJ44" s="401"/>
      <c r="AK44" s="401"/>
      <c r="AL44" s="401"/>
      <c r="AM44" s="401"/>
      <c r="AN44" s="401"/>
      <c r="AO44" s="401"/>
      <c r="AP44" s="401"/>
      <c r="AQ44" s="401"/>
      <c r="AR44" s="401"/>
      <c r="AS44" s="401"/>
      <c r="AT44" s="401"/>
      <c r="AU44" s="401"/>
      <c r="AV44" s="401"/>
      <c r="AW44" s="401"/>
      <c r="AX44" s="401"/>
      <c r="AY44" s="401"/>
      <c r="AZ44" s="401"/>
      <c r="BA44" s="401"/>
      <c r="BB44" s="401"/>
      <c r="BC44" s="401" t="str">
        <f t="shared" si="32"/>
        <v>-</v>
      </c>
      <c r="BD44" s="429" t="s">
        <v>85</v>
      </c>
      <c r="BE44" s="430" t="str">
        <f>F$4</f>
        <v>NMHC 
[g/km]</v>
      </c>
      <c r="BF44" s="430" t="str">
        <f t="shared" ref="BF44" si="36">G$4</f>
        <v>THC
[g/km]</v>
      </c>
      <c r="BG44" s="430" t="str">
        <f t="shared" ref="BG44" si="37">H$4</f>
        <v>CO
[g/km]</v>
      </c>
      <c r="BH44" s="430" t="str">
        <f t="shared" ref="BH44" si="38">I$4</f>
        <v>NOx
[g/km]</v>
      </c>
      <c r="BI44" s="430" t="str">
        <f t="shared" ref="BI44" si="39">J$4</f>
        <v>PM
[mg/km]</v>
      </c>
      <c r="BJ44" s="430" t="str">
        <f t="shared" ref="BJ44" si="40">K$4</f>
        <v>PN
[#/km]</v>
      </c>
      <c r="BK44" s="430" t="str">
        <f t="shared" ref="BK44" si="41">L$4</f>
        <v>Additional
component</v>
      </c>
      <c r="BL44" s="430" t="str">
        <f t="shared" ref="BL44" si="42">M$4</f>
        <v>Additional
component 2</v>
      </c>
    </row>
    <row r="45" spans="1:64" s="405" customFormat="1" ht="15" customHeight="1" outlineLevel="1" x14ac:dyDescent="0.25">
      <c r="A45" s="396"/>
      <c r="B45" s="721"/>
      <c r="C45" s="668"/>
      <c r="D45" s="411"/>
      <c r="E45" s="411"/>
      <c r="F45" s="463"/>
      <c r="G45" s="463"/>
      <c r="H45" s="463"/>
      <c r="I45" s="463"/>
      <c r="J45" s="463"/>
      <c r="K45" s="464"/>
      <c r="L45" s="464"/>
      <c r="M45" s="464"/>
      <c r="N45" s="465"/>
      <c r="O45" s="672"/>
      <c r="P45" s="673"/>
      <c r="Q45" s="673"/>
      <c r="R45" s="674"/>
      <c r="S45" s="672"/>
      <c r="T45" s="673"/>
      <c r="U45" s="673"/>
      <c r="V45" s="674"/>
      <c r="W45" s="434"/>
      <c r="X45" s="434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401"/>
      <c r="AJ45" s="401"/>
      <c r="AK45" s="401"/>
      <c r="AL45" s="401"/>
      <c r="AM45" s="401"/>
      <c r="AN45" s="401"/>
      <c r="AO45" s="401"/>
      <c r="AP45" s="401"/>
      <c r="AQ45" s="401"/>
      <c r="AR45" s="401"/>
      <c r="AS45" s="401"/>
      <c r="AT45" s="401"/>
      <c r="AU45" s="401"/>
      <c r="AV45" s="401"/>
      <c r="AW45" s="401"/>
      <c r="AX45" s="401"/>
      <c r="AY45" s="401"/>
      <c r="AZ45" s="401"/>
      <c r="BA45" s="401"/>
      <c r="BB45" s="401"/>
      <c r="BC45" s="401" t="str">
        <f t="shared" si="32"/>
        <v>-</v>
      </c>
      <c r="BD45" s="429" t="str">
        <f>$E$4</f>
        <v>Other</v>
      </c>
      <c r="BE45" s="435">
        <v>1</v>
      </c>
      <c r="BF45" s="435">
        <v>1</v>
      </c>
      <c r="BG45" s="435">
        <v>1</v>
      </c>
      <c r="BH45" s="435">
        <v>1</v>
      </c>
      <c r="BI45" s="435">
        <v>1</v>
      </c>
      <c r="BJ45" s="435">
        <v>1</v>
      </c>
      <c r="BK45" s="435">
        <v>1</v>
      </c>
      <c r="BL45" s="435">
        <v>1</v>
      </c>
    </row>
    <row r="46" spans="1:64" s="405" customFormat="1" ht="15" customHeight="1" outlineLevel="1" x14ac:dyDescent="0.25">
      <c r="A46" s="396"/>
      <c r="B46" s="721"/>
      <c r="C46" s="668"/>
      <c r="D46" s="411"/>
      <c r="E46" s="411"/>
      <c r="F46" s="463"/>
      <c r="G46" s="463"/>
      <c r="H46" s="463"/>
      <c r="I46" s="463"/>
      <c r="J46" s="463"/>
      <c r="K46" s="464"/>
      <c r="L46" s="464"/>
      <c r="M46" s="464"/>
      <c r="N46" s="465"/>
      <c r="O46" s="672"/>
      <c r="P46" s="673"/>
      <c r="Q46" s="673"/>
      <c r="R46" s="674"/>
      <c r="S46" s="672"/>
      <c r="T46" s="673"/>
      <c r="U46" s="673"/>
      <c r="V46" s="674"/>
      <c r="W46" s="434"/>
      <c r="X46" s="434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401"/>
      <c r="AJ46" s="401"/>
      <c r="AK46" s="401"/>
      <c r="AL46" s="401"/>
      <c r="AM46" s="401"/>
      <c r="AN46" s="401"/>
      <c r="AO46" s="401"/>
      <c r="AP46" s="401"/>
      <c r="AQ46" s="401"/>
      <c r="AR46" s="401"/>
      <c r="AS46" s="401"/>
      <c r="AT46" s="401"/>
      <c r="AU46" s="401"/>
      <c r="AV46" s="401"/>
      <c r="AW46" s="401"/>
      <c r="AX46" s="401"/>
      <c r="AY46" s="401"/>
      <c r="AZ46" s="401"/>
      <c r="BA46" s="401"/>
      <c r="BB46" s="401"/>
      <c r="BC46" s="401" t="str">
        <f t="shared" si="32"/>
        <v>-</v>
      </c>
      <c r="BD46" s="429" t="str">
        <f>"1st " &amp;  B40</f>
        <v>1st WLTC 20°C</v>
      </c>
      <c r="BE46" s="435" t="str">
        <f t="shared" ref="BE46" si="43">IF((OR($C42="-",$C42="CET",$C42="")),"-",IF(AND(OR(F40="-",F40=""),OR(F41="-",F41="")),"-",IF(NOT(OR(F40="-",F40="")),F40/F$5,F41/F$5)))</f>
        <v>-</v>
      </c>
      <c r="BF46" s="435" t="str">
        <f t="shared" ref="BF46" si="44">IF((OR($C42="-",$C42="CET",$C42="")),"-",IF(AND(OR(G40="-",G40=""),OR(G41="-",G41="")),"-",IF(NOT(OR(G40="-",G40="")),G40/G$5,G41/G$5)))</f>
        <v>-</v>
      </c>
      <c r="BG46" s="435" t="str">
        <f t="shared" ref="BG46" si="45">IF((OR($C42="-",$C42="CET",$C42="")),"-",IF(AND(OR(H40="-",H40=""),OR(H41="-",H41="")),"-",IF(NOT(OR(H40="-",H40="")),H40/H$5,H41/H$5)))</f>
        <v>-</v>
      </c>
      <c r="BH46" s="435" t="str">
        <f t="shared" ref="BH46" si="46">IF((OR($C42="-",$C42="CET",$C42="")),"-",IF(AND(OR(I40="-",I40=""),OR(I41="-",I41="")),"-",IF(NOT(OR(I40="-",I40="")),I40/I$5,I41/I$5)))</f>
        <v>-</v>
      </c>
      <c r="BI46" s="435" t="str">
        <f t="shared" ref="BI46" si="47">IF((OR($C42="-",$C42="CET",$C42="")),"-",IF(AND(OR(J40="-",J40=""),OR(J41="-",J41="")),"-",IF(NOT(OR(J40="-",J40="")),J40/J$5,J41/J$5)))</f>
        <v>-</v>
      </c>
      <c r="BJ46" s="435" t="str">
        <f t="shared" ref="BJ46" si="48">IF((OR($C42="-",$C42="CET",$C42="")),"-",IF(AND(OR(K40="-",K40=""),OR(K41="-",K41="")),"-",IF(NOT(OR(K40="-",K40="")),K40/K$5,K41/K$5)))</f>
        <v>-</v>
      </c>
      <c r="BK46" s="435" t="str">
        <f t="shared" ref="BK46" si="49">IF((OR($C42="-",$C42="CET",$C42="")),"-",IF(AND(OR(L40="-",L40=""),OR(L41="-",L41="")),"-",IF(NOT(OR(L40="-",L40="")),L40/L$5,L41/L$5)))</f>
        <v>-</v>
      </c>
      <c r="BL46" s="435" t="str">
        <f t="shared" ref="BL46" si="50">IF((OR($C42="-",$C42="CET",$C42="")),"-",IF(AND(OR(M40="-",M40=""),OR(M41="-",M41="")),"-",IF(NOT(OR(M40="-",M40="")),M40/M$5,M41/M$5)))</f>
        <v>-</v>
      </c>
    </row>
    <row r="47" spans="1:64" s="405" customFormat="1" ht="15" customHeight="1" outlineLevel="1" x14ac:dyDescent="0.25">
      <c r="A47" s="396"/>
      <c r="B47" s="721"/>
      <c r="C47" s="668"/>
      <c r="D47" s="411"/>
      <c r="E47" s="411"/>
      <c r="F47" s="466"/>
      <c r="G47" s="466"/>
      <c r="H47" s="466"/>
      <c r="I47" s="466"/>
      <c r="J47" s="466"/>
      <c r="K47" s="464"/>
      <c r="L47" s="464"/>
      <c r="M47" s="464"/>
      <c r="N47" s="467"/>
      <c r="O47" s="672"/>
      <c r="P47" s="673"/>
      <c r="Q47" s="673"/>
      <c r="R47" s="674"/>
      <c r="S47" s="672"/>
      <c r="T47" s="673"/>
      <c r="U47" s="673"/>
      <c r="V47" s="674"/>
      <c r="W47" s="434"/>
      <c r="X47" s="434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1"/>
      <c r="AT47" s="401"/>
      <c r="AU47" s="401"/>
      <c r="AV47" s="401"/>
      <c r="AW47" s="401"/>
      <c r="AX47" s="401"/>
      <c r="AY47" s="401"/>
      <c r="AZ47" s="401"/>
      <c r="BA47" s="401"/>
      <c r="BB47" s="401"/>
      <c r="BC47" s="401" t="str">
        <f t="shared" si="32"/>
        <v>-</v>
      </c>
      <c r="BD47" s="429"/>
      <c r="BE47" s="435"/>
      <c r="BF47" s="435"/>
      <c r="BG47" s="435"/>
      <c r="BH47" s="435"/>
      <c r="BI47" s="435"/>
      <c r="BJ47" s="435"/>
      <c r="BK47" s="435"/>
      <c r="BL47" s="435"/>
    </row>
    <row r="48" spans="1:64" s="405" customFormat="1" ht="15" customHeight="1" outlineLevel="1" x14ac:dyDescent="0.25">
      <c r="A48" s="396"/>
      <c r="B48" s="721"/>
      <c r="C48" s="668"/>
      <c r="D48" s="411"/>
      <c r="E48" s="411"/>
      <c r="F48" s="466"/>
      <c r="G48" s="466"/>
      <c r="H48" s="466"/>
      <c r="I48" s="466"/>
      <c r="J48" s="466"/>
      <c r="K48" s="464"/>
      <c r="L48" s="464"/>
      <c r="M48" s="464"/>
      <c r="N48" s="467"/>
      <c r="O48" s="672"/>
      <c r="P48" s="673"/>
      <c r="Q48" s="673"/>
      <c r="R48" s="674"/>
      <c r="S48" s="672"/>
      <c r="T48" s="673"/>
      <c r="U48" s="673"/>
      <c r="V48" s="674"/>
      <c r="W48" s="434"/>
      <c r="X48" s="434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AI48" s="401"/>
      <c r="AJ48" s="401"/>
      <c r="AK48" s="401"/>
      <c r="AL48" s="401"/>
      <c r="AM48" s="401"/>
      <c r="AN48" s="401"/>
      <c r="AO48" s="401"/>
      <c r="AP48" s="401"/>
      <c r="AQ48" s="401"/>
      <c r="AR48" s="401"/>
      <c r="AS48" s="401"/>
      <c r="AT48" s="401"/>
      <c r="AU48" s="401"/>
      <c r="AV48" s="401"/>
      <c r="AW48" s="401"/>
      <c r="AX48" s="401"/>
      <c r="AY48" s="401"/>
      <c r="AZ48" s="401"/>
      <c r="BA48" s="401"/>
      <c r="BB48" s="401"/>
      <c r="BC48" s="401" t="str">
        <f t="shared" si="32"/>
        <v>-</v>
      </c>
      <c r="BD48" s="429"/>
      <c r="BE48" s="435"/>
      <c r="BF48" s="435"/>
      <c r="BG48" s="435"/>
      <c r="BH48" s="435"/>
      <c r="BI48" s="435"/>
      <c r="BJ48" s="435"/>
      <c r="BK48" s="435"/>
      <c r="BL48" s="435"/>
    </row>
    <row r="49" spans="1:64" s="405" customFormat="1" ht="15" customHeight="1" outlineLevel="1" x14ac:dyDescent="0.25">
      <c r="A49" s="404"/>
      <c r="B49" s="721"/>
      <c r="C49" s="668"/>
      <c r="D49" s="411"/>
      <c r="E49" s="411"/>
      <c r="F49" s="411"/>
      <c r="G49" s="411"/>
      <c r="H49" s="411"/>
      <c r="I49" s="411"/>
      <c r="J49" s="411"/>
      <c r="K49" s="464"/>
      <c r="L49" s="464"/>
      <c r="M49" s="464"/>
      <c r="N49" s="468"/>
      <c r="O49" s="672"/>
      <c r="P49" s="673"/>
      <c r="Q49" s="673"/>
      <c r="R49" s="674"/>
      <c r="S49" s="672"/>
      <c r="T49" s="673"/>
      <c r="U49" s="673"/>
      <c r="V49" s="674"/>
      <c r="W49" s="434"/>
      <c r="X49" s="434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1"/>
      <c r="AT49" s="401"/>
      <c r="AU49" s="401"/>
      <c r="AV49" s="401"/>
      <c r="AW49" s="401"/>
      <c r="AX49" s="401"/>
      <c r="AY49" s="401"/>
      <c r="AZ49" s="401"/>
      <c r="BA49" s="401"/>
      <c r="BB49" s="401"/>
      <c r="BC49" s="401" t="str">
        <f t="shared" si="32"/>
        <v>-</v>
      </c>
      <c r="BD49" s="429"/>
      <c r="BE49" s="435"/>
      <c r="BF49" s="435"/>
      <c r="BG49" s="435"/>
      <c r="BH49" s="435"/>
      <c r="BI49" s="435"/>
      <c r="BJ49" s="435"/>
      <c r="BK49" s="435"/>
      <c r="BL49" s="435"/>
    </row>
    <row r="50" spans="1:64" s="405" customFormat="1" ht="15" customHeight="1" outlineLevel="1" x14ac:dyDescent="0.25">
      <c r="A50" s="404"/>
      <c r="B50" s="721"/>
      <c r="C50" s="668"/>
      <c r="D50" s="411"/>
      <c r="E50" s="411"/>
      <c r="F50" s="463"/>
      <c r="G50" s="463"/>
      <c r="H50" s="463"/>
      <c r="I50" s="463"/>
      <c r="J50" s="463"/>
      <c r="K50" s="464"/>
      <c r="L50" s="464"/>
      <c r="M50" s="464"/>
      <c r="N50" s="465"/>
      <c r="O50" s="672"/>
      <c r="P50" s="673"/>
      <c r="Q50" s="673"/>
      <c r="R50" s="674"/>
      <c r="S50" s="672"/>
      <c r="T50" s="673"/>
      <c r="U50" s="673"/>
      <c r="V50" s="674"/>
      <c r="W50" s="434"/>
      <c r="X50" s="434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AI50" s="401"/>
      <c r="AJ50" s="401"/>
      <c r="AK50" s="401"/>
      <c r="AL50" s="401"/>
      <c r="AM50" s="401"/>
      <c r="AN50" s="401"/>
      <c r="AO50" s="401"/>
      <c r="AP50" s="401"/>
      <c r="AQ50" s="401"/>
      <c r="AR50" s="401"/>
      <c r="AS50" s="401"/>
      <c r="AT50" s="401"/>
      <c r="AU50" s="401"/>
      <c r="AV50" s="401"/>
      <c r="AW50" s="401"/>
      <c r="AX50" s="401"/>
      <c r="AY50" s="401"/>
      <c r="AZ50" s="401"/>
      <c r="BA50" s="401"/>
      <c r="BB50" s="401"/>
      <c r="BC50" s="401" t="str">
        <f t="shared" si="32"/>
        <v>-</v>
      </c>
      <c r="BD50" s="429" t="str">
        <f>"0.7*IEF " &amp; (B40)</f>
        <v>0.7*IEF WLTC 20°C</v>
      </c>
      <c r="BE50" s="435">
        <f t="shared" ref="BE50:BL50" si="51">IF(OR($C42="-",$C42="CET",$C42=""),"-",0.7*$C42)</f>
        <v>0.7</v>
      </c>
      <c r="BF50" s="435">
        <f t="shared" si="51"/>
        <v>0.7</v>
      </c>
      <c r="BG50" s="435">
        <f t="shared" si="51"/>
        <v>0.7</v>
      </c>
      <c r="BH50" s="435">
        <f t="shared" si="51"/>
        <v>0.7</v>
      </c>
      <c r="BI50" s="435">
        <f t="shared" si="51"/>
        <v>0.7</v>
      </c>
      <c r="BJ50" s="435">
        <f t="shared" si="51"/>
        <v>0.7</v>
      </c>
      <c r="BK50" s="435">
        <f t="shared" si="51"/>
        <v>0.7</v>
      </c>
      <c r="BL50" s="435">
        <f t="shared" si="51"/>
        <v>0.7</v>
      </c>
    </row>
    <row r="51" spans="1:64" s="405" customFormat="1" ht="15" customHeight="1" outlineLevel="1" x14ac:dyDescent="0.25">
      <c r="A51" s="404"/>
      <c r="B51" s="721"/>
      <c r="C51" s="668"/>
      <c r="D51" s="411"/>
      <c r="E51" s="411"/>
      <c r="F51" s="463"/>
      <c r="G51" s="463"/>
      <c r="H51" s="463"/>
      <c r="I51" s="463"/>
      <c r="J51" s="463"/>
      <c r="K51" s="464"/>
      <c r="L51" s="464"/>
      <c r="M51" s="464"/>
      <c r="N51" s="465"/>
      <c r="O51" s="672"/>
      <c r="P51" s="673"/>
      <c r="Q51" s="673"/>
      <c r="R51" s="674"/>
      <c r="S51" s="672"/>
      <c r="T51" s="673"/>
      <c r="U51" s="673"/>
      <c r="V51" s="674"/>
      <c r="W51" s="434"/>
      <c r="X51" s="434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1"/>
      <c r="AT51" s="401"/>
      <c r="AU51" s="401"/>
      <c r="AV51" s="401"/>
      <c r="AW51" s="401"/>
      <c r="AX51" s="401"/>
      <c r="AY51" s="401"/>
      <c r="AZ51" s="401"/>
      <c r="BA51" s="401"/>
      <c r="BB51" s="401"/>
      <c r="BC51" s="401" t="str">
        <f t="shared" si="32"/>
        <v>-</v>
      </c>
      <c r="BD51" s="429"/>
      <c r="BE51" s="435"/>
      <c r="BF51" s="435"/>
      <c r="BG51" s="435"/>
      <c r="BH51" s="435"/>
      <c r="BI51" s="435"/>
      <c r="BJ51" s="435"/>
      <c r="BK51" s="435"/>
      <c r="BL51" s="435"/>
    </row>
    <row r="52" spans="1:64" s="405" customFormat="1" ht="15" customHeight="1" outlineLevel="1" x14ac:dyDescent="0.25">
      <c r="A52" s="404"/>
      <c r="B52" s="721"/>
      <c r="C52" s="668"/>
      <c r="D52" s="411"/>
      <c r="E52" s="411"/>
      <c r="F52" s="466"/>
      <c r="G52" s="466"/>
      <c r="H52" s="466"/>
      <c r="I52" s="466"/>
      <c r="J52" s="466"/>
      <c r="K52" s="464"/>
      <c r="L52" s="464"/>
      <c r="M52" s="464"/>
      <c r="N52" s="467"/>
      <c r="O52" s="672"/>
      <c r="P52" s="673"/>
      <c r="Q52" s="673"/>
      <c r="R52" s="674"/>
      <c r="S52" s="672"/>
      <c r="T52" s="673"/>
      <c r="U52" s="673"/>
      <c r="V52" s="674"/>
      <c r="W52" s="434"/>
      <c r="X52" s="434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401"/>
      <c r="AJ52" s="401"/>
      <c r="AK52" s="401"/>
      <c r="AL52" s="401"/>
      <c r="AM52" s="401"/>
      <c r="AN52" s="401"/>
      <c r="AO52" s="401"/>
      <c r="AP52" s="401"/>
      <c r="AQ52" s="401"/>
      <c r="AR52" s="401"/>
      <c r="AS52" s="401"/>
      <c r="AT52" s="401"/>
      <c r="AU52" s="401"/>
      <c r="AV52" s="401"/>
      <c r="AW52" s="401"/>
      <c r="AX52" s="401"/>
      <c r="AY52" s="401"/>
      <c r="AZ52" s="401"/>
      <c r="BA52" s="401"/>
      <c r="BB52" s="401"/>
      <c r="BC52" s="401" t="str">
        <f t="shared" si="32"/>
        <v>-</v>
      </c>
      <c r="BD52" s="429"/>
      <c r="BE52" s="435"/>
      <c r="BF52" s="435"/>
      <c r="BG52" s="435"/>
      <c r="BH52" s="435"/>
      <c r="BI52" s="435"/>
      <c r="BJ52" s="435"/>
      <c r="BK52" s="435"/>
      <c r="BL52" s="435"/>
    </row>
    <row r="53" spans="1:64" s="405" customFormat="1" ht="15" customHeight="1" outlineLevel="1" x14ac:dyDescent="0.25">
      <c r="A53" s="404"/>
      <c r="B53" s="721"/>
      <c r="C53" s="668"/>
      <c r="D53" s="411"/>
      <c r="E53" s="411"/>
      <c r="F53" s="466"/>
      <c r="G53" s="466"/>
      <c r="H53" s="466"/>
      <c r="I53" s="466"/>
      <c r="J53" s="466"/>
      <c r="K53" s="464"/>
      <c r="L53" s="464"/>
      <c r="M53" s="464"/>
      <c r="N53" s="467"/>
      <c r="O53" s="672"/>
      <c r="P53" s="673"/>
      <c r="Q53" s="673"/>
      <c r="R53" s="674"/>
      <c r="S53" s="672"/>
      <c r="T53" s="673"/>
      <c r="U53" s="673"/>
      <c r="V53" s="674"/>
      <c r="W53" s="434"/>
      <c r="X53" s="434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1"/>
      <c r="AT53" s="401"/>
      <c r="AU53" s="401"/>
      <c r="AV53" s="401"/>
      <c r="AW53" s="401"/>
      <c r="AX53" s="401"/>
      <c r="AY53" s="401"/>
      <c r="AZ53" s="401"/>
      <c r="BA53" s="401"/>
      <c r="BB53" s="401"/>
      <c r="BC53" s="401" t="str">
        <f t="shared" si="32"/>
        <v>-</v>
      </c>
      <c r="BD53" s="429"/>
      <c r="BE53" s="435"/>
      <c r="BF53" s="435"/>
      <c r="BG53" s="435"/>
      <c r="BH53" s="435"/>
      <c r="BI53" s="435"/>
      <c r="BJ53" s="435"/>
      <c r="BK53" s="435"/>
      <c r="BL53" s="435"/>
    </row>
    <row r="54" spans="1:64" s="405" customFormat="1" ht="15" customHeight="1" outlineLevel="1" x14ac:dyDescent="0.25">
      <c r="A54" s="404"/>
      <c r="B54" s="721"/>
      <c r="C54" s="668"/>
      <c r="D54" s="411"/>
      <c r="E54" s="411"/>
      <c r="F54" s="411"/>
      <c r="G54" s="411"/>
      <c r="H54" s="411"/>
      <c r="I54" s="411"/>
      <c r="J54" s="411"/>
      <c r="K54" s="464"/>
      <c r="L54" s="464"/>
      <c r="M54" s="464"/>
      <c r="N54" s="468"/>
      <c r="O54" s="672"/>
      <c r="P54" s="673"/>
      <c r="Q54" s="673"/>
      <c r="R54" s="674"/>
      <c r="S54" s="672"/>
      <c r="T54" s="673"/>
      <c r="U54" s="673"/>
      <c r="V54" s="674"/>
      <c r="W54" s="434"/>
      <c r="X54" s="434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AI54" s="401"/>
      <c r="AJ54" s="401"/>
      <c r="AK54" s="401"/>
      <c r="AL54" s="401"/>
      <c r="AM54" s="401"/>
      <c r="AN54" s="401"/>
      <c r="AO54" s="401"/>
      <c r="AP54" s="401"/>
      <c r="AQ54" s="401"/>
      <c r="AR54" s="401"/>
      <c r="AS54" s="401"/>
      <c r="AT54" s="401"/>
      <c r="AU54" s="401"/>
      <c r="AV54" s="401"/>
      <c r="AW54" s="401"/>
      <c r="AX54" s="401"/>
      <c r="AY54" s="401"/>
      <c r="AZ54" s="401"/>
      <c r="BA54" s="401"/>
      <c r="BB54" s="401"/>
      <c r="BC54" s="401" t="str">
        <f t="shared" si="32"/>
        <v>-</v>
      </c>
      <c r="BD54" s="429" t="str">
        <f>B40</f>
        <v>WLTC 20°C</v>
      </c>
      <c r="BE54" s="435" t="str">
        <f t="shared" ref="BE54" si="52">F43</f>
        <v>-</v>
      </c>
      <c r="BF54" s="435" t="str">
        <f t="shared" ref="BF54" si="53">G43</f>
        <v>-</v>
      </c>
      <c r="BG54" s="435" t="str">
        <f t="shared" ref="BG54" si="54">H43</f>
        <v>-</v>
      </c>
      <c r="BH54" s="435" t="str">
        <f t="shared" ref="BH54" si="55">I43</f>
        <v>-</v>
      </c>
      <c r="BI54" s="435" t="str">
        <f t="shared" ref="BI54" si="56">J43</f>
        <v>-</v>
      </c>
      <c r="BJ54" s="435" t="str">
        <f t="shared" ref="BJ54" si="57">K43</f>
        <v>-</v>
      </c>
      <c r="BK54" s="435" t="str">
        <f t="shared" ref="BK54" si="58">L43</f>
        <v>-</v>
      </c>
      <c r="BL54" s="435" t="str">
        <f t="shared" ref="BL54" si="59">M43</f>
        <v>-</v>
      </c>
    </row>
    <row r="55" spans="1:64" s="405" customFormat="1" ht="15" customHeight="1" outlineLevel="1" x14ac:dyDescent="0.25">
      <c r="A55" s="404"/>
      <c r="B55" s="721"/>
      <c r="C55" s="668"/>
      <c r="D55" s="411"/>
      <c r="E55" s="411"/>
      <c r="F55" s="463"/>
      <c r="G55" s="463"/>
      <c r="H55" s="463"/>
      <c r="I55" s="463"/>
      <c r="J55" s="463"/>
      <c r="K55" s="464"/>
      <c r="L55" s="464"/>
      <c r="M55" s="464"/>
      <c r="N55" s="465"/>
      <c r="O55" s="672"/>
      <c r="P55" s="673"/>
      <c r="Q55" s="673"/>
      <c r="R55" s="674"/>
      <c r="S55" s="672"/>
      <c r="T55" s="673"/>
      <c r="U55" s="673"/>
      <c r="V55" s="674"/>
      <c r="W55" s="434"/>
      <c r="X55" s="434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1"/>
      <c r="AT55" s="401"/>
      <c r="AU55" s="401"/>
      <c r="AV55" s="401"/>
      <c r="AW55" s="401"/>
      <c r="AX55" s="401"/>
      <c r="AY55" s="401"/>
      <c r="AZ55" s="401"/>
      <c r="BA55" s="401"/>
      <c r="BB55" s="401"/>
      <c r="BC55" s="401" t="str">
        <f t="shared" si="32"/>
        <v>-</v>
      </c>
      <c r="BD55" s="429"/>
      <c r="BE55" s="435"/>
      <c r="BF55" s="435"/>
      <c r="BG55" s="435"/>
      <c r="BH55" s="435"/>
      <c r="BI55" s="435"/>
      <c r="BJ55" s="435"/>
      <c r="BK55" s="435"/>
      <c r="BL55" s="435"/>
    </row>
    <row r="56" spans="1:64" s="405" customFormat="1" ht="15" customHeight="1" outlineLevel="1" x14ac:dyDescent="0.25">
      <c r="A56" s="404"/>
      <c r="B56" s="721"/>
      <c r="C56" s="668"/>
      <c r="D56" s="411"/>
      <c r="E56" s="411"/>
      <c r="F56" s="463"/>
      <c r="G56" s="463"/>
      <c r="H56" s="463"/>
      <c r="I56" s="463"/>
      <c r="J56" s="463"/>
      <c r="K56" s="464"/>
      <c r="L56" s="464"/>
      <c r="M56" s="464"/>
      <c r="N56" s="465"/>
      <c r="O56" s="672"/>
      <c r="P56" s="673"/>
      <c r="Q56" s="673"/>
      <c r="R56" s="674"/>
      <c r="S56" s="672"/>
      <c r="T56" s="673"/>
      <c r="U56" s="673"/>
      <c r="V56" s="674"/>
      <c r="W56" s="434"/>
      <c r="X56" s="434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AI56" s="401"/>
      <c r="AJ56" s="401"/>
      <c r="AK56" s="401"/>
      <c r="AL56" s="401"/>
      <c r="AM56" s="401"/>
      <c r="AN56" s="401"/>
      <c r="AO56" s="401"/>
      <c r="AP56" s="401"/>
      <c r="AQ56" s="401"/>
      <c r="AR56" s="401"/>
      <c r="AS56" s="401"/>
      <c r="AT56" s="401"/>
      <c r="AU56" s="401"/>
      <c r="AV56" s="401"/>
      <c r="AW56" s="401"/>
      <c r="AX56" s="401"/>
      <c r="AY56" s="401"/>
      <c r="AZ56" s="401"/>
      <c r="BA56" s="401"/>
      <c r="BB56" s="401"/>
      <c r="BC56" s="401" t="str">
        <f t="shared" si="32"/>
        <v>-</v>
      </c>
      <c r="BD56" s="429"/>
      <c r="BE56" s="435"/>
      <c r="BF56" s="435"/>
      <c r="BG56" s="435"/>
      <c r="BH56" s="435"/>
      <c r="BI56" s="435"/>
      <c r="BJ56" s="435"/>
      <c r="BK56" s="435"/>
      <c r="BL56" s="435"/>
    </row>
    <row r="57" spans="1:64" s="405" customFormat="1" ht="15" customHeight="1" outlineLevel="1" x14ac:dyDescent="0.25">
      <c r="A57" s="404"/>
      <c r="B57" s="721"/>
      <c r="C57" s="668"/>
      <c r="D57" s="411"/>
      <c r="E57" s="411"/>
      <c r="F57" s="466"/>
      <c r="G57" s="466"/>
      <c r="H57" s="466"/>
      <c r="I57" s="466"/>
      <c r="J57" s="466"/>
      <c r="K57" s="464"/>
      <c r="L57" s="464"/>
      <c r="M57" s="464"/>
      <c r="N57" s="467"/>
      <c r="O57" s="672"/>
      <c r="P57" s="673"/>
      <c r="Q57" s="673"/>
      <c r="R57" s="674"/>
      <c r="S57" s="672"/>
      <c r="T57" s="673"/>
      <c r="U57" s="673"/>
      <c r="V57" s="674"/>
      <c r="W57" s="434"/>
      <c r="X57" s="434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1"/>
      <c r="AT57" s="401"/>
      <c r="AU57" s="401"/>
      <c r="AV57" s="401"/>
      <c r="AW57" s="401"/>
      <c r="AX57" s="401"/>
      <c r="AY57" s="401"/>
      <c r="AZ57" s="401"/>
      <c r="BA57" s="401"/>
      <c r="BB57" s="401"/>
      <c r="BC57" s="401" t="str">
        <f t="shared" si="32"/>
        <v>-</v>
      </c>
      <c r="BD57" s="429"/>
      <c r="BE57" s="435"/>
      <c r="BF57" s="435"/>
      <c r="BG57" s="435"/>
      <c r="BH57" s="435"/>
      <c r="BI57" s="435"/>
      <c r="BJ57" s="435"/>
      <c r="BK57" s="435"/>
      <c r="BL57" s="435"/>
    </row>
    <row r="58" spans="1:64" s="405" customFormat="1" ht="15" customHeight="1" outlineLevel="1" x14ac:dyDescent="0.25">
      <c r="A58" s="404"/>
      <c r="B58" s="721"/>
      <c r="C58" s="668"/>
      <c r="D58" s="411"/>
      <c r="E58" s="411"/>
      <c r="F58" s="466"/>
      <c r="G58" s="466"/>
      <c r="H58" s="466"/>
      <c r="I58" s="466"/>
      <c r="J58" s="466"/>
      <c r="K58" s="464"/>
      <c r="L58" s="464"/>
      <c r="M58" s="464"/>
      <c r="N58" s="467"/>
      <c r="O58" s="672"/>
      <c r="P58" s="673"/>
      <c r="Q58" s="673"/>
      <c r="R58" s="674"/>
      <c r="S58" s="672"/>
      <c r="T58" s="673"/>
      <c r="U58" s="673"/>
      <c r="V58" s="674"/>
      <c r="W58" s="434"/>
      <c r="X58" s="434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AI58" s="401"/>
      <c r="AJ58" s="401"/>
      <c r="AK58" s="401"/>
      <c r="AL58" s="401"/>
      <c r="AM58" s="401"/>
      <c r="AN58" s="401"/>
      <c r="AO58" s="401"/>
      <c r="AP58" s="401"/>
      <c r="AQ58" s="401"/>
      <c r="AR58" s="401"/>
      <c r="AS58" s="401"/>
      <c r="AT58" s="401"/>
      <c r="AU58" s="401"/>
      <c r="AV58" s="401"/>
      <c r="AW58" s="401"/>
      <c r="AX58" s="401"/>
      <c r="AY58" s="401"/>
      <c r="AZ58" s="401"/>
      <c r="BA58" s="401"/>
      <c r="BB58" s="401"/>
      <c r="BC58" s="401" t="str">
        <f t="shared" si="32"/>
        <v>-</v>
      </c>
      <c r="BD58" s="429" t="str">
        <f>"IEF " &amp;B40</f>
        <v>IEF WLTC 20°C</v>
      </c>
      <c r="BE58" s="435">
        <f t="shared" ref="BE58:BL58" si="60">IF(OR($C42="CET",$C42="-",$C42=""),"-",$C42)</f>
        <v>1</v>
      </c>
      <c r="BF58" s="435">
        <f t="shared" si="60"/>
        <v>1</v>
      </c>
      <c r="BG58" s="435">
        <f t="shared" si="60"/>
        <v>1</v>
      </c>
      <c r="BH58" s="435">
        <f t="shared" si="60"/>
        <v>1</v>
      </c>
      <c r="BI58" s="435">
        <f t="shared" si="60"/>
        <v>1</v>
      </c>
      <c r="BJ58" s="435">
        <f t="shared" si="60"/>
        <v>1</v>
      </c>
      <c r="BK58" s="435">
        <f t="shared" si="60"/>
        <v>1</v>
      </c>
      <c r="BL58" s="435">
        <f t="shared" si="60"/>
        <v>1</v>
      </c>
    </row>
    <row r="59" spans="1:64" s="405" customFormat="1" ht="15.75" outlineLevel="1" thickBot="1" x14ac:dyDescent="0.3">
      <c r="A59" s="401"/>
      <c r="B59" s="722"/>
      <c r="C59" s="723"/>
      <c r="D59" s="469"/>
      <c r="E59" s="469"/>
      <c r="F59" s="469"/>
      <c r="G59" s="469"/>
      <c r="H59" s="469"/>
      <c r="I59" s="469"/>
      <c r="J59" s="469"/>
      <c r="K59" s="470"/>
      <c r="L59" s="470"/>
      <c r="M59" s="470"/>
      <c r="N59" s="471"/>
      <c r="O59" s="675"/>
      <c r="P59" s="676"/>
      <c r="Q59" s="676"/>
      <c r="R59" s="677"/>
      <c r="S59" s="675"/>
      <c r="T59" s="676"/>
      <c r="U59" s="676"/>
      <c r="V59" s="677"/>
      <c r="W59" s="401"/>
      <c r="X59" s="401"/>
      <c r="Y59" s="401"/>
      <c r="Z59" s="401"/>
      <c r="AA59" s="401"/>
      <c r="AB59" s="401"/>
      <c r="AC59" s="401"/>
      <c r="AD59" s="401"/>
      <c r="AE59" s="401"/>
      <c r="AF59" s="401"/>
      <c r="AG59" s="401"/>
      <c r="AH59" s="401"/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1"/>
      <c r="AT59" s="401"/>
      <c r="AU59" s="401"/>
      <c r="AV59" s="401"/>
      <c r="AW59" s="401"/>
      <c r="AX59" s="401"/>
      <c r="AY59" s="401"/>
      <c r="AZ59" s="401"/>
      <c r="BA59" s="401"/>
      <c r="BB59" s="401"/>
      <c r="BC59" s="401" t="str">
        <f t="shared" si="32"/>
        <v>-</v>
      </c>
      <c r="BD59" s="459"/>
      <c r="BE59" s="459"/>
      <c r="BF59" s="459"/>
      <c r="BG59" s="459"/>
      <c r="BH59" s="459"/>
      <c r="BI59" s="459"/>
      <c r="BJ59" s="459"/>
      <c r="BK59" s="459"/>
      <c r="BL59" s="459"/>
    </row>
    <row r="60" spans="1:64" s="405" customFormat="1" ht="15" customHeight="1" x14ac:dyDescent="0.25">
      <c r="A60" s="401"/>
      <c r="B60" s="401"/>
      <c r="C60" s="401"/>
      <c r="D60" s="401"/>
      <c r="E60" s="401"/>
      <c r="F60" s="401"/>
      <c r="G60" s="401"/>
      <c r="H60" s="401"/>
      <c r="I60" s="401"/>
      <c r="J60" s="401"/>
      <c r="K60" s="458"/>
      <c r="L60" s="458"/>
      <c r="M60" s="458"/>
      <c r="N60" s="401"/>
      <c r="O60" s="401"/>
      <c r="P60" s="401"/>
      <c r="Q60" s="401"/>
      <c r="R60" s="401"/>
      <c r="S60" s="401"/>
      <c r="T60" s="401"/>
      <c r="U60" s="401"/>
      <c r="V60" s="401"/>
      <c r="W60" s="401"/>
      <c r="X60" s="401"/>
      <c r="Y60" s="401"/>
      <c r="Z60" s="401"/>
      <c r="AA60" s="401"/>
      <c r="AB60" s="401"/>
      <c r="AC60" s="401"/>
      <c r="AD60" s="401"/>
      <c r="AE60" s="401"/>
      <c r="AF60" s="401"/>
      <c r="AG60" s="401"/>
      <c r="AH60" s="401"/>
      <c r="AI60" s="401"/>
      <c r="AJ60" s="401"/>
      <c r="AK60" s="401"/>
      <c r="AL60" s="401"/>
      <c r="AM60" s="401"/>
      <c r="AN60" s="401"/>
      <c r="AO60" s="401"/>
      <c r="AP60" s="401"/>
      <c r="AQ60" s="401"/>
      <c r="AR60" s="401"/>
      <c r="AS60" s="401"/>
      <c r="AT60" s="401"/>
      <c r="AU60" s="401"/>
      <c r="AV60" s="401"/>
      <c r="AW60" s="401"/>
      <c r="AX60" s="401"/>
      <c r="AY60" s="401"/>
      <c r="AZ60" s="401"/>
      <c r="BA60" s="401"/>
      <c r="BB60" s="401"/>
      <c r="BC60" s="401"/>
    </row>
    <row r="61" spans="1:64" s="405" customFormat="1" ht="15" customHeight="1" x14ac:dyDescent="0.25">
      <c r="A61" s="401"/>
      <c r="B61" s="401"/>
      <c r="C61" s="401"/>
      <c r="D61" s="401"/>
      <c r="E61" s="401"/>
      <c r="F61" s="401"/>
      <c r="G61" s="401"/>
      <c r="H61" s="401"/>
      <c r="I61" s="401"/>
      <c r="J61" s="401"/>
      <c r="K61" s="458"/>
      <c r="L61" s="458"/>
      <c r="M61" s="458"/>
      <c r="N61" s="401"/>
      <c r="O61" s="401"/>
      <c r="P61" s="401"/>
      <c r="Q61" s="401"/>
      <c r="R61" s="401"/>
      <c r="S61" s="401"/>
      <c r="T61" s="401"/>
      <c r="U61" s="401"/>
      <c r="V61" s="401"/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401"/>
      <c r="AL61" s="401"/>
      <c r="AM61" s="401"/>
      <c r="AN61" s="401"/>
      <c r="AO61" s="401"/>
      <c r="AP61" s="401"/>
      <c r="AQ61" s="401"/>
      <c r="AR61" s="401"/>
      <c r="AS61" s="401"/>
      <c r="AT61" s="401"/>
      <c r="AU61" s="401"/>
      <c r="AV61" s="401"/>
      <c r="AW61" s="401"/>
      <c r="AX61" s="401"/>
      <c r="AY61" s="401"/>
      <c r="AZ61" s="401"/>
      <c r="BA61" s="401"/>
      <c r="BB61" s="401"/>
      <c r="BC61" s="401" t="str">
        <f t="shared" si="11"/>
        <v>-</v>
      </c>
    </row>
    <row r="62" spans="1:64" s="405" customFormat="1" ht="15" customHeight="1" thickBot="1" x14ac:dyDescent="0.3">
      <c r="A62" s="396"/>
      <c r="B62" s="401"/>
      <c r="C62" s="401"/>
      <c r="D62" s="401"/>
      <c r="E62" s="401"/>
      <c r="F62" s="401"/>
      <c r="G62" s="401"/>
      <c r="H62" s="401"/>
      <c r="I62" s="401"/>
      <c r="J62" s="401"/>
      <c r="K62" s="458"/>
      <c r="L62" s="458"/>
      <c r="M62" s="458"/>
      <c r="N62" s="401"/>
      <c r="O62" s="401"/>
      <c r="P62" s="401"/>
      <c r="Q62" s="401"/>
      <c r="R62" s="401"/>
      <c r="S62" s="401"/>
      <c r="T62" s="401"/>
      <c r="U62" s="401"/>
      <c r="V62" s="401"/>
      <c r="W62" s="414"/>
      <c r="X62" s="414"/>
      <c r="Y62" s="414"/>
      <c r="Z62" s="414"/>
      <c r="AA62" s="414"/>
      <c r="AB62" s="414"/>
      <c r="AC62" s="414"/>
      <c r="AD62" s="414"/>
      <c r="AE62" s="414"/>
      <c r="AF62" s="414"/>
      <c r="AG62" s="414"/>
      <c r="AH62" s="414"/>
      <c r="AI62" s="401"/>
      <c r="AJ62" s="401"/>
      <c r="AK62" s="401"/>
      <c r="AL62" s="401"/>
      <c r="AM62" s="401"/>
      <c r="AN62" s="401"/>
      <c r="AO62" s="401"/>
      <c r="AP62" s="401"/>
      <c r="AQ62" s="401"/>
      <c r="AR62" s="401"/>
      <c r="AS62" s="401"/>
      <c r="AT62" s="401"/>
      <c r="AU62" s="401"/>
      <c r="AV62" s="401"/>
      <c r="AW62" s="401"/>
      <c r="AX62" s="401"/>
      <c r="AY62" s="401"/>
      <c r="AZ62" s="401"/>
      <c r="BA62" s="401"/>
      <c r="BB62" s="401"/>
      <c r="BC62" s="401" t="str">
        <f t="shared" si="11"/>
        <v>-</v>
      </c>
    </row>
    <row r="63" spans="1:64" s="405" customFormat="1" ht="24.95" customHeight="1" thickBot="1" x14ac:dyDescent="0.3">
      <c r="A63" s="396"/>
      <c r="B63" s="415">
        <v>3</v>
      </c>
      <c r="C63" s="706" t="s">
        <v>239</v>
      </c>
      <c r="D63" s="707"/>
      <c r="E63" s="707"/>
      <c r="F63" s="707"/>
      <c r="G63" s="707"/>
      <c r="H63" s="707"/>
      <c r="I63" s="707"/>
      <c r="J63" s="707"/>
      <c r="K63" s="707"/>
      <c r="L63" s="707"/>
      <c r="M63" s="707"/>
      <c r="N63" s="708"/>
      <c r="O63" s="416" t="s">
        <v>117</v>
      </c>
      <c r="P63" s="398" t="str">
        <f>IF(COUNTIF(F71:N96,"refused")&gt;0,"refused",IF(COUNTIF(F71:N96,"failed")&gt;0,"failed",IF(COUNTIF(F71:N96,"passed")&gt;0,"passed","-")))</f>
        <v>-</v>
      </c>
      <c r="Q63" s="399" t="s">
        <v>80</v>
      </c>
      <c r="R63" s="399" t="str">
        <f>IF(COUNT(F67:M68,F72:M73,F77:M78,F82:M83,F87:M88,F92:M93)&gt;0,"listed","not listed")</f>
        <v>not listed</v>
      </c>
      <c r="S63" s="427"/>
      <c r="T63" s="418"/>
      <c r="U63" s="418"/>
      <c r="V63" s="419"/>
      <c r="W63" s="414"/>
      <c r="X63" s="414"/>
      <c r="Y63" s="414"/>
      <c r="Z63" s="414"/>
      <c r="AA63" s="414"/>
      <c r="AB63" s="414"/>
      <c r="AC63" s="414"/>
      <c r="AD63" s="414"/>
      <c r="AE63" s="414"/>
      <c r="AF63" s="414"/>
      <c r="AG63" s="414"/>
      <c r="AH63" s="414"/>
      <c r="AI63" s="401"/>
      <c r="AJ63" s="401"/>
      <c r="AK63" s="401"/>
      <c r="AL63" s="401"/>
      <c r="AM63" s="401"/>
      <c r="AN63" s="401"/>
      <c r="AO63" s="401"/>
      <c r="AP63" s="401"/>
      <c r="AQ63" s="401"/>
      <c r="AR63" s="401"/>
      <c r="AS63" s="401"/>
      <c r="AT63" s="401"/>
      <c r="AU63" s="401"/>
      <c r="AV63" s="401"/>
      <c r="AW63" s="401"/>
      <c r="AX63" s="401"/>
      <c r="AY63" s="401"/>
      <c r="AZ63" s="401"/>
      <c r="BA63" s="401"/>
      <c r="BB63" s="401"/>
      <c r="BC63" s="401" t="str">
        <f t="shared" si="11"/>
        <v>-</v>
      </c>
    </row>
    <row r="64" spans="1:64" s="405" customFormat="1" ht="15" customHeight="1" outlineLevel="1" thickBot="1" x14ac:dyDescent="0.3">
      <c r="A64" s="396"/>
      <c r="B64" s="456"/>
      <c r="C64" s="457"/>
      <c r="D64" s="457"/>
      <c r="E64" s="457"/>
      <c r="F64" s="457"/>
      <c r="G64" s="457"/>
      <c r="H64" s="457"/>
      <c r="I64" s="457"/>
      <c r="J64" s="457"/>
      <c r="K64" s="421"/>
      <c r="L64" s="421"/>
      <c r="M64" s="421"/>
      <c r="N64" s="457"/>
      <c r="O64" s="457"/>
      <c r="P64" s="457"/>
      <c r="Q64" s="457"/>
      <c r="R64" s="457"/>
      <c r="S64" s="457"/>
      <c r="T64" s="422"/>
      <c r="U64" s="422"/>
      <c r="V64" s="423"/>
      <c r="W64" s="424"/>
      <c r="X64" s="424"/>
      <c r="Y64" s="698"/>
      <c r="Z64" s="698"/>
      <c r="AA64" s="698"/>
      <c r="AB64" s="698"/>
      <c r="AC64" s="698"/>
      <c r="AD64" s="698"/>
      <c r="AE64" s="698"/>
      <c r="AF64" s="698"/>
      <c r="AG64" s="698"/>
      <c r="AH64" s="698"/>
      <c r="AI64" s="401"/>
      <c r="AJ64" s="401"/>
      <c r="AK64" s="401"/>
      <c r="AL64" s="401"/>
      <c r="AM64" s="401"/>
      <c r="AN64" s="401"/>
      <c r="AO64" s="401"/>
      <c r="AP64" s="401"/>
      <c r="AQ64" s="401"/>
      <c r="AR64" s="401"/>
      <c r="AS64" s="401"/>
      <c r="AT64" s="401"/>
      <c r="AU64" s="401"/>
      <c r="AV64" s="401"/>
      <c r="AW64" s="401"/>
      <c r="AX64" s="401"/>
      <c r="AY64" s="401"/>
      <c r="AZ64" s="401"/>
      <c r="BA64" s="401"/>
      <c r="BB64" s="401"/>
      <c r="BC64" s="401" t="str">
        <f t="shared" si="11"/>
        <v>-</v>
      </c>
    </row>
    <row r="65" spans="1:64" s="405" customFormat="1" ht="15" customHeight="1" outlineLevel="1" thickBot="1" x14ac:dyDescent="0.3">
      <c r="A65" s="396"/>
      <c r="B65" s="695" t="s">
        <v>81</v>
      </c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7"/>
      <c r="O65" s="695" t="s">
        <v>82</v>
      </c>
      <c r="P65" s="696"/>
      <c r="Q65" s="696"/>
      <c r="R65" s="697"/>
      <c r="S65" s="695" t="s">
        <v>83</v>
      </c>
      <c r="T65" s="696"/>
      <c r="U65" s="696"/>
      <c r="V65" s="697"/>
      <c r="W65" s="434"/>
      <c r="X65" s="434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AI65" s="401"/>
      <c r="AJ65" s="401"/>
      <c r="AK65" s="401"/>
      <c r="AL65" s="401"/>
      <c r="AM65" s="401"/>
      <c r="AN65" s="401"/>
      <c r="AO65" s="401"/>
      <c r="AP65" s="401"/>
      <c r="AQ65" s="401"/>
      <c r="AR65" s="401"/>
      <c r="AS65" s="401"/>
      <c r="AT65" s="401"/>
      <c r="AU65" s="401"/>
      <c r="AV65" s="401"/>
      <c r="AW65" s="401"/>
      <c r="AX65" s="401"/>
      <c r="AY65" s="401"/>
      <c r="AZ65" s="401"/>
      <c r="BA65" s="401"/>
      <c r="BB65" s="401"/>
      <c r="BC65" s="401" t="str">
        <f t="shared" si="11"/>
        <v>-</v>
      </c>
      <c r="BD65" s="429" t="s">
        <v>85</v>
      </c>
      <c r="BE65" s="430" t="str">
        <f>F$4</f>
        <v>NMHC 
[g/km]</v>
      </c>
      <c r="BF65" s="430" t="str">
        <f t="shared" ref="BF65:BL65" si="61">G$4</f>
        <v>THC
[g/km]</v>
      </c>
      <c r="BG65" s="430" t="str">
        <f t="shared" si="61"/>
        <v>CO
[g/km]</v>
      </c>
      <c r="BH65" s="430" t="str">
        <f t="shared" si="61"/>
        <v>NOx
[g/km]</v>
      </c>
      <c r="BI65" s="430" t="str">
        <f t="shared" si="61"/>
        <v>PM
[mg/km]</v>
      </c>
      <c r="BJ65" s="430" t="str">
        <f t="shared" si="61"/>
        <v>PN
[#/km]</v>
      </c>
      <c r="BK65" s="430" t="str">
        <f t="shared" si="61"/>
        <v>Additional
component</v>
      </c>
      <c r="BL65" s="430" t="str">
        <f t="shared" si="61"/>
        <v>Additional
component 2</v>
      </c>
    </row>
    <row r="66" spans="1:64" s="405" customFormat="1" ht="35.1" customHeight="1" outlineLevel="1" thickBot="1" x14ac:dyDescent="0.3">
      <c r="A66" s="396"/>
      <c r="B66" s="709" t="s">
        <v>84</v>
      </c>
      <c r="C66" s="682"/>
      <c r="D66" s="682"/>
      <c r="E66" s="683"/>
      <c r="F66" s="425" t="str">
        <f>F$4</f>
        <v>NMHC 
[g/km]</v>
      </c>
      <c r="G66" s="425" t="str">
        <f t="shared" ref="G66:M66" si="62">G$4</f>
        <v>THC
[g/km]</v>
      </c>
      <c r="H66" s="425" t="str">
        <f t="shared" si="62"/>
        <v>CO
[g/km]</v>
      </c>
      <c r="I66" s="425" t="str">
        <f t="shared" si="62"/>
        <v>NOx
[g/km]</v>
      </c>
      <c r="J66" s="425" t="str">
        <f t="shared" si="62"/>
        <v>PM
[mg/km]</v>
      </c>
      <c r="K66" s="425" t="str">
        <f t="shared" si="62"/>
        <v>PN
[#/km]</v>
      </c>
      <c r="L66" s="426" t="str">
        <f t="shared" si="62"/>
        <v>Additional
component</v>
      </c>
      <c r="M66" s="426" t="str">
        <f t="shared" si="62"/>
        <v>Additional
component 2</v>
      </c>
      <c r="N66" s="425" t="str">
        <f>N$4</f>
        <v>CO2
[g/km]</v>
      </c>
      <c r="O66" s="669"/>
      <c r="P66" s="670"/>
      <c r="Q66" s="670"/>
      <c r="R66" s="670"/>
      <c r="S66" s="669"/>
      <c r="T66" s="670"/>
      <c r="U66" s="670"/>
      <c r="V66" s="671"/>
      <c r="W66" s="434"/>
      <c r="X66" s="434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401"/>
      <c r="AJ66" s="401"/>
      <c r="AK66" s="401"/>
      <c r="AL66" s="401"/>
      <c r="AM66" s="401"/>
      <c r="AN66" s="401"/>
      <c r="AO66" s="401"/>
      <c r="AP66" s="401"/>
      <c r="AQ66" s="401"/>
      <c r="AR66" s="401"/>
      <c r="AS66" s="401"/>
      <c r="AT66" s="401"/>
      <c r="AU66" s="401"/>
      <c r="AV66" s="401"/>
      <c r="AW66" s="401"/>
      <c r="AX66" s="401"/>
      <c r="AY66" s="401"/>
      <c r="AZ66" s="401"/>
      <c r="BA66" s="401"/>
      <c r="BB66" s="401"/>
      <c r="BC66" s="401" t="str">
        <f t="shared" si="11"/>
        <v>-</v>
      </c>
      <c r="BD66" s="429" t="str">
        <f>$E$4</f>
        <v>Other</v>
      </c>
      <c r="BE66" s="435">
        <v>1</v>
      </c>
      <c r="BF66" s="435">
        <v>1</v>
      </c>
      <c r="BG66" s="435">
        <v>1</v>
      </c>
      <c r="BH66" s="435">
        <v>1</v>
      </c>
      <c r="BI66" s="435">
        <v>1</v>
      </c>
      <c r="BJ66" s="435">
        <v>1</v>
      </c>
      <c r="BK66" s="435">
        <v>1</v>
      </c>
      <c r="BL66" s="435">
        <v>1</v>
      </c>
    </row>
    <row r="67" spans="1:64" s="405" customFormat="1" ht="15" customHeight="1" outlineLevel="1" x14ac:dyDescent="0.25">
      <c r="A67" s="396"/>
      <c r="B67" s="710" t="s">
        <v>125</v>
      </c>
      <c r="C67" s="684" t="s">
        <v>114</v>
      </c>
      <c r="D67" s="684" t="s">
        <v>113</v>
      </c>
      <c r="E67" s="453" t="s">
        <v>94</v>
      </c>
      <c r="F67" s="437" t="s">
        <v>5</v>
      </c>
      <c r="G67" s="437" t="s">
        <v>5</v>
      </c>
      <c r="H67" s="437" t="s">
        <v>5</v>
      </c>
      <c r="I67" s="437" t="s">
        <v>5</v>
      </c>
      <c r="J67" s="437" t="s">
        <v>5</v>
      </c>
      <c r="K67" s="438" t="s">
        <v>5</v>
      </c>
      <c r="L67" s="438" t="s">
        <v>5</v>
      </c>
      <c r="M67" s="438" t="s">
        <v>5</v>
      </c>
      <c r="N67" s="437" t="s">
        <v>5</v>
      </c>
      <c r="O67" s="672"/>
      <c r="P67" s="673"/>
      <c r="Q67" s="673"/>
      <c r="R67" s="673"/>
      <c r="S67" s="672"/>
      <c r="T67" s="673"/>
      <c r="U67" s="673"/>
      <c r="V67" s="674"/>
      <c r="W67" s="434"/>
      <c r="X67" s="434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401"/>
      <c r="AJ67" s="401"/>
      <c r="AK67" s="401"/>
      <c r="AL67" s="401"/>
      <c r="AM67" s="401"/>
      <c r="AN67" s="401"/>
      <c r="AO67" s="401"/>
      <c r="AP67" s="401"/>
      <c r="AQ67" s="401"/>
      <c r="AR67" s="401"/>
      <c r="AS67" s="401"/>
      <c r="AT67" s="401"/>
      <c r="AU67" s="401"/>
      <c r="AV67" s="401"/>
      <c r="AW67" s="401"/>
      <c r="AX67" s="401"/>
      <c r="AY67" s="401"/>
      <c r="AZ67" s="401"/>
      <c r="BA67" s="401"/>
      <c r="BB67" s="401"/>
      <c r="BC67" s="401" t="str">
        <f t="shared" si="11"/>
        <v>-</v>
      </c>
      <c r="BD67" s="429" t="str">
        <f>"1st " &amp;  B67</f>
        <v>1st Drive Mode 1</v>
      </c>
      <c r="BE67" s="435" t="str">
        <f t="shared" ref="BE67:BL67" si="63">IF((OR($C69="-",$C69="CET",$C69="")),"-",IF(AND(OR(F67="-",F67=""),OR(F68="-",F68="")),"-",IF(NOT(OR(F67="-",F67="")),F67/F$5,F68/F$5)))</f>
        <v>-</v>
      </c>
      <c r="BF67" s="435" t="str">
        <f t="shared" si="63"/>
        <v>-</v>
      </c>
      <c r="BG67" s="435" t="str">
        <f t="shared" si="63"/>
        <v>-</v>
      </c>
      <c r="BH67" s="435" t="str">
        <f t="shared" si="63"/>
        <v>-</v>
      </c>
      <c r="BI67" s="435" t="str">
        <f t="shared" si="63"/>
        <v>-</v>
      </c>
      <c r="BJ67" s="435" t="str">
        <f t="shared" si="63"/>
        <v>-</v>
      </c>
      <c r="BK67" s="435" t="str">
        <f t="shared" si="63"/>
        <v>-</v>
      </c>
      <c r="BL67" s="435" t="str">
        <f t="shared" si="63"/>
        <v>-</v>
      </c>
    </row>
    <row r="68" spans="1:64" s="405" customFormat="1" ht="15" customHeight="1" outlineLevel="1" thickBot="1" x14ac:dyDescent="0.3">
      <c r="A68" s="439"/>
      <c r="B68" s="711"/>
      <c r="C68" s="702"/>
      <c r="D68" s="685"/>
      <c r="E68" s="440" t="s">
        <v>95</v>
      </c>
      <c r="F68" s="441" t="s">
        <v>5</v>
      </c>
      <c r="G68" s="441" t="s">
        <v>5</v>
      </c>
      <c r="H68" s="441" t="s">
        <v>5</v>
      </c>
      <c r="I68" s="441" t="s">
        <v>5</v>
      </c>
      <c r="J68" s="441" t="s">
        <v>5</v>
      </c>
      <c r="K68" s="442" t="s">
        <v>5</v>
      </c>
      <c r="L68" s="442" t="s">
        <v>5</v>
      </c>
      <c r="M68" s="442" t="s">
        <v>5</v>
      </c>
      <c r="N68" s="441" t="s">
        <v>5</v>
      </c>
      <c r="O68" s="672"/>
      <c r="P68" s="673"/>
      <c r="Q68" s="673"/>
      <c r="R68" s="673"/>
      <c r="S68" s="672"/>
      <c r="T68" s="673"/>
      <c r="U68" s="673"/>
      <c r="V68" s="674"/>
      <c r="W68" s="443"/>
      <c r="X68" s="443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1"/>
        <v>-</v>
      </c>
      <c r="BD68" s="429" t="str">
        <f>"1st " &amp; B72</f>
        <v>1st Drive Mode 2</v>
      </c>
      <c r="BE68" s="435" t="str">
        <f t="shared" ref="BE68:BL68" si="64">IF((OR($C74="-",$C74="CET",$C74="")),"-",IF(AND(OR(F72="-",F72=""),OR(F73="-",F73="")),"-",IF(NOT(OR(F72="-",F72="")),F72/F$5,F73/F$5)))</f>
        <v>-</v>
      </c>
      <c r="BF68" s="435" t="str">
        <f t="shared" si="64"/>
        <v>-</v>
      </c>
      <c r="BG68" s="435" t="str">
        <f t="shared" si="64"/>
        <v>-</v>
      </c>
      <c r="BH68" s="435" t="str">
        <f t="shared" si="64"/>
        <v>-</v>
      </c>
      <c r="BI68" s="435" t="str">
        <f t="shared" si="64"/>
        <v>-</v>
      </c>
      <c r="BJ68" s="435" t="str">
        <f t="shared" si="64"/>
        <v>-</v>
      </c>
      <c r="BK68" s="435" t="str">
        <f t="shared" si="64"/>
        <v>-</v>
      </c>
      <c r="BL68" s="435" t="str">
        <f t="shared" si="64"/>
        <v>-</v>
      </c>
    </row>
    <row r="69" spans="1:64" s="405" customFormat="1" ht="15" customHeight="1" outlineLevel="1" thickBot="1" x14ac:dyDescent="0.3">
      <c r="A69" s="396"/>
      <c r="B69" s="711"/>
      <c r="C69" s="686">
        <v>1</v>
      </c>
      <c r="D69" s="689" t="str">
        <f>IF(AND(F70="-",G70="-",H70="-",I70="-",J70="-",K70="-",L70="-",M70="-"),"-",MAX(F70,G70,H70,I70,J70,K70,L70,M70))</f>
        <v>-</v>
      </c>
      <c r="E69" s="444" t="s">
        <v>96</v>
      </c>
      <c r="F69" s="445" t="str">
        <f t="shared" ref="F69:M69" si="65">IF(OR(F68="-",F68=""),IF(OR(F67="-",F67=""),"-",F67),IF(OR(F67="-",F67=""),F68,(F67+F68)/2))</f>
        <v>-</v>
      </c>
      <c r="G69" s="445" t="str">
        <f t="shared" si="65"/>
        <v>-</v>
      </c>
      <c r="H69" s="445" t="str">
        <f t="shared" si="65"/>
        <v>-</v>
      </c>
      <c r="I69" s="445" t="str">
        <f t="shared" si="65"/>
        <v>-</v>
      </c>
      <c r="J69" s="445" t="str">
        <f t="shared" si="65"/>
        <v>-</v>
      </c>
      <c r="K69" s="446" t="str">
        <f t="shared" si="65"/>
        <v>-</v>
      </c>
      <c r="L69" s="446" t="str">
        <f t="shared" si="65"/>
        <v>-</v>
      </c>
      <c r="M69" s="446" t="str">
        <f t="shared" si="65"/>
        <v>-</v>
      </c>
      <c r="N69" s="699"/>
      <c r="O69" s="672"/>
      <c r="P69" s="673"/>
      <c r="Q69" s="673"/>
      <c r="R69" s="673"/>
      <c r="S69" s="672"/>
      <c r="T69" s="673"/>
      <c r="U69" s="673"/>
      <c r="V69" s="674"/>
      <c r="W69" s="434"/>
      <c r="X69" s="434"/>
      <c r="Y69" s="678"/>
      <c r="Z69" s="678"/>
      <c r="AA69" s="678"/>
      <c r="AB69" s="678"/>
      <c r="AC69" s="678"/>
      <c r="AD69" s="678"/>
      <c r="AE69" s="678"/>
      <c r="AF69" s="678"/>
      <c r="AG69" s="678"/>
      <c r="AH69" s="678"/>
      <c r="AI69" s="401"/>
      <c r="AJ69" s="401"/>
      <c r="AK69" s="401"/>
      <c r="AL69" s="401"/>
      <c r="AM69" s="401"/>
      <c r="AN69" s="401"/>
      <c r="AO69" s="401"/>
      <c r="AP69" s="401"/>
      <c r="AQ69" s="401"/>
      <c r="AR69" s="401"/>
      <c r="AS69" s="401"/>
      <c r="AT69" s="401"/>
      <c r="AU69" s="401"/>
      <c r="AV69" s="401"/>
      <c r="AW69" s="401"/>
      <c r="AX69" s="401"/>
      <c r="AY69" s="401"/>
      <c r="AZ69" s="401"/>
      <c r="BA69" s="401"/>
      <c r="BB69" s="401"/>
      <c r="BC69" s="401" t="str">
        <f t="shared" si="11"/>
        <v>-</v>
      </c>
      <c r="BD69" s="429" t="str">
        <f>"1st " &amp; B77</f>
        <v>1st Drive Mode 3</v>
      </c>
      <c r="BE69" s="435" t="str">
        <f t="shared" ref="BE69:BL69" si="66">IF((OR($C79="-",$C79="CET",$C79="")),"-",IF(AND(OR(F77="-",F77=""),OR(F78="-",F78="")),"-",IF(NOT(OR(F77="-",F77="")),F77/F$5,F78/F$5)))</f>
        <v>-</v>
      </c>
      <c r="BF69" s="435" t="str">
        <f t="shared" si="66"/>
        <v>-</v>
      </c>
      <c r="BG69" s="435" t="str">
        <f t="shared" si="66"/>
        <v>-</v>
      </c>
      <c r="BH69" s="435" t="str">
        <f t="shared" si="66"/>
        <v>-</v>
      </c>
      <c r="BI69" s="435" t="str">
        <f t="shared" si="66"/>
        <v>-</v>
      </c>
      <c r="BJ69" s="435" t="str">
        <f t="shared" si="66"/>
        <v>-</v>
      </c>
      <c r="BK69" s="435" t="str">
        <f t="shared" si="66"/>
        <v>-</v>
      </c>
      <c r="BL69" s="435" t="str">
        <f t="shared" si="66"/>
        <v>-</v>
      </c>
    </row>
    <row r="70" spans="1:64" s="405" customFormat="1" ht="15" customHeight="1" outlineLevel="1" thickBot="1" x14ac:dyDescent="0.3">
      <c r="A70" s="396"/>
      <c r="B70" s="711"/>
      <c r="C70" s="687"/>
      <c r="D70" s="690"/>
      <c r="E70" s="447" t="s">
        <v>97</v>
      </c>
      <c r="F70" s="448" t="str">
        <f t="shared" ref="F70:M70" si="67">IF(OR($C69="-",$C69="CET",$C69=""),"-",IF(AND(NOT(F69="-"),NOT(F$5="-"),NOT(F$5="")),F69/F$5,"-"))</f>
        <v>-</v>
      </c>
      <c r="G70" s="448" t="str">
        <f t="shared" si="67"/>
        <v>-</v>
      </c>
      <c r="H70" s="448" t="str">
        <f t="shared" si="67"/>
        <v>-</v>
      </c>
      <c r="I70" s="448" t="str">
        <f t="shared" si="67"/>
        <v>-</v>
      </c>
      <c r="J70" s="448" t="str">
        <f t="shared" si="67"/>
        <v>-</v>
      </c>
      <c r="K70" s="449" t="str">
        <f t="shared" si="67"/>
        <v>-</v>
      </c>
      <c r="L70" s="449" t="str">
        <f t="shared" si="67"/>
        <v>-</v>
      </c>
      <c r="M70" s="449" t="str">
        <f t="shared" si="67"/>
        <v>-</v>
      </c>
      <c r="N70" s="700"/>
      <c r="O70" s="672"/>
      <c r="P70" s="673"/>
      <c r="Q70" s="673"/>
      <c r="R70" s="673"/>
      <c r="S70" s="672"/>
      <c r="T70" s="673"/>
      <c r="U70" s="673"/>
      <c r="V70" s="674"/>
      <c r="W70" s="434"/>
      <c r="X70" s="434"/>
      <c r="Y70" s="678"/>
      <c r="Z70" s="678"/>
      <c r="AA70" s="678"/>
      <c r="AB70" s="678"/>
      <c r="AC70" s="678"/>
      <c r="AD70" s="678"/>
      <c r="AE70" s="678"/>
      <c r="AF70" s="678"/>
      <c r="AG70" s="678"/>
      <c r="AH70" s="678"/>
      <c r="AI70" s="401"/>
      <c r="AJ70" s="401"/>
      <c r="AK70" s="401"/>
      <c r="AL70" s="401"/>
      <c r="AM70" s="401"/>
      <c r="AN70" s="401"/>
      <c r="AO70" s="401"/>
      <c r="AP70" s="401"/>
      <c r="AQ70" s="401"/>
      <c r="AR70" s="401"/>
      <c r="AS70" s="401"/>
      <c r="AT70" s="401"/>
      <c r="AU70" s="401"/>
      <c r="AV70" s="401"/>
      <c r="AW70" s="401"/>
      <c r="AX70" s="401"/>
      <c r="AY70" s="401"/>
      <c r="AZ70" s="401"/>
      <c r="BA70" s="401"/>
      <c r="BB70" s="401"/>
      <c r="BC70" s="401" t="str">
        <f t="shared" si="11"/>
        <v>-</v>
      </c>
      <c r="BD70" s="429" t="str">
        <f>"1st " &amp; B82</f>
        <v>1st Drive Mode 4</v>
      </c>
      <c r="BE70" s="435" t="str">
        <f t="shared" ref="BE70:BL70" si="68">IF((OR($C84="-",$C84="CET",$C84="")),"-",IF(AND(OR(F82="-",F82=""),OR(F83="-",F83="")),"-",IF(NOT(OR(F82="-",F82="")),F82/F$5,F83/F$5)))</f>
        <v>-</v>
      </c>
      <c r="BF70" s="435" t="str">
        <f t="shared" si="68"/>
        <v>-</v>
      </c>
      <c r="BG70" s="435" t="str">
        <f t="shared" si="68"/>
        <v>-</v>
      </c>
      <c r="BH70" s="435" t="str">
        <f t="shared" si="68"/>
        <v>-</v>
      </c>
      <c r="BI70" s="435" t="str">
        <f t="shared" si="68"/>
        <v>-</v>
      </c>
      <c r="BJ70" s="435" t="str">
        <f t="shared" si="68"/>
        <v>-</v>
      </c>
      <c r="BK70" s="435" t="str">
        <f t="shared" si="68"/>
        <v>-</v>
      </c>
      <c r="BL70" s="435" t="str">
        <f t="shared" si="68"/>
        <v>-</v>
      </c>
    </row>
    <row r="71" spans="1:64" s="405" customFormat="1" ht="15" customHeight="1" outlineLevel="1" thickBot="1" x14ac:dyDescent="0.3">
      <c r="A71" s="396"/>
      <c r="B71" s="712"/>
      <c r="C71" s="688"/>
      <c r="D71" s="691"/>
      <c r="E71" s="450" t="s">
        <v>30</v>
      </c>
      <c r="F71" s="451" t="str">
        <f t="shared" ref="F71:M71" si="69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451" t="str">
        <f t="shared" si="69"/>
        <v>-</v>
      </c>
      <c r="H71" s="451" t="str">
        <f t="shared" si="69"/>
        <v>-</v>
      </c>
      <c r="I71" s="451" t="str">
        <f t="shared" si="69"/>
        <v>-</v>
      </c>
      <c r="J71" s="451" t="str">
        <f t="shared" si="69"/>
        <v>-</v>
      </c>
      <c r="K71" s="452" t="str">
        <f t="shared" si="69"/>
        <v>-</v>
      </c>
      <c r="L71" s="452" t="str">
        <f t="shared" si="69"/>
        <v>-</v>
      </c>
      <c r="M71" s="452" t="str">
        <f t="shared" si="69"/>
        <v>-</v>
      </c>
      <c r="N71" s="701"/>
      <c r="O71" s="672"/>
      <c r="P71" s="673"/>
      <c r="Q71" s="673"/>
      <c r="R71" s="673"/>
      <c r="S71" s="672"/>
      <c r="T71" s="673"/>
      <c r="U71" s="673"/>
      <c r="V71" s="674"/>
      <c r="W71" s="434"/>
      <c r="X71" s="434"/>
      <c r="Y71" s="678"/>
      <c r="Z71" s="678"/>
      <c r="AA71" s="678"/>
      <c r="AB71" s="678"/>
      <c r="AC71" s="678"/>
      <c r="AD71" s="678"/>
      <c r="AE71" s="678"/>
      <c r="AF71" s="678"/>
      <c r="AG71" s="678"/>
      <c r="AH71" s="678"/>
      <c r="AI71" s="401"/>
      <c r="AJ71" s="401"/>
      <c r="AK71" s="401"/>
      <c r="AL71" s="401"/>
      <c r="AM71" s="401"/>
      <c r="AN71" s="401"/>
      <c r="AO71" s="401"/>
      <c r="AP71" s="401"/>
      <c r="AQ71" s="401"/>
      <c r="AR71" s="401"/>
      <c r="AS71" s="401"/>
      <c r="AT71" s="401"/>
      <c r="AU71" s="401"/>
      <c r="AV71" s="401"/>
      <c r="AW71" s="401"/>
      <c r="AX71" s="401"/>
      <c r="AY71" s="401"/>
      <c r="AZ71" s="401"/>
      <c r="BA71" s="401"/>
      <c r="BB71" s="401"/>
      <c r="BC71" s="401" t="str">
        <f t="shared" si="11"/>
        <v>-</v>
      </c>
      <c r="BD71" s="429" t="str">
        <f>"1st " &amp; B87</f>
        <v>1st Drive Mode 5</v>
      </c>
      <c r="BE71" s="435" t="str">
        <f t="shared" ref="BE71:BL71" si="70">IF((OR($C89="-",$C89="CET",$C89="")),"-",IF(AND(OR(F87="-",F87=""),OR(F88="-",F88="")),"-",IF(NOT(OR(F87="-",F87="")),F87/F$5,F88/F$5)))</f>
        <v>-</v>
      </c>
      <c r="BF71" s="435" t="str">
        <f t="shared" si="70"/>
        <v>-</v>
      </c>
      <c r="BG71" s="435" t="str">
        <f t="shared" si="70"/>
        <v>-</v>
      </c>
      <c r="BH71" s="435" t="str">
        <f t="shared" si="70"/>
        <v>-</v>
      </c>
      <c r="BI71" s="435" t="str">
        <f t="shared" si="70"/>
        <v>-</v>
      </c>
      <c r="BJ71" s="435" t="str">
        <f t="shared" si="70"/>
        <v>-</v>
      </c>
      <c r="BK71" s="435" t="str">
        <f t="shared" si="70"/>
        <v>-</v>
      </c>
      <c r="BL71" s="435" t="str">
        <f t="shared" si="70"/>
        <v>-</v>
      </c>
    </row>
    <row r="72" spans="1:64" s="405" customFormat="1" ht="15" customHeight="1" outlineLevel="1" x14ac:dyDescent="0.25">
      <c r="A72" s="396"/>
      <c r="B72" s="710" t="s">
        <v>124</v>
      </c>
      <c r="C72" s="684" t="s">
        <v>114</v>
      </c>
      <c r="D72" s="684" t="s">
        <v>113</v>
      </c>
      <c r="E72" s="453" t="s">
        <v>94</v>
      </c>
      <c r="F72" s="437" t="s">
        <v>5</v>
      </c>
      <c r="G72" s="437" t="s">
        <v>5</v>
      </c>
      <c r="H72" s="437" t="s">
        <v>5</v>
      </c>
      <c r="I72" s="437" t="s">
        <v>5</v>
      </c>
      <c r="J72" s="437" t="s">
        <v>5</v>
      </c>
      <c r="K72" s="438" t="s">
        <v>5</v>
      </c>
      <c r="L72" s="438" t="s">
        <v>5</v>
      </c>
      <c r="M72" s="438" t="s">
        <v>5</v>
      </c>
      <c r="N72" s="437" t="s">
        <v>5</v>
      </c>
      <c r="O72" s="672"/>
      <c r="P72" s="673"/>
      <c r="Q72" s="673"/>
      <c r="R72" s="673"/>
      <c r="S72" s="672"/>
      <c r="T72" s="673"/>
      <c r="U72" s="673"/>
      <c r="V72" s="674"/>
      <c r="W72" s="434"/>
      <c r="X72" s="434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401"/>
      <c r="AJ72" s="401"/>
      <c r="AK72" s="401"/>
      <c r="AL72" s="401"/>
      <c r="AM72" s="401"/>
      <c r="AN72" s="401"/>
      <c r="AO72" s="401"/>
      <c r="AP72" s="401"/>
      <c r="AQ72" s="401"/>
      <c r="AR72" s="401"/>
      <c r="AS72" s="401"/>
      <c r="AT72" s="401"/>
      <c r="AU72" s="401"/>
      <c r="AV72" s="401"/>
      <c r="AW72" s="401"/>
      <c r="AX72" s="401"/>
      <c r="AY72" s="401"/>
      <c r="AZ72" s="401"/>
      <c r="BA72" s="401"/>
      <c r="BB72" s="401"/>
      <c r="BC72" s="401" t="str">
        <f t="shared" si="11"/>
        <v>-</v>
      </c>
      <c r="BD72" s="429" t="str">
        <f>"1st " &amp; B92</f>
        <v>1st Drive Mode 6</v>
      </c>
      <c r="BE72" s="435" t="str">
        <f t="shared" ref="BE72:BL72" si="71">IF((OR($C94="-",$C94="CET",$C94="")),"-",IF(AND(OR(F92="-",F92=""),OR(F93="-",F93="")),"-",IF(NOT(OR(F92="-",F92="")),F92/F$5,F93/F$5)))</f>
        <v>-</v>
      </c>
      <c r="BF72" s="435" t="str">
        <f t="shared" si="71"/>
        <v>-</v>
      </c>
      <c r="BG72" s="435" t="str">
        <f t="shared" si="71"/>
        <v>-</v>
      </c>
      <c r="BH72" s="435" t="str">
        <f t="shared" si="71"/>
        <v>-</v>
      </c>
      <c r="BI72" s="435" t="str">
        <f t="shared" si="71"/>
        <v>-</v>
      </c>
      <c r="BJ72" s="435" t="str">
        <f t="shared" si="71"/>
        <v>-</v>
      </c>
      <c r="BK72" s="435" t="str">
        <f t="shared" si="71"/>
        <v>-</v>
      </c>
      <c r="BL72" s="435" t="str">
        <f t="shared" si="71"/>
        <v>-</v>
      </c>
    </row>
    <row r="73" spans="1:64" s="405" customFormat="1" ht="15" customHeight="1" outlineLevel="1" thickBot="1" x14ac:dyDescent="0.3">
      <c r="A73" s="439"/>
      <c r="B73" s="711"/>
      <c r="C73" s="702"/>
      <c r="D73" s="685"/>
      <c r="E73" s="440" t="s">
        <v>95</v>
      </c>
      <c r="F73" s="441" t="s">
        <v>5</v>
      </c>
      <c r="G73" s="441" t="s">
        <v>5</v>
      </c>
      <c r="H73" s="441" t="s">
        <v>5</v>
      </c>
      <c r="I73" s="441" t="s">
        <v>5</v>
      </c>
      <c r="J73" s="441" t="s">
        <v>5</v>
      </c>
      <c r="K73" s="442" t="s">
        <v>5</v>
      </c>
      <c r="L73" s="442" t="s">
        <v>5</v>
      </c>
      <c r="M73" s="442" t="s">
        <v>5</v>
      </c>
      <c r="N73" s="441" t="s">
        <v>5</v>
      </c>
      <c r="O73" s="672"/>
      <c r="P73" s="673"/>
      <c r="Q73" s="673"/>
      <c r="R73" s="673"/>
      <c r="S73" s="672"/>
      <c r="T73" s="673"/>
      <c r="U73" s="673"/>
      <c r="V73" s="674"/>
      <c r="W73" s="443"/>
      <c r="X73" s="443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BC73" s="401" t="str">
        <f t="shared" si="11"/>
        <v>-</v>
      </c>
      <c r="BD73" s="429" t="str">
        <f>"0.7*IEF " &amp; (B67)</f>
        <v>0.7*IEF Drive Mode 1</v>
      </c>
      <c r="BE73" s="435">
        <f t="shared" ref="BE73:BL73" si="72">IF(OR($C69="-",$C69="CET",$C69=""),"-",0.7*$C69)</f>
        <v>0.7</v>
      </c>
      <c r="BF73" s="435">
        <f t="shared" si="72"/>
        <v>0.7</v>
      </c>
      <c r="BG73" s="435">
        <f t="shared" si="72"/>
        <v>0.7</v>
      </c>
      <c r="BH73" s="435">
        <f t="shared" si="72"/>
        <v>0.7</v>
      </c>
      <c r="BI73" s="435">
        <f t="shared" si="72"/>
        <v>0.7</v>
      </c>
      <c r="BJ73" s="435">
        <f t="shared" si="72"/>
        <v>0.7</v>
      </c>
      <c r="BK73" s="435">
        <f t="shared" si="72"/>
        <v>0.7</v>
      </c>
      <c r="BL73" s="435">
        <f t="shared" si="72"/>
        <v>0.7</v>
      </c>
    </row>
    <row r="74" spans="1:64" s="405" customFormat="1" ht="15" customHeight="1" outlineLevel="1" thickBot="1" x14ac:dyDescent="0.3">
      <c r="A74" s="396"/>
      <c r="B74" s="711"/>
      <c r="C74" s="686">
        <v>1</v>
      </c>
      <c r="D74" s="689" t="str">
        <f>IF(AND(F75="-",G75="-",H75="-",I75="-",J75="-",K75="-",L75="-",M75="-"),"-",MAX(F75,G75,H75,I75,J75,K75,L75,M75))</f>
        <v>-</v>
      </c>
      <c r="E74" s="444" t="s">
        <v>96</v>
      </c>
      <c r="F74" s="445" t="str">
        <f t="shared" ref="F74:M74" si="73">IF(OR(F73="-",F73=""),IF(OR(F72="-",F72=""),"-",F72),IF(OR(F72="-",F72=""),F73,(F72+F73)/2))</f>
        <v>-</v>
      </c>
      <c r="G74" s="445" t="str">
        <f t="shared" si="73"/>
        <v>-</v>
      </c>
      <c r="H74" s="445" t="str">
        <f t="shared" si="73"/>
        <v>-</v>
      </c>
      <c r="I74" s="445" t="str">
        <f t="shared" si="73"/>
        <v>-</v>
      </c>
      <c r="J74" s="445" t="str">
        <f t="shared" si="73"/>
        <v>-</v>
      </c>
      <c r="K74" s="446" t="str">
        <f t="shared" si="73"/>
        <v>-</v>
      </c>
      <c r="L74" s="446" t="str">
        <f t="shared" si="73"/>
        <v>-</v>
      </c>
      <c r="M74" s="446" t="str">
        <f t="shared" si="73"/>
        <v>-</v>
      </c>
      <c r="N74" s="699"/>
      <c r="O74" s="672"/>
      <c r="P74" s="673"/>
      <c r="Q74" s="673"/>
      <c r="R74" s="673"/>
      <c r="S74" s="672"/>
      <c r="T74" s="673"/>
      <c r="U74" s="673"/>
      <c r="V74" s="674"/>
      <c r="W74" s="434"/>
      <c r="X74" s="434"/>
      <c r="Y74" s="678"/>
      <c r="Z74" s="678"/>
      <c r="AA74" s="678"/>
      <c r="AB74" s="678"/>
      <c r="AC74" s="678"/>
      <c r="AD74" s="678"/>
      <c r="AE74" s="678"/>
      <c r="AF74" s="678"/>
      <c r="AG74" s="678"/>
      <c r="AH74" s="678"/>
      <c r="AI74" s="401"/>
      <c r="AJ74" s="401"/>
      <c r="AK74" s="401"/>
      <c r="AL74" s="401"/>
      <c r="AM74" s="401"/>
      <c r="AN74" s="401"/>
      <c r="AO74" s="401"/>
      <c r="AP74" s="401"/>
      <c r="AQ74" s="401"/>
      <c r="AR74" s="401"/>
      <c r="AS74" s="401"/>
      <c r="AT74" s="401"/>
      <c r="AU74" s="401"/>
      <c r="AV74" s="401"/>
      <c r="AW74" s="401"/>
      <c r="AX74" s="401"/>
      <c r="AY74" s="401"/>
      <c r="AZ74" s="401"/>
      <c r="BA74" s="401"/>
      <c r="BB74" s="401"/>
      <c r="BC74" s="401" t="str">
        <f t="shared" si="11"/>
        <v>-</v>
      </c>
      <c r="BD74" s="429" t="str">
        <f>"0.7*IEF " &amp; B72</f>
        <v>0.7*IEF Drive Mode 2</v>
      </c>
      <c r="BE74" s="435">
        <f t="shared" ref="BE74:BL74" si="74">IF(OR($C74="-",$C74="CET",$C74=""),"-",0.7*$C74)</f>
        <v>0.7</v>
      </c>
      <c r="BF74" s="435">
        <f t="shared" si="74"/>
        <v>0.7</v>
      </c>
      <c r="BG74" s="435">
        <f t="shared" si="74"/>
        <v>0.7</v>
      </c>
      <c r="BH74" s="435">
        <f t="shared" si="74"/>
        <v>0.7</v>
      </c>
      <c r="BI74" s="435">
        <f t="shared" si="74"/>
        <v>0.7</v>
      </c>
      <c r="BJ74" s="435">
        <f t="shared" si="74"/>
        <v>0.7</v>
      </c>
      <c r="BK74" s="435">
        <f t="shared" si="74"/>
        <v>0.7</v>
      </c>
      <c r="BL74" s="435">
        <f t="shared" si="74"/>
        <v>0.7</v>
      </c>
    </row>
    <row r="75" spans="1:64" s="405" customFormat="1" ht="15" customHeight="1" outlineLevel="1" thickBot="1" x14ac:dyDescent="0.3">
      <c r="A75" s="396"/>
      <c r="B75" s="711"/>
      <c r="C75" s="687"/>
      <c r="D75" s="690"/>
      <c r="E75" s="447" t="s">
        <v>97</v>
      </c>
      <c r="F75" s="448" t="str">
        <f t="shared" ref="F75:M75" si="75">IF(OR($C74="-",$C74="CET",$C74=""),"-",IF(AND(NOT(F74="-"),NOT(F$5="-"),NOT(F$5="")),F74/F$5,"-"))</f>
        <v>-</v>
      </c>
      <c r="G75" s="448" t="str">
        <f t="shared" si="75"/>
        <v>-</v>
      </c>
      <c r="H75" s="448" t="str">
        <f t="shared" si="75"/>
        <v>-</v>
      </c>
      <c r="I75" s="448" t="str">
        <f t="shared" si="75"/>
        <v>-</v>
      </c>
      <c r="J75" s="448" t="str">
        <f t="shared" si="75"/>
        <v>-</v>
      </c>
      <c r="K75" s="449" t="str">
        <f t="shared" si="75"/>
        <v>-</v>
      </c>
      <c r="L75" s="449" t="str">
        <f t="shared" si="75"/>
        <v>-</v>
      </c>
      <c r="M75" s="449" t="str">
        <f t="shared" si="75"/>
        <v>-</v>
      </c>
      <c r="N75" s="700"/>
      <c r="O75" s="672"/>
      <c r="P75" s="673"/>
      <c r="Q75" s="673"/>
      <c r="R75" s="673"/>
      <c r="S75" s="672"/>
      <c r="T75" s="673"/>
      <c r="U75" s="673"/>
      <c r="V75" s="674"/>
      <c r="W75" s="434"/>
      <c r="X75" s="434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AI75" s="401"/>
      <c r="AJ75" s="401"/>
      <c r="AK75" s="401"/>
      <c r="AL75" s="401"/>
      <c r="AM75" s="401"/>
      <c r="AN75" s="401"/>
      <c r="AO75" s="401"/>
      <c r="AP75" s="401"/>
      <c r="AQ75" s="401"/>
      <c r="AR75" s="401"/>
      <c r="AS75" s="401"/>
      <c r="AT75" s="401"/>
      <c r="AU75" s="401"/>
      <c r="AV75" s="401"/>
      <c r="AW75" s="401"/>
      <c r="AX75" s="401"/>
      <c r="AY75" s="401"/>
      <c r="AZ75" s="401"/>
      <c r="BA75" s="401"/>
      <c r="BB75" s="401"/>
      <c r="BC75" s="401" t="str">
        <f t="shared" si="11"/>
        <v>-</v>
      </c>
      <c r="BD75" s="429" t="str">
        <f>"0.7*IEF " &amp; B77</f>
        <v>0.7*IEF Drive Mode 3</v>
      </c>
      <c r="BE75" s="435">
        <f t="shared" ref="BE75:BL75" si="76">IF(OR($C79="-",$C79="CET",$C79=""),"-",0.7*$C79)</f>
        <v>0.7</v>
      </c>
      <c r="BF75" s="435">
        <f t="shared" si="76"/>
        <v>0.7</v>
      </c>
      <c r="BG75" s="435">
        <f t="shared" si="76"/>
        <v>0.7</v>
      </c>
      <c r="BH75" s="435">
        <f t="shared" si="76"/>
        <v>0.7</v>
      </c>
      <c r="BI75" s="435">
        <f t="shared" si="76"/>
        <v>0.7</v>
      </c>
      <c r="BJ75" s="435">
        <f t="shared" si="76"/>
        <v>0.7</v>
      </c>
      <c r="BK75" s="435">
        <f t="shared" si="76"/>
        <v>0.7</v>
      </c>
      <c r="BL75" s="435">
        <f t="shared" si="76"/>
        <v>0.7</v>
      </c>
    </row>
    <row r="76" spans="1:64" s="405" customFormat="1" ht="15" customHeight="1" outlineLevel="1" thickBot="1" x14ac:dyDescent="0.3">
      <c r="A76" s="404"/>
      <c r="B76" s="712"/>
      <c r="C76" s="688"/>
      <c r="D76" s="691"/>
      <c r="E76" s="451" t="s">
        <v>30</v>
      </c>
      <c r="F76" s="451" t="str">
        <f t="shared" ref="F76:M76" si="77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451" t="str">
        <f t="shared" si="77"/>
        <v>-</v>
      </c>
      <c r="H76" s="451" t="str">
        <f t="shared" si="77"/>
        <v>-</v>
      </c>
      <c r="I76" s="451" t="str">
        <f t="shared" si="77"/>
        <v>-</v>
      </c>
      <c r="J76" s="451" t="str">
        <f t="shared" si="77"/>
        <v>-</v>
      </c>
      <c r="K76" s="452" t="str">
        <f t="shared" si="77"/>
        <v>-</v>
      </c>
      <c r="L76" s="452" t="str">
        <f t="shared" si="77"/>
        <v>-</v>
      </c>
      <c r="M76" s="452" t="str">
        <f t="shared" si="77"/>
        <v>-</v>
      </c>
      <c r="N76" s="701"/>
      <c r="O76" s="672"/>
      <c r="P76" s="673"/>
      <c r="Q76" s="673"/>
      <c r="R76" s="673"/>
      <c r="S76" s="672"/>
      <c r="T76" s="673"/>
      <c r="U76" s="673"/>
      <c r="V76" s="674"/>
      <c r="W76" s="434"/>
      <c r="X76" s="434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AI76" s="401"/>
      <c r="AJ76" s="401"/>
      <c r="AK76" s="401"/>
      <c r="AL76" s="401"/>
      <c r="AM76" s="401"/>
      <c r="AN76" s="401"/>
      <c r="AO76" s="401"/>
      <c r="AP76" s="401"/>
      <c r="AQ76" s="401"/>
      <c r="AR76" s="401"/>
      <c r="AS76" s="401"/>
      <c r="AT76" s="401"/>
      <c r="AU76" s="401"/>
      <c r="AV76" s="401"/>
      <c r="AW76" s="401"/>
      <c r="AX76" s="401"/>
      <c r="AY76" s="401"/>
      <c r="AZ76" s="401"/>
      <c r="BA76" s="401"/>
      <c r="BB76" s="401"/>
      <c r="BC76" s="401" t="str">
        <f t="shared" si="11"/>
        <v>-</v>
      </c>
      <c r="BD76" s="429" t="str">
        <f>"0.7*IEF " &amp; B82</f>
        <v>0.7*IEF Drive Mode 4</v>
      </c>
      <c r="BE76" s="435">
        <f t="shared" ref="BE76:BL76" si="78">IF(OR($C84="-",$C84="CET",$C84=""),"-",0.7*$C84)</f>
        <v>0.7</v>
      </c>
      <c r="BF76" s="435">
        <f t="shared" si="78"/>
        <v>0.7</v>
      </c>
      <c r="BG76" s="435">
        <f t="shared" si="78"/>
        <v>0.7</v>
      </c>
      <c r="BH76" s="435">
        <f t="shared" si="78"/>
        <v>0.7</v>
      </c>
      <c r="BI76" s="435">
        <f t="shared" si="78"/>
        <v>0.7</v>
      </c>
      <c r="BJ76" s="435">
        <f t="shared" si="78"/>
        <v>0.7</v>
      </c>
      <c r="BK76" s="435">
        <f t="shared" si="78"/>
        <v>0.7</v>
      </c>
      <c r="BL76" s="435">
        <f t="shared" si="78"/>
        <v>0.7</v>
      </c>
    </row>
    <row r="77" spans="1:64" s="405" customFormat="1" ht="15" customHeight="1" outlineLevel="1" x14ac:dyDescent="0.25">
      <c r="A77" s="404"/>
      <c r="B77" s="710" t="s">
        <v>123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3"/>
      <c r="S77" s="672"/>
      <c r="T77" s="673"/>
      <c r="U77" s="673"/>
      <c r="V77" s="674"/>
      <c r="W77" s="434"/>
      <c r="X77" s="434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AI77" s="401"/>
      <c r="AJ77" s="401"/>
      <c r="AK77" s="401"/>
      <c r="AL77" s="401"/>
      <c r="AM77" s="401"/>
      <c r="AN77" s="401"/>
      <c r="AO77" s="401"/>
      <c r="AP77" s="401"/>
      <c r="AQ77" s="401"/>
      <c r="AR77" s="401"/>
      <c r="AS77" s="401"/>
      <c r="AT77" s="401"/>
      <c r="AU77" s="401"/>
      <c r="AV77" s="401"/>
      <c r="AW77" s="401"/>
      <c r="AX77" s="401"/>
      <c r="AY77" s="401"/>
      <c r="AZ77" s="401"/>
      <c r="BA77" s="401"/>
      <c r="BB77" s="401"/>
      <c r="BC77" s="401" t="str">
        <f t="shared" si="11"/>
        <v>-</v>
      </c>
      <c r="BD77" s="429" t="str">
        <f>"0.7*IEF " &amp; B87</f>
        <v>0.7*IEF Drive Mode 5</v>
      </c>
      <c r="BE77" s="435">
        <f t="shared" ref="BE77:BL77" si="79">IF(OR($C89="-",$C89="CET",$C89=""),"-",0.7*$C89)</f>
        <v>0.7</v>
      </c>
      <c r="BF77" s="435">
        <f t="shared" si="79"/>
        <v>0.7</v>
      </c>
      <c r="BG77" s="435">
        <f t="shared" si="79"/>
        <v>0.7</v>
      </c>
      <c r="BH77" s="435">
        <f t="shared" si="79"/>
        <v>0.7</v>
      </c>
      <c r="BI77" s="435">
        <f t="shared" si="79"/>
        <v>0.7</v>
      </c>
      <c r="BJ77" s="435">
        <f t="shared" si="79"/>
        <v>0.7</v>
      </c>
      <c r="BK77" s="435">
        <f t="shared" si="79"/>
        <v>0.7</v>
      </c>
      <c r="BL77" s="435">
        <f t="shared" si="79"/>
        <v>0.7</v>
      </c>
    </row>
    <row r="78" spans="1:64" s="405" customFormat="1" ht="15" customHeight="1" outlineLevel="1" thickBot="1" x14ac:dyDescent="0.3">
      <c r="A78" s="454"/>
      <c r="B78" s="711"/>
      <c r="C78" s="702"/>
      <c r="D78" s="685"/>
      <c r="E78" s="440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3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1"/>
        <v>-</v>
      </c>
      <c r="BD78" s="429" t="str">
        <f>"0.7*IEF " &amp; B92</f>
        <v>0.7*IEF Drive Mode 6</v>
      </c>
      <c r="BE78" s="435">
        <f t="shared" ref="BE78:BL78" si="80">IF(OR($C94="-",$C94="CET",$C94=""),"-",0.7*$C94)</f>
        <v>0.7</v>
      </c>
      <c r="BF78" s="435">
        <f t="shared" si="80"/>
        <v>0.7</v>
      </c>
      <c r="BG78" s="435">
        <f t="shared" si="80"/>
        <v>0.7</v>
      </c>
      <c r="BH78" s="435">
        <f t="shared" si="80"/>
        <v>0.7</v>
      </c>
      <c r="BI78" s="435">
        <f t="shared" si="80"/>
        <v>0.7</v>
      </c>
      <c r="BJ78" s="435">
        <f t="shared" si="80"/>
        <v>0.7</v>
      </c>
      <c r="BK78" s="435">
        <f t="shared" si="80"/>
        <v>0.7</v>
      </c>
      <c r="BL78" s="435">
        <f t="shared" si="80"/>
        <v>0.7</v>
      </c>
    </row>
    <row r="79" spans="1:64" s="405" customFormat="1" ht="15" customHeight="1" outlineLevel="1" thickBot="1" x14ac:dyDescent="0.3">
      <c r="A79" s="404"/>
      <c r="B79" s="711"/>
      <c r="C79" s="686">
        <v>1</v>
      </c>
      <c r="D79" s="689" t="str">
        <f>IF(AND(F80="-",G80="-",H80="-",I80="-",J80="-",K80="-",L80="-",M80="-"),"-",MAX(F80,G80,H80,I80,J80,K80,L80,M80))</f>
        <v>-</v>
      </c>
      <c r="E79" s="444" t="s">
        <v>96</v>
      </c>
      <c r="F79" s="445" t="str">
        <f t="shared" ref="F79:M79" si="81">IF(OR(F78="-",F78=""),IF(OR(F77="-",F77=""),"-",F77),IF(OR(F77="-",F77=""),F78,(F77+F78)/2))</f>
        <v>-</v>
      </c>
      <c r="G79" s="445" t="str">
        <f t="shared" si="81"/>
        <v>-</v>
      </c>
      <c r="H79" s="445" t="str">
        <f t="shared" si="81"/>
        <v>-</v>
      </c>
      <c r="I79" s="445" t="str">
        <f t="shared" si="81"/>
        <v>-</v>
      </c>
      <c r="J79" s="445" t="str">
        <f t="shared" si="81"/>
        <v>-</v>
      </c>
      <c r="K79" s="446" t="str">
        <f t="shared" si="81"/>
        <v>-</v>
      </c>
      <c r="L79" s="446" t="str">
        <f t="shared" si="81"/>
        <v>-</v>
      </c>
      <c r="M79" s="446" t="str">
        <f t="shared" si="81"/>
        <v>-</v>
      </c>
      <c r="N79" s="699"/>
      <c r="O79" s="672"/>
      <c r="P79" s="673"/>
      <c r="Q79" s="673"/>
      <c r="R79" s="673"/>
      <c r="S79" s="672"/>
      <c r="T79" s="673"/>
      <c r="U79" s="673"/>
      <c r="V79" s="674"/>
      <c r="W79" s="434"/>
      <c r="X79" s="434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401"/>
      <c r="AJ79" s="401"/>
      <c r="AK79" s="401"/>
      <c r="AL79" s="401"/>
      <c r="AM79" s="401"/>
      <c r="AN79" s="401"/>
      <c r="AO79" s="401"/>
      <c r="AP79" s="401"/>
      <c r="AQ79" s="401"/>
      <c r="AR79" s="401"/>
      <c r="AS79" s="401"/>
      <c r="AT79" s="401"/>
      <c r="AU79" s="401"/>
      <c r="AV79" s="401"/>
      <c r="AW79" s="401"/>
      <c r="AX79" s="401"/>
      <c r="AY79" s="401"/>
      <c r="AZ79" s="401"/>
      <c r="BA79" s="401"/>
      <c r="BB79" s="401"/>
      <c r="BC79" s="401" t="str">
        <f t="shared" si="11"/>
        <v>-</v>
      </c>
      <c r="BD79" s="429" t="str">
        <f>$B67</f>
        <v>Drive Mode 1</v>
      </c>
      <c r="BE79" s="435" t="str">
        <f t="shared" ref="BE79:BL79" si="82">F70</f>
        <v>-</v>
      </c>
      <c r="BF79" s="435" t="str">
        <f t="shared" si="82"/>
        <v>-</v>
      </c>
      <c r="BG79" s="435" t="str">
        <f t="shared" si="82"/>
        <v>-</v>
      </c>
      <c r="BH79" s="435" t="str">
        <f t="shared" si="82"/>
        <v>-</v>
      </c>
      <c r="BI79" s="435" t="str">
        <f t="shared" si="82"/>
        <v>-</v>
      </c>
      <c r="BJ79" s="435" t="str">
        <f t="shared" si="82"/>
        <v>-</v>
      </c>
      <c r="BK79" s="435" t="str">
        <f t="shared" si="82"/>
        <v>-</v>
      </c>
      <c r="BL79" s="435" t="str">
        <f t="shared" si="82"/>
        <v>-</v>
      </c>
    </row>
    <row r="80" spans="1:64" s="405" customFormat="1" ht="15" customHeight="1" outlineLevel="1" thickBot="1" x14ac:dyDescent="0.3">
      <c r="A80" s="404"/>
      <c r="B80" s="711"/>
      <c r="C80" s="687"/>
      <c r="D80" s="690"/>
      <c r="E80" s="447" t="s">
        <v>97</v>
      </c>
      <c r="F80" s="448" t="str">
        <f t="shared" ref="F80:M80" si="83">IF(OR($C79="-",$C79="CET",$C79=""),"-",IF(AND(NOT(F79="-"),NOT(F$5="-"),NOT(F$5="")),F79/F$5,"-"))</f>
        <v>-</v>
      </c>
      <c r="G80" s="448" t="str">
        <f t="shared" si="83"/>
        <v>-</v>
      </c>
      <c r="H80" s="448" t="str">
        <f t="shared" si="83"/>
        <v>-</v>
      </c>
      <c r="I80" s="448" t="str">
        <f t="shared" si="83"/>
        <v>-</v>
      </c>
      <c r="J80" s="448" t="str">
        <f t="shared" si="83"/>
        <v>-</v>
      </c>
      <c r="K80" s="449" t="str">
        <f t="shared" si="83"/>
        <v>-</v>
      </c>
      <c r="L80" s="449" t="str">
        <f t="shared" si="83"/>
        <v>-</v>
      </c>
      <c r="M80" s="449" t="str">
        <f t="shared" si="83"/>
        <v>-</v>
      </c>
      <c r="N80" s="700"/>
      <c r="O80" s="672"/>
      <c r="P80" s="673"/>
      <c r="Q80" s="673"/>
      <c r="R80" s="673"/>
      <c r="S80" s="672"/>
      <c r="T80" s="673"/>
      <c r="U80" s="673"/>
      <c r="V80" s="674"/>
      <c r="W80" s="434"/>
      <c r="X80" s="434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AI80" s="401"/>
      <c r="AJ80" s="401"/>
      <c r="AK80" s="401"/>
      <c r="AL80" s="401"/>
      <c r="AM80" s="401"/>
      <c r="AN80" s="401"/>
      <c r="AO80" s="401"/>
      <c r="AP80" s="401"/>
      <c r="AQ80" s="401"/>
      <c r="AR80" s="401"/>
      <c r="AS80" s="401"/>
      <c r="AT80" s="401"/>
      <c r="AU80" s="401"/>
      <c r="AV80" s="401"/>
      <c r="AW80" s="401"/>
      <c r="AX80" s="401"/>
      <c r="AY80" s="401"/>
      <c r="AZ80" s="401"/>
      <c r="BA80" s="401"/>
      <c r="BB80" s="401"/>
      <c r="BC80" s="401" t="str">
        <f t="shared" si="11"/>
        <v>-</v>
      </c>
      <c r="BD80" s="429" t="str">
        <f>$B72</f>
        <v>Drive Mode 2</v>
      </c>
      <c r="BE80" s="435" t="str">
        <f t="shared" ref="BE80:BL80" si="84">F75</f>
        <v>-</v>
      </c>
      <c r="BF80" s="435" t="str">
        <f t="shared" si="84"/>
        <v>-</v>
      </c>
      <c r="BG80" s="435" t="str">
        <f t="shared" si="84"/>
        <v>-</v>
      </c>
      <c r="BH80" s="435" t="str">
        <f t="shared" si="84"/>
        <v>-</v>
      </c>
      <c r="BI80" s="435" t="str">
        <f t="shared" si="84"/>
        <v>-</v>
      </c>
      <c r="BJ80" s="435" t="str">
        <f t="shared" si="84"/>
        <v>-</v>
      </c>
      <c r="BK80" s="435" t="str">
        <f t="shared" si="84"/>
        <v>-</v>
      </c>
      <c r="BL80" s="435" t="str">
        <f t="shared" si="84"/>
        <v>-</v>
      </c>
    </row>
    <row r="81" spans="1:64" s="405" customFormat="1" ht="15" customHeight="1" outlineLevel="1" thickBot="1" x14ac:dyDescent="0.3">
      <c r="A81" s="404"/>
      <c r="B81" s="712"/>
      <c r="C81" s="688"/>
      <c r="D81" s="691"/>
      <c r="E81" s="451" t="s">
        <v>30</v>
      </c>
      <c r="F81" s="451" t="str">
        <f t="shared" ref="F81:M81" si="85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85"/>
        <v>-</v>
      </c>
      <c r="H81" s="451" t="str">
        <f t="shared" si="85"/>
        <v>-</v>
      </c>
      <c r="I81" s="451" t="str">
        <f t="shared" si="85"/>
        <v>-</v>
      </c>
      <c r="J81" s="451" t="str">
        <f t="shared" si="85"/>
        <v>-</v>
      </c>
      <c r="K81" s="452" t="str">
        <f t="shared" si="85"/>
        <v>-</v>
      </c>
      <c r="L81" s="452" t="str">
        <f t="shared" si="85"/>
        <v>-</v>
      </c>
      <c r="M81" s="452" t="str">
        <f t="shared" si="85"/>
        <v>-</v>
      </c>
      <c r="N81" s="701"/>
      <c r="O81" s="672"/>
      <c r="P81" s="673"/>
      <c r="Q81" s="673"/>
      <c r="R81" s="673"/>
      <c r="S81" s="672"/>
      <c r="T81" s="673"/>
      <c r="U81" s="673"/>
      <c r="V81" s="674"/>
      <c r="W81" s="434"/>
      <c r="X81" s="434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AI81" s="401"/>
      <c r="AJ81" s="401"/>
      <c r="AK81" s="401"/>
      <c r="AL81" s="401"/>
      <c r="AM81" s="401"/>
      <c r="AN81" s="401"/>
      <c r="AO81" s="401"/>
      <c r="AP81" s="401"/>
      <c r="AQ81" s="401"/>
      <c r="AR81" s="401"/>
      <c r="AS81" s="401"/>
      <c r="AT81" s="401"/>
      <c r="AU81" s="401"/>
      <c r="AV81" s="401"/>
      <c r="AW81" s="401"/>
      <c r="AX81" s="401"/>
      <c r="AY81" s="401"/>
      <c r="AZ81" s="401"/>
      <c r="BA81" s="401"/>
      <c r="BB81" s="401"/>
      <c r="BC81" s="401" t="str">
        <f t="shared" si="11"/>
        <v>-</v>
      </c>
      <c r="BD81" s="429" t="str">
        <f>$B77</f>
        <v>Drive Mode 3</v>
      </c>
      <c r="BE81" s="435" t="str">
        <f t="shared" ref="BE81:BL81" si="86">F80</f>
        <v>-</v>
      </c>
      <c r="BF81" s="435" t="str">
        <f t="shared" si="86"/>
        <v>-</v>
      </c>
      <c r="BG81" s="435" t="str">
        <f t="shared" si="86"/>
        <v>-</v>
      </c>
      <c r="BH81" s="435" t="str">
        <f t="shared" si="86"/>
        <v>-</v>
      </c>
      <c r="BI81" s="435" t="str">
        <f t="shared" si="86"/>
        <v>-</v>
      </c>
      <c r="BJ81" s="435" t="str">
        <f t="shared" si="86"/>
        <v>-</v>
      </c>
      <c r="BK81" s="435" t="str">
        <f t="shared" si="86"/>
        <v>-</v>
      </c>
      <c r="BL81" s="435" t="str">
        <f t="shared" si="86"/>
        <v>-</v>
      </c>
    </row>
    <row r="82" spans="1:64" s="405" customFormat="1" ht="15" customHeight="1" outlineLevel="1" x14ac:dyDescent="0.25">
      <c r="A82" s="404"/>
      <c r="B82" s="710" t="s">
        <v>122</v>
      </c>
      <c r="C82" s="684" t="s">
        <v>114</v>
      </c>
      <c r="D82" s="684" t="s">
        <v>113</v>
      </c>
      <c r="E82" s="453" t="s">
        <v>94</v>
      </c>
      <c r="F82" s="437" t="s">
        <v>5</v>
      </c>
      <c r="G82" s="437" t="s">
        <v>5</v>
      </c>
      <c r="H82" s="437" t="s">
        <v>5</v>
      </c>
      <c r="I82" s="437" t="s">
        <v>5</v>
      </c>
      <c r="J82" s="437" t="s">
        <v>5</v>
      </c>
      <c r="K82" s="438" t="s">
        <v>5</v>
      </c>
      <c r="L82" s="438" t="s">
        <v>5</v>
      </c>
      <c r="M82" s="438" t="s">
        <v>5</v>
      </c>
      <c r="N82" s="437" t="s">
        <v>5</v>
      </c>
      <c r="O82" s="672"/>
      <c r="P82" s="673"/>
      <c r="Q82" s="673"/>
      <c r="R82" s="673"/>
      <c r="S82" s="672"/>
      <c r="T82" s="673"/>
      <c r="U82" s="673"/>
      <c r="V82" s="674"/>
      <c r="W82" s="434"/>
      <c r="X82" s="434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AI82" s="401"/>
      <c r="AJ82" s="401"/>
      <c r="AK82" s="401"/>
      <c r="AL82" s="401"/>
      <c r="AM82" s="401"/>
      <c r="AN82" s="401"/>
      <c r="AO82" s="401"/>
      <c r="AP82" s="401"/>
      <c r="AQ82" s="401"/>
      <c r="AR82" s="401"/>
      <c r="AS82" s="401"/>
      <c r="AT82" s="401"/>
      <c r="AU82" s="401"/>
      <c r="AV82" s="401"/>
      <c r="AW82" s="401"/>
      <c r="AX82" s="401"/>
      <c r="AY82" s="401"/>
      <c r="AZ82" s="401"/>
      <c r="BA82" s="401"/>
      <c r="BB82" s="401"/>
      <c r="BC82" s="401" t="str">
        <f t="shared" si="11"/>
        <v>-</v>
      </c>
      <c r="BD82" s="429" t="str">
        <f>$B82</f>
        <v>Drive Mode 4</v>
      </c>
      <c r="BE82" s="435" t="str">
        <f t="shared" ref="BE82:BL82" si="87">F85</f>
        <v>-</v>
      </c>
      <c r="BF82" s="435" t="str">
        <f t="shared" si="87"/>
        <v>-</v>
      </c>
      <c r="BG82" s="435" t="str">
        <f t="shared" si="87"/>
        <v>-</v>
      </c>
      <c r="BH82" s="435" t="str">
        <f t="shared" si="87"/>
        <v>-</v>
      </c>
      <c r="BI82" s="435" t="str">
        <f t="shared" si="87"/>
        <v>-</v>
      </c>
      <c r="BJ82" s="435" t="str">
        <f t="shared" si="87"/>
        <v>-</v>
      </c>
      <c r="BK82" s="435" t="str">
        <f t="shared" si="87"/>
        <v>-</v>
      </c>
      <c r="BL82" s="435" t="str">
        <f t="shared" si="87"/>
        <v>-</v>
      </c>
    </row>
    <row r="83" spans="1:64" s="405" customFormat="1" ht="15" customHeight="1" outlineLevel="1" thickBot="1" x14ac:dyDescent="0.3">
      <c r="A83" s="454"/>
      <c r="B83" s="711"/>
      <c r="C83" s="702"/>
      <c r="D83" s="685"/>
      <c r="E83" s="440" t="s">
        <v>95</v>
      </c>
      <c r="F83" s="441" t="s">
        <v>5</v>
      </c>
      <c r="G83" s="441" t="s">
        <v>5</v>
      </c>
      <c r="H83" s="441" t="s">
        <v>5</v>
      </c>
      <c r="I83" s="441" t="s">
        <v>5</v>
      </c>
      <c r="J83" s="441" t="s">
        <v>5</v>
      </c>
      <c r="K83" s="442" t="s">
        <v>5</v>
      </c>
      <c r="L83" s="442" t="s">
        <v>5</v>
      </c>
      <c r="M83" s="442" t="s">
        <v>5</v>
      </c>
      <c r="N83" s="441" t="s">
        <v>5</v>
      </c>
      <c r="O83" s="672"/>
      <c r="P83" s="673"/>
      <c r="Q83" s="673"/>
      <c r="R83" s="673"/>
      <c r="S83" s="672"/>
      <c r="T83" s="673"/>
      <c r="U83" s="673"/>
      <c r="V83" s="674"/>
      <c r="W83" s="443"/>
      <c r="X83" s="443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11"/>
        <v>-</v>
      </c>
      <c r="BD83" s="429" t="str">
        <f>$B87</f>
        <v>Drive Mode 5</v>
      </c>
      <c r="BE83" s="435" t="str">
        <f t="shared" ref="BE83:BL83" si="88">F90</f>
        <v>-</v>
      </c>
      <c r="BF83" s="435" t="str">
        <f t="shared" si="88"/>
        <v>-</v>
      </c>
      <c r="BG83" s="435" t="str">
        <f t="shared" si="88"/>
        <v>-</v>
      </c>
      <c r="BH83" s="435" t="str">
        <f t="shared" si="88"/>
        <v>-</v>
      </c>
      <c r="BI83" s="435" t="str">
        <f t="shared" si="88"/>
        <v>-</v>
      </c>
      <c r="BJ83" s="435" t="str">
        <f t="shared" si="88"/>
        <v>-</v>
      </c>
      <c r="BK83" s="435" t="str">
        <f t="shared" si="88"/>
        <v>-</v>
      </c>
      <c r="BL83" s="435" t="str">
        <f t="shared" si="88"/>
        <v>-</v>
      </c>
    </row>
    <row r="84" spans="1:64" s="405" customFormat="1" ht="15" customHeight="1" outlineLevel="1" thickBot="1" x14ac:dyDescent="0.3">
      <c r="A84" s="404"/>
      <c r="B84" s="711"/>
      <c r="C84" s="686">
        <v>1</v>
      </c>
      <c r="D84" s="689" t="str">
        <f>IF(AND(F85="-",G85="-",H85="-",I85="-",J85="-",K85="-",L85="-",M85="-"),"-",MAX(F85,G85,H85,I85,J85,K85,L85,M85))</f>
        <v>-</v>
      </c>
      <c r="E84" s="444" t="s">
        <v>96</v>
      </c>
      <c r="F84" s="445" t="str">
        <f t="shared" ref="F84:N84" si="89">IF(OR(F83="-",F83=""),IF(OR(F82="-",F82=""),"-",F82),IF(OR(F82="-",F82=""),F83,(F82+F83)/2))</f>
        <v>-</v>
      </c>
      <c r="G84" s="445" t="str">
        <f t="shared" si="89"/>
        <v>-</v>
      </c>
      <c r="H84" s="445" t="str">
        <f t="shared" si="89"/>
        <v>-</v>
      </c>
      <c r="I84" s="445" t="str">
        <f t="shared" si="89"/>
        <v>-</v>
      </c>
      <c r="J84" s="445" t="str">
        <f t="shared" si="89"/>
        <v>-</v>
      </c>
      <c r="K84" s="446" t="str">
        <f t="shared" si="89"/>
        <v>-</v>
      </c>
      <c r="L84" s="446" t="str">
        <f t="shared" si="89"/>
        <v>-</v>
      </c>
      <c r="M84" s="446" t="str">
        <f t="shared" si="89"/>
        <v>-</v>
      </c>
      <c r="N84" s="445" t="str">
        <f t="shared" si="89"/>
        <v>-</v>
      </c>
      <c r="O84" s="672"/>
      <c r="P84" s="673"/>
      <c r="Q84" s="673"/>
      <c r="R84" s="673"/>
      <c r="S84" s="672"/>
      <c r="T84" s="673"/>
      <c r="U84" s="673"/>
      <c r="V84" s="674"/>
      <c r="W84" s="434"/>
      <c r="X84" s="434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401"/>
      <c r="AJ84" s="401"/>
      <c r="AK84" s="401"/>
      <c r="AL84" s="401"/>
      <c r="AM84" s="401"/>
      <c r="AN84" s="401"/>
      <c r="AO84" s="401"/>
      <c r="AP84" s="401"/>
      <c r="AQ84" s="401"/>
      <c r="AR84" s="401"/>
      <c r="AS84" s="401"/>
      <c r="AT84" s="401"/>
      <c r="AU84" s="401"/>
      <c r="AV84" s="401"/>
      <c r="AW84" s="401"/>
      <c r="AX84" s="401"/>
      <c r="AY84" s="401"/>
      <c r="AZ84" s="401"/>
      <c r="BA84" s="401"/>
      <c r="BB84" s="401"/>
      <c r="BC84" s="401" t="str">
        <f t="shared" si="11"/>
        <v>-</v>
      </c>
      <c r="BD84" s="429" t="str">
        <f>$B92</f>
        <v>Drive Mode 6</v>
      </c>
      <c r="BE84" s="435" t="str">
        <f t="shared" ref="BE84:BL84" si="90">F95</f>
        <v>-</v>
      </c>
      <c r="BF84" s="435" t="str">
        <f t="shared" si="90"/>
        <v>-</v>
      </c>
      <c r="BG84" s="435" t="str">
        <f t="shared" si="90"/>
        <v>-</v>
      </c>
      <c r="BH84" s="435" t="str">
        <f t="shared" si="90"/>
        <v>-</v>
      </c>
      <c r="BI84" s="435" t="str">
        <f t="shared" si="90"/>
        <v>-</v>
      </c>
      <c r="BJ84" s="435" t="str">
        <f t="shared" si="90"/>
        <v>-</v>
      </c>
      <c r="BK84" s="435" t="str">
        <f t="shared" si="90"/>
        <v>-</v>
      </c>
      <c r="BL84" s="435" t="str">
        <f t="shared" si="90"/>
        <v>-</v>
      </c>
    </row>
    <row r="85" spans="1:64" s="405" customFormat="1" ht="15" customHeight="1" outlineLevel="1" thickBot="1" x14ac:dyDescent="0.3">
      <c r="A85" s="404"/>
      <c r="B85" s="711"/>
      <c r="C85" s="687"/>
      <c r="D85" s="690"/>
      <c r="E85" s="447" t="s">
        <v>97</v>
      </c>
      <c r="F85" s="448" t="str">
        <f t="shared" ref="F85:N85" si="91">IF(OR($C84="-",$C84="CET",$C84=""),"-",IF(AND(NOT(F84="-"),NOT(F$5="-"),NOT(F$5="")),F84/F$5,"-"))</f>
        <v>-</v>
      </c>
      <c r="G85" s="448" t="str">
        <f t="shared" si="91"/>
        <v>-</v>
      </c>
      <c r="H85" s="448" t="str">
        <f t="shared" si="91"/>
        <v>-</v>
      </c>
      <c r="I85" s="448" t="str">
        <f t="shared" si="91"/>
        <v>-</v>
      </c>
      <c r="J85" s="448" t="str">
        <f t="shared" si="91"/>
        <v>-</v>
      </c>
      <c r="K85" s="449" t="str">
        <f t="shared" si="91"/>
        <v>-</v>
      </c>
      <c r="L85" s="449" t="str">
        <f t="shared" si="91"/>
        <v>-</v>
      </c>
      <c r="M85" s="449" t="str">
        <f t="shared" si="91"/>
        <v>-</v>
      </c>
      <c r="N85" s="448" t="str">
        <f t="shared" si="91"/>
        <v>-</v>
      </c>
      <c r="O85" s="672"/>
      <c r="P85" s="673"/>
      <c r="Q85" s="673"/>
      <c r="R85" s="673"/>
      <c r="S85" s="672"/>
      <c r="T85" s="673"/>
      <c r="U85" s="673"/>
      <c r="V85" s="674"/>
      <c r="W85" s="434"/>
      <c r="X85" s="434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401"/>
      <c r="AJ85" s="401"/>
      <c r="AK85" s="401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401" t="str">
        <f t="shared" si="11"/>
        <v>-</v>
      </c>
      <c r="BD85" s="429" t="str">
        <f>"IEF " &amp;B67</f>
        <v>IEF Drive Mode 1</v>
      </c>
      <c r="BE85" s="435">
        <f t="shared" ref="BE85:BL85" si="92">IF(OR($C69="CET",$C69="-",$C69=""),"-",$C69)</f>
        <v>1</v>
      </c>
      <c r="BF85" s="435">
        <f t="shared" si="92"/>
        <v>1</v>
      </c>
      <c r="BG85" s="435">
        <f t="shared" si="92"/>
        <v>1</v>
      </c>
      <c r="BH85" s="435">
        <f t="shared" si="92"/>
        <v>1</v>
      </c>
      <c r="BI85" s="435">
        <f t="shared" si="92"/>
        <v>1</v>
      </c>
      <c r="BJ85" s="435">
        <f t="shared" si="92"/>
        <v>1</v>
      </c>
      <c r="BK85" s="435">
        <f t="shared" si="92"/>
        <v>1</v>
      </c>
      <c r="BL85" s="435">
        <f t="shared" si="92"/>
        <v>1</v>
      </c>
    </row>
    <row r="86" spans="1:64" s="405" customFormat="1" ht="15" customHeight="1" outlineLevel="1" thickBot="1" x14ac:dyDescent="0.3">
      <c r="A86" s="404"/>
      <c r="B86" s="712"/>
      <c r="C86" s="688"/>
      <c r="D86" s="691"/>
      <c r="E86" s="451" t="s">
        <v>30</v>
      </c>
      <c r="F86" s="451" t="str">
        <f t="shared" ref="F86:N86" si="93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451" t="str">
        <f t="shared" si="93"/>
        <v>-</v>
      </c>
      <c r="H86" s="451" t="str">
        <f t="shared" si="93"/>
        <v>-</v>
      </c>
      <c r="I86" s="451" t="str">
        <f t="shared" si="93"/>
        <v>-</v>
      </c>
      <c r="J86" s="451" t="str">
        <f t="shared" si="93"/>
        <v>-</v>
      </c>
      <c r="K86" s="452" t="str">
        <f t="shared" si="93"/>
        <v>-</v>
      </c>
      <c r="L86" s="452" t="str">
        <f t="shared" si="93"/>
        <v>-</v>
      </c>
      <c r="M86" s="452" t="str">
        <f t="shared" si="93"/>
        <v>-</v>
      </c>
      <c r="N86" s="451" t="str">
        <f t="shared" si="93"/>
        <v>-</v>
      </c>
      <c r="O86" s="672"/>
      <c r="P86" s="673"/>
      <c r="Q86" s="673"/>
      <c r="R86" s="673"/>
      <c r="S86" s="672"/>
      <c r="T86" s="673"/>
      <c r="U86" s="673"/>
      <c r="V86" s="674"/>
      <c r="W86" s="434"/>
      <c r="X86" s="434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401"/>
      <c r="AJ86" s="401"/>
      <c r="AK86" s="401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401" t="str">
        <f t="shared" si="11"/>
        <v>-</v>
      </c>
      <c r="BD86" s="429" t="str">
        <f>"IEF " &amp; B72</f>
        <v>IEF Drive Mode 2</v>
      </c>
      <c r="BE86" s="435">
        <f t="shared" ref="BE86:BL86" si="94">IF(OR($C74="CET",$C74="-",$C74=""),"-",$C74)</f>
        <v>1</v>
      </c>
      <c r="BF86" s="435">
        <f t="shared" si="94"/>
        <v>1</v>
      </c>
      <c r="BG86" s="435">
        <f t="shared" si="94"/>
        <v>1</v>
      </c>
      <c r="BH86" s="435">
        <f t="shared" si="94"/>
        <v>1</v>
      </c>
      <c r="BI86" s="435">
        <f t="shared" si="94"/>
        <v>1</v>
      </c>
      <c r="BJ86" s="435">
        <f t="shared" si="94"/>
        <v>1</v>
      </c>
      <c r="BK86" s="435">
        <f t="shared" si="94"/>
        <v>1</v>
      </c>
      <c r="BL86" s="435">
        <f t="shared" si="94"/>
        <v>1</v>
      </c>
    </row>
    <row r="87" spans="1:64" s="405" customFormat="1" ht="15" customHeight="1" outlineLevel="1" x14ac:dyDescent="0.25">
      <c r="A87" s="404"/>
      <c r="B87" s="710" t="s">
        <v>121</v>
      </c>
      <c r="C87" s="684" t="s">
        <v>114</v>
      </c>
      <c r="D87" s="684" t="s">
        <v>113</v>
      </c>
      <c r="E87" s="453" t="s">
        <v>94</v>
      </c>
      <c r="F87" s="437" t="s">
        <v>5</v>
      </c>
      <c r="G87" s="437" t="s">
        <v>5</v>
      </c>
      <c r="H87" s="437" t="s">
        <v>5</v>
      </c>
      <c r="I87" s="437" t="s">
        <v>5</v>
      </c>
      <c r="J87" s="437" t="s">
        <v>5</v>
      </c>
      <c r="K87" s="438" t="s">
        <v>5</v>
      </c>
      <c r="L87" s="438" t="s">
        <v>5</v>
      </c>
      <c r="M87" s="438" t="s">
        <v>5</v>
      </c>
      <c r="N87" s="437" t="s">
        <v>5</v>
      </c>
      <c r="O87" s="672"/>
      <c r="P87" s="673"/>
      <c r="Q87" s="673"/>
      <c r="R87" s="673"/>
      <c r="S87" s="672"/>
      <c r="T87" s="673"/>
      <c r="U87" s="673"/>
      <c r="V87" s="674"/>
      <c r="W87" s="434"/>
      <c r="X87" s="434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AI87" s="401"/>
      <c r="AJ87" s="401"/>
      <c r="AK87" s="401"/>
      <c r="AL87" s="401"/>
      <c r="AM87" s="401"/>
      <c r="AN87" s="401"/>
      <c r="AO87" s="401"/>
      <c r="AP87" s="401"/>
      <c r="AQ87" s="401"/>
      <c r="AR87" s="401"/>
      <c r="AS87" s="401"/>
      <c r="AT87" s="401"/>
      <c r="AU87" s="401"/>
      <c r="AV87" s="401"/>
      <c r="AW87" s="401"/>
      <c r="AX87" s="401"/>
      <c r="AY87" s="401"/>
      <c r="AZ87" s="401"/>
      <c r="BA87" s="401"/>
      <c r="BB87" s="401"/>
      <c r="BC87" s="401" t="str">
        <f t="shared" si="11"/>
        <v>-</v>
      </c>
      <c r="BD87" s="429" t="str">
        <f>"IEF " &amp; B77</f>
        <v>IEF Drive Mode 3</v>
      </c>
      <c r="BE87" s="435">
        <f t="shared" ref="BE87:BL87" si="95">IF(OR($C79="CET",$C79="-",$C79=""),"-",$C79)</f>
        <v>1</v>
      </c>
      <c r="BF87" s="435">
        <f t="shared" si="95"/>
        <v>1</v>
      </c>
      <c r="BG87" s="435">
        <f t="shared" si="95"/>
        <v>1</v>
      </c>
      <c r="BH87" s="435">
        <f t="shared" si="95"/>
        <v>1</v>
      </c>
      <c r="BI87" s="435">
        <f t="shared" si="95"/>
        <v>1</v>
      </c>
      <c r="BJ87" s="435">
        <f t="shared" si="95"/>
        <v>1</v>
      </c>
      <c r="BK87" s="435">
        <f t="shared" si="95"/>
        <v>1</v>
      </c>
      <c r="BL87" s="435">
        <f t="shared" si="95"/>
        <v>1</v>
      </c>
    </row>
    <row r="88" spans="1:64" s="405" customFormat="1" ht="15" customHeight="1" outlineLevel="1" thickBot="1" x14ac:dyDescent="0.3">
      <c r="A88" s="454"/>
      <c r="B88" s="711"/>
      <c r="C88" s="702"/>
      <c r="D88" s="685"/>
      <c r="E88" s="440" t="s">
        <v>95</v>
      </c>
      <c r="F88" s="441" t="s">
        <v>5</v>
      </c>
      <c r="G88" s="441" t="s">
        <v>5</v>
      </c>
      <c r="H88" s="441" t="s">
        <v>5</v>
      </c>
      <c r="I88" s="441" t="s">
        <v>5</v>
      </c>
      <c r="J88" s="441" t="s">
        <v>5</v>
      </c>
      <c r="K88" s="442" t="s">
        <v>5</v>
      </c>
      <c r="L88" s="442" t="s">
        <v>5</v>
      </c>
      <c r="M88" s="442" t="s">
        <v>5</v>
      </c>
      <c r="N88" s="441" t="s">
        <v>5</v>
      </c>
      <c r="O88" s="672"/>
      <c r="P88" s="673"/>
      <c r="Q88" s="673"/>
      <c r="R88" s="673"/>
      <c r="S88" s="672"/>
      <c r="T88" s="673"/>
      <c r="U88" s="673"/>
      <c r="V88" s="674"/>
      <c r="W88" s="443"/>
      <c r="X88" s="443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11"/>
        <v>-</v>
      </c>
      <c r="BD88" s="429" t="str">
        <f>"IEF " &amp; B82</f>
        <v>IEF Drive Mode 4</v>
      </c>
      <c r="BE88" s="435">
        <f t="shared" ref="BE88:BL88" si="96">IF(OR($C84="CET",$C84="-",$C84=""),"-",$C84)</f>
        <v>1</v>
      </c>
      <c r="BF88" s="435">
        <f t="shared" si="96"/>
        <v>1</v>
      </c>
      <c r="BG88" s="435">
        <f t="shared" si="96"/>
        <v>1</v>
      </c>
      <c r="BH88" s="435">
        <f t="shared" si="96"/>
        <v>1</v>
      </c>
      <c r="BI88" s="435">
        <f t="shared" si="96"/>
        <v>1</v>
      </c>
      <c r="BJ88" s="435">
        <f t="shared" si="96"/>
        <v>1</v>
      </c>
      <c r="BK88" s="435">
        <f t="shared" si="96"/>
        <v>1</v>
      </c>
      <c r="BL88" s="435">
        <f t="shared" si="96"/>
        <v>1</v>
      </c>
    </row>
    <row r="89" spans="1:64" s="405" customFormat="1" ht="15" customHeight="1" outlineLevel="1" thickBot="1" x14ac:dyDescent="0.3">
      <c r="A89" s="404"/>
      <c r="B89" s="711"/>
      <c r="C89" s="686">
        <v>1</v>
      </c>
      <c r="D89" s="689" t="str">
        <f>IF(AND(F90="-",G90="-",H90="-",I90="-",J90="-",K90="-",L90="-",M90="-"),"-",MAX(F90,G90,H90,I90,J90,K90,L90,M90))</f>
        <v>-</v>
      </c>
      <c r="E89" s="444" t="s">
        <v>96</v>
      </c>
      <c r="F89" s="445" t="str">
        <f t="shared" ref="F89:N89" si="97">IF(OR(F88="-",F88=""),IF(OR(F87="-",F87=""),"-",F87),IF(OR(F87="-",F87=""),F88,(F87+F88)/2))</f>
        <v>-</v>
      </c>
      <c r="G89" s="445" t="str">
        <f t="shared" si="97"/>
        <v>-</v>
      </c>
      <c r="H89" s="445" t="str">
        <f t="shared" si="97"/>
        <v>-</v>
      </c>
      <c r="I89" s="445" t="str">
        <f t="shared" si="97"/>
        <v>-</v>
      </c>
      <c r="J89" s="445" t="str">
        <f t="shared" si="97"/>
        <v>-</v>
      </c>
      <c r="K89" s="446" t="str">
        <f t="shared" si="97"/>
        <v>-</v>
      </c>
      <c r="L89" s="446" t="str">
        <f t="shared" si="97"/>
        <v>-</v>
      </c>
      <c r="M89" s="446" t="str">
        <f t="shared" si="97"/>
        <v>-</v>
      </c>
      <c r="N89" s="445" t="str">
        <f t="shared" si="97"/>
        <v>-</v>
      </c>
      <c r="O89" s="672"/>
      <c r="P89" s="673"/>
      <c r="Q89" s="673"/>
      <c r="R89" s="673"/>
      <c r="S89" s="672"/>
      <c r="T89" s="673"/>
      <c r="U89" s="673"/>
      <c r="V89" s="674"/>
      <c r="W89" s="434"/>
      <c r="X89" s="434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AI89" s="401"/>
      <c r="AJ89" s="401"/>
      <c r="AK89" s="401"/>
      <c r="AL89" s="401"/>
      <c r="AM89" s="401"/>
      <c r="AN89" s="401"/>
      <c r="AO89" s="401"/>
      <c r="AP89" s="401"/>
      <c r="AQ89" s="401"/>
      <c r="AR89" s="401"/>
      <c r="AS89" s="401"/>
      <c r="AT89" s="401"/>
      <c r="AU89" s="401"/>
      <c r="AV89" s="401"/>
      <c r="AW89" s="401"/>
      <c r="AX89" s="401"/>
      <c r="AY89" s="401"/>
      <c r="AZ89" s="401"/>
      <c r="BA89" s="401"/>
      <c r="BB89" s="401"/>
      <c r="BC89" s="401" t="str">
        <f t="shared" si="11"/>
        <v>-</v>
      </c>
      <c r="BD89" s="429" t="str">
        <f>"IEF " &amp; B87</f>
        <v>IEF Drive Mode 5</v>
      </c>
      <c r="BE89" s="435">
        <f t="shared" ref="BE89:BL89" si="98">IF(OR($C89="CET",$C89="-",$C89=""),"-",$C89)</f>
        <v>1</v>
      </c>
      <c r="BF89" s="435">
        <f t="shared" si="98"/>
        <v>1</v>
      </c>
      <c r="BG89" s="435">
        <f t="shared" si="98"/>
        <v>1</v>
      </c>
      <c r="BH89" s="435">
        <f t="shared" si="98"/>
        <v>1</v>
      </c>
      <c r="BI89" s="435">
        <f t="shared" si="98"/>
        <v>1</v>
      </c>
      <c r="BJ89" s="435">
        <f t="shared" si="98"/>
        <v>1</v>
      </c>
      <c r="BK89" s="435">
        <f t="shared" si="98"/>
        <v>1</v>
      </c>
      <c r="BL89" s="435">
        <f t="shared" si="98"/>
        <v>1</v>
      </c>
    </row>
    <row r="90" spans="1:64" s="405" customFormat="1" ht="15" customHeight="1" outlineLevel="1" thickBot="1" x14ac:dyDescent="0.3">
      <c r="A90" s="404"/>
      <c r="B90" s="711"/>
      <c r="C90" s="687"/>
      <c r="D90" s="690"/>
      <c r="E90" s="447" t="s">
        <v>97</v>
      </c>
      <c r="F90" s="448" t="str">
        <f t="shared" ref="F90:N90" si="99">IF(OR($C89="-",$C89="CET",$C89=""),"-",IF(AND(NOT(F89="-"),NOT(F$5="-"),NOT(F$5="")),F89/F$5,"-"))</f>
        <v>-</v>
      </c>
      <c r="G90" s="448" t="str">
        <f t="shared" si="99"/>
        <v>-</v>
      </c>
      <c r="H90" s="448" t="str">
        <f t="shared" si="99"/>
        <v>-</v>
      </c>
      <c r="I90" s="448" t="str">
        <f t="shared" si="99"/>
        <v>-</v>
      </c>
      <c r="J90" s="448" t="str">
        <f t="shared" si="99"/>
        <v>-</v>
      </c>
      <c r="K90" s="449" t="str">
        <f t="shared" si="99"/>
        <v>-</v>
      </c>
      <c r="L90" s="449" t="str">
        <f t="shared" si="99"/>
        <v>-</v>
      </c>
      <c r="M90" s="449" t="str">
        <f t="shared" si="99"/>
        <v>-</v>
      </c>
      <c r="N90" s="448" t="str">
        <f t="shared" si="99"/>
        <v>-</v>
      </c>
      <c r="O90" s="672"/>
      <c r="P90" s="673"/>
      <c r="Q90" s="673"/>
      <c r="R90" s="673"/>
      <c r="S90" s="672"/>
      <c r="T90" s="673"/>
      <c r="U90" s="673"/>
      <c r="V90" s="674"/>
      <c r="W90" s="434"/>
      <c r="X90" s="434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401"/>
      <c r="AJ90" s="401"/>
      <c r="AK90" s="401"/>
      <c r="AL90" s="401"/>
      <c r="AM90" s="401"/>
      <c r="AN90" s="401"/>
      <c r="AO90" s="401"/>
      <c r="AP90" s="401"/>
      <c r="AQ90" s="401"/>
      <c r="AR90" s="401"/>
      <c r="AS90" s="401"/>
      <c r="AT90" s="401"/>
      <c r="AU90" s="401"/>
      <c r="AV90" s="401"/>
      <c r="AW90" s="401"/>
      <c r="AX90" s="401"/>
      <c r="AY90" s="401"/>
      <c r="AZ90" s="401"/>
      <c r="BA90" s="401"/>
      <c r="BB90" s="401"/>
      <c r="BC90" s="401" t="str">
        <f t="shared" si="11"/>
        <v>-</v>
      </c>
      <c r="BD90" s="429" t="str">
        <f>"IEF " &amp; B92</f>
        <v>IEF Drive Mode 6</v>
      </c>
      <c r="BE90" s="435">
        <f t="shared" ref="BE90:BL90" si="100">IF(OR($C94="CET",$C94="-",$C94=""),"-",$C94)</f>
        <v>1</v>
      </c>
      <c r="BF90" s="435">
        <f t="shared" si="100"/>
        <v>1</v>
      </c>
      <c r="BG90" s="435">
        <f t="shared" si="100"/>
        <v>1</v>
      </c>
      <c r="BH90" s="435">
        <f t="shared" si="100"/>
        <v>1</v>
      </c>
      <c r="BI90" s="435">
        <f t="shared" si="100"/>
        <v>1</v>
      </c>
      <c r="BJ90" s="435">
        <f t="shared" si="100"/>
        <v>1</v>
      </c>
      <c r="BK90" s="435">
        <f t="shared" si="100"/>
        <v>1</v>
      </c>
      <c r="BL90" s="435">
        <f t="shared" si="100"/>
        <v>1</v>
      </c>
    </row>
    <row r="91" spans="1:64" s="405" customFormat="1" ht="15" customHeight="1" outlineLevel="1" thickBot="1" x14ac:dyDescent="0.3">
      <c r="A91" s="404"/>
      <c r="B91" s="712"/>
      <c r="C91" s="688"/>
      <c r="D91" s="691"/>
      <c r="E91" s="451" t="s">
        <v>30</v>
      </c>
      <c r="F91" s="451" t="str">
        <f t="shared" ref="F91:N91" si="101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451" t="str">
        <f t="shared" si="101"/>
        <v>-</v>
      </c>
      <c r="H91" s="451" t="str">
        <f t="shared" si="101"/>
        <v>-</v>
      </c>
      <c r="I91" s="451" t="str">
        <f t="shared" si="101"/>
        <v>-</v>
      </c>
      <c r="J91" s="451" t="str">
        <f t="shared" si="101"/>
        <v>-</v>
      </c>
      <c r="K91" s="452" t="str">
        <f t="shared" si="101"/>
        <v>-</v>
      </c>
      <c r="L91" s="452" t="str">
        <f t="shared" si="101"/>
        <v>-</v>
      </c>
      <c r="M91" s="452" t="str">
        <f t="shared" si="101"/>
        <v>-</v>
      </c>
      <c r="N91" s="451" t="str">
        <f t="shared" si="101"/>
        <v>-</v>
      </c>
      <c r="O91" s="672"/>
      <c r="P91" s="673"/>
      <c r="Q91" s="673"/>
      <c r="R91" s="673"/>
      <c r="S91" s="672"/>
      <c r="T91" s="673"/>
      <c r="U91" s="673"/>
      <c r="V91" s="674"/>
      <c r="W91" s="434"/>
      <c r="X91" s="434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401"/>
      <c r="AJ91" s="401"/>
      <c r="AK91" s="401"/>
      <c r="AL91" s="401"/>
      <c r="AM91" s="401"/>
      <c r="AN91" s="401"/>
      <c r="AO91" s="401"/>
      <c r="AP91" s="401"/>
      <c r="AQ91" s="401"/>
      <c r="AR91" s="401"/>
      <c r="AS91" s="401"/>
      <c r="AT91" s="401"/>
      <c r="AU91" s="401"/>
      <c r="AV91" s="401"/>
      <c r="AW91" s="401"/>
      <c r="AX91" s="401"/>
      <c r="AY91" s="401"/>
      <c r="AZ91" s="401"/>
      <c r="BA91" s="401"/>
      <c r="BB91" s="401"/>
      <c r="BC91" s="401" t="str">
        <f t="shared" si="11"/>
        <v>-</v>
      </c>
    </row>
    <row r="92" spans="1:64" s="405" customFormat="1" ht="15" customHeight="1" outlineLevel="1" x14ac:dyDescent="0.25">
      <c r="A92" s="404"/>
      <c r="B92" s="710" t="s">
        <v>120</v>
      </c>
      <c r="C92" s="713" t="s">
        <v>114</v>
      </c>
      <c r="D92" s="684" t="s">
        <v>113</v>
      </c>
      <c r="E92" s="453" t="s">
        <v>94</v>
      </c>
      <c r="F92" s="437" t="s">
        <v>5</v>
      </c>
      <c r="G92" s="437" t="s">
        <v>5</v>
      </c>
      <c r="H92" s="437" t="s">
        <v>5</v>
      </c>
      <c r="I92" s="437" t="s">
        <v>5</v>
      </c>
      <c r="J92" s="437" t="s">
        <v>5</v>
      </c>
      <c r="K92" s="438" t="s">
        <v>5</v>
      </c>
      <c r="L92" s="438" t="s">
        <v>5</v>
      </c>
      <c r="M92" s="438" t="s">
        <v>5</v>
      </c>
      <c r="N92" s="437" t="s">
        <v>5</v>
      </c>
      <c r="O92" s="672"/>
      <c r="P92" s="673"/>
      <c r="Q92" s="673"/>
      <c r="R92" s="673"/>
      <c r="S92" s="672"/>
      <c r="T92" s="673"/>
      <c r="U92" s="673"/>
      <c r="V92" s="674"/>
      <c r="W92" s="434"/>
      <c r="X92" s="434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AI92" s="401"/>
      <c r="AJ92" s="401"/>
      <c r="AK92" s="401"/>
      <c r="AL92" s="401"/>
      <c r="AM92" s="401"/>
      <c r="AN92" s="401"/>
      <c r="AO92" s="401"/>
      <c r="AP92" s="401"/>
      <c r="AQ92" s="401"/>
      <c r="AR92" s="401"/>
      <c r="AS92" s="401"/>
      <c r="AT92" s="401"/>
      <c r="AU92" s="401"/>
      <c r="AV92" s="401"/>
      <c r="AW92" s="401"/>
      <c r="AX92" s="401"/>
      <c r="AY92" s="401"/>
      <c r="AZ92" s="401"/>
      <c r="BA92" s="401"/>
      <c r="BB92" s="401"/>
      <c r="BC92" s="401" t="str">
        <f t="shared" si="11"/>
        <v>-</v>
      </c>
      <c r="BD92" s="459"/>
      <c r="BE92" s="459"/>
      <c r="BF92" s="459"/>
      <c r="BG92" s="459"/>
      <c r="BH92" s="459"/>
      <c r="BI92" s="459"/>
      <c r="BJ92" s="459"/>
      <c r="BK92" s="459"/>
      <c r="BL92" s="459"/>
    </row>
    <row r="93" spans="1:64" s="405" customFormat="1" ht="15" customHeight="1" outlineLevel="1" thickBot="1" x14ac:dyDescent="0.3">
      <c r="A93" s="454"/>
      <c r="B93" s="711"/>
      <c r="C93" s="714"/>
      <c r="D93" s="685"/>
      <c r="E93" s="440" t="s">
        <v>95</v>
      </c>
      <c r="F93" s="441" t="s">
        <v>5</v>
      </c>
      <c r="G93" s="441" t="s">
        <v>5</v>
      </c>
      <c r="H93" s="441" t="s">
        <v>5</v>
      </c>
      <c r="I93" s="441" t="s">
        <v>5</v>
      </c>
      <c r="J93" s="441" t="s">
        <v>5</v>
      </c>
      <c r="K93" s="442" t="s">
        <v>5</v>
      </c>
      <c r="L93" s="442" t="s">
        <v>5</v>
      </c>
      <c r="M93" s="442" t="s">
        <v>5</v>
      </c>
      <c r="N93" s="441" t="s">
        <v>5</v>
      </c>
      <c r="O93" s="672"/>
      <c r="P93" s="673"/>
      <c r="Q93" s="673"/>
      <c r="R93" s="673"/>
      <c r="S93" s="672"/>
      <c r="T93" s="673"/>
      <c r="U93" s="673"/>
      <c r="V93" s="674"/>
      <c r="W93" s="443"/>
      <c r="X93" s="443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11"/>
        <v>-</v>
      </c>
      <c r="BD93" s="459"/>
      <c r="BE93" s="459"/>
      <c r="BF93" s="459"/>
      <c r="BG93" s="459"/>
      <c r="BH93" s="459"/>
      <c r="BI93" s="459"/>
      <c r="BJ93" s="459"/>
      <c r="BK93" s="459"/>
      <c r="BL93" s="459"/>
    </row>
    <row r="94" spans="1:64" s="405" customFormat="1" ht="15" customHeight="1" outlineLevel="1" thickBot="1" x14ac:dyDescent="0.3">
      <c r="A94" s="404"/>
      <c r="B94" s="711"/>
      <c r="C94" s="715">
        <v>1</v>
      </c>
      <c r="D94" s="689" t="str">
        <f>IF(AND(F95="-",G95="-",H95="-",I95="-",J95="-",K95="-",L95="-",M95="-"),"-",MAX(F95,G95,H95,I95,J95,K95,L95,M95))</f>
        <v>-</v>
      </c>
      <c r="E94" s="444" t="s">
        <v>96</v>
      </c>
      <c r="F94" s="445" t="str">
        <f t="shared" ref="F94:N94" si="102">IF(OR(F93="-",F93=""),IF(OR(F92="-",F92=""),"-",F92),IF(OR(F92="-",F92=""),F93,(F92+F93)/2))</f>
        <v>-</v>
      </c>
      <c r="G94" s="445" t="str">
        <f t="shared" si="102"/>
        <v>-</v>
      </c>
      <c r="H94" s="445" t="str">
        <f t="shared" si="102"/>
        <v>-</v>
      </c>
      <c r="I94" s="445" t="str">
        <f t="shared" si="102"/>
        <v>-</v>
      </c>
      <c r="J94" s="445" t="str">
        <f t="shared" si="102"/>
        <v>-</v>
      </c>
      <c r="K94" s="446" t="str">
        <f t="shared" si="102"/>
        <v>-</v>
      </c>
      <c r="L94" s="446" t="str">
        <f t="shared" si="102"/>
        <v>-</v>
      </c>
      <c r="M94" s="446" t="str">
        <f t="shared" si="102"/>
        <v>-</v>
      </c>
      <c r="N94" s="445" t="str">
        <f t="shared" si="102"/>
        <v>-</v>
      </c>
      <c r="O94" s="672"/>
      <c r="P94" s="673"/>
      <c r="Q94" s="673"/>
      <c r="R94" s="673"/>
      <c r="S94" s="672"/>
      <c r="T94" s="673"/>
      <c r="U94" s="673"/>
      <c r="V94" s="674"/>
      <c r="W94" s="434"/>
      <c r="X94" s="434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AI94" s="401"/>
      <c r="AJ94" s="401"/>
      <c r="AK94" s="401"/>
      <c r="AL94" s="401"/>
      <c r="AM94" s="401"/>
      <c r="AN94" s="401"/>
      <c r="AO94" s="401"/>
      <c r="AP94" s="401"/>
      <c r="AQ94" s="401"/>
      <c r="AR94" s="401"/>
      <c r="AS94" s="401"/>
      <c r="AT94" s="401"/>
      <c r="AU94" s="401"/>
      <c r="AV94" s="401"/>
      <c r="AW94" s="401"/>
      <c r="AX94" s="401"/>
      <c r="AY94" s="401"/>
      <c r="AZ94" s="401"/>
      <c r="BA94" s="401"/>
      <c r="BB94" s="401"/>
      <c r="BC94" s="401" t="str">
        <f t="shared" si="11"/>
        <v>-</v>
      </c>
      <c r="BD94" s="460"/>
      <c r="BE94" s="460"/>
      <c r="BF94" s="460"/>
      <c r="BG94" s="460"/>
      <c r="BH94" s="460"/>
      <c r="BI94" s="460"/>
      <c r="BJ94" s="460"/>
      <c r="BK94" s="460"/>
      <c r="BL94" s="460"/>
    </row>
    <row r="95" spans="1:64" s="405" customFormat="1" ht="15" customHeight="1" outlineLevel="1" thickBot="1" x14ac:dyDescent="0.3">
      <c r="A95" s="404"/>
      <c r="B95" s="711"/>
      <c r="C95" s="716"/>
      <c r="D95" s="690"/>
      <c r="E95" s="447" t="s">
        <v>97</v>
      </c>
      <c r="F95" s="448" t="str">
        <f t="shared" ref="F95:N95" si="103">IF(OR($C94="-",$C94="CET",$C94=""),"-",IF(AND(NOT(F94="-"),NOT(F$5="-"),NOT(F$5="")),F94/F$5,"-"))</f>
        <v>-</v>
      </c>
      <c r="G95" s="448" t="str">
        <f t="shared" si="103"/>
        <v>-</v>
      </c>
      <c r="H95" s="448" t="str">
        <f t="shared" si="103"/>
        <v>-</v>
      </c>
      <c r="I95" s="448" t="str">
        <f t="shared" si="103"/>
        <v>-</v>
      </c>
      <c r="J95" s="448" t="str">
        <f t="shared" si="103"/>
        <v>-</v>
      </c>
      <c r="K95" s="449" t="str">
        <f t="shared" si="103"/>
        <v>-</v>
      </c>
      <c r="L95" s="449" t="str">
        <f t="shared" si="103"/>
        <v>-</v>
      </c>
      <c r="M95" s="449" t="str">
        <f t="shared" si="103"/>
        <v>-</v>
      </c>
      <c r="N95" s="448" t="str">
        <f t="shared" si="103"/>
        <v>-</v>
      </c>
      <c r="O95" s="672"/>
      <c r="P95" s="673"/>
      <c r="Q95" s="673"/>
      <c r="R95" s="673"/>
      <c r="S95" s="672"/>
      <c r="T95" s="673"/>
      <c r="U95" s="673"/>
      <c r="V95" s="674"/>
      <c r="W95" s="434"/>
      <c r="X95" s="434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AI95" s="401"/>
      <c r="AJ95" s="401"/>
      <c r="AK95" s="401"/>
      <c r="AL95" s="401"/>
      <c r="AM95" s="401"/>
      <c r="AN95" s="401"/>
      <c r="AO95" s="401"/>
      <c r="AP95" s="401"/>
      <c r="AQ95" s="401"/>
      <c r="AR95" s="401"/>
      <c r="AS95" s="401"/>
      <c r="AT95" s="401"/>
      <c r="AU95" s="401"/>
      <c r="AV95" s="401"/>
      <c r="AW95" s="401"/>
      <c r="AX95" s="401"/>
      <c r="AY95" s="401"/>
      <c r="AZ95" s="401"/>
      <c r="BA95" s="401"/>
      <c r="BB95" s="401"/>
      <c r="BC95" s="401" t="str">
        <f t="shared" si="11"/>
        <v>-</v>
      </c>
      <c r="BD95" s="460"/>
      <c r="BE95" s="460"/>
      <c r="BF95" s="460"/>
      <c r="BG95" s="460"/>
      <c r="BH95" s="460"/>
      <c r="BI95" s="460"/>
      <c r="BJ95" s="460"/>
      <c r="BK95" s="460"/>
      <c r="BL95" s="460"/>
    </row>
    <row r="96" spans="1:64" s="405" customFormat="1" ht="15.75" outlineLevel="1" thickBot="1" x14ac:dyDescent="0.3">
      <c r="A96" s="401"/>
      <c r="B96" s="712"/>
      <c r="C96" s="717"/>
      <c r="D96" s="691"/>
      <c r="E96" s="451" t="s">
        <v>30</v>
      </c>
      <c r="F96" s="451" t="str">
        <f t="shared" ref="F96:N96" si="104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451" t="str">
        <f t="shared" si="104"/>
        <v>-</v>
      </c>
      <c r="H96" s="451" t="str">
        <f t="shared" si="104"/>
        <v>-</v>
      </c>
      <c r="I96" s="451" t="str">
        <f t="shared" si="104"/>
        <v>-</v>
      </c>
      <c r="J96" s="451" t="str">
        <f t="shared" si="104"/>
        <v>-</v>
      </c>
      <c r="K96" s="452" t="str">
        <f t="shared" si="104"/>
        <v>-</v>
      </c>
      <c r="L96" s="452" t="str">
        <f t="shared" si="104"/>
        <v>-</v>
      </c>
      <c r="M96" s="452" t="str">
        <f t="shared" si="104"/>
        <v>-</v>
      </c>
      <c r="N96" s="451" t="str">
        <f t="shared" si="104"/>
        <v>-</v>
      </c>
      <c r="O96" s="675"/>
      <c r="P96" s="676"/>
      <c r="Q96" s="676"/>
      <c r="R96" s="676"/>
      <c r="S96" s="675"/>
      <c r="T96" s="676"/>
      <c r="U96" s="676"/>
      <c r="V96" s="677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  <c r="AI96" s="401"/>
      <c r="AJ96" s="401"/>
      <c r="AK96" s="401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 t="str">
        <f t="shared" si="11"/>
        <v>-</v>
      </c>
      <c r="BD96" s="460"/>
      <c r="BE96" s="460"/>
      <c r="BF96" s="460"/>
      <c r="BG96" s="460"/>
      <c r="BH96" s="460"/>
      <c r="BI96" s="460"/>
      <c r="BJ96" s="460"/>
      <c r="BK96" s="460"/>
      <c r="BL96" s="460"/>
    </row>
    <row r="97" spans="1:64" s="405" customFormat="1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AI97" s="401"/>
      <c r="AJ97" s="401"/>
      <c r="AK97" s="401"/>
      <c r="AL97" s="401"/>
      <c r="AM97" s="401"/>
      <c r="AN97" s="401"/>
      <c r="AO97" s="401"/>
      <c r="AP97" s="401"/>
      <c r="AQ97" s="401"/>
      <c r="AR97" s="401"/>
      <c r="AS97" s="401"/>
      <c r="AT97" s="401"/>
      <c r="AU97" s="401"/>
      <c r="AV97" s="401"/>
      <c r="AW97" s="401"/>
      <c r="AX97" s="401"/>
      <c r="AY97" s="401"/>
      <c r="AZ97" s="401"/>
      <c r="BA97" s="401"/>
      <c r="BB97" s="401"/>
      <c r="BC97" s="401" t="str">
        <f t="shared" ref="BC97:BC145" si="105">IF(COUNTIF(F97:M97,"refused")&gt;0,"refused",IF(COUNTIF(F97:M97,"failed")&gt;0,"failed",IF(COUNTIF(F97:M97,"passed")&gt;0,"passed","-")))</f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s="405" customFormat="1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AI98" s="401"/>
      <c r="AJ98" s="401"/>
      <c r="AK98" s="401"/>
      <c r="AL98" s="401"/>
      <c r="AM98" s="401"/>
      <c r="AN98" s="401"/>
      <c r="AO98" s="401"/>
      <c r="AP98" s="401"/>
      <c r="AQ98" s="401"/>
      <c r="AR98" s="401"/>
      <c r="AS98" s="401"/>
      <c r="AT98" s="401"/>
      <c r="AU98" s="401"/>
      <c r="AV98" s="401"/>
      <c r="AW98" s="401"/>
      <c r="AX98" s="401"/>
      <c r="AY98" s="401"/>
      <c r="AZ98" s="401"/>
      <c r="BA98" s="401"/>
      <c r="BB98" s="401"/>
      <c r="BC98" s="401" t="str">
        <f t="shared" si="105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s="405" customFormat="1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AI99" s="401"/>
      <c r="AJ99" s="401"/>
      <c r="AK99" s="401"/>
      <c r="AL99" s="401"/>
      <c r="AM99" s="401"/>
      <c r="AN99" s="401"/>
      <c r="AO99" s="401"/>
      <c r="AP99" s="401"/>
      <c r="AQ99" s="401"/>
      <c r="AR99" s="401"/>
      <c r="AS99" s="401"/>
      <c r="AT99" s="401"/>
      <c r="AU99" s="401"/>
      <c r="AV99" s="401"/>
      <c r="AW99" s="401"/>
      <c r="AX99" s="401"/>
      <c r="AY99" s="401"/>
      <c r="AZ99" s="401"/>
      <c r="BA99" s="401"/>
      <c r="BB99" s="401"/>
      <c r="BC99" s="401" t="str">
        <f t="shared" si="105"/>
        <v>-</v>
      </c>
    </row>
    <row r="100" spans="1:64" s="405" customFormat="1" ht="24.95" customHeight="1" thickBot="1" x14ac:dyDescent="0.3">
      <c r="A100" s="396"/>
      <c r="B100" s="415">
        <v>4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427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AI100" s="401"/>
      <c r="AJ100" s="401"/>
      <c r="AK100" s="401"/>
      <c r="AL100" s="401"/>
      <c r="AM100" s="401"/>
      <c r="AN100" s="401"/>
      <c r="AO100" s="401"/>
      <c r="AP100" s="401"/>
      <c r="AQ100" s="401"/>
      <c r="AR100" s="401"/>
      <c r="AS100" s="401"/>
      <c r="AT100" s="401"/>
      <c r="AU100" s="401"/>
      <c r="AV100" s="401"/>
      <c r="AW100" s="401"/>
      <c r="AX100" s="401"/>
      <c r="AY100" s="401"/>
      <c r="AZ100" s="401"/>
      <c r="BA100" s="401"/>
      <c r="BB100" s="401"/>
      <c r="BC100" s="401" t="str">
        <f t="shared" si="105"/>
        <v>-</v>
      </c>
    </row>
    <row r="101" spans="1:64" s="405" customFormat="1" ht="15" customHeight="1" outlineLevel="1" thickBot="1" x14ac:dyDescent="0.3">
      <c r="A101" s="396"/>
      <c r="B101" s="456"/>
      <c r="C101" s="457"/>
      <c r="D101" s="457"/>
      <c r="E101" s="457"/>
      <c r="F101" s="457"/>
      <c r="G101" s="457"/>
      <c r="H101" s="457"/>
      <c r="I101" s="457"/>
      <c r="J101" s="457"/>
      <c r="K101" s="421"/>
      <c r="L101" s="421"/>
      <c r="M101" s="421"/>
      <c r="N101" s="457"/>
      <c r="O101" s="457"/>
      <c r="P101" s="457"/>
      <c r="Q101" s="457"/>
      <c r="R101" s="457"/>
      <c r="S101" s="457"/>
      <c r="T101" s="422"/>
      <c r="U101" s="422"/>
      <c r="V101" s="423"/>
      <c r="W101" s="434"/>
      <c r="X101" s="434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AI101" s="401"/>
      <c r="AJ101" s="401"/>
      <c r="AK101" s="401"/>
      <c r="AL101" s="401"/>
      <c r="AM101" s="401"/>
      <c r="AN101" s="401"/>
      <c r="AO101" s="401"/>
      <c r="AP101" s="401"/>
      <c r="AQ101" s="401"/>
      <c r="AR101" s="401"/>
      <c r="AS101" s="401"/>
      <c r="AT101" s="401"/>
      <c r="AU101" s="401"/>
      <c r="AV101" s="401"/>
      <c r="AW101" s="401"/>
      <c r="AX101" s="401"/>
      <c r="AY101" s="401"/>
      <c r="AZ101" s="401"/>
      <c r="BA101" s="401"/>
      <c r="BB101" s="401"/>
      <c r="BC101" s="401" t="str">
        <f t="shared" si="105"/>
        <v>-</v>
      </c>
    </row>
    <row r="102" spans="1:64" s="405" customFormat="1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434"/>
      <c r="X102" s="434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401"/>
      <c r="AJ102" s="401"/>
      <c r="AK102" s="401"/>
      <c r="AL102" s="401"/>
      <c r="AM102" s="401"/>
      <c r="AN102" s="401"/>
      <c r="AO102" s="401"/>
      <c r="AP102" s="401"/>
      <c r="AQ102" s="401"/>
      <c r="AR102" s="401"/>
      <c r="AS102" s="401"/>
      <c r="AT102" s="401"/>
      <c r="AU102" s="401"/>
      <c r="AV102" s="401"/>
      <c r="AW102" s="401"/>
      <c r="AX102" s="401"/>
      <c r="AY102" s="401"/>
      <c r="AZ102" s="401"/>
      <c r="BA102" s="401"/>
      <c r="BB102" s="401"/>
      <c r="BC102" s="401" t="str">
        <f t="shared" si="105"/>
        <v>-</v>
      </c>
    </row>
    <row r="103" spans="1:64" s="405" customFormat="1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106">G$4</f>
        <v>THC
[g/km]</v>
      </c>
      <c r="H103" s="425" t="str">
        <f t="shared" si="106"/>
        <v>CO
[g/km]</v>
      </c>
      <c r="I103" s="425" t="str">
        <f t="shared" si="106"/>
        <v>NOx
[g/km]</v>
      </c>
      <c r="J103" s="425" t="str">
        <f t="shared" si="106"/>
        <v>PM
[mg/km]</v>
      </c>
      <c r="K103" s="425" t="str">
        <f t="shared" si="106"/>
        <v>PN
[#/km]</v>
      </c>
      <c r="L103" s="426" t="str">
        <f t="shared" si="106"/>
        <v>Additional
component</v>
      </c>
      <c r="M103" s="426" t="str">
        <f t="shared" si="106"/>
        <v>Additional
component 2</v>
      </c>
      <c r="N103" s="425" t="str">
        <f t="shared" si="10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434"/>
      <c r="X103" s="434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401"/>
      <c r="AJ103" s="401"/>
      <c r="AK103" s="401"/>
      <c r="AL103" s="401"/>
      <c r="AM103" s="401"/>
      <c r="AN103" s="401"/>
      <c r="AO103" s="401"/>
      <c r="AP103" s="401"/>
      <c r="AQ103" s="401"/>
      <c r="AR103" s="401"/>
      <c r="AS103" s="401"/>
      <c r="AT103" s="401"/>
      <c r="AU103" s="401"/>
      <c r="AV103" s="401"/>
      <c r="AW103" s="401"/>
      <c r="AX103" s="401"/>
      <c r="AY103" s="401"/>
      <c r="AZ103" s="401"/>
      <c r="BA103" s="401"/>
      <c r="BB103" s="401"/>
      <c r="BC103" s="401" t="str">
        <f t="shared" si="105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105"/>
        <v>-</v>
      </c>
    </row>
    <row r="105" spans="1:64" s="405" customFormat="1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434"/>
      <c r="X105" s="434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AI105" s="401"/>
      <c r="AJ105" s="401"/>
      <c r="AK105" s="401"/>
      <c r="AL105" s="401"/>
      <c r="AM105" s="401"/>
      <c r="AN105" s="401"/>
      <c r="AO105" s="401"/>
      <c r="AP105" s="401"/>
      <c r="AQ105" s="401"/>
      <c r="AR105" s="401"/>
      <c r="AS105" s="401"/>
      <c r="AT105" s="401"/>
      <c r="AU105" s="401"/>
      <c r="AV105" s="401"/>
      <c r="AW105" s="401"/>
      <c r="AX105" s="401"/>
      <c r="AY105" s="401"/>
      <c r="AZ105" s="401"/>
      <c r="BA105" s="401"/>
      <c r="BB105" s="401"/>
      <c r="BC105" s="401" t="str">
        <f t="shared" si="105"/>
        <v>-</v>
      </c>
    </row>
    <row r="106" spans="1:64" s="405" customFormat="1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107">IF(OR(F105="-",F105=""),IF(OR(F104="-",F104=""),"-",F104),IF(OR(F104="-",F104=""),F105,(F104+F105)/2))</f>
        <v>-</v>
      </c>
      <c r="G106" s="445" t="str">
        <f t="shared" si="107"/>
        <v>-</v>
      </c>
      <c r="H106" s="445" t="str">
        <f t="shared" si="107"/>
        <v>-</v>
      </c>
      <c r="I106" s="445" t="str">
        <f t="shared" si="107"/>
        <v>-</v>
      </c>
      <c r="J106" s="445" t="str">
        <f t="shared" si="107"/>
        <v>-</v>
      </c>
      <c r="K106" s="446" t="str">
        <f t="shared" si="107"/>
        <v>-</v>
      </c>
      <c r="L106" s="446" t="str">
        <f t="shared" si="107"/>
        <v>-</v>
      </c>
      <c r="M106" s="446" t="str">
        <f t="shared" si="107"/>
        <v>-</v>
      </c>
      <c r="N106" s="445" t="str">
        <f t="shared" si="107"/>
        <v>-</v>
      </c>
      <c r="O106" s="672"/>
      <c r="P106" s="673"/>
      <c r="Q106" s="673"/>
      <c r="R106" s="674"/>
      <c r="S106" s="672"/>
      <c r="T106" s="673"/>
      <c r="U106" s="673"/>
      <c r="V106" s="674"/>
      <c r="W106" s="434"/>
      <c r="X106" s="434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AI106" s="401"/>
      <c r="AJ106" s="401"/>
      <c r="AK106" s="401"/>
      <c r="AL106" s="401"/>
      <c r="AM106" s="401"/>
      <c r="AN106" s="401"/>
      <c r="AO106" s="401"/>
      <c r="AP106" s="401"/>
      <c r="AQ106" s="401"/>
      <c r="AR106" s="401"/>
      <c r="AS106" s="401"/>
      <c r="AT106" s="401"/>
      <c r="AU106" s="401"/>
      <c r="AV106" s="401"/>
      <c r="AW106" s="401"/>
      <c r="AX106" s="401"/>
      <c r="AY106" s="401"/>
      <c r="AZ106" s="401"/>
      <c r="BA106" s="401"/>
      <c r="BB106" s="401"/>
      <c r="BC106" s="401" t="str">
        <f t="shared" si="105"/>
        <v>-</v>
      </c>
    </row>
    <row r="107" spans="1:64" s="405" customFormat="1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108">IF(OR($C106="-",$C106="CET",$C106=""),"-",IF(AND(NOT(F106="-"),NOT(F$5="-"),NOT(F$5="")),F106/F$5,"-"))</f>
        <v>-</v>
      </c>
      <c r="G107" s="448" t="str">
        <f t="shared" si="108"/>
        <v>-</v>
      </c>
      <c r="H107" s="448" t="str">
        <f t="shared" si="108"/>
        <v>-</v>
      </c>
      <c r="I107" s="448" t="str">
        <f t="shared" si="108"/>
        <v>-</v>
      </c>
      <c r="J107" s="448" t="str">
        <f t="shared" si="108"/>
        <v>-</v>
      </c>
      <c r="K107" s="449" t="str">
        <f t="shared" si="108"/>
        <v>-</v>
      </c>
      <c r="L107" s="449" t="str">
        <f t="shared" si="108"/>
        <v>-</v>
      </c>
      <c r="M107" s="449" t="str">
        <f t="shared" si="108"/>
        <v>-</v>
      </c>
      <c r="N107" s="448" t="str">
        <f t="shared" si="108"/>
        <v>-</v>
      </c>
      <c r="O107" s="672"/>
      <c r="P107" s="673"/>
      <c r="Q107" s="673"/>
      <c r="R107" s="674"/>
      <c r="S107" s="672"/>
      <c r="T107" s="673"/>
      <c r="U107" s="673"/>
      <c r="V107" s="674"/>
      <c r="W107" s="434"/>
      <c r="X107" s="434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AI107" s="401"/>
      <c r="AJ107" s="401"/>
      <c r="AK107" s="401"/>
      <c r="AL107" s="401"/>
      <c r="AM107" s="401"/>
      <c r="AN107" s="401"/>
      <c r="AO107" s="401"/>
      <c r="AP107" s="401"/>
      <c r="AQ107" s="401"/>
      <c r="AR107" s="401"/>
      <c r="AS107" s="401"/>
      <c r="AT107" s="401"/>
      <c r="AU107" s="401"/>
      <c r="AV107" s="401"/>
      <c r="AW107" s="401"/>
      <c r="AX107" s="401"/>
      <c r="AY107" s="401"/>
      <c r="AZ107" s="401"/>
      <c r="BA107" s="401"/>
      <c r="BB107" s="401"/>
      <c r="BC107" s="401" t="str">
        <f t="shared" si="105"/>
        <v>-</v>
      </c>
      <c r="BD107" s="429" t="s">
        <v>85</v>
      </c>
      <c r="BE107" s="430" t="str">
        <f>F$4</f>
        <v>NMHC 
[g/km]</v>
      </c>
      <c r="BF107" s="430" t="str">
        <f t="shared" ref="BF107:BL107" si="109">G$4</f>
        <v>THC
[g/km]</v>
      </c>
      <c r="BG107" s="430" t="str">
        <f t="shared" si="109"/>
        <v>CO
[g/km]</v>
      </c>
      <c r="BH107" s="430" t="str">
        <f t="shared" si="109"/>
        <v>NOx
[g/km]</v>
      </c>
      <c r="BI107" s="430" t="str">
        <f t="shared" si="109"/>
        <v>PM
[mg/km]</v>
      </c>
      <c r="BJ107" s="430" t="str">
        <f t="shared" si="109"/>
        <v>PN
[#/km]</v>
      </c>
      <c r="BK107" s="430" t="str">
        <f t="shared" si="109"/>
        <v>Additional
component</v>
      </c>
      <c r="BL107" s="430" t="str">
        <f t="shared" si="109"/>
        <v>Additional
component 2</v>
      </c>
    </row>
    <row r="108" spans="1:64" s="405" customFormat="1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11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110"/>
        <v>-</v>
      </c>
      <c r="H108" s="451" t="str">
        <f t="shared" si="110"/>
        <v>-</v>
      </c>
      <c r="I108" s="451" t="str">
        <f t="shared" si="110"/>
        <v>-</v>
      </c>
      <c r="J108" s="451" t="str">
        <f t="shared" si="110"/>
        <v>-</v>
      </c>
      <c r="K108" s="452" t="str">
        <f t="shared" si="110"/>
        <v>-</v>
      </c>
      <c r="L108" s="452" t="str">
        <f t="shared" si="110"/>
        <v>-</v>
      </c>
      <c r="M108" s="452" t="str">
        <f t="shared" si="110"/>
        <v>-</v>
      </c>
      <c r="N108" s="451" t="str">
        <f t="shared" si="110"/>
        <v>-</v>
      </c>
      <c r="O108" s="672"/>
      <c r="P108" s="673"/>
      <c r="Q108" s="673"/>
      <c r="R108" s="674"/>
      <c r="S108" s="672"/>
      <c r="T108" s="673"/>
      <c r="U108" s="673"/>
      <c r="V108" s="674"/>
      <c r="W108" s="434"/>
      <c r="X108" s="434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401"/>
      <c r="AJ108" s="401"/>
      <c r="AK108" s="401"/>
      <c r="AL108" s="401"/>
      <c r="AM108" s="401"/>
      <c r="AN108" s="401"/>
      <c r="AO108" s="401"/>
      <c r="AP108" s="401"/>
      <c r="AQ108" s="401"/>
      <c r="AR108" s="401"/>
      <c r="AS108" s="401"/>
      <c r="AT108" s="401"/>
      <c r="AU108" s="401"/>
      <c r="AV108" s="401"/>
      <c r="AW108" s="401"/>
      <c r="AX108" s="401"/>
      <c r="AY108" s="401"/>
      <c r="AZ108" s="401"/>
      <c r="BA108" s="401"/>
      <c r="BB108" s="401"/>
      <c r="BC108" s="401" t="str">
        <f t="shared" si="105"/>
        <v>-</v>
      </c>
      <c r="BD108" s="429" t="str">
        <f>$E$4</f>
        <v>Other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s="405" customFormat="1" ht="15" customHeight="1" outlineLevel="1" x14ac:dyDescent="0.25">
      <c r="A109" s="396"/>
      <c r="B109" s="721"/>
      <c r="C109" s="668"/>
      <c r="D109" s="411"/>
      <c r="E109" s="411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434"/>
      <c r="X109" s="434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401"/>
      <c r="AJ109" s="401"/>
      <c r="AK109" s="401"/>
      <c r="AL109" s="401"/>
      <c r="AM109" s="401"/>
      <c r="AN109" s="401"/>
      <c r="AO109" s="401"/>
      <c r="AP109" s="401"/>
      <c r="AQ109" s="401"/>
      <c r="AR109" s="401"/>
      <c r="AS109" s="401"/>
      <c r="AT109" s="401"/>
      <c r="AU109" s="401"/>
      <c r="AV109" s="401"/>
      <c r="AW109" s="401"/>
      <c r="AX109" s="401"/>
      <c r="AY109" s="401"/>
      <c r="AZ109" s="401"/>
      <c r="BA109" s="401"/>
      <c r="BB109" s="401"/>
      <c r="BC109" s="401" t="str">
        <f t="shared" si="105"/>
        <v>-</v>
      </c>
      <c r="BD109" s="429" t="str">
        <f>"1st " &amp;  B104</f>
        <v>1st s.s.e.t.</v>
      </c>
      <c r="BE109" s="435" t="str">
        <f t="shared" ref="BE109:BL109" si="111">IF((OR($C106="-",$C106="CET",$C106="")),"-",IF(AND(OR(F104="-",F104=""),OR(F105="-",F105="")),"-",IF(NOT(OR(F104="-",F104="")),F104/F$5,F105/F$5)))</f>
        <v>-</v>
      </c>
      <c r="BF109" s="435" t="str">
        <f t="shared" si="111"/>
        <v>-</v>
      </c>
      <c r="BG109" s="435" t="str">
        <f t="shared" si="111"/>
        <v>-</v>
      </c>
      <c r="BH109" s="435" t="str">
        <f t="shared" si="111"/>
        <v>-</v>
      </c>
      <c r="BI109" s="435" t="str">
        <f t="shared" si="111"/>
        <v>-</v>
      </c>
      <c r="BJ109" s="435" t="str">
        <f t="shared" si="111"/>
        <v>-</v>
      </c>
      <c r="BK109" s="435" t="str">
        <f t="shared" si="111"/>
        <v>-</v>
      </c>
      <c r="BL109" s="435" t="str">
        <f t="shared" si="111"/>
        <v>-</v>
      </c>
    </row>
    <row r="110" spans="1:64" s="405" customFormat="1" ht="15" customHeight="1" outlineLevel="1" x14ac:dyDescent="0.25">
      <c r="A110" s="396"/>
      <c r="B110" s="721"/>
      <c r="C110" s="668"/>
      <c r="D110" s="411"/>
      <c r="E110" s="411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434"/>
      <c r="X110" s="434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AI110" s="401"/>
      <c r="AJ110" s="401"/>
      <c r="AK110" s="401"/>
      <c r="AL110" s="401"/>
      <c r="AM110" s="401"/>
      <c r="AN110" s="401"/>
      <c r="AO110" s="401"/>
      <c r="AP110" s="401"/>
      <c r="AQ110" s="401"/>
      <c r="AR110" s="401"/>
      <c r="AS110" s="401"/>
      <c r="AT110" s="401"/>
      <c r="AU110" s="401"/>
      <c r="AV110" s="401"/>
      <c r="AW110" s="401"/>
      <c r="AX110" s="401"/>
      <c r="AY110" s="401"/>
      <c r="AZ110" s="401"/>
      <c r="BA110" s="401"/>
      <c r="BB110" s="401"/>
      <c r="BC110" s="401" t="str">
        <f t="shared" si="105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s="405" customFormat="1" ht="15" customHeight="1" outlineLevel="1" x14ac:dyDescent="0.25">
      <c r="A111" s="396"/>
      <c r="B111" s="721"/>
      <c r="C111" s="668"/>
      <c r="D111" s="411"/>
      <c r="E111" s="411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434"/>
      <c r="X111" s="434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AI111" s="401"/>
      <c r="AJ111" s="401"/>
      <c r="AK111" s="401"/>
      <c r="AL111" s="401"/>
      <c r="AM111" s="401"/>
      <c r="AN111" s="401"/>
      <c r="AO111" s="401"/>
      <c r="AP111" s="401"/>
      <c r="AQ111" s="401"/>
      <c r="AR111" s="401"/>
      <c r="AS111" s="401"/>
      <c r="AT111" s="401"/>
      <c r="AU111" s="401"/>
      <c r="AV111" s="401"/>
      <c r="AW111" s="401"/>
      <c r="AX111" s="401"/>
      <c r="AY111" s="401"/>
      <c r="AZ111" s="401"/>
      <c r="BA111" s="401"/>
      <c r="BB111" s="401"/>
      <c r="BC111" s="401" t="str">
        <f t="shared" si="105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s="405" customFormat="1" ht="15" customHeight="1" outlineLevel="1" x14ac:dyDescent="0.25">
      <c r="A112" s="404"/>
      <c r="B112" s="721"/>
      <c r="C112" s="668"/>
      <c r="D112" s="411"/>
      <c r="E112" s="411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434"/>
      <c r="X112" s="434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AI112" s="401"/>
      <c r="AJ112" s="401"/>
      <c r="AK112" s="401"/>
      <c r="AL112" s="401"/>
      <c r="AM112" s="401"/>
      <c r="AN112" s="401"/>
      <c r="AO112" s="401"/>
      <c r="AP112" s="401"/>
      <c r="AQ112" s="401"/>
      <c r="AR112" s="401"/>
      <c r="AS112" s="401"/>
      <c r="AT112" s="401"/>
      <c r="AU112" s="401"/>
      <c r="AV112" s="401"/>
      <c r="AW112" s="401"/>
      <c r="AX112" s="401"/>
      <c r="AY112" s="401"/>
      <c r="AZ112" s="401"/>
      <c r="BA112" s="401"/>
      <c r="BB112" s="401"/>
      <c r="BC112" s="401" t="str">
        <f t="shared" si="105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s="405" customFormat="1" ht="15" customHeight="1" outlineLevel="1" x14ac:dyDescent="0.25">
      <c r="A113" s="404"/>
      <c r="B113" s="721"/>
      <c r="C113" s="668"/>
      <c r="D113" s="411"/>
      <c r="E113" s="411"/>
      <c r="F113" s="411"/>
      <c r="G113" s="411"/>
      <c r="H113" s="411"/>
      <c r="I113" s="411"/>
      <c r="J113" s="411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434"/>
      <c r="X113" s="434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AI113" s="401"/>
      <c r="AJ113" s="401"/>
      <c r="AK113" s="401"/>
      <c r="AL113" s="401"/>
      <c r="AM113" s="401"/>
      <c r="AN113" s="401"/>
      <c r="AO113" s="401"/>
      <c r="AP113" s="401"/>
      <c r="AQ113" s="401"/>
      <c r="AR113" s="401"/>
      <c r="AS113" s="401"/>
      <c r="AT113" s="401"/>
      <c r="AU113" s="401"/>
      <c r="AV113" s="401"/>
      <c r="AW113" s="401"/>
      <c r="AX113" s="401"/>
      <c r="AY113" s="401"/>
      <c r="AZ113" s="401"/>
      <c r="BA113" s="401"/>
      <c r="BB113" s="401"/>
      <c r="BC113" s="401" t="str">
        <f t="shared" si="105"/>
        <v>-</v>
      </c>
      <c r="BD113" s="429" t="str">
        <f>"0.7*IEF " &amp; (B104)</f>
        <v>0.7*IEF s.s.e.t.</v>
      </c>
      <c r="BE113" s="435" t="str">
        <f t="shared" ref="BE113:BL113" si="112">IF(OR($C106="-",$C106="CET",$C106=""),"-",0.7*$C106)</f>
        <v>-</v>
      </c>
      <c r="BF113" s="435" t="str">
        <f t="shared" si="112"/>
        <v>-</v>
      </c>
      <c r="BG113" s="435" t="str">
        <f t="shared" si="112"/>
        <v>-</v>
      </c>
      <c r="BH113" s="435" t="str">
        <f t="shared" si="112"/>
        <v>-</v>
      </c>
      <c r="BI113" s="435" t="str">
        <f t="shared" si="112"/>
        <v>-</v>
      </c>
      <c r="BJ113" s="435" t="str">
        <f t="shared" si="112"/>
        <v>-</v>
      </c>
      <c r="BK113" s="435" t="str">
        <f t="shared" si="112"/>
        <v>-</v>
      </c>
      <c r="BL113" s="435" t="str">
        <f t="shared" si="112"/>
        <v>-</v>
      </c>
    </row>
    <row r="114" spans="1:64" s="405" customFormat="1" ht="15" customHeight="1" outlineLevel="1" x14ac:dyDescent="0.25">
      <c r="A114" s="404"/>
      <c r="B114" s="721"/>
      <c r="C114" s="668"/>
      <c r="D114" s="411"/>
      <c r="E114" s="411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434"/>
      <c r="X114" s="434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401"/>
      <c r="AJ114" s="401"/>
      <c r="AK114" s="401"/>
      <c r="AL114" s="401"/>
      <c r="AM114" s="401"/>
      <c r="AN114" s="401"/>
      <c r="AO114" s="401"/>
      <c r="AP114" s="401"/>
      <c r="AQ114" s="401"/>
      <c r="AR114" s="401"/>
      <c r="AS114" s="401"/>
      <c r="AT114" s="401"/>
      <c r="AU114" s="401"/>
      <c r="AV114" s="401"/>
      <c r="AW114" s="401"/>
      <c r="AX114" s="401"/>
      <c r="AY114" s="401"/>
      <c r="AZ114" s="401"/>
      <c r="BA114" s="401"/>
      <c r="BB114" s="401"/>
      <c r="BC114" s="401" t="str">
        <f t="shared" si="105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s="405" customFormat="1" ht="15" customHeight="1" outlineLevel="1" x14ac:dyDescent="0.25">
      <c r="A115" s="404"/>
      <c r="B115" s="721"/>
      <c r="C115" s="668"/>
      <c r="D115" s="411"/>
      <c r="E115" s="411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434"/>
      <c r="X115" s="434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401"/>
      <c r="AJ115" s="401"/>
      <c r="AK115" s="401"/>
      <c r="AL115" s="401"/>
      <c r="AM115" s="401"/>
      <c r="AN115" s="401"/>
      <c r="AO115" s="401"/>
      <c r="AP115" s="401"/>
      <c r="AQ115" s="401"/>
      <c r="AR115" s="401"/>
      <c r="AS115" s="401"/>
      <c r="AT115" s="401"/>
      <c r="AU115" s="401"/>
      <c r="AV115" s="401"/>
      <c r="AW115" s="401"/>
      <c r="AX115" s="401"/>
      <c r="AY115" s="401"/>
      <c r="AZ115" s="401"/>
      <c r="BA115" s="401"/>
      <c r="BB115" s="401"/>
      <c r="BC115" s="401" t="str">
        <f t="shared" si="105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s="405" customFormat="1" ht="15" customHeight="1" outlineLevel="1" x14ac:dyDescent="0.25">
      <c r="A116" s="404"/>
      <c r="B116" s="721"/>
      <c r="C116" s="668"/>
      <c r="D116" s="411"/>
      <c r="E116" s="411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434"/>
      <c r="X116" s="434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AI116" s="401"/>
      <c r="AJ116" s="401"/>
      <c r="AK116" s="401"/>
      <c r="AL116" s="401"/>
      <c r="AM116" s="401"/>
      <c r="AN116" s="401"/>
      <c r="AO116" s="401"/>
      <c r="AP116" s="401"/>
      <c r="AQ116" s="401"/>
      <c r="AR116" s="401"/>
      <c r="AS116" s="401"/>
      <c r="AT116" s="401"/>
      <c r="AU116" s="401"/>
      <c r="AV116" s="401"/>
      <c r="AW116" s="401"/>
      <c r="AX116" s="401"/>
      <c r="AY116" s="401"/>
      <c r="AZ116" s="401"/>
      <c r="BA116" s="401"/>
      <c r="BB116" s="401"/>
      <c r="BC116" s="401" t="str">
        <f t="shared" si="105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s="405" customFormat="1" ht="15" customHeight="1" outlineLevel="1" x14ac:dyDescent="0.25">
      <c r="A117" s="404"/>
      <c r="B117" s="721"/>
      <c r="C117" s="668"/>
      <c r="D117" s="411"/>
      <c r="E117" s="411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434"/>
      <c r="X117" s="434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AI117" s="401"/>
      <c r="AJ117" s="401"/>
      <c r="AK117" s="401"/>
      <c r="AL117" s="401"/>
      <c r="AM117" s="401"/>
      <c r="AN117" s="401"/>
      <c r="AO117" s="401"/>
      <c r="AP117" s="401"/>
      <c r="AQ117" s="401"/>
      <c r="AR117" s="401"/>
      <c r="AS117" s="401"/>
      <c r="AT117" s="401"/>
      <c r="AU117" s="401"/>
      <c r="AV117" s="401"/>
      <c r="AW117" s="401"/>
      <c r="AX117" s="401"/>
      <c r="AY117" s="401"/>
      <c r="AZ117" s="401"/>
      <c r="BA117" s="401"/>
      <c r="BB117" s="401"/>
      <c r="BC117" s="401" t="str">
        <f t="shared" si="105"/>
        <v>-</v>
      </c>
      <c r="BD117" s="429" t="str">
        <f>B104</f>
        <v>s.s.e.t.</v>
      </c>
      <c r="BE117" s="477" t="str">
        <f t="shared" ref="BE117:BL117" si="113">F107</f>
        <v>-</v>
      </c>
      <c r="BF117" s="435" t="str">
        <f t="shared" si="113"/>
        <v>-</v>
      </c>
      <c r="BG117" s="435" t="str">
        <f t="shared" si="113"/>
        <v>-</v>
      </c>
      <c r="BH117" s="435" t="str">
        <f t="shared" si="113"/>
        <v>-</v>
      </c>
      <c r="BI117" s="435" t="str">
        <f t="shared" si="113"/>
        <v>-</v>
      </c>
      <c r="BJ117" s="435" t="str">
        <f t="shared" si="113"/>
        <v>-</v>
      </c>
      <c r="BK117" s="435" t="str">
        <f t="shared" si="113"/>
        <v>-</v>
      </c>
      <c r="BL117" s="435" t="str">
        <f t="shared" si="113"/>
        <v>-</v>
      </c>
    </row>
    <row r="118" spans="1:64" s="405" customFormat="1" ht="15" customHeight="1" outlineLevel="1" x14ac:dyDescent="0.25">
      <c r="A118" s="404"/>
      <c r="B118" s="721"/>
      <c r="C118" s="668"/>
      <c r="D118" s="411"/>
      <c r="E118" s="411"/>
      <c r="F118" s="411"/>
      <c r="G118" s="411"/>
      <c r="H118" s="411"/>
      <c r="I118" s="411"/>
      <c r="J118" s="411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434"/>
      <c r="X118" s="434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AI118" s="401"/>
      <c r="AJ118" s="401"/>
      <c r="AK118" s="401"/>
      <c r="AL118" s="401"/>
      <c r="AM118" s="401"/>
      <c r="AN118" s="401"/>
      <c r="AO118" s="401"/>
      <c r="AP118" s="401"/>
      <c r="AQ118" s="401"/>
      <c r="AR118" s="401"/>
      <c r="AS118" s="401"/>
      <c r="AT118" s="401"/>
      <c r="AU118" s="401"/>
      <c r="AV118" s="401"/>
      <c r="AW118" s="401"/>
      <c r="AX118" s="401"/>
      <c r="AY118" s="401"/>
      <c r="AZ118" s="401"/>
      <c r="BA118" s="401"/>
      <c r="BB118" s="401"/>
      <c r="BC118" s="401" t="str">
        <f t="shared" si="105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s="405" customFormat="1" ht="15" customHeight="1" outlineLevel="1" x14ac:dyDescent="0.25">
      <c r="A119" s="404"/>
      <c r="B119" s="721"/>
      <c r="C119" s="668"/>
      <c r="D119" s="411"/>
      <c r="E119" s="411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434"/>
      <c r="X119" s="434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AI119" s="401"/>
      <c r="AJ119" s="401"/>
      <c r="AK119" s="401"/>
      <c r="AL119" s="401"/>
      <c r="AM119" s="401"/>
      <c r="AN119" s="401"/>
      <c r="AO119" s="401"/>
      <c r="AP119" s="401"/>
      <c r="AQ119" s="401"/>
      <c r="AR119" s="401"/>
      <c r="AS119" s="401"/>
      <c r="AT119" s="401"/>
      <c r="AU119" s="401"/>
      <c r="AV119" s="401"/>
      <c r="AW119" s="401"/>
      <c r="AX119" s="401"/>
      <c r="AY119" s="401"/>
      <c r="AZ119" s="401"/>
      <c r="BA119" s="401"/>
      <c r="BB119" s="401"/>
      <c r="BC119" s="401" t="str">
        <f t="shared" si="105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s="405" customFormat="1" ht="15" customHeight="1" outlineLevel="1" x14ac:dyDescent="0.25">
      <c r="A120" s="404"/>
      <c r="B120" s="721"/>
      <c r="C120" s="668"/>
      <c r="D120" s="411"/>
      <c r="E120" s="411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434"/>
      <c r="X120" s="434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AI120" s="401"/>
      <c r="AJ120" s="401"/>
      <c r="AK120" s="401"/>
      <c r="AL120" s="401"/>
      <c r="AM120" s="401"/>
      <c r="AN120" s="401"/>
      <c r="AO120" s="401"/>
      <c r="AP120" s="401"/>
      <c r="AQ120" s="401"/>
      <c r="AR120" s="401"/>
      <c r="AS120" s="401"/>
      <c r="AT120" s="401"/>
      <c r="AU120" s="401"/>
      <c r="AV120" s="401"/>
      <c r="AW120" s="401"/>
      <c r="AX120" s="401"/>
      <c r="AY120" s="401"/>
      <c r="AZ120" s="401"/>
      <c r="BA120" s="401"/>
      <c r="BB120" s="401"/>
      <c r="BC120" s="401" t="str">
        <f t="shared" si="105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s="405" customFormat="1" ht="15" customHeight="1" outlineLevel="1" x14ac:dyDescent="0.25">
      <c r="A121" s="404"/>
      <c r="B121" s="721"/>
      <c r="C121" s="668"/>
      <c r="D121" s="411"/>
      <c r="E121" s="411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434"/>
      <c r="X121" s="434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AI121" s="401"/>
      <c r="AJ121" s="401"/>
      <c r="AK121" s="401"/>
      <c r="AL121" s="401"/>
      <c r="AM121" s="401"/>
      <c r="AN121" s="401"/>
      <c r="AO121" s="401"/>
      <c r="AP121" s="401"/>
      <c r="AQ121" s="401"/>
      <c r="AR121" s="401"/>
      <c r="AS121" s="401"/>
      <c r="AT121" s="401"/>
      <c r="AU121" s="401"/>
      <c r="AV121" s="401"/>
      <c r="AW121" s="401"/>
      <c r="AX121" s="401"/>
      <c r="AY121" s="401"/>
      <c r="AZ121" s="401"/>
      <c r="BA121" s="401"/>
      <c r="BB121" s="401"/>
      <c r="BC121" s="401" t="str">
        <f t="shared" si="105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L121" si="114">IF(OR($C106="-",$C106="CET",$C106=""),"-",$C106)</f>
        <v>-</v>
      </c>
      <c r="BG121" s="435" t="str">
        <f t="shared" si="114"/>
        <v>-</v>
      </c>
      <c r="BH121" s="435" t="str">
        <f t="shared" si="114"/>
        <v>-</v>
      </c>
      <c r="BI121" s="435" t="str">
        <f t="shared" si="114"/>
        <v>-</v>
      </c>
      <c r="BJ121" s="435" t="str">
        <f t="shared" si="114"/>
        <v>-</v>
      </c>
      <c r="BK121" s="435" t="str">
        <f t="shared" si="114"/>
        <v>-</v>
      </c>
      <c r="BL121" s="435" t="str">
        <f t="shared" si="114"/>
        <v>-</v>
      </c>
    </row>
    <row r="122" spans="1:64" s="405" customFormat="1" outlineLevel="1" x14ac:dyDescent="0.25">
      <c r="A122" s="401"/>
      <c r="B122" s="721"/>
      <c r="C122" s="668"/>
      <c r="D122" s="411"/>
      <c r="E122" s="411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W122" s="401"/>
      <c r="X122" s="401"/>
      <c r="Y122" s="401"/>
      <c r="Z122" s="401"/>
      <c r="AA122" s="401"/>
      <c r="AB122" s="401"/>
      <c r="AC122" s="401"/>
      <c r="AD122" s="401"/>
      <c r="AE122" s="401"/>
      <c r="AF122" s="401"/>
      <c r="AG122" s="401"/>
      <c r="AH122" s="401"/>
      <c r="AI122" s="401"/>
      <c r="AJ122" s="401"/>
      <c r="AK122" s="401"/>
      <c r="AL122" s="401"/>
      <c r="AM122" s="401"/>
      <c r="AN122" s="401"/>
      <c r="AO122" s="401"/>
      <c r="AP122" s="401"/>
      <c r="AQ122" s="401"/>
      <c r="AR122" s="401"/>
      <c r="AS122" s="401"/>
      <c r="AT122" s="401"/>
      <c r="AU122" s="401"/>
      <c r="AV122" s="401"/>
      <c r="AW122" s="401"/>
      <c r="AX122" s="401"/>
      <c r="AY122" s="401"/>
      <c r="AZ122" s="401"/>
      <c r="BA122" s="401"/>
      <c r="BB122" s="401"/>
      <c r="BC122" s="401" t="str">
        <f t="shared" si="105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s="405" customFormat="1" ht="15.75" outlineLevel="1" thickBot="1" x14ac:dyDescent="0.3">
      <c r="A123" s="401"/>
      <c r="B123" s="722"/>
      <c r="C123" s="723"/>
      <c r="D123" s="469"/>
      <c r="E123" s="469"/>
      <c r="F123" s="469"/>
      <c r="G123" s="469"/>
      <c r="H123" s="469"/>
      <c r="I123" s="469"/>
      <c r="J123" s="469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W123" s="401"/>
      <c r="X123" s="401"/>
      <c r="Y123" s="401"/>
      <c r="Z123" s="401"/>
      <c r="AA123" s="401"/>
      <c r="AB123" s="401"/>
      <c r="AC123" s="401"/>
      <c r="AD123" s="401"/>
      <c r="AE123" s="401"/>
      <c r="AF123" s="401"/>
      <c r="AG123" s="401"/>
      <c r="AH123" s="401"/>
      <c r="AI123" s="401"/>
      <c r="AJ123" s="401"/>
      <c r="AK123" s="401"/>
      <c r="AL123" s="401"/>
      <c r="AM123" s="401"/>
      <c r="AN123" s="401"/>
      <c r="AO123" s="401"/>
      <c r="AP123" s="401"/>
      <c r="AQ123" s="401"/>
      <c r="AR123" s="401"/>
      <c r="AS123" s="401"/>
      <c r="AT123" s="401"/>
      <c r="AU123" s="401"/>
      <c r="AV123" s="401"/>
      <c r="AW123" s="401"/>
      <c r="AX123" s="401"/>
      <c r="AY123" s="401"/>
      <c r="AZ123" s="401"/>
      <c r="BA123" s="401"/>
      <c r="BB123" s="401"/>
      <c r="BC123" s="401" t="str">
        <f t="shared" si="105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s="405" customFormat="1" ht="15" customHeight="1" x14ac:dyDescent="0.25">
      <c r="A124" s="396"/>
      <c r="B124" s="401"/>
      <c r="C124" s="401"/>
      <c r="D124" s="401"/>
      <c r="E124" s="401"/>
      <c r="F124" s="401"/>
      <c r="G124" s="401"/>
      <c r="H124" s="401"/>
      <c r="I124" s="401"/>
      <c r="J124" s="401"/>
      <c r="K124" s="458"/>
      <c r="L124" s="458"/>
      <c r="M124" s="458"/>
      <c r="N124" s="401"/>
      <c r="O124" s="401"/>
      <c r="P124" s="401"/>
      <c r="Q124" s="401"/>
      <c r="R124" s="401"/>
      <c r="S124" s="401"/>
      <c r="T124" s="401"/>
      <c r="U124" s="401"/>
      <c r="V124" s="401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AI124" s="401"/>
      <c r="AJ124" s="401"/>
      <c r="AK124" s="401"/>
      <c r="AL124" s="401"/>
      <c r="AM124" s="401"/>
      <c r="AN124" s="401"/>
      <c r="AO124" s="401"/>
      <c r="AP124" s="401"/>
      <c r="AQ124" s="401"/>
      <c r="AR124" s="401"/>
      <c r="AS124" s="401"/>
      <c r="AT124" s="401"/>
      <c r="AU124" s="401"/>
      <c r="AV124" s="401"/>
      <c r="AW124" s="401"/>
      <c r="AX124" s="401"/>
      <c r="AY124" s="401"/>
      <c r="AZ124" s="401"/>
      <c r="BA124" s="401"/>
      <c r="BB124" s="401"/>
      <c r="BC124" s="401" t="str">
        <f t="shared" si="105"/>
        <v>-</v>
      </c>
    </row>
    <row r="125" spans="1:64" s="405" customFormat="1" ht="15" customHeight="1" x14ac:dyDescent="0.25">
      <c r="A125" s="396"/>
      <c r="B125" s="401"/>
      <c r="C125" s="401"/>
      <c r="D125" s="401"/>
      <c r="E125" s="401"/>
      <c r="F125" s="401"/>
      <c r="G125" s="401"/>
      <c r="H125" s="401"/>
      <c r="I125" s="401"/>
      <c r="J125" s="401"/>
      <c r="K125" s="458"/>
      <c r="L125" s="458"/>
      <c r="M125" s="458"/>
      <c r="N125" s="401"/>
      <c r="O125" s="401"/>
      <c r="P125" s="401"/>
      <c r="Q125" s="401"/>
      <c r="R125" s="401"/>
      <c r="S125" s="401"/>
      <c r="T125" s="401"/>
      <c r="U125" s="401"/>
      <c r="V125" s="401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AI125" s="401"/>
      <c r="AJ125" s="401"/>
      <c r="AK125" s="401"/>
      <c r="AL125" s="401"/>
      <c r="AM125" s="401"/>
      <c r="AN125" s="401"/>
      <c r="AO125" s="401"/>
      <c r="AP125" s="401"/>
      <c r="AQ125" s="401"/>
      <c r="AR125" s="401"/>
      <c r="AS125" s="401"/>
      <c r="AT125" s="401"/>
      <c r="AU125" s="401"/>
      <c r="AV125" s="401"/>
      <c r="AW125" s="401"/>
      <c r="AX125" s="401"/>
      <c r="AY125" s="401"/>
      <c r="AZ125" s="401"/>
      <c r="BA125" s="401"/>
      <c r="BB125" s="401"/>
      <c r="BC125" s="401" t="str">
        <f t="shared" si="105"/>
        <v>-</v>
      </c>
    </row>
    <row r="126" spans="1:64" s="405" customFormat="1" ht="15" customHeight="1" thickBot="1" x14ac:dyDescent="0.3">
      <c r="A126" s="396"/>
      <c r="B126" s="401"/>
      <c r="C126" s="401"/>
      <c r="D126" s="401"/>
      <c r="E126" s="401"/>
      <c r="F126" s="401"/>
      <c r="G126" s="401"/>
      <c r="H126" s="401"/>
      <c r="I126" s="401"/>
      <c r="J126" s="401"/>
      <c r="K126" s="458"/>
      <c r="L126" s="458"/>
      <c r="M126" s="458"/>
      <c r="N126" s="401"/>
      <c r="O126" s="401"/>
      <c r="P126" s="401"/>
      <c r="Q126" s="401"/>
      <c r="R126" s="401"/>
      <c r="S126" s="401"/>
      <c r="T126" s="401"/>
      <c r="U126" s="401"/>
      <c r="V126" s="401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AI126" s="401"/>
      <c r="AJ126" s="401"/>
      <c r="AK126" s="401"/>
      <c r="AL126" s="401"/>
      <c r="AM126" s="401"/>
      <c r="AN126" s="401"/>
      <c r="AO126" s="401"/>
      <c r="AP126" s="401"/>
      <c r="AQ126" s="401"/>
      <c r="AR126" s="401"/>
      <c r="AS126" s="401"/>
      <c r="AT126" s="401"/>
      <c r="AU126" s="401"/>
      <c r="AV126" s="401"/>
      <c r="AW126" s="401"/>
      <c r="AX126" s="401"/>
      <c r="AY126" s="401"/>
      <c r="AZ126" s="401"/>
      <c r="BA126" s="401"/>
      <c r="BB126" s="401"/>
      <c r="BC126" s="401" t="str">
        <f t="shared" si="105"/>
        <v>-</v>
      </c>
    </row>
    <row r="127" spans="1:64" s="405" customFormat="1" ht="24.95" customHeight="1" thickBot="1" x14ac:dyDescent="0.3">
      <c r="A127" s="396"/>
      <c r="B127" s="415">
        <v>5</v>
      </c>
      <c r="C127" s="706" t="s">
        <v>240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427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AI127" s="401"/>
      <c r="AJ127" s="401"/>
      <c r="AK127" s="401"/>
      <c r="AL127" s="401"/>
      <c r="AM127" s="401"/>
      <c r="AN127" s="401"/>
      <c r="AO127" s="401"/>
      <c r="AP127" s="401"/>
      <c r="AQ127" s="401"/>
      <c r="AR127" s="401"/>
      <c r="AS127" s="401"/>
      <c r="AT127" s="401"/>
      <c r="AU127" s="401"/>
      <c r="AV127" s="401"/>
      <c r="AW127" s="401"/>
      <c r="AX127" s="401"/>
      <c r="AY127" s="401"/>
      <c r="AZ127" s="401"/>
      <c r="BA127" s="401"/>
      <c r="BB127" s="401"/>
      <c r="BC127" s="401" t="str">
        <f t="shared" si="105"/>
        <v>-</v>
      </c>
    </row>
    <row r="128" spans="1:64" s="405" customFormat="1" ht="15" customHeight="1" outlineLevel="1" thickBot="1" x14ac:dyDescent="0.3">
      <c r="A128" s="396"/>
      <c r="B128" s="456"/>
      <c r="C128" s="457"/>
      <c r="D128" s="457"/>
      <c r="E128" s="457"/>
      <c r="F128" s="457"/>
      <c r="G128" s="457"/>
      <c r="H128" s="457"/>
      <c r="I128" s="457"/>
      <c r="J128" s="457"/>
      <c r="K128" s="421"/>
      <c r="L128" s="421"/>
      <c r="M128" s="421"/>
      <c r="N128" s="457"/>
      <c r="O128" s="457"/>
      <c r="P128" s="457"/>
      <c r="Q128" s="457"/>
      <c r="R128" s="457"/>
      <c r="S128" s="457"/>
      <c r="T128" s="422"/>
      <c r="U128" s="422"/>
      <c r="V128" s="423"/>
      <c r="W128" s="434"/>
      <c r="X128" s="434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AI128" s="401"/>
      <c r="AJ128" s="401"/>
      <c r="AK128" s="401"/>
      <c r="AL128" s="401"/>
      <c r="AM128" s="401"/>
      <c r="AN128" s="401"/>
      <c r="AO128" s="401"/>
      <c r="AP128" s="401"/>
      <c r="AQ128" s="401"/>
      <c r="AR128" s="401"/>
      <c r="AS128" s="401"/>
      <c r="AT128" s="401"/>
      <c r="AU128" s="401"/>
      <c r="AV128" s="401"/>
      <c r="AW128" s="401"/>
      <c r="AX128" s="401"/>
      <c r="AY128" s="401"/>
      <c r="AZ128" s="401"/>
      <c r="BA128" s="401"/>
      <c r="BB128" s="401"/>
      <c r="BC128" s="401" t="str">
        <f t="shared" si="105"/>
        <v>-</v>
      </c>
      <c r="BD128" s="429" t="s">
        <v>85</v>
      </c>
      <c r="BE128" s="430" t="str">
        <f>F$4</f>
        <v>NMHC 
[g/km]</v>
      </c>
      <c r="BF128" s="430" t="str">
        <f t="shared" ref="BF128:BL128" si="115">G$4</f>
        <v>THC
[g/km]</v>
      </c>
      <c r="BG128" s="430" t="str">
        <f t="shared" si="115"/>
        <v>CO
[g/km]</v>
      </c>
      <c r="BH128" s="430" t="str">
        <f t="shared" si="115"/>
        <v>NOx
[g/km]</v>
      </c>
      <c r="BI128" s="430" t="str">
        <f t="shared" si="115"/>
        <v>PM
[mg/km]</v>
      </c>
      <c r="BJ128" s="430" t="str">
        <f t="shared" si="115"/>
        <v>PN
[#/km]</v>
      </c>
      <c r="BK128" s="430" t="str">
        <f t="shared" si="115"/>
        <v>Additional
component</v>
      </c>
      <c r="BL128" s="430" t="str">
        <f t="shared" si="115"/>
        <v>Additional
component 2</v>
      </c>
    </row>
    <row r="129" spans="1:64" s="405" customFormat="1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434"/>
      <c r="X129" s="434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401"/>
      <c r="AJ129" s="401"/>
      <c r="AK129" s="401"/>
      <c r="AL129" s="401"/>
      <c r="AM129" s="401"/>
      <c r="AN129" s="401"/>
      <c r="AO129" s="401"/>
      <c r="AP129" s="401"/>
      <c r="AQ129" s="401"/>
      <c r="AR129" s="401"/>
      <c r="AS129" s="401"/>
      <c r="AT129" s="401"/>
      <c r="AU129" s="401"/>
      <c r="AV129" s="401"/>
      <c r="AW129" s="401"/>
      <c r="AX129" s="401"/>
      <c r="AY129" s="401"/>
      <c r="AZ129" s="401"/>
      <c r="BA129" s="401"/>
      <c r="BB129" s="401"/>
      <c r="BC129" s="401" t="str">
        <f t="shared" si="105"/>
        <v>-</v>
      </c>
      <c r="BD129" s="429" t="str">
        <f>$E$4</f>
        <v>Other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s="405" customFormat="1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116">G$4</f>
        <v>THC
[g/km]</v>
      </c>
      <c r="H130" s="425" t="str">
        <f t="shared" si="116"/>
        <v>CO
[g/km]</v>
      </c>
      <c r="I130" s="425" t="str">
        <f t="shared" si="116"/>
        <v>NOx
[g/km]</v>
      </c>
      <c r="J130" s="425" t="str">
        <f t="shared" si="116"/>
        <v>PM
[mg/km]</v>
      </c>
      <c r="K130" s="425" t="str">
        <f t="shared" si="116"/>
        <v>PN
[#/km]</v>
      </c>
      <c r="L130" s="426" t="str">
        <f t="shared" si="116"/>
        <v>Additional
component</v>
      </c>
      <c r="M130" s="426" t="str">
        <f t="shared" si="116"/>
        <v>Additional
component 2</v>
      </c>
      <c r="N130" s="425" t="str">
        <f t="shared" si="116"/>
        <v>CO2
[g/km]</v>
      </c>
      <c r="O130" s="670"/>
      <c r="P130" s="670"/>
      <c r="Q130" s="670"/>
      <c r="R130" s="671"/>
      <c r="S130" s="669"/>
      <c r="T130" s="670"/>
      <c r="U130" s="670"/>
      <c r="V130" s="671"/>
      <c r="W130" s="434"/>
      <c r="X130" s="434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401"/>
      <c r="AJ130" s="401"/>
      <c r="AK130" s="401"/>
      <c r="AL130" s="401"/>
      <c r="AM130" s="401"/>
      <c r="AN130" s="401"/>
      <c r="AO130" s="401"/>
      <c r="AP130" s="401"/>
      <c r="AQ130" s="401"/>
      <c r="AR130" s="401"/>
      <c r="AS130" s="401"/>
      <c r="AT130" s="401"/>
      <c r="AU130" s="401"/>
      <c r="AV130" s="401"/>
      <c r="AW130" s="401"/>
      <c r="AX130" s="401"/>
      <c r="AY130" s="401"/>
      <c r="AZ130" s="401"/>
      <c r="BA130" s="401"/>
      <c r="BB130" s="401"/>
      <c r="BC130" s="401" t="str">
        <f t="shared" si="105"/>
        <v>-</v>
      </c>
      <c r="BD130" s="429" t="str">
        <f>"1st " &amp;  B131</f>
        <v>1st RDE-RC-AGGR</v>
      </c>
      <c r="BE130" s="435" t="str">
        <f t="shared" ref="BE130:BL130" si="117">IF((OR($C133="-",$C133="CET",$C133="")),"-",IF(AND(OR(F131="-",F131=""),OR(F132="-",F132="")),"-",IF(NOT(OR(F131="-",F131="")),F131/F$5,F132/F$5)))</f>
        <v>-</v>
      </c>
      <c r="BF130" s="435" t="str">
        <f t="shared" si="117"/>
        <v>-</v>
      </c>
      <c r="BG130" s="435" t="str">
        <f t="shared" si="117"/>
        <v>-</v>
      </c>
      <c r="BH130" s="435" t="str">
        <f t="shared" si="117"/>
        <v>-</v>
      </c>
      <c r="BI130" s="435" t="str">
        <f t="shared" si="117"/>
        <v>-</v>
      </c>
      <c r="BJ130" s="435" t="str">
        <f t="shared" si="117"/>
        <v>-</v>
      </c>
      <c r="BK130" s="435" t="str">
        <f t="shared" si="117"/>
        <v>-</v>
      </c>
      <c r="BL130" s="435" t="str">
        <f t="shared" si="117"/>
        <v>-</v>
      </c>
    </row>
    <row r="131" spans="1:64" s="405" customFormat="1" ht="15" customHeight="1" outlineLevel="1" x14ac:dyDescent="0.25">
      <c r="A131" s="439"/>
      <c r="B131" s="724" t="s">
        <v>240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3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105"/>
        <v>-</v>
      </c>
      <c r="BD131" s="429" t="str">
        <f>"1st " &amp; B136</f>
        <v xml:space="preserve">1st </v>
      </c>
      <c r="BE131" s="435" t="str">
        <f t="shared" ref="BE131:BL131" si="118">IF((OR($C138="-",$C138="CET",$C138="")),"-",IF(AND(OR(F136="-",F136=""),OR(F137="-",F137="")),"-",IF(NOT(OR(F136="-",F136="")),F136/F$5,F137/F$5)))</f>
        <v>-</v>
      </c>
      <c r="BF131" s="435" t="str">
        <f t="shared" si="118"/>
        <v>-</v>
      </c>
      <c r="BG131" s="435" t="str">
        <f t="shared" si="118"/>
        <v>-</v>
      </c>
      <c r="BH131" s="435" t="str">
        <f t="shared" si="118"/>
        <v>-</v>
      </c>
      <c r="BI131" s="435" t="str">
        <f t="shared" si="118"/>
        <v>-</v>
      </c>
      <c r="BJ131" s="435" t="str">
        <f t="shared" si="118"/>
        <v>-</v>
      </c>
      <c r="BK131" s="435" t="str">
        <f t="shared" si="118"/>
        <v>-</v>
      </c>
      <c r="BL131" s="435" t="str">
        <f t="shared" si="118"/>
        <v>-</v>
      </c>
    </row>
    <row r="132" spans="1:64" s="405" customFormat="1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3"/>
      <c r="P132" s="673"/>
      <c r="Q132" s="673"/>
      <c r="R132" s="674"/>
      <c r="S132" s="672"/>
      <c r="T132" s="673"/>
      <c r="U132" s="673"/>
      <c r="V132" s="674"/>
      <c r="W132" s="434"/>
      <c r="X132" s="434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AI132" s="401"/>
      <c r="AJ132" s="401"/>
      <c r="AK132" s="401"/>
      <c r="AL132" s="401"/>
      <c r="AM132" s="401"/>
      <c r="AN132" s="401"/>
      <c r="AO132" s="401"/>
      <c r="AP132" s="401"/>
      <c r="AQ132" s="401"/>
      <c r="AR132" s="401"/>
      <c r="AS132" s="401"/>
      <c r="AT132" s="401"/>
      <c r="AU132" s="401"/>
      <c r="AV132" s="401"/>
      <c r="AW132" s="401"/>
      <c r="AX132" s="401"/>
      <c r="AY132" s="401"/>
      <c r="AZ132" s="401"/>
      <c r="BA132" s="401"/>
      <c r="BB132" s="401"/>
      <c r="BC132" s="401" t="str">
        <f t="shared" si="105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s="405" customFormat="1" ht="15" customHeight="1" outlineLevel="1" thickBot="1" x14ac:dyDescent="0.3">
      <c r="A133" s="396"/>
      <c r="B133" s="725"/>
      <c r="C133" s="686">
        <v>4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119">IF(OR(F132="-",F132=""),IF(OR(F131="-",F131=""),"-",F131),IF(OR(F131="-",F131=""),F132,(F131+F132)/2))</f>
        <v>-</v>
      </c>
      <c r="G133" s="445" t="str">
        <f t="shared" si="119"/>
        <v>-</v>
      </c>
      <c r="H133" s="445" t="str">
        <f t="shared" si="119"/>
        <v>-</v>
      </c>
      <c r="I133" s="445" t="str">
        <f t="shared" si="119"/>
        <v>-</v>
      </c>
      <c r="J133" s="445" t="str">
        <f t="shared" si="119"/>
        <v>-</v>
      </c>
      <c r="K133" s="446" t="str">
        <f t="shared" si="119"/>
        <v>-</v>
      </c>
      <c r="L133" s="446" t="str">
        <f t="shared" si="119"/>
        <v>-</v>
      </c>
      <c r="M133" s="446" t="str">
        <f t="shared" si="119"/>
        <v>-</v>
      </c>
      <c r="N133" s="445" t="str">
        <f t="shared" si="119"/>
        <v>-</v>
      </c>
      <c r="O133" s="673"/>
      <c r="P133" s="673"/>
      <c r="Q133" s="673"/>
      <c r="R133" s="674"/>
      <c r="S133" s="672"/>
      <c r="T133" s="673"/>
      <c r="U133" s="673"/>
      <c r="V133" s="674"/>
      <c r="W133" s="434"/>
      <c r="X133" s="434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AI133" s="401"/>
      <c r="AJ133" s="401"/>
      <c r="AK133" s="401"/>
      <c r="AL133" s="401"/>
      <c r="AM133" s="401"/>
      <c r="AN133" s="401"/>
      <c r="AO133" s="401"/>
      <c r="AP133" s="401"/>
      <c r="AQ133" s="401"/>
      <c r="AR133" s="401"/>
      <c r="AS133" s="401"/>
      <c r="AT133" s="401"/>
      <c r="AU133" s="401"/>
      <c r="AV133" s="401"/>
      <c r="AW133" s="401"/>
      <c r="AX133" s="401"/>
      <c r="AY133" s="401"/>
      <c r="AZ133" s="401"/>
      <c r="BA133" s="401"/>
      <c r="BB133" s="401"/>
      <c r="BC133" s="401" t="str">
        <f t="shared" si="105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s="405" customFormat="1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120">IF(OR($C133="-",$C133="CET",$C133=""),"-",IF(AND(NOT(F133="-"),NOT(F$5="-"),NOT(F$5="")),F133/F$5,"-"))</f>
        <v>-</v>
      </c>
      <c r="G134" s="448" t="str">
        <f t="shared" si="120"/>
        <v>-</v>
      </c>
      <c r="H134" s="448" t="str">
        <f t="shared" si="120"/>
        <v>-</v>
      </c>
      <c r="I134" s="448" t="str">
        <f t="shared" si="120"/>
        <v>-</v>
      </c>
      <c r="J134" s="448" t="str">
        <f t="shared" si="120"/>
        <v>-</v>
      </c>
      <c r="K134" s="449" t="str">
        <f t="shared" si="120"/>
        <v>-</v>
      </c>
      <c r="L134" s="449" t="str">
        <f t="shared" si="120"/>
        <v>-</v>
      </c>
      <c r="M134" s="449" t="str">
        <f t="shared" si="120"/>
        <v>-</v>
      </c>
      <c r="N134" s="448" t="str">
        <f t="shared" si="120"/>
        <v>-</v>
      </c>
      <c r="O134" s="673"/>
      <c r="P134" s="673"/>
      <c r="Q134" s="673"/>
      <c r="R134" s="674"/>
      <c r="S134" s="672"/>
      <c r="T134" s="673"/>
      <c r="U134" s="673"/>
      <c r="V134" s="674"/>
      <c r="W134" s="434"/>
      <c r="X134" s="434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AI134" s="401"/>
      <c r="AJ134" s="401"/>
      <c r="AK134" s="401"/>
      <c r="AL134" s="401"/>
      <c r="AM134" s="401"/>
      <c r="AN134" s="401"/>
      <c r="AO134" s="401"/>
      <c r="AP134" s="401"/>
      <c r="AQ134" s="401"/>
      <c r="AR134" s="401"/>
      <c r="AS134" s="401"/>
      <c r="AT134" s="401"/>
      <c r="AU134" s="401"/>
      <c r="AV134" s="401"/>
      <c r="AW134" s="401"/>
      <c r="AX134" s="401"/>
      <c r="AY134" s="401"/>
      <c r="AZ134" s="401"/>
      <c r="BA134" s="401"/>
      <c r="BB134" s="401"/>
      <c r="BC134" s="401" t="str">
        <f t="shared" si="105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s="405" customFormat="1" ht="15" customHeight="1" outlineLevel="1" thickBot="1" x14ac:dyDescent="0.3">
      <c r="A135" s="396"/>
      <c r="B135" s="726"/>
      <c r="C135" s="688"/>
      <c r="D135" s="691"/>
      <c r="E135" s="451" t="s">
        <v>30</v>
      </c>
      <c r="F135" s="451" t="str">
        <f t="shared" ref="F135:N135" si="121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121"/>
        <v>-</v>
      </c>
      <c r="H135" s="451" t="str">
        <f t="shared" si="121"/>
        <v>-</v>
      </c>
      <c r="I135" s="451" t="str">
        <f t="shared" si="121"/>
        <v>-</v>
      </c>
      <c r="J135" s="451" t="str">
        <f t="shared" si="121"/>
        <v>-</v>
      </c>
      <c r="K135" s="452" t="str">
        <f t="shared" si="121"/>
        <v>-</v>
      </c>
      <c r="L135" s="452" t="str">
        <f t="shared" si="121"/>
        <v>-</v>
      </c>
      <c r="M135" s="452" t="str">
        <f t="shared" si="121"/>
        <v>-</v>
      </c>
      <c r="N135" s="451" t="str">
        <f t="shared" si="121"/>
        <v>-</v>
      </c>
      <c r="O135" s="673"/>
      <c r="P135" s="673"/>
      <c r="Q135" s="673"/>
      <c r="R135" s="674"/>
      <c r="S135" s="672"/>
      <c r="T135" s="673"/>
      <c r="U135" s="673"/>
      <c r="V135" s="674"/>
      <c r="W135" s="434"/>
      <c r="X135" s="434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401"/>
      <c r="AJ135" s="401"/>
      <c r="AK135" s="401"/>
      <c r="AL135" s="401"/>
      <c r="AM135" s="401"/>
      <c r="AN135" s="401"/>
      <c r="AO135" s="401"/>
      <c r="AP135" s="401"/>
      <c r="AQ135" s="401"/>
      <c r="AR135" s="401"/>
      <c r="AS135" s="401"/>
      <c r="AT135" s="401"/>
      <c r="AU135" s="401"/>
      <c r="AV135" s="401"/>
      <c r="AW135" s="401"/>
      <c r="AX135" s="401"/>
      <c r="AY135" s="401"/>
      <c r="AZ135" s="401"/>
      <c r="BA135" s="401"/>
      <c r="BB135" s="401"/>
      <c r="BC135" s="401" t="str">
        <f t="shared" si="105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7"/>
      <c r="C136" s="728"/>
      <c r="D136" s="728"/>
      <c r="E136" s="522"/>
      <c r="F136" s="523"/>
      <c r="G136" s="523"/>
      <c r="H136" s="523"/>
      <c r="I136" s="523"/>
      <c r="J136" s="523"/>
      <c r="K136" s="524"/>
      <c r="L136" s="524"/>
      <c r="M136" s="524"/>
      <c r="N136" s="525"/>
      <c r="O136" s="673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105"/>
        <v>-</v>
      </c>
      <c r="BD136" s="429" t="str">
        <f>"0.7*IEF " &amp; (B131)</f>
        <v>0.7*IEF RDE-RC-AGGR</v>
      </c>
      <c r="BE136" s="435">
        <f t="shared" ref="BE136:BL136" si="122">IF(OR($C133="-",$C133="CET",$C133=""),"-",0.7*$C133)</f>
        <v>2.8</v>
      </c>
      <c r="BF136" s="435">
        <f t="shared" si="122"/>
        <v>2.8</v>
      </c>
      <c r="BG136" s="435">
        <f t="shared" si="122"/>
        <v>2.8</v>
      </c>
      <c r="BH136" s="435">
        <f t="shared" si="122"/>
        <v>2.8</v>
      </c>
      <c r="BI136" s="435">
        <f t="shared" si="122"/>
        <v>2.8</v>
      </c>
      <c r="BJ136" s="435">
        <f t="shared" si="122"/>
        <v>2.8</v>
      </c>
      <c r="BK136" s="435">
        <f t="shared" si="122"/>
        <v>2.8</v>
      </c>
      <c r="BL136" s="435">
        <f t="shared" si="122"/>
        <v>2.8</v>
      </c>
    </row>
    <row r="137" spans="1:64" s="405" customFormat="1" ht="15" customHeight="1" outlineLevel="1" x14ac:dyDescent="0.25">
      <c r="A137" s="396"/>
      <c r="B137" s="727"/>
      <c r="C137" s="728"/>
      <c r="D137" s="728"/>
      <c r="E137" s="522"/>
      <c r="F137" s="523"/>
      <c r="G137" s="523"/>
      <c r="H137" s="523"/>
      <c r="I137" s="523"/>
      <c r="J137" s="523"/>
      <c r="K137" s="524"/>
      <c r="L137" s="524"/>
      <c r="M137" s="524"/>
      <c r="N137" s="525"/>
      <c r="O137" s="673"/>
      <c r="P137" s="673"/>
      <c r="Q137" s="673"/>
      <c r="R137" s="674"/>
      <c r="S137" s="672"/>
      <c r="T137" s="673"/>
      <c r="U137" s="673"/>
      <c r="V137" s="674"/>
      <c r="W137" s="434"/>
      <c r="X137" s="434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AI137" s="401"/>
      <c r="AJ137" s="401"/>
      <c r="AK137" s="401"/>
      <c r="AL137" s="401"/>
      <c r="AM137" s="401"/>
      <c r="AN137" s="401"/>
      <c r="AO137" s="401"/>
      <c r="AP137" s="401"/>
      <c r="AQ137" s="401"/>
      <c r="AR137" s="401"/>
      <c r="AS137" s="401"/>
      <c r="AT137" s="401"/>
      <c r="AU137" s="401"/>
      <c r="AV137" s="401"/>
      <c r="AW137" s="401"/>
      <c r="AX137" s="401"/>
      <c r="AY137" s="401"/>
      <c r="AZ137" s="401"/>
      <c r="BA137" s="401"/>
      <c r="BB137" s="401"/>
      <c r="BC137" s="401" t="str">
        <f t="shared" si="105"/>
        <v>-</v>
      </c>
      <c r="BD137" s="429" t="str">
        <f>"0.7*IEF " &amp; B136</f>
        <v xml:space="preserve">0.7*IEF </v>
      </c>
      <c r="BE137" s="435" t="str">
        <f t="shared" ref="BE137:BL137" si="123">IF(OR($C138="-",$C138="CET",$C138=""),"-",0.7*$C138)</f>
        <v>-</v>
      </c>
      <c r="BF137" s="435" t="str">
        <f t="shared" si="123"/>
        <v>-</v>
      </c>
      <c r="BG137" s="435" t="str">
        <f t="shared" si="123"/>
        <v>-</v>
      </c>
      <c r="BH137" s="435" t="str">
        <f t="shared" si="123"/>
        <v>-</v>
      </c>
      <c r="BI137" s="435" t="str">
        <f t="shared" si="123"/>
        <v>-</v>
      </c>
      <c r="BJ137" s="435" t="str">
        <f t="shared" si="123"/>
        <v>-</v>
      </c>
      <c r="BK137" s="435" t="str">
        <f t="shared" si="123"/>
        <v>-</v>
      </c>
      <c r="BL137" s="435" t="str">
        <f t="shared" si="123"/>
        <v>-</v>
      </c>
    </row>
    <row r="138" spans="1:64" s="405" customFormat="1" ht="15" customHeight="1" outlineLevel="1" x14ac:dyDescent="0.25">
      <c r="A138" s="396"/>
      <c r="B138" s="727"/>
      <c r="C138" s="729"/>
      <c r="D138" s="730"/>
      <c r="E138" s="526"/>
      <c r="F138" s="526"/>
      <c r="G138" s="526"/>
      <c r="H138" s="526"/>
      <c r="I138" s="526"/>
      <c r="J138" s="526"/>
      <c r="K138" s="527"/>
      <c r="L138" s="527"/>
      <c r="M138" s="527"/>
      <c r="N138" s="528"/>
      <c r="O138" s="673"/>
      <c r="P138" s="673"/>
      <c r="Q138" s="673"/>
      <c r="R138" s="674"/>
      <c r="S138" s="672"/>
      <c r="T138" s="673"/>
      <c r="U138" s="673"/>
      <c r="V138" s="674"/>
      <c r="W138" s="434"/>
      <c r="X138" s="434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AI138" s="401"/>
      <c r="AJ138" s="401"/>
      <c r="AK138" s="401"/>
      <c r="AL138" s="401"/>
      <c r="AM138" s="401"/>
      <c r="AN138" s="401"/>
      <c r="AO138" s="401"/>
      <c r="AP138" s="401"/>
      <c r="AQ138" s="401"/>
      <c r="AR138" s="401"/>
      <c r="AS138" s="401"/>
      <c r="AT138" s="401"/>
      <c r="AU138" s="401"/>
      <c r="AV138" s="401"/>
      <c r="AW138" s="401"/>
      <c r="AX138" s="401"/>
      <c r="AY138" s="401"/>
      <c r="AZ138" s="401"/>
      <c r="BA138" s="401"/>
      <c r="BB138" s="401"/>
      <c r="BC138" s="401" t="str">
        <f t="shared" si="105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s="405" customFormat="1" ht="15" customHeight="1" outlineLevel="1" x14ac:dyDescent="0.25">
      <c r="A139" s="404"/>
      <c r="B139" s="727"/>
      <c r="C139" s="729"/>
      <c r="D139" s="730"/>
      <c r="E139" s="529"/>
      <c r="F139" s="530"/>
      <c r="G139" s="530"/>
      <c r="H139" s="530"/>
      <c r="I139" s="530"/>
      <c r="J139" s="530"/>
      <c r="K139" s="527"/>
      <c r="L139" s="527"/>
      <c r="M139" s="527"/>
      <c r="N139" s="531"/>
      <c r="O139" s="673"/>
      <c r="P139" s="673"/>
      <c r="Q139" s="673"/>
      <c r="R139" s="674"/>
      <c r="S139" s="672"/>
      <c r="T139" s="673"/>
      <c r="U139" s="673"/>
      <c r="V139" s="674"/>
      <c r="W139" s="434"/>
      <c r="X139" s="434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AI139" s="401"/>
      <c r="AJ139" s="401"/>
      <c r="AK139" s="401"/>
      <c r="AL139" s="401"/>
      <c r="AM139" s="401"/>
      <c r="AN139" s="401"/>
      <c r="AO139" s="401"/>
      <c r="AP139" s="401"/>
      <c r="AQ139" s="401"/>
      <c r="AR139" s="401"/>
      <c r="AS139" s="401"/>
      <c r="AT139" s="401"/>
      <c r="AU139" s="401"/>
      <c r="AV139" s="401"/>
      <c r="AW139" s="401"/>
      <c r="AX139" s="401"/>
      <c r="AY139" s="401"/>
      <c r="AZ139" s="401"/>
      <c r="BA139" s="401"/>
      <c r="BB139" s="401"/>
      <c r="BC139" s="401" t="str">
        <f t="shared" si="105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s="405" customFormat="1" ht="15" customHeight="1" outlineLevel="1" x14ac:dyDescent="0.25">
      <c r="A140" s="404"/>
      <c r="B140" s="727"/>
      <c r="C140" s="729"/>
      <c r="D140" s="730"/>
      <c r="E140" s="529"/>
      <c r="F140" s="529"/>
      <c r="G140" s="529"/>
      <c r="H140" s="529"/>
      <c r="I140" s="529"/>
      <c r="J140" s="529"/>
      <c r="K140" s="527"/>
      <c r="L140" s="527"/>
      <c r="M140" s="527"/>
      <c r="N140" s="532"/>
      <c r="O140" s="673"/>
      <c r="P140" s="673"/>
      <c r="Q140" s="673"/>
      <c r="R140" s="674"/>
      <c r="S140" s="672"/>
      <c r="T140" s="673"/>
      <c r="U140" s="673"/>
      <c r="V140" s="674"/>
      <c r="W140" s="434"/>
      <c r="X140" s="434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401"/>
      <c r="AJ140" s="401"/>
      <c r="AK140" s="401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401" t="str">
        <f t="shared" si="105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84"/>
      <c r="C141" s="485"/>
      <c r="D141" s="485"/>
      <c r="E141" s="486"/>
      <c r="F141" s="463"/>
      <c r="G141" s="463"/>
      <c r="H141" s="463"/>
      <c r="I141" s="463"/>
      <c r="J141" s="463"/>
      <c r="K141" s="464"/>
      <c r="L141" s="464"/>
      <c r="M141" s="464"/>
      <c r="N141" s="465"/>
      <c r="O141" s="673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105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s="405" customFormat="1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3"/>
      <c r="P142" s="673"/>
      <c r="Q142" s="673"/>
      <c r="R142" s="674"/>
      <c r="S142" s="672"/>
      <c r="T142" s="673"/>
      <c r="U142" s="673"/>
      <c r="V142" s="674"/>
      <c r="W142" s="434"/>
      <c r="X142" s="434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401"/>
      <c r="AJ142" s="401"/>
      <c r="AK142" s="401"/>
      <c r="AL142" s="401"/>
      <c r="AM142" s="401"/>
      <c r="AN142" s="401"/>
      <c r="AO142" s="401"/>
      <c r="AP142" s="401"/>
      <c r="AQ142" s="401"/>
      <c r="AR142" s="401"/>
      <c r="AS142" s="401"/>
      <c r="AT142" s="401"/>
      <c r="AU142" s="401"/>
      <c r="AV142" s="401"/>
      <c r="AW142" s="401"/>
      <c r="AX142" s="401"/>
      <c r="AY142" s="401"/>
      <c r="AZ142" s="401"/>
      <c r="BA142" s="401"/>
      <c r="BB142" s="401"/>
      <c r="BC142" s="401" t="str">
        <f t="shared" si="105"/>
        <v>-</v>
      </c>
      <c r="BD142" s="429" t="str">
        <f>$B131</f>
        <v>RDE-RC-AGGR</v>
      </c>
      <c r="BE142" s="435" t="str">
        <f t="shared" ref="BE142:BL142" si="124">F134</f>
        <v>-</v>
      </c>
      <c r="BF142" s="435" t="str">
        <f t="shared" si="124"/>
        <v>-</v>
      </c>
      <c r="BG142" s="435" t="str">
        <f t="shared" si="124"/>
        <v>-</v>
      </c>
      <c r="BH142" s="435" t="str">
        <f t="shared" si="124"/>
        <v>-</v>
      </c>
      <c r="BI142" s="435" t="str">
        <f t="shared" si="124"/>
        <v>-</v>
      </c>
      <c r="BJ142" s="435" t="str">
        <f t="shared" si="124"/>
        <v>-</v>
      </c>
      <c r="BK142" s="435" t="str">
        <f t="shared" si="124"/>
        <v>-</v>
      </c>
      <c r="BL142" s="435" t="str">
        <f t="shared" si="124"/>
        <v>-</v>
      </c>
    </row>
    <row r="143" spans="1:64" s="405" customFormat="1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3"/>
      <c r="P143" s="673"/>
      <c r="Q143" s="673"/>
      <c r="R143" s="674"/>
      <c r="S143" s="672"/>
      <c r="T143" s="673"/>
      <c r="U143" s="673"/>
      <c r="V143" s="674"/>
      <c r="W143" s="434"/>
      <c r="X143" s="434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AI143" s="401"/>
      <c r="AJ143" s="401"/>
      <c r="AK143" s="401"/>
      <c r="AL143" s="401"/>
      <c r="AM143" s="401"/>
      <c r="AN143" s="401"/>
      <c r="AO143" s="401"/>
      <c r="AP143" s="401"/>
      <c r="AQ143" s="401"/>
      <c r="AR143" s="401"/>
      <c r="AS143" s="401"/>
      <c r="AT143" s="401"/>
      <c r="AU143" s="401"/>
      <c r="AV143" s="401"/>
      <c r="AW143" s="401"/>
      <c r="AX143" s="401"/>
      <c r="AY143" s="401"/>
      <c r="AZ143" s="401"/>
      <c r="BA143" s="401"/>
      <c r="BB143" s="401"/>
      <c r="BC143" s="401" t="str">
        <f t="shared" si="105"/>
        <v>-</v>
      </c>
      <c r="BD143" s="429">
        <f>$B136</f>
        <v>0</v>
      </c>
      <c r="BE143" s="435">
        <f t="shared" ref="BE143:BL143" si="125">F139</f>
        <v>0</v>
      </c>
      <c r="BF143" s="435">
        <f t="shared" si="125"/>
        <v>0</v>
      </c>
      <c r="BG143" s="435">
        <f t="shared" si="125"/>
        <v>0</v>
      </c>
      <c r="BH143" s="435">
        <f t="shared" si="125"/>
        <v>0</v>
      </c>
      <c r="BI143" s="435">
        <f t="shared" si="125"/>
        <v>0</v>
      </c>
      <c r="BJ143" s="435">
        <f t="shared" si="125"/>
        <v>0</v>
      </c>
      <c r="BK143" s="435">
        <f t="shared" si="125"/>
        <v>0</v>
      </c>
      <c r="BL143" s="435">
        <f t="shared" si="125"/>
        <v>0</v>
      </c>
    </row>
    <row r="144" spans="1:64" s="405" customFormat="1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3"/>
      <c r="P144" s="673"/>
      <c r="Q144" s="673"/>
      <c r="R144" s="674"/>
      <c r="S144" s="672"/>
      <c r="T144" s="673"/>
      <c r="U144" s="673"/>
      <c r="V144" s="674"/>
      <c r="W144" s="434"/>
      <c r="X144" s="434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AI144" s="401"/>
      <c r="AJ144" s="401"/>
      <c r="AK144" s="401"/>
      <c r="AL144" s="401"/>
      <c r="AM144" s="401"/>
      <c r="AN144" s="401"/>
      <c r="AO144" s="401"/>
      <c r="AP144" s="401"/>
      <c r="AQ144" s="401"/>
      <c r="AR144" s="401"/>
      <c r="AS144" s="401"/>
      <c r="AT144" s="401"/>
      <c r="AU144" s="401"/>
      <c r="AV144" s="401"/>
      <c r="AW144" s="401"/>
      <c r="AX144" s="401"/>
      <c r="AY144" s="401"/>
      <c r="AZ144" s="401"/>
      <c r="BA144" s="401"/>
      <c r="BB144" s="401"/>
      <c r="BC144" s="401" t="str">
        <f t="shared" si="105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s="405" customFormat="1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3"/>
      <c r="P145" s="673"/>
      <c r="Q145" s="673"/>
      <c r="R145" s="674"/>
      <c r="S145" s="672"/>
      <c r="T145" s="673"/>
      <c r="U145" s="673"/>
      <c r="V145" s="674"/>
      <c r="W145" s="434"/>
      <c r="X145" s="434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AI145" s="401"/>
      <c r="AJ145" s="401"/>
      <c r="AK145" s="401"/>
      <c r="AL145" s="401"/>
      <c r="AM145" s="401"/>
      <c r="AN145" s="401"/>
      <c r="AO145" s="401"/>
      <c r="AP145" s="401"/>
      <c r="AQ145" s="401"/>
      <c r="AR145" s="401"/>
      <c r="AS145" s="401"/>
      <c r="AT145" s="401"/>
      <c r="AU145" s="401"/>
      <c r="AV145" s="401"/>
      <c r="AW145" s="401"/>
      <c r="AX145" s="401"/>
      <c r="AY145" s="401"/>
      <c r="AZ145" s="401"/>
      <c r="BA145" s="401"/>
      <c r="BB145" s="401"/>
      <c r="BC145" s="401" t="str">
        <f t="shared" si="105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3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ref="BC146:BC153" si="126">IF(COUNTIF(F146:M146,"refused")&gt;0,"refused",IF(COUNTIF(F146:M146,"failed")&gt;0,"failed",IF(COUNTIF(F146:M146,"passed")&gt;0,"passed","-")))</f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s="405" customFormat="1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3"/>
      <c r="P147" s="673"/>
      <c r="Q147" s="673"/>
      <c r="R147" s="674"/>
      <c r="S147" s="672"/>
      <c r="T147" s="673"/>
      <c r="U147" s="673"/>
      <c r="V147" s="674"/>
      <c r="W147" s="434"/>
      <c r="X147" s="434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401"/>
      <c r="AJ147" s="401"/>
      <c r="AK147" s="401"/>
      <c r="AL147" s="401"/>
      <c r="AM147" s="401"/>
      <c r="AN147" s="401"/>
      <c r="AO147" s="401"/>
      <c r="AP147" s="401"/>
      <c r="AQ147" s="401"/>
      <c r="AR147" s="401"/>
      <c r="AS147" s="401"/>
      <c r="AT147" s="401"/>
      <c r="AU147" s="401"/>
      <c r="AV147" s="401"/>
      <c r="AW147" s="401"/>
      <c r="AX147" s="401"/>
      <c r="AY147" s="401"/>
      <c r="AZ147" s="401"/>
      <c r="BA147" s="401"/>
      <c r="BB147" s="401"/>
      <c r="BC147" s="401" t="str">
        <f t="shared" si="126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s="405" customFormat="1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3"/>
      <c r="P148" s="673"/>
      <c r="Q148" s="673"/>
      <c r="R148" s="674"/>
      <c r="S148" s="672"/>
      <c r="T148" s="673"/>
      <c r="U148" s="673"/>
      <c r="V148" s="674"/>
      <c r="W148" s="434"/>
      <c r="X148" s="434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401"/>
      <c r="AJ148" s="401"/>
      <c r="AK148" s="401"/>
      <c r="AL148" s="401"/>
      <c r="AM148" s="401"/>
      <c r="AN148" s="401"/>
      <c r="AO148" s="401"/>
      <c r="AP148" s="401"/>
      <c r="AQ148" s="401"/>
      <c r="AR148" s="401"/>
      <c r="AS148" s="401"/>
      <c r="AT148" s="401"/>
      <c r="AU148" s="401"/>
      <c r="AV148" s="401"/>
      <c r="AW148" s="401"/>
      <c r="AX148" s="401"/>
      <c r="AY148" s="401"/>
      <c r="AZ148" s="401"/>
      <c r="BA148" s="401"/>
      <c r="BB148" s="401"/>
      <c r="BC148" s="401" t="str">
        <f t="shared" si="126"/>
        <v>-</v>
      </c>
      <c r="BD148" s="429" t="str">
        <f>"IEF " &amp;B131</f>
        <v>IEF RDE-RC-AGGR</v>
      </c>
      <c r="BE148" s="435">
        <f t="shared" ref="BE148:BL148" si="127">IF(OR($C133="-",$C133="CET",$C133=""),"-",$C133)</f>
        <v>4</v>
      </c>
      <c r="BF148" s="435">
        <f t="shared" si="127"/>
        <v>4</v>
      </c>
      <c r="BG148" s="435">
        <f t="shared" si="127"/>
        <v>4</v>
      </c>
      <c r="BH148" s="435">
        <f t="shared" si="127"/>
        <v>4</v>
      </c>
      <c r="BI148" s="435">
        <f t="shared" si="127"/>
        <v>4</v>
      </c>
      <c r="BJ148" s="435">
        <f t="shared" si="127"/>
        <v>4</v>
      </c>
      <c r="BK148" s="435">
        <f t="shared" si="127"/>
        <v>4</v>
      </c>
      <c r="BL148" s="435">
        <f t="shared" si="127"/>
        <v>4</v>
      </c>
    </row>
    <row r="149" spans="1:64" s="405" customFormat="1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3"/>
      <c r="P149" s="673"/>
      <c r="Q149" s="673"/>
      <c r="R149" s="674"/>
      <c r="S149" s="672"/>
      <c r="T149" s="673"/>
      <c r="U149" s="673"/>
      <c r="V149" s="674"/>
      <c r="W149" s="434"/>
      <c r="X149" s="434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AI149" s="401"/>
      <c r="AJ149" s="401"/>
      <c r="AK149" s="401"/>
      <c r="AL149" s="401"/>
      <c r="AM149" s="401"/>
      <c r="AN149" s="401"/>
      <c r="AO149" s="401"/>
      <c r="AP149" s="401"/>
      <c r="AQ149" s="401"/>
      <c r="AR149" s="401"/>
      <c r="AS149" s="401"/>
      <c r="AT149" s="401"/>
      <c r="AU149" s="401"/>
      <c r="AV149" s="401"/>
      <c r="AW149" s="401"/>
      <c r="AX149" s="401"/>
      <c r="AY149" s="401"/>
      <c r="AZ149" s="401"/>
      <c r="BA149" s="401"/>
      <c r="BB149" s="401"/>
      <c r="BC149" s="401" t="str">
        <f t="shared" si="126"/>
        <v>-</v>
      </c>
      <c r="BD149" s="429" t="str">
        <f>"IEF " &amp; B136</f>
        <v xml:space="preserve">IEF </v>
      </c>
      <c r="BE149" s="435" t="str">
        <f t="shared" ref="BE149:BL149" si="128">IF(OR($C138="-",$C138="CET",$C138=""),"-",$C138)</f>
        <v>-</v>
      </c>
      <c r="BF149" s="435" t="str">
        <f t="shared" si="128"/>
        <v>-</v>
      </c>
      <c r="BG149" s="435" t="str">
        <f t="shared" si="128"/>
        <v>-</v>
      </c>
      <c r="BH149" s="435" t="str">
        <f t="shared" si="128"/>
        <v>-</v>
      </c>
      <c r="BI149" s="435" t="str">
        <f t="shared" si="128"/>
        <v>-</v>
      </c>
      <c r="BJ149" s="435" t="str">
        <f t="shared" si="128"/>
        <v>-</v>
      </c>
      <c r="BK149" s="435" t="str">
        <f t="shared" si="128"/>
        <v>-</v>
      </c>
      <c r="BL149" s="435" t="str">
        <f t="shared" si="128"/>
        <v>-</v>
      </c>
    </row>
    <row r="150" spans="1:64" s="405" customFormat="1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6"/>
      <c r="P150" s="676"/>
      <c r="Q150" s="676"/>
      <c r="R150" s="677"/>
      <c r="S150" s="675"/>
      <c r="T150" s="676"/>
      <c r="U150" s="676"/>
      <c r="V150" s="677"/>
      <c r="W150" s="434"/>
      <c r="X150" s="434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AI150" s="401"/>
      <c r="AJ150" s="401"/>
      <c r="AK150" s="401"/>
      <c r="AL150" s="401"/>
      <c r="AM150" s="401"/>
      <c r="AN150" s="401"/>
      <c r="AO150" s="401"/>
      <c r="AP150" s="401"/>
      <c r="AQ150" s="401"/>
      <c r="AR150" s="401"/>
      <c r="AS150" s="401"/>
      <c r="AT150" s="401"/>
      <c r="AU150" s="401"/>
      <c r="AV150" s="401"/>
      <c r="AW150" s="401"/>
      <c r="AX150" s="401"/>
      <c r="AY150" s="401"/>
      <c r="AZ150" s="401"/>
      <c r="BA150" s="401"/>
      <c r="BB150" s="401"/>
      <c r="BC150" s="401" t="str">
        <f t="shared" si="126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126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s="405" customFormat="1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434"/>
      <c r="X152" s="434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AI152" s="401"/>
      <c r="AJ152" s="401"/>
      <c r="AK152" s="401"/>
      <c r="AL152" s="401"/>
      <c r="AM152" s="401"/>
      <c r="AN152" s="401"/>
      <c r="AO152" s="401"/>
      <c r="AP152" s="401"/>
      <c r="AQ152" s="401"/>
      <c r="AR152" s="401"/>
      <c r="AS152" s="401"/>
      <c r="AT152" s="401"/>
      <c r="AU152" s="401"/>
      <c r="AV152" s="401"/>
      <c r="AW152" s="401"/>
      <c r="AX152" s="401"/>
      <c r="AY152" s="401"/>
      <c r="AZ152" s="401"/>
      <c r="BA152" s="401"/>
      <c r="BB152" s="401"/>
      <c r="BC152" s="401" t="str">
        <f t="shared" si="126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s="405" customFormat="1" ht="15" customHeight="1" x14ac:dyDescent="0.25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434"/>
      <c r="X153" s="434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AI153" s="401"/>
      <c r="AJ153" s="401"/>
      <c r="AK153" s="401"/>
      <c r="AL153" s="401"/>
      <c r="AM153" s="401"/>
      <c r="AN153" s="401"/>
      <c r="AO153" s="401"/>
      <c r="AP153" s="401"/>
      <c r="AQ153" s="401"/>
      <c r="AR153" s="401"/>
      <c r="AS153" s="401"/>
      <c r="AT153" s="401"/>
      <c r="AU153" s="401"/>
      <c r="AV153" s="401"/>
      <c r="AW153" s="401"/>
      <c r="AX153" s="401"/>
      <c r="AY153" s="401"/>
      <c r="AZ153" s="401"/>
      <c r="BA153" s="401"/>
      <c r="BB153" s="401"/>
      <c r="BC153" s="401" t="str">
        <f t="shared" si="126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</sheetData>
  <sheetProtection password="8952" sheet="1" objects="1" scenarios="1" selectLockedCells="1"/>
  <mergeCells count="148">
    <mergeCell ref="C36:N3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4"/>
    <mergeCell ref="B50:B54"/>
    <mergeCell ref="C50:C51"/>
    <mergeCell ref="C52:C54"/>
    <mergeCell ref="B55:B59"/>
    <mergeCell ref="C55:C56"/>
    <mergeCell ref="C57:C59"/>
    <mergeCell ref="C40:C41"/>
    <mergeCell ref="D40:D41"/>
    <mergeCell ref="C42:C44"/>
    <mergeCell ref="D42:D44"/>
    <mergeCell ref="B45:B49"/>
    <mergeCell ref="C45:C46"/>
    <mergeCell ref="C47:C49"/>
    <mergeCell ref="C127:N127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  <mergeCell ref="C100:N100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B114:B118"/>
    <mergeCell ref="C114:C115"/>
    <mergeCell ref="C116:C118"/>
    <mergeCell ref="B119:B123"/>
    <mergeCell ref="C119:C120"/>
    <mergeCell ref="C121:C123"/>
    <mergeCell ref="C104:C105"/>
    <mergeCell ref="D104:D105"/>
    <mergeCell ref="C106:C108"/>
    <mergeCell ref="D106:D108"/>
    <mergeCell ref="B109:B113"/>
    <mergeCell ref="C109:C110"/>
    <mergeCell ref="C111:C113"/>
    <mergeCell ref="D72:D73"/>
    <mergeCell ref="C74:C76"/>
    <mergeCell ref="D74:D76"/>
    <mergeCell ref="B92:B96"/>
    <mergeCell ref="C92:C93"/>
    <mergeCell ref="D92:D93"/>
    <mergeCell ref="C94:C96"/>
    <mergeCell ref="D94:D96"/>
    <mergeCell ref="B82:B86"/>
    <mergeCell ref="C82:C83"/>
    <mergeCell ref="D82:D83"/>
    <mergeCell ref="C84:C86"/>
    <mergeCell ref="D84:D86"/>
    <mergeCell ref="B87:B91"/>
    <mergeCell ref="C87:C88"/>
    <mergeCell ref="D87:D88"/>
    <mergeCell ref="C89:C91"/>
    <mergeCell ref="D89:D91"/>
    <mergeCell ref="C63:N63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N74:N76"/>
    <mergeCell ref="B77:B81"/>
    <mergeCell ref="C77:C78"/>
    <mergeCell ref="D77:D78"/>
    <mergeCell ref="C79:C81"/>
    <mergeCell ref="D79:D81"/>
    <mergeCell ref="N79:N81"/>
    <mergeCell ref="C67:C68"/>
    <mergeCell ref="D67:D68"/>
    <mergeCell ref="C69:C71"/>
    <mergeCell ref="D69:D71"/>
    <mergeCell ref="N69:N71"/>
    <mergeCell ref="B72:B76"/>
    <mergeCell ref="C72:C73"/>
    <mergeCell ref="C20:C22"/>
    <mergeCell ref="D20:D22"/>
    <mergeCell ref="N20:N22"/>
    <mergeCell ref="B11:E11"/>
    <mergeCell ref="O11:R32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A1:J2"/>
    <mergeCell ref="K1:Q2"/>
    <mergeCell ref="B4:D4"/>
    <mergeCell ref="O4:P4"/>
    <mergeCell ref="B5:E5"/>
    <mergeCell ref="O5:P5"/>
    <mergeCell ref="S11:V32"/>
    <mergeCell ref="Y11:AH31"/>
    <mergeCell ref="B12:B17"/>
    <mergeCell ref="D12:E12"/>
    <mergeCell ref="C13:C14"/>
    <mergeCell ref="D13:D14"/>
    <mergeCell ref="C15:C17"/>
    <mergeCell ref="D15:D17"/>
    <mergeCell ref="B6:E6"/>
    <mergeCell ref="C8:N8"/>
    <mergeCell ref="B10:N10"/>
    <mergeCell ref="O10:R10"/>
    <mergeCell ref="S10:V10"/>
    <mergeCell ref="Y10:AH10"/>
    <mergeCell ref="N15:N17"/>
    <mergeCell ref="B18:B22"/>
    <mergeCell ref="C18:C19"/>
    <mergeCell ref="D18:D19"/>
  </mergeCells>
  <conditionalFormatting sqref="A3 F150:N150 F145:N145 F17:M17 F22:M22 F27:M27 F32:M32 F135:N135 F140:N140 F108:N108 F71:M71 F76:M76 F81:M81 F86:N86 F91:N91 F96:N96">
    <cfRule type="containsText" dxfId="2806" priority="88" operator="containsText" text="passed">
      <formula>NOT(ISERROR(SEARCH("passed",A3)))</formula>
    </cfRule>
    <cfRule type="containsText" dxfId="2805" priority="89" operator="containsText" text="failed">
      <formula>NOT(ISERROR(SEARCH("failed",A3)))</formula>
    </cfRule>
    <cfRule type="containsText" dxfId="2804" priority="90" operator="containsText" text="refused">
      <formula>NOT(ISERROR(SEARCH("refused",A3)))</formula>
    </cfRule>
  </conditionalFormatting>
  <conditionalFormatting sqref="N13:N14">
    <cfRule type="expression" dxfId="2803" priority="87">
      <formula>IF(AND(NOT(N13=""),NOT(N13="-")),N13&gt;=1.1*N$5*BL$25,"-")</formula>
    </cfRule>
  </conditionalFormatting>
  <conditionalFormatting sqref="N18:N19">
    <cfRule type="expression" dxfId="2802" priority="86">
      <formula>IF(AND(NOT(N18=""),NOT(N18="-")),N18&gt;=1.1*N$5*BL$26,"-")</formula>
    </cfRule>
  </conditionalFormatting>
  <conditionalFormatting sqref="N23:N24">
    <cfRule type="expression" dxfId="2801" priority="85">
      <formula>IF(AND(NOT(N23=""),NOT(N23="-")),N23&gt;=1.1*N$5*BL$27,"-")</formula>
    </cfRule>
  </conditionalFormatting>
  <conditionalFormatting sqref="N28:N29">
    <cfRule type="expression" dxfId="2800" priority="84">
      <formula>IF(AND(NOT(N28=""),NOT(N28="-")),N28&gt;=1.1*N$5*BL$28,"-")</formula>
    </cfRule>
  </conditionalFormatting>
  <conditionalFormatting sqref="N82:N83">
    <cfRule type="expression" dxfId="2799" priority="83">
      <formula>IF(AND(NOT(N82=""),NOT(N82="-")),N82&gt;=1.1*N$5*BL$88,"-")</formula>
    </cfRule>
  </conditionalFormatting>
  <conditionalFormatting sqref="N92:N93">
    <cfRule type="expression" dxfId="2798" priority="82">
      <formula>IF(AND(NOT(N92=""),NOT(N92="-")),N92&gt;=1.1*N$5*BL$90,"-")</formula>
    </cfRule>
  </conditionalFormatting>
  <conditionalFormatting sqref="N87:N88">
    <cfRule type="expression" dxfId="2797" priority="80">
      <formula>IF(AND(NOT(N87=""),NOT(N87="-")),N87&gt;=1.1*N$5*BL$89,"-")</formula>
    </cfRule>
  </conditionalFormatting>
  <conditionalFormatting sqref="P8">
    <cfRule type="containsText" dxfId="2796" priority="71" operator="containsText" text="passed">
      <formula>NOT(ISERROR(SEARCH("passed",P8)))</formula>
    </cfRule>
    <cfRule type="containsText" dxfId="2795" priority="72" operator="containsText" text="failed">
      <formula>NOT(ISERROR(SEARCH("failed",P8)))</formula>
    </cfRule>
    <cfRule type="containsText" dxfId="2794" priority="73" operator="containsText" text="refused">
      <formula>NOT(ISERROR(SEARCH("refused",P8)))</formula>
    </cfRule>
  </conditionalFormatting>
  <conditionalFormatting sqref="F13:K14">
    <cfRule type="expression" dxfId="2793" priority="70">
      <formula>IF(AND(NOT(F13=""),NOT(F13="-")),F13&gt;=1.1*F$5*BE$25,"-")</formula>
    </cfRule>
  </conditionalFormatting>
  <conditionalFormatting sqref="F18:K19">
    <cfRule type="expression" dxfId="2792" priority="69">
      <formula>IF(AND(NOT(F18=""),NOT(F18="-")),F18&gt;=1.1*F$5*BE$26,"-")</formula>
    </cfRule>
  </conditionalFormatting>
  <conditionalFormatting sqref="F23:K24">
    <cfRule type="expression" dxfId="2791" priority="68">
      <formula>IF(AND(NOT(F23=""),NOT(F23="-")),F23&gt;=1.1*F$5*BE$27,"-")</formula>
    </cfRule>
  </conditionalFormatting>
  <conditionalFormatting sqref="F28:K29">
    <cfRule type="expression" dxfId="2790" priority="67">
      <formula>IF(AND(NOT(F28=""),NOT(F28="-")),F28&gt;=1.1*F$5*BE$28,"-")</formula>
    </cfRule>
  </conditionalFormatting>
  <conditionalFormatting sqref="F82:K83">
    <cfRule type="expression" dxfId="2789" priority="66">
      <formula>IF(AND(NOT(F82=""),NOT(F82="-")),F82&gt;=1.1*F$5*BE$88,"-")</formula>
    </cfRule>
  </conditionalFormatting>
  <conditionalFormatting sqref="F92:K93">
    <cfRule type="expression" dxfId="2788" priority="65">
      <formula>IF(AND(NOT(F92=""),NOT(F92="-")),F92&gt;=1.1*F$5*BE$90,"-")</formula>
    </cfRule>
  </conditionalFormatting>
  <conditionalFormatting sqref="F87:K88">
    <cfRule type="expression" dxfId="2787" priority="63">
      <formula>IF(AND(NOT(F87=""),NOT(F87="-")),F87&gt;=1.1*F$5*BE$89,"-")</formula>
    </cfRule>
  </conditionalFormatting>
  <conditionalFormatting sqref="P63">
    <cfRule type="containsText" dxfId="2786" priority="42" operator="containsText" text="passed">
      <formula>NOT(ISERROR(SEARCH("passed",P63)))</formula>
    </cfRule>
    <cfRule type="containsText" dxfId="2785" priority="43" operator="containsText" text="failed">
      <formula>NOT(ISERROR(SEARCH("failed",P63)))</formula>
    </cfRule>
    <cfRule type="containsText" dxfId="2784" priority="44" operator="containsText" text="refused">
      <formula>NOT(ISERROR(SEARCH("refused",P63)))</formula>
    </cfRule>
  </conditionalFormatting>
  <conditionalFormatting sqref="P100">
    <cfRule type="containsText" dxfId="2783" priority="36" operator="containsText" text="passed">
      <formula>NOT(ISERROR(SEARCH("passed",P100)))</formula>
    </cfRule>
    <cfRule type="containsText" dxfId="2782" priority="37" operator="containsText" text="failed">
      <formula>NOT(ISERROR(SEARCH("failed",P100)))</formula>
    </cfRule>
    <cfRule type="containsText" dxfId="2781" priority="38" operator="containsText" text="refused">
      <formula>NOT(ISERROR(SEARCH("refused",P100)))</formula>
    </cfRule>
  </conditionalFormatting>
  <conditionalFormatting sqref="P127">
    <cfRule type="containsText" dxfId="2780" priority="33" operator="containsText" text="passed">
      <formula>NOT(ISERROR(SEARCH("passed",P127)))</formula>
    </cfRule>
    <cfRule type="containsText" dxfId="2779" priority="34" operator="containsText" text="failed">
      <formula>NOT(ISERROR(SEARCH("failed",P127)))</formula>
    </cfRule>
    <cfRule type="containsText" dxfId="2778" priority="35" operator="containsText" text="refused">
      <formula>NOT(ISERROR(SEARCH("refused",P127)))</formula>
    </cfRule>
  </conditionalFormatting>
  <conditionalFormatting sqref="L13:M14">
    <cfRule type="expression" dxfId="2777" priority="29">
      <formula>IF(AND(NOT(L13=""),NOT(L13="-")),L13&gt;=1.1*L$5*BL$25,"-")</formula>
    </cfRule>
  </conditionalFormatting>
  <conditionalFormatting sqref="L18:M19">
    <cfRule type="expression" dxfId="2776" priority="28">
      <formula>IF(AND(NOT(L18=""),NOT(L18="-")),L18&gt;=1.1*L$5*BL$26,"-")</formula>
    </cfRule>
  </conditionalFormatting>
  <conditionalFormatting sqref="L23:M24">
    <cfRule type="expression" dxfId="2775" priority="27">
      <formula>IF(AND(NOT(L23=""),NOT(L23="-")),L23&gt;=1.1*L$5*BL$27,"-")</formula>
    </cfRule>
  </conditionalFormatting>
  <conditionalFormatting sqref="L28:M29">
    <cfRule type="expression" dxfId="2774" priority="26">
      <formula>IF(AND(NOT(L28=""),NOT(L28="-")),L28&gt;=1.1*L$5*BL$28,"-")</formula>
    </cfRule>
  </conditionalFormatting>
  <conditionalFormatting sqref="L82:M83">
    <cfRule type="expression" dxfId="2773" priority="25">
      <formula>IF(AND(NOT(L82=""),NOT(L82="-")),L82&gt;=1.1*L$5*BL$88,"-")</formula>
    </cfRule>
  </conditionalFormatting>
  <conditionalFormatting sqref="L92:M93">
    <cfRule type="expression" dxfId="2772" priority="24">
      <formula>IF(AND(NOT(L92=""),NOT(L92="-")),L92&gt;=1.1*L$5*BL$90,"-")</formula>
    </cfRule>
  </conditionalFormatting>
  <conditionalFormatting sqref="L87:M88">
    <cfRule type="expression" dxfId="2771" priority="22">
      <formula>IF(AND(NOT(L87=""),NOT(L87="-")),L87&gt;=1.1*L$5*BL$89,"-")</formula>
    </cfRule>
  </conditionalFormatting>
  <conditionalFormatting sqref="F44:N44">
    <cfRule type="containsText" dxfId="2770" priority="7" operator="containsText" text="passed">
      <formula>NOT(ISERROR(SEARCH("passed",F44)))</formula>
    </cfRule>
    <cfRule type="containsText" dxfId="2769" priority="8" operator="containsText" text="failed">
      <formula>NOT(ISERROR(SEARCH("failed",F44)))</formula>
    </cfRule>
    <cfRule type="containsText" dxfId="2768" priority="9" operator="containsText" text="refused">
      <formula>NOT(ISERROR(SEARCH("refused",F44)))</formula>
    </cfRule>
  </conditionalFormatting>
  <conditionalFormatting sqref="P36">
    <cfRule type="containsText" dxfId="2767" priority="2" operator="containsText" text="passed">
      <formula>NOT(ISERROR(SEARCH("passed",P36)))</formula>
    </cfRule>
    <cfRule type="containsText" dxfId="2766" priority="3" operator="containsText" text="failed">
      <formula>NOT(ISERROR(SEARCH("failed",P36)))</formula>
    </cfRule>
    <cfRule type="containsText" dxfId="2765" priority="4" operator="containsText" text="refused">
      <formula>NOT(ISERROR(SEARCH("refused",P36)))</formula>
    </cfRule>
  </conditionalFormatting>
  <conditionalFormatting sqref="N67:N68">
    <cfRule type="expression" dxfId="2764" priority="450494">
      <formula>IF(AND(NOT(N67=""),NOT(N67="-")),N67&gt;=1.1*N$5*BL$85,"-")</formula>
    </cfRule>
  </conditionalFormatting>
  <conditionalFormatting sqref="N77:N78">
    <cfRule type="expression" dxfId="2763" priority="450495">
      <formula>IF(AND(NOT(N77=""),NOT(N77="-")),N77&gt;=1.1*N$5*BL$87,"-")</formula>
    </cfRule>
  </conditionalFormatting>
  <conditionalFormatting sqref="N72:N73">
    <cfRule type="expression" dxfId="2762" priority="450497">
      <formula>IF(AND(NOT(N72=""),NOT(N72="-")),N72&gt;=1.1*N$5*BL$86,"-")</formula>
    </cfRule>
  </conditionalFormatting>
  <conditionalFormatting sqref="F67:K68">
    <cfRule type="expression" dxfId="2761" priority="450504">
      <formula>IF(AND(NOT(F67=""),NOT(F67="-")),F67&gt;=1.1*F$5*BE$85,"-")</formula>
    </cfRule>
  </conditionalFormatting>
  <conditionalFormatting sqref="F77:K78">
    <cfRule type="expression" dxfId="2760" priority="450505">
      <formula>IF(AND(NOT(F77=""),NOT(F77="-")),F77&gt;=1.1*F$5*BE$87,"-")</formula>
    </cfRule>
  </conditionalFormatting>
  <conditionalFormatting sqref="F72:K73">
    <cfRule type="expression" dxfId="2759" priority="450507">
      <formula>IF(AND(NOT(F72=""),NOT(F72="-")),F72&gt;=1.1*F$5*BE$86,"-")</formula>
    </cfRule>
  </conditionalFormatting>
  <conditionalFormatting sqref="N131:N132">
    <cfRule type="expression" dxfId="2758" priority="450516">
      <formula>IF(AND(NOT(N131=""),NOT(N131="-")),N131&gt;=1.1*N$5*BL$148,"-")</formula>
    </cfRule>
  </conditionalFormatting>
  <conditionalFormatting sqref="F131:K132">
    <cfRule type="expression" dxfId="2757" priority="450522">
      <formula>IF(AND(NOT(F131=""),NOT(F131="-")),F131&gt;=1.1*F$5*BE$148,"-")</formula>
    </cfRule>
  </conditionalFormatting>
  <conditionalFormatting sqref="L67:M68">
    <cfRule type="expression" dxfId="2756" priority="450526">
      <formula>IF(AND(NOT(L67=""),NOT(L67="-")),L67&gt;=1.1*L$5*BL$85,"-")</formula>
    </cfRule>
  </conditionalFormatting>
  <conditionalFormatting sqref="L77:M78">
    <cfRule type="expression" dxfId="2755" priority="450527">
      <formula>IF(AND(NOT(L77=""),NOT(L77="-")),L77&gt;=1.1*L$5*BL$87,"-")</formula>
    </cfRule>
  </conditionalFormatting>
  <conditionalFormatting sqref="L72:M73">
    <cfRule type="expression" dxfId="2754" priority="450529">
      <formula>IF(AND(NOT(L72=""),NOT(L72="-")),L72&gt;=1.1*L$5*BL$86,"-")</formula>
    </cfRule>
  </conditionalFormatting>
  <conditionalFormatting sqref="L131:M132">
    <cfRule type="expression" dxfId="2753" priority="450538">
      <formula>IF(AND(NOT(L131=""),NOT(L131="-")),L131&gt;=1.1*L$5*BL$148,"-")</formula>
    </cfRule>
  </conditionalFormatting>
  <conditionalFormatting sqref="N40:N41">
    <cfRule type="expression" dxfId="2752" priority="450548">
      <formula>IF(AND(NOT(N40=""),NOT(N40="-")),N40&gt;=1.1*N$5*#REF!,"-")</formula>
    </cfRule>
  </conditionalFormatting>
  <conditionalFormatting sqref="F40:K41">
    <cfRule type="expression" dxfId="2751" priority="450552">
      <formula>IF(AND(NOT(F40=""),NOT(F40="-")),F40&gt;=1.1*F$5*#REF!,"-")</formula>
    </cfRule>
  </conditionalFormatting>
  <conditionalFormatting sqref="N136:N137">
    <cfRule type="expression" dxfId="2750" priority="450556">
      <formula>IF(AND(NOT(N136=""),NOT(N136="-")),N136&gt;=1.1*N$5*BL$149,"-")</formula>
    </cfRule>
  </conditionalFormatting>
  <conditionalFormatting sqref="N104:N105">
    <cfRule type="expression" dxfId="2749" priority="450558">
      <formula>IF(AND(NOT(N104=""),NOT(N104="-")),N104&gt;=1.1*N$5*BL$121,"-")</formula>
    </cfRule>
  </conditionalFormatting>
  <conditionalFormatting sqref="F136:K137">
    <cfRule type="expression" dxfId="2748" priority="450559">
      <formula>IF(AND(NOT(F136=""),NOT(F136="-")),F136&gt;=1.1*F$5*BE$149,"-")</formula>
    </cfRule>
  </conditionalFormatting>
  <conditionalFormatting sqref="F104:K105">
    <cfRule type="expression" dxfId="2747" priority="450561">
      <formula>IF(AND(NOT(F104=""),NOT(F104="-")),F104&gt;=1.1*F$5*BE$121,"-")</formula>
    </cfRule>
  </conditionalFormatting>
  <conditionalFormatting sqref="L40:M41">
    <cfRule type="expression" dxfId="2746" priority="450562">
      <formula>IF(AND(NOT(L40=""),NOT(L40="-")),L40&gt;=1.1*L$5*#REF!,"-")</formula>
    </cfRule>
  </conditionalFormatting>
  <conditionalFormatting sqref="L136:M137">
    <cfRule type="expression" dxfId="2745" priority="450566">
      <formula>IF(AND(NOT(L136=""),NOT(L136="-")),L136&gt;=1.1*L$5*BL$149,"-")</formula>
    </cfRule>
  </conditionalFormatting>
  <conditionalFormatting sqref="L104:M105">
    <cfRule type="expression" dxfId="2744" priority="450568">
      <formula>IF(AND(NOT(L104=""),NOT(L104="-")),L104&gt;=1.1*L$5*BL$121,"-")</formula>
    </cfRule>
  </conditionalFormatting>
  <pageMargins left="0.7" right="0.7" top="0.75" bottom="0.75" header="0.3" footer="0.3"/>
  <pageSetup paperSize="9" scale="50" fitToHeight="0" orientation="landscape" r:id="rId1"/>
  <rowBreaks count="2" manualBreakCount="2">
    <brk id="124" max="19" man="1"/>
    <brk id="151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Gasoline'!$CU$14</xm:f>
          </x14:formula1>
          <xm:sqref>E4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9">
    <pageSetUpPr fitToPage="1"/>
  </sheetPr>
  <dimension ref="A1:BU153"/>
  <sheetViews>
    <sheetView showGridLines="0" topLeftCell="A58" zoomScale="90" zoomScaleNormal="90" workbookViewId="0">
      <selection activeCell="E87" sqref="D87:E88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hidden="1" customWidth="1"/>
    <col min="58" max="58" width="4.42578125" style="405" hidden="1" customWidth="1"/>
    <col min="59" max="59" width="4" style="405" hidden="1" customWidth="1"/>
    <col min="60" max="60" width="4.85546875" style="405" hidden="1" customWidth="1"/>
    <col min="61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734" t="s">
        <v>126</v>
      </c>
      <c r="B1" s="735"/>
      <c r="C1" s="735"/>
      <c r="D1" s="735"/>
      <c r="E1" s="735"/>
      <c r="F1" s="735"/>
      <c r="G1" s="735"/>
      <c r="H1" s="735"/>
      <c r="I1" s="735"/>
      <c r="J1" s="736"/>
      <c r="K1" s="734" t="str">
        <f>'Variant 5 - WMTC'!K1:Q2</f>
        <v>[e.g. Ferrari F150 MEDC17] [Chassis name] [Engine description]</v>
      </c>
      <c r="L1" s="735"/>
      <c r="M1" s="735"/>
      <c r="N1" s="735"/>
      <c r="O1" s="735"/>
      <c r="P1" s="735"/>
      <c r="Q1" s="736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737"/>
      <c r="B2" s="738"/>
      <c r="C2" s="738"/>
      <c r="D2" s="738"/>
      <c r="E2" s="738"/>
      <c r="F2" s="738"/>
      <c r="G2" s="738"/>
      <c r="H2" s="738"/>
      <c r="I2" s="738"/>
      <c r="J2" s="739"/>
      <c r="K2" s="737"/>
      <c r="L2" s="738"/>
      <c r="M2" s="738"/>
      <c r="N2" s="738"/>
      <c r="O2" s="738"/>
      <c r="P2" s="738"/>
      <c r="Q2" s="739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358" t="str">
        <f>'Variant 5 - WMTC'!E4</f>
        <v>Other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521" t="str">
        <f>'Variant 5 - WMTC'!L4</f>
        <v>Additional
component</v>
      </c>
      <c r="M4" s="367" t="str">
        <f>'Variant 5 - WMTC'!M4</f>
        <v>Additional
component 2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61" t="str">
        <f>'Variant 5 - WMTC'!F5</f>
        <v>-</v>
      </c>
      <c r="G5" s="361" t="str">
        <f>'Variant 5 - WMTC'!G5</f>
        <v>-</v>
      </c>
      <c r="H5" s="361" t="str">
        <f>'Variant 5 - WMTC'!H5</f>
        <v>-</v>
      </c>
      <c r="I5" s="361" t="str">
        <f>'Variant 5 - WMTC'!I5</f>
        <v>-</v>
      </c>
      <c r="J5" s="361" t="str">
        <f>'Variant 5 - WMTC'!J5</f>
        <v>-</v>
      </c>
      <c r="K5" s="361" t="str">
        <f>'Variant 5 - WMTC'!K5</f>
        <v>-</v>
      </c>
      <c r="L5" s="361" t="str">
        <f>'Variant 5 - WMTC'!L5</f>
        <v>-</v>
      </c>
      <c r="M5" s="361" t="str">
        <f>'Variant 5 - WMTC'!M5</f>
        <v>-</v>
      </c>
      <c r="N5" s="361" t="str">
        <f>'Variant 5 - WMTC'!N5</f>
        <v>-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412"/>
      <c r="G6" s="412"/>
      <c r="H6" s="412"/>
      <c r="I6" s="412"/>
      <c r="J6" s="412"/>
      <c r="K6" s="413"/>
      <c r="L6" s="413"/>
      <c r="M6" s="413"/>
      <c r="N6" s="412"/>
      <c r="O6" s="510"/>
      <c r="P6" s="510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237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511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513"/>
      <c r="C9" s="514"/>
      <c r="D9" s="514"/>
      <c r="E9" s="514"/>
      <c r="F9" s="514"/>
      <c r="G9" s="514"/>
      <c r="H9" s="514"/>
      <c r="I9" s="514"/>
      <c r="J9" s="514"/>
      <c r="K9" s="421"/>
      <c r="L9" s="421"/>
      <c r="M9" s="421"/>
      <c r="N9" s="514"/>
      <c r="O9" s="514"/>
      <c r="P9" s="514"/>
      <c r="Q9" s="514"/>
      <c r="R9" s="514"/>
      <c r="S9" s="514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512"/>
      <c r="X11" s="512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512"/>
      <c r="X12" s="512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Other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512"/>
      <c r="X13" s="512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 t="str">
        <f t="shared" ref="BE13:BL13" si="2">IF(AND(OR($C15="-",$C15="CET",$C15=""),OR(F12="-",F12="CET",F12="")),"-",IF(AND(OR(F13="-",F13=""),OR(F14="-",F14="")),"-",IF(NOT(OR(F13="-",F13="")),F13/F$5,F14/F$5)))</f>
        <v>-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si="2"/>
        <v>-</v>
      </c>
      <c r="BL13" s="435" t="str">
        <f t="shared" si="2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L14" si="3">IF((OR($C20="-",$C20="CET",$C20="")),"-",IF(AND(OR(F18="-",F18=""),OR(F19="-",F19="")),"-",IF(NOT(OR(F18="-",F18="")),F18/F$5,F19/F$5)))</f>
        <v>-</v>
      </c>
      <c r="BF14" s="435" t="str">
        <f t="shared" si="3"/>
        <v>-</v>
      </c>
      <c r="BG14" s="435" t="str">
        <f t="shared" si="3"/>
        <v>-</v>
      </c>
      <c r="BH14" s="435" t="str">
        <f t="shared" si="3"/>
        <v>-</v>
      </c>
      <c r="BI14" s="435" t="str">
        <f t="shared" si="3"/>
        <v>-</v>
      </c>
      <c r="BJ14" s="435" t="str">
        <f t="shared" si="3"/>
        <v>-</v>
      </c>
      <c r="BK14" s="435" t="str">
        <f t="shared" si="3"/>
        <v>-</v>
      </c>
      <c r="BL14" s="435" t="str">
        <f t="shared" si="3"/>
        <v>-</v>
      </c>
    </row>
    <row r="15" spans="1:64" ht="15" customHeight="1" outlineLevel="1" thickBot="1" x14ac:dyDescent="0.3">
      <c r="A15" s="396"/>
      <c r="B15" s="680"/>
      <c r="C15" s="686" t="s">
        <v>64</v>
      </c>
      <c r="D15" s="689" t="str">
        <f>IF(AND(F16="-",G16="-",H16="-",I16="-",J16="-",K16="-",L16="-",M16="-"),"-",MAX(F16,G16,H16,I16,J16,K16,L16,M16))</f>
        <v>-</v>
      </c>
      <c r="E15" s="444" t="s">
        <v>96</v>
      </c>
      <c r="F15" s="445" t="str">
        <f t="shared" ref="F15:M15" si="4">IF(OR(F14="-",F14=""),IF(OR(F13="-",F13=""),"-",F13),IF(OR(F13="-",F13=""),F14,(F13+F14)/2))</f>
        <v>-</v>
      </c>
      <c r="G15" s="445" t="str">
        <f t="shared" si="4"/>
        <v>-</v>
      </c>
      <c r="H15" s="445" t="str">
        <f t="shared" si="4"/>
        <v>-</v>
      </c>
      <c r="I15" s="445" t="str">
        <f t="shared" si="4"/>
        <v>-</v>
      </c>
      <c r="J15" s="445" t="str">
        <f t="shared" si="4"/>
        <v>-</v>
      </c>
      <c r="K15" s="446" t="str">
        <f t="shared" si="4"/>
        <v>-</v>
      </c>
      <c r="L15" s="446" t="str">
        <f t="shared" si="4"/>
        <v>-</v>
      </c>
      <c r="M15" s="446" t="str">
        <f t="shared" si="4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512"/>
      <c r="X15" s="512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L15" si="5">IF((OR($C25="-",$C25="CET",$C25="")),"-",IF(AND(OR(F23="-",F23=""),OR(F24="-",F24="")),"-",IF(NOT(OR(F23="-",F23="")),F23/F$5,F24/F$5)))</f>
        <v>-</v>
      </c>
      <c r="BF15" s="435" t="str">
        <f t="shared" si="5"/>
        <v>-</v>
      </c>
      <c r="BG15" s="435" t="str">
        <f t="shared" si="5"/>
        <v>-</v>
      </c>
      <c r="BH15" s="435" t="str">
        <f t="shared" si="5"/>
        <v>-</v>
      </c>
      <c r="BI15" s="435" t="str">
        <f t="shared" si="5"/>
        <v>-</v>
      </c>
      <c r="BJ15" s="435" t="str">
        <f t="shared" si="5"/>
        <v>-</v>
      </c>
      <c r="BK15" s="435" t="str">
        <f t="shared" si="5"/>
        <v>-</v>
      </c>
      <c r="BL15" s="435" t="str">
        <f t="shared" si="5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K16" si="6">IF(AND(OR($C15="-",$C15="CET",$C15=""),OR(F12="-",F12="CET",F12="")),"-",IF(AND(NOT(F15="-"),NOT(F$5="-"),NOT(F$5="")),F15/F$5,"-"))</f>
        <v>-</v>
      </c>
      <c r="G16" s="448" t="str">
        <f t="shared" si="6"/>
        <v>-</v>
      </c>
      <c r="H16" s="448" t="str">
        <f t="shared" si="6"/>
        <v>-</v>
      </c>
      <c r="I16" s="448" t="str">
        <f t="shared" si="6"/>
        <v>-</v>
      </c>
      <c r="J16" s="448" t="str">
        <f t="shared" si="6"/>
        <v>-</v>
      </c>
      <c r="K16" s="449" t="str">
        <f t="shared" si="6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7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512"/>
      <c r="X16" s="512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L16" si="8">IF((OR($C30="-",$C30="CET",$C30="")),"-",IF(AND(OR(F28="-",F28=""),OR(F29="-",F29="")),"-",IF(NOT(OR(F28="-",F28="")),F28/F$5,F29/F$5)))</f>
        <v>-</v>
      </c>
      <c r="BF16" s="435" t="str">
        <f t="shared" si="8"/>
        <v>-</v>
      </c>
      <c r="BG16" s="435" t="str">
        <f t="shared" si="8"/>
        <v>-</v>
      </c>
      <c r="BH16" s="435" t="str">
        <f t="shared" si="8"/>
        <v>-</v>
      </c>
      <c r="BI16" s="435" t="str">
        <f t="shared" si="8"/>
        <v>-</v>
      </c>
      <c r="BJ16" s="435" t="str">
        <f t="shared" si="8"/>
        <v>-</v>
      </c>
      <c r="BK16" s="435" t="str">
        <f t="shared" si="8"/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9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9"/>
        <v>-</v>
      </c>
      <c r="H17" s="451" t="str">
        <f t="shared" si="9"/>
        <v>-</v>
      </c>
      <c r="I17" s="451" t="str">
        <f t="shared" si="9"/>
        <v>-</v>
      </c>
      <c r="J17" s="451" t="str">
        <f t="shared" si="9"/>
        <v>-</v>
      </c>
      <c r="K17" s="452" t="str">
        <f t="shared" si="9"/>
        <v>-</v>
      </c>
      <c r="L17" s="452" t="str">
        <f t="shared" si="9"/>
        <v>-</v>
      </c>
      <c r="M17" s="452" t="str">
        <f t="shared" si="9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512"/>
      <c r="X17" s="512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10">IF(AND(OR($C15="-",$C15="CET",$C15=""),OR(F12="-",F12="CET",F12="")),"-",0.7*IF(OR(F12="CET",F12="-",F12=""),IF(OR($C15="CET",$C15="-",$C15=""),"-",$C15),F12))</f>
        <v>-</v>
      </c>
      <c r="BF17" s="435" t="str">
        <f t="shared" si="10"/>
        <v>-</v>
      </c>
      <c r="BG17" s="435" t="str">
        <f t="shared" si="10"/>
        <v>-</v>
      </c>
      <c r="BH17" s="435" t="str">
        <f t="shared" si="10"/>
        <v>-</v>
      </c>
      <c r="BI17" s="435" t="str">
        <f t="shared" si="10"/>
        <v>-</v>
      </c>
      <c r="BJ17" s="435" t="str">
        <f t="shared" si="10"/>
        <v>-</v>
      </c>
      <c r="BK17" s="435" t="str">
        <f t="shared" si="10"/>
        <v>-</v>
      </c>
      <c r="BL17" s="435" t="str">
        <f t="shared" si="10"/>
        <v>-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512"/>
      <c r="X18" s="512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96" si="11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L18" si="12">IF(OR($C20="-",$C20="CET",$C20=""),"-",0.7*$C20)</f>
        <v>0.7</v>
      </c>
      <c r="BF18" s="435">
        <f t="shared" si="12"/>
        <v>0.7</v>
      </c>
      <c r="BG18" s="435">
        <f t="shared" si="12"/>
        <v>0.7</v>
      </c>
      <c r="BH18" s="435">
        <f t="shared" si="12"/>
        <v>0.7</v>
      </c>
      <c r="BI18" s="435">
        <f t="shared" si="12"/>
        <v>0.7</v>
      </c>
      <c r="BJ18" s="435">
        <f t="shared" si="12"/>
        <v>0.7</v>
      </c>
      <c r="BK18" s="435">
        <f t="shared" si="12"/>
        <v>0.7</v>
      </c>
      <c r="BL18" s="435">
        <f t="shared" si="12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1"/>
        <v>-</v>
      </c>
      <c r="BD19" s="429" t="str">
        <f>"0.7*IEF " &amp; B23</f>
        <v>0.7*IEF Hot 1</v>
      </c>
      <c r="BE19" s="435">
        <f t="shared" ref="BE19:BL19" si="13">IF(OR($C25="-",$C25="CET",$C25=""),"-",0.7*$C25)</f>
        <v>0.7</v>
      </c>
      <c r="BF19" s="435">
        <f t="shared" si="13"/>
        <v>0.7</v>
      </c>
      <c r="BG19" s="435">
        <f t="shared" si="13"/>
        <v>0.7</v>
      </c>
      <c r="BH19" s="435">
        <f t="shared" si="13"/>
        <v>0.7</v>
      </c>
      <c r="BI19" s="435">
        <f t="shared" si="13"/>
        <v>0.7</v>
      </c>
      <c r="BJ19" s="435">
        <f t="shared" si="13"/>
        <v>0.7</v>
      </c>
      <c r="BK19" s="435">
        <f t="shared" si="13"/>
        <v>0.7</v>
      </c>
      <c r="BL19" s="435">
        <f t="shared" si="13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M20" si="14">IF(OR(F19="-",F19=""),IF(OR(F18="-",F18=""),"-",F18),IF(OR(F18="-",F18=""),F19,(F18+F19)/2))</f>
        <v>-</v>
      </c>
      <c r="G20" s="445" t="str">
        <f t="shared" si="14"/>
        <v>-</v>
      </c>
      <c r="H20" s="445" t="str">
        <f t="shared" si="14"/>
        <v>-</v>
      </c>
      <c r="I20" s="445" t="str">
        <f t="shared" si="14"/>
        <v>-</v>
      </c>
      <c r="J20" s="445" t="str">
        <f t="shared" si="14"/>
        <v>-</v>
      </c>
      <c r="K20" s="446" t="str">
        <f t="shared" si="14"/>
        <v>-</v>
      </c>
      <c r="L20" s="446" t="str">
        <f t="shared" si="14"/>
        <v>-</v>
      </c>
      <c r="M20" s="446" t="str">
        <f t="shared" si="1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512"/>
      <c r="X20" s="512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1"/>
        <v>-</v>
      </c>
      <c r="BD20" s="429" t="str">
        <f>"0.7*IEF " &amp; B28</f>
        <v>0.7*IEF Hot 2</v>
      </c>
      <c r="BE20" s="435">
        <f t="shared" ref="BE20:BL20" si="15">IF(OR($C30="-",$C30="CET",$C30=""),"-",0.7*$C30)</f>
        <v>0.7</v>
      </c>
      <c r="BF20" s="435">
        <f t="shared" si="15"/>
        <v>0.7</v>
      </c>
      <c r="BG20" s="435">
        <f t="shared" si="15"/>
        <v>0.7</v>
      </c>
      <c r="BH20" s="435">
        <f t="shared" si="15"/>
        <v>0.7</v>
      </c>
      <c r="BI20" s="435">
        <f t="shared" si="15"/>
        <v>0.7</v>
      </c>
      <c r="BJ20" s="435">
        <f t="shared" si="15"/>
        <v>0.7</v>
      </c>
      <c r="BK20" s="435">
        <f t="shared" si="15"/>
        <v>0.7</v>
      </c>
      <c r="BL20" s="435">
        <f t="shared" si="15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M21" si="16">IF(OR($C20="-",$C20="CET",$C20=""),"-",IF(AND(NOT(F20="-"),NOT(F$5="-"),NOT(F$5="")),F20/F$5,"-"))</f>
        <v>-</v>
      </c>
      <c r="G21" s="448" t="str">
        <f t="shared" si="16"/>
        <v>-</v>
      </c>
      <c r="H21" s="448" t="str">
        <f t="shared" si="16"/>
        <v>-</v>
      </c>
      <c r="I21" s="448" t="str">
        <f t="shared" si="16"/>
        <v>-</v>
      </c>
      <c r="J21" s="448" t="str">
        <f t="shared" si="16"/>
        <v>-</v>
      </c>
      <c r="K21" s="449" t="str">
        <f t="shared" si="16"/>
        <v>-</v>
      </c>
      <c r="L21" s="449" t="str">
        <f t="shared" si="16"/>
        <v>-</v>
      </c>
      <c r="M21" s="449" t="str">
        <f t="shared" si="16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512"/>
      <c r="X21" s="512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1"/>
        <v>-</v>
      </c>
      <c r="BD21" s="429" t="str">
        <f>B12</f>
        <v>Cold</v>
      </c>
      <c r="BE21" s="435" t="str">
        <f t="shared" ref="BE21:BL21" si="17">F16</f>
        <v>-</v>
      </c>
      <c r="BF21" s="435" t="str">
        <f t="shared" si="17"/>
        <v>-</v>
      </c>
      <c r="BG21" s="435" t="str">
        <f t="shared" si="17"/>
        <v>-</v>
      </c>
      <c r="BH21" s="435" t="str">
        <f t="shared" si="17"/>
        <v>-</v>
      </c>
      <c r="BI21" s="435" t="str">
        <f t="shared" si="17"/>
        <v>-</v>
      </c>
      <c r="BJ21" s="435" t="str">
        <f t="shared" si="17"/>
        <v>-</v>
      </c>
      <c r="BK21" s="435" t="str">
        <f t="shared" si="17"/>
        <v>-</v>
      </c>
      <c r="BL21" s="435" t="str">
        <f t="shared" si="17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8"/>
        <v>-</v>
      </c>
      <c r="H22" s="451" t="str">
        <f t="shared" si="18"/>
        <v>-</v>
      </c>
      <c r="I22" s="451" t="str">
        <f t="shared" si="18"/>
        <v>-</v>
      </c>
      <c r="J22" s="451" t="str">
        <f t="shared" si="18"/>
        <v>-</v>
      </c>
      <c r="K22" s="452" t="str">
        <f t="shared" si="18"/>
        <v>-</v>
      </c>
      <c r="L22" s="452" t="str">
        <f t="shared" si="18"/>
        <v>-</v>
      </c>
      <c r="M22" s="452" t="str">
        <f t="shared" si="18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512"/>
      <c r="X22" s="512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1"/>
        <v>-</v>
      </c>
      <c r="BD22" s="429" t="str">
        <f>B18</f>
        <v>Warm</v>
      </c>
      <c r="BE22" s="435" t="str">
        <f t="shared" ref="BE22:BL22" si="19">F21</f>
        <v>-</v>
      </c>
      <c r="BF22" s="435" t="str">
        <f t="shared" si="19"/>
        <v>-</v>
      </c>
      <c r="BG22" s="435" t="str">
        <f t="shared" si="19"/>
        <v>-</v>
      </c>
      <c r="BH22" s="435" t="str">
        <f t="shared" si="19"/>
        <v>-</v>
      </c>
      <c r="BI22" s="435" t="str">
        <f t="shared" si="19"/>
        <v>-</v>
      </c>
      <c r="BJ22" s="435" t="str">
        <f t="shared" si="19"/>
        <v>-</v>
      </c>
      <c r="BK22" s="435" t="str">
        <f t="shared" si="19"/>
        <v>-</v>
      </c>
      <c r="BL22" s="435" t="str">
        <f t="shared" si="19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512"/>
      <c r="X23" s="512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1"/>
        <v>-</v>
      </c>
      <c r="BD23" s="429" t="str">
        <f>B23</f>
        <v>Hot 1</v>
      </c>
      <c r="BE23" s="435" t="str">
        <f t="shared" ref="BE23:BL23" si="20">F26</f>
        <v>-</v>
      </c>
      <c r="BF23" s="435" t="str">
        <f t="shared" si="20"/>
        <v>-</v>
      </c>
      <c r="BG23" s="435" t="str">
        <f t="shared" si="20"/>
        <v>-</v>
      </c>
      <c r="BH23" s="435" t="str">
        <f t="shared" si="20"/>
        <v>-</v>
      </c>
      <c r="BI23" s="435" t="str">
        <f t="shared" si="20"/>
        <v>-</v>
      </c>
      <c r="BJ23" s="435" t="str">
        <f t="shared" si="20"/>
        <v>-</v>
      </c>
      <c r="BK23" s="435" t="str">
        <f t="shared" si="20"/>
        <v>-</v>
      </c>
      <c r="BL23" s="435" t="str">
        <f t="shared" si="20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1"/>
        <v>-</v>
      </c>
      <c r="BD24" s="429" t="str">
        <f>B28</f>
        <v>Hot 2</v>
      </c>
      <c r="BE24" s="435" t="str">
        <f t="shared" ref="BE24:BL24" si="21">F31</f>
        <v>-</v>
      </c>
      <c r="BF24" s="435" t="str">
        <f t="shared" si="21"/>
        <v>-</v>
      </c>
      <c r="BG24" s="435" t="str">
        <f t="shared" si="21"/>
        <v>-</v>
      </c>
      <c r="BH24" s="435" t="str">
        <f t="shared" si="21"/>
        <v>-</v>
      </c>
      <c r="BI24" s="435" t="str">
        <f t="shared" si="21"/>
        <v>-</v>
      </c>
      <c r="BJ24" s="435" t="str">
        <f t="shared" si="21"/>
        <v>-</v>
      </c>
      <c r="BK24" s="435" t="str">
        <f t="shared" si="21"/>
        <v>-</v>
      </c>
      <c r="BL24" s="435" t="str">
        <f t="shared" si="21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M25" si="22">IF(OR(F24="-",F24=""),IF(OR(F23="-",F23=""),"-",F23),IF(OR(F23="-",F23=""),F24,(F23+F24)/2))</f>
        <v>-</v>
      </c>
      <c r="G25" s="445" t="str">
        <f t="shared" si="22"/>
        <v>-</v>
      </c>
      <c r="H25" s="445" t="str">
        <f t="shared" si="22"/>
        <v>-</v>
      </c>
      <c r="I25" s="445" t="str">
        <f t="shared" si="22"/>
        <v>-</v>
      </c>
      <c r="J25" s="445" t="str">
        <f t="shared" si="22"/>
        <v>-</v>
      </c>
      <c r="K25" s="446" t="str">
        <f t="shared" si="22"/>
        <v>-</v>
      </c>
      <c r="L25" s="446" t="str">
        <f t="shared" si="22"/>
        <v>-</v>
      </c>
      <c r="M25" s="446" t="str">
        <f t="shared" si="22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512"/>
      <c r="X25" s="512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1"/>
        <v>-</v>
      </c>
      <c r="BD25" s="429" t="str">
        <f>"IEF " &amp;B12</f>
        <v>IEF Cold</v>
      </c>
      <c r="BE25" s="435" t="str">
        <f t="shared" ref="BE25:BL25" si="23">IF(AND(OR($C15="-",$C15="CET",$C15=""),OR(F12="-",F12="CET",F12="")),"-",IF(OR(F12="CET",F12="-",F12=""),IF(OR($C15="CET",$C15="-",$C15=""),"-",$C15),F12))</f>
        <v>-</v>
      </c>
      <c r="BF25" s="435" t="str">
        <f t="shared" si="23"/>
        <v>-</v>
      </c>
      <c r="BG25" s="435" t="str">
        <f t="shared" si="23"/>
        <v>-</v>
      </c>
      <c r="BH25" s="435" t="str">
        <f t="shared" si="23"/>
        <v>-</v>
      </c>
      <c r="BI25" s="435" t="str">
        <f t="shared" si="23"/>
        <v>-</v>
      </c>
      <c r="BJ25" s="435" t="str">
        <f t="shared" si="23"/>
        <v>-</v>
      </c>
      <c r="BK25" s="435" t="str">
        <f t="shared" si="23"/>
        <v>-</v>
      </c>
      <c r="BL25" s="435" t="str">
        <f t="shared" si="23"/>
        <v>-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M26" si="24">IF(OR($C25="-",$C25="CET",$C25=""),"-",IF(AND(NOT(F25="-"),NOT(F$5="-"),NOT(F$5="")),F25/F$5,"-"))</f>
        <v>-</v>
      </c>
      <c r="G26" s="448" t="str">
        <f t="shared" si="24"/>
        <v>-</v>
      </c>
      <c r="H26" s="448" t="str">
        <f t="shared" si="24"/>
        <v>-</v>
      </c>
      <c r="I26" s="448" t="str">
        <f t="shared" si="24"/>
        <v>-</v>
      </c>
      <c r="J26" s="448" t="str">
        <f t="shared" si="24"/>
        <v>-</v>
      </c>
      <c r="K26" s="449" t="str">
        <f t="shared" si="24"/>
        <v>-</v>
      </c>
      <c r="L26" s="449" t="str">
        <f t="shared" si="24"/>
        <v>-</v>
      </c>
      <c r="M26" s="449" t="str">
        <f t="shared" si="2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512"/>
      <c r="X26" s="512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1"/>
        <v>-</v>
      </c>
      <c r="BD26" s="429" t="str">
        <f>"IEF " &amp; B18</f>
        <v>IEF Warm</v>
      </c>
      <c r="BE26" s="435">
        <f t="shared" ref="BE26:BL26" si="25">IF(OR($C20="CET",$C20="-",$C20=""),"-",$C20)</f>
        <v>1</v>
      </c>
      <c r="BF26" s="435">
        <f t="shared" si="25"/>
        <v>1</v>
      </c>
      <c r="BG26" s="435">
        <f t="shared" si="25"/>
        <v>1</v>
      </c>
      <c r="BH26" s="435">
        <f t="shared" si="25"/>
        <v>1</v>
      </c>
      <c r="BI26" s="435">
        <f t="shared" si="25"/>
        <v>1</v>
      </c>
      <c r="BJ26" s="435">
        <f t="shared" si="25"/>
        <v>1</v>
      </c>
      <c r="BK26" s="435">
        <f t="shared" si="25"/>
        <v>1</v>
      </c>
      <c r="BL26" s="435">
        <f t="shared" si="25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6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6"/>
        <v>-</v>
      </c>
      <c r="H27" s="451" t="str">
        <f t="shared" si="26"/>
        <v>-</v>
      </c>
      <c r="I27" s="451" t="str">
        <f t="shared" si="26"/>
        <v>-</v>
      </c>
      <c r="J27" s="451" t="str">
        <f t="shared" si="26"/>
        <v>-</v>
      </c>
      <c r="K27" s="452" t="str">
        <f t="shared" si="26"/>
        <v>-</v>
      </c>
      <c r="L27" s="452" t="str">
        <f t="shared" si="26"/>
        <v>-</v>
      </c>
      <c r="M27" s="452" t="str">
        <f t="shared" si="26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512"/>
      <c r="X27" s="512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1"/>
        <v>-</v>
      </c>
      <c r="BD27" s="429" t="str">
        <f>"IEF " &amp; B23</f>
        <v>IEF Hot 1</v>
      </c>
      <c r="BE27" s="435">
        <f t="shared" ref="BE27:BL27" si="27">IF(OR($C25="CET",$C25="-",$C25=""),"-",$C25)</f>
        <v>1</v>
      </c>
      <c r="BF27" s="435">
        <f t="shared" si="27"/>
        <v>1</v>
      </c>
      <c r="BG27" s="435">
        <f t="shared" si="27"/>
        <v>1</v>
      </c>
      <c r="BH27" s="435">
        <f t="shared" si="27"/>
        <v>1</v>
      </c>
      <c r="BI27" s="435">
        <f t="shared" si="27"/>
        <v>1</v>
      </c>
      <c r="BJ27" s="435">
        <f t="shared" si="27"/>
        <v>1</v>
      </c>
      <c r="BK27" s="435">
        <f t="shared" si="27"/>
        <v>1</v>
      </c>
      <c r="BL27" s="435">
        <f t="shared" si="27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512"/>
      <c r="X28" s="512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1"/>
        <v>-</v>
      </c>
      <c r="BD28" s="429" t="str">
        <f>"IEF " &amp; B28</f>
        <v>IEF Hot 2</v>
      </c>
      <c r="BE28" s="435">
        <f t="shared" ref="BE28:BL28" si="28">IF(OR($C30="CET",$C30="-",$C30=""),"-",$C30)</f>
        <v>1</v>
      </c>
      <c r="BF28" s="435">
        <f t="shared" si="28"/>
        <v>1</v>
      </c>
      <c r="BG28" s="435">
        <f t="shared" si="28"/>
        <v>1</v>
      </c>
      <c r="BH28" s="435">
        <f t="shared" si="28"/>
        <v>1</v>
      </c>
      <c r="BI28" s="435">
        <f t="shared" si="28"/>
        <v>1</v>
      </c>
      <c r="BJ28" s="435">
        <f t="shared" si="28"/>
        <v>1</v>
      </c>
      <c r="BK28" s="435">
        <f t="shared" si="28"/>
        <v>1</v>
      </c>
      <c r="BL28" s="435">
        <f t="shared" si="28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1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M30" si="29">IF(OR(F29="-",F29=""),IF(OR(F28="-",F28=""),"-",F28),IF(OR(F28="-",F28=""),F29,(F28+F29)/2))</f>
        <v>-</v>
      </c>
      <c r="G30" s="445" t="str">
        <f t="shared" si="29"/>
        <v>-</v>
      </c>
      <c r="H30" s="445" t="str">
        <f t="shared" si="29"/>
        <v>-</v>
      </c>
      <c r="I30" s="445" t="str">
        <f t="shared" si="29"/>
        <v>-</v>
      </c>
      <c r="J30" s="445" t="str">
        <f t="shared" si="29"/>
        <v>-</v>
      </c>
      <c r="K30" s="446" t="str">
        <f t="shared" si="29"/>
        <v>-</v>
      </c>
      <c r="L30" s="446" t="str">
        <f t="shared" si="29"/>
        <v>-</v>
      </c>
      <c r="M30" s="446" t="str">
        <f t="shared" si="29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512"/>
      <c r="X30" s="512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1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M31" si="30">IF(OR($C30="-",$C30="CET",$C30=""),"-",IF(AND(NOT(F30="-"),NOT(F$5="-"),NOT(F$5="")),F30/F$5,"-"))</f>
        <v>-</v>
      </c>
      <c r="G31" s="448" t="str">
        <f t="shared" si="30"/>
        <v>-</v>
      </c>
      <c r="H31" s="448" t="str">
        <f t="shared" si="30"/>
        <v>-</v>
      </c>
      <c r="I31" s="448" t="str">
        <f t="shared" si="30"/>
        <v>-</v>
      </c>
      <c r="J31" s="448" t="str">
        <f t="shared" si="30"/>
        <v>-</v>
      </c>
      <c r="K31" s="449" t="str">
        <f t="shared" si="30"/>
        <v>-</v>
      </c>
      <c r="L31" s="449" t="str">
        <f t="shared" si="30"/>
        <v>-</v>
      </c>
      <c r="M31" s="449" t="str">
        <f t="shared" si="30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512"/>
      <c r="X31" s="512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1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3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31"/>
        <v>-</v>
      </c>
      <c r="H32" s="451" t="str">
        <f t="shared" si="31"/>
        <v>-</v>
      </c>
      <c r="I32" s="451" t="str">
        <f t="shared" si="31"/>
        <v>-</v>
      </c>
      <c r="J32" s="451" t="str">
        <f t="shared" si="31"/>
        <v>-</v>
      </c>
      <c r="K32" s="452" t="str">
        <f t="shared" si="31"/>
        <v>-</v>
      </c>
      <c r="L32" s="452" t="str">
        <f t="shared" si="31"/>
        <v>-</v>
      </c>
      <c r="M32" s="452" t="str">
        <f t="shared" si="31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1"/>
        <v>-</v>
      </c>
    </row>
    <row r="33" spans="1:64" s="405" customFormat="1" ht="15" customHeight="1" x14ac:dyDescent="0.25">
      <c r="A33" s="401"/>
      <c r="B33" s="401"/>
      <c r="C33" s="401"/>
      <c r="D33" s="401"/>
      <c r="E33" s="401"/>
      <c r="F33" s="401"/>
      <c r="G33" s="401"/>
      <c r="H33" s="401"/>
      <c r="I33" s="401"/>
      <c r="J33" s="401"/>
      <c r="K33" s="458"/>
      <c r="L33" s="458"/>
      <c r="M33" s="458"/>
      <c r="N33" s="401"/>
      <c r="O33" s="401"/>
      <c r="P33" s="401"/>
      <c r="Q33" s="401"/>
      <c r="R33" s="401"/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  <c r="AE33" s="401"/>
      <c r="AF33" s="401"/>
      <c r="AG33" s="401"/>
      <c r="AH33" s="401"/>
      <c r="AI33" s="401"/>
      <c r="AJ33" s="401"/>
      <c r="AK33" s="401"/>
      <c r="AL33" s="401"/>
      <c r="AM33" s="401"/>
      <c r="AN33" s="401"/>
      <c r="AO33" s="401"/>
      <c r="AP33" s="401"/>
      <c r="AQ33" s="401"/>
      <c r="AR33" s="401"/>
      <c r="AS33" s="401"/>
      <c r="AT33" s="401"/>
      <c r="AU33" s="401"/>
      <c r="AV33" s="401"/>
      <c r="AW33" s="401"/>
      <c r="AX33" s="401"/>
      <c r="AY33" s="401"/>
      <c r="AZ33" s="401"/>
      <c r="BA33" s="401"/>
      <c r="BB33" s="401"/>
      <c r="BC33" s="401" t="str">
        <f t="shared" si="11"/>
        <v>-</v>
      </c>
    </row>
    <row r="34" spans="1:64" s="405" customFormat="1" ht="15" customHeight="1" x14ac:dyDescent="0.25">
      <c r="A34" s="401"/>
      <c r="B34" s="401"/>
      <c r="C34" s="401"/>
      <c r="D34" s="401"/>
      <c r="E34" s="401"/>
      <c r="F34" s="401"/>
      <c r="G34" s="401"/>
      <c r="H34" s="401"/>
      <c r="I34" s="401"/>
      <c r="J34" s="401"/>
      <c r="K34" s="458"/>
      <c r="L34" s="458"/>
      <c r="M34" s="458"/>
      <c r="N34" s="401"/>
      <c r="O34" s="401"/>
      <c r="P34" s="401"/>
      <c r="Q34" s="401"/>
      <c r="R34" s="401"/>
      <c r="S34" s="401"/>
      <c r="T34" s="401"/>
      <c r="U34" s="401"/>
      <c r="V34" s="401"/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401"/>
      <c r="AL34" s="401"/>
      <c r="AM34" s="401"/>
      <c r="AN34" s="401"/>
      <c r="AO34" s="401"/>
      <c r="AP34" s="401"/>
      <c r="AQ34" s="401"/>
      <c r="AR34" s="401"/>
      <c r="AS34" s="401"/>
      <c r="AT34" s="401"/>
      <c r="AU34" s="401"/>
      <c r="AV34" s="401"/>
      <c r="AW34" s="401"/>
      <c r="AX34" s="401"/>
      <c r="AY34" s="401"/>
      <c r="AZ34" s="401"/>
      <c r="BA34" s="401"/>
      <c r="BB34" s="401"/>
      <c r="BC34" s="401"/>
    </row>
    <row r="35" spans="1:64" s="405" customFormat="1" ht="15" customHeight="1" thickBot="1" x14ac:dyDescent="0.3">
      <c r="A35" s="401"/>
      <c r="B35" s="401"/>
      <c r="C35" s="401"/>
      <c r="D35" s="401"/>
      <c r="E35" s="401"/>
      <c r="F35" s="401"/>
      <c r="G35" s="401"/>
      <c r="H35" s="401"/>
      <c r="I35" s="401"/>
      <c r="J35" s="401"/>
      <c r="K35" s="458"/>
      <c r="L35" s="458"/>
      <c r="M35" s="458"/>
      <c r="N35" s="401"/>
      <c r="O35" s="401"/>
      <c r="P35" s="401"/>
      <c r="Q35" s="401"/>
      <c r="R35" s="401"/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401"/>
      <c r="AL35" s="401"/>
      <c r="AM35" s="401"/>
      <c r="AN35" s="401"/>
      <c r="AO35" s="401"/>
      <c r="AP35" s="401"/>
      <c r="AQ35" s="401"/>
      <c r="AR35" s="401"/>
      <c r="AS35" s="401"/>
      <c r="AT35" s="401"/>
      <c r="AU35" s="401"/>
      <c r="AV35" s="401"/>
      <c r="AW35" s="401"/>
      <c r="AX35" s="401"/>
      <c r="AY35" s="401"/>
      <c r="AZ35" s="401"/>
      <c r="BA35" s="401"/>
      <c r="BB35" s="401"/>
      <c r="BC35" s="401"/>
    </row>
    <row r="36" spans="1:64" s="405" customFormat="1" ht="24.95" customHeight="1" thickBot="1" x14ac:dyDescent="0.3">
      <c r="A36" s="396"/>
      <c r="B36" s="415">
        <v>2</v>
      </c>
      <c r="C36" s="706" t="s">
        <v>238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IF(COUNTIF(F44:N59,"refused")&gt;0,"refused",IF(COUNTIF(F44:N59,"failed")&gt;0,"failed",IF(COUNTIF(F44:N59,"passed")&gt;0,"passed","-")))</f>
        <v>-</v>
      </c>
      <c r="Q36" s="399" t="s">
        <v>80</v>
      </c>
      <c r="R36" s="399" t="str">
        <f>IF(COUNT(F40:M41)&gt;0,"listed","not listed")</f>
        <v>not listed</v>
      </c>
      <c r="S36" s="511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AI36" s="401"/>
      <c r="AJ36" s="401"/>
      <c r="AK36" s="401"/>
      <c r="AL36" s="401"/>
      <c r="AM36" s="401"/>
      <c r="AN36" s="401"/>
      <c r="AO36" s="401"/>
      <c r="AP36" s="401"/>
      <c r="AQ36" s="401"/>
      <c r="AR36" s="401"/>
      <c r="AS36" s="401"/>
      <c r="AT36" s="401"/>
      <c r="AU36" s="401"/>
      <c r="AV36" s="401"/>
      <c r="AW36" s="401"/>
      <c r="AX36" s="401"/>
      <c r="AY36" s="401"/>
      <c r="AZ36" s="401"/>
      <c r="BA36" s="401"/>
      <c r="BB36" s="401"/>
      <c r="BC36" s="401" t="str">
        <f t="shared" ref="BC36:BC59" si="32">IF(COUNTIF(F36:M36,"refused")&gt;0,"refused",IF(COUNTIF(F36:M36,"failed")&gt;0,"failed",IF(COUNTIF(F36:M36,"passed")&gt;0,"passed","-")))</f>
        <v>-</v>
      </c>
    </row>
    <row r="37" spans="1:64" s="405" customFormat="1" ht="15" customHeight="1" outlineLevel="1" thickBot="1" x14ac:dyDescent="0.3">
      <c r="A37" s="396"/>
      <c r="B37" s="513"/>
      <c r="C37" s="514"/>
      <c r="D37" s="514"/>
      <c r="E37" s="514"/>
      <c r="F37" s="514"/>
      <c r="G37" s="514"/>
      <c r="H37" s="514"/>
      <c r="I37" s="514"/>
      <c r="J37" s="514"/>
      <c r="K37" s="421"/>
      <c r="L37" s="421"/>
      <c r="M37" s="421"/>
      <c r="N37" s="514"/>
      <c r="O37" s="514"/>
      <c r="P37" s="514"/>
      <c r="Q37" s="514"/>
      <c r="R37" s="514"/>
      <c r="S37" s="514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AI37" s="401"/>
      <c r="AJ37" s="401"/>
      <c r="AK37" s="401"/>
      <c r="AL37" s="401"/>
      <c r="AM37" s="401"/>
      <c r="AN37" s="401"/>
      <c r="AO37" s="401"/>
      <c r="AP37" s="401"/>
      <c r="AQ37" s="401"/>
      <c r="AR37" s="401"/>
      <c r="AS37" s="401"/>
      <c r="AT37" s="401"/>
      <c r="AU37" s="401"/>
      <c r="AV37" s="401"/>
      <c r="AW37" s="401"/>
      <c r="AX37" s="401"/>
      <c r="AY37" s="401"/>
      <c r="AZ37" s="401"/>
      <c r="BA37" s="401"/>
      <c r="BB37" s="401"/>
      <c r="BC37" s="401" t="str">
        <f t="shared" si="32"/>
        <v>-</v>
      </c>
    </row>
    <row r="38" spans="1:64" s="405" customFormat="1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512"/>
      <c r="X38" s="512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AI38" s="401"/>
      <c r="AJ38" s="401"/>
      <c r="AK38" s="401"/>
      <c r="AL38" s="401"/>
      <c r="AM38" s="401"/>
      <c r="AN38" s="401"/>
      <c r="AO38" s="401"/>
      <c r="AP38" s="401"/>
      <c r="AQ38" s="401"/>
      <c r="AR38" s="401"/>
      <c r="AS38" s="401"/>
      <c r="AT38" s="401"/>
      <c r="AU38" s="401"/>
      <c r="AV38" s="401"/>
      <c r="AW38" s="401"/>
      <c r="AX38" s="401"/>
      <c r="AY38" s="401"/>
      <c r="AZ38" s="401"/>
      <c r="BA38" s="401"/>
      <c r="BB38" s="401"/>
      <c r="BC38" s="401" t="str">
        <f t="shared" si="32"/>
        <v>-</v>
      </c>
    </row>
    <row r="39" spans="1:64" s="405" customFormat="1" ht="35.1" customHeight="1" outlineLevel="1" thickBot="1" x14ac:dyDescent="0.3">
      <c r="A39" s="396"/>
      <c r="B39" s="731" t="s">
        <v>84</v>
      </c>
      <c r="C39" s="732"/>
      <c r="D39" s="732"/>
      <c r="E39" s="733"/>
      <c r="F39" s="425" t="str">
        <f>F$4</f>
        <v>NMHC 
[g/km]</v>
      </c>
      <c r="G39" s="425" t="str">
        <f t="shared" ref="G39:N39" si="33">G$4</f>
        <v>THC
[g/km]</v>
      </c>
      <c r="H39" s="425" t="str">
        <f t="shared" si="33"/>
        <v>CO
[g/km]</v>
      </c>
      <c r="I39" s="425" t="str">
        <f t="shared" si="33"/>
        <v>NOx
[g/km]</v>
      </c>
      <c r="J39" s="425" t="str">
        <f t="shared" si="33"/>
        <v>PM
[mg/km]</v>
      </c>
      <c r="K39" s="425" t="str">
        <f t="shared" si="33"/>
        <v>PN
[#/km]</v>
      </c>
      <c r="L39" s="426" t="str">
        <f t="shared" si="33"/>
        <v>Additional
component</v>
      </c>
      <c r="M39" s="426" t="str">
        <f t="shared" si="33"/>
        <v>Additional
component 2</v>
      </c>
      <c r="N39" s="425" t="str">
        <f t="shared" si="33"/>
        <v>CO2
[g/km]</v>
      </c>
      <c r="O39" s="669"/>
      <c r="P39" s="670"/>
      <c r="Q39" s="670"/>
      <c r="R39" s="671"/>
      <c r="S39" s="669"/>
      <c r="T39" s="670"/>
      <c r="U39" s="670"/>
      <c r="V39" s="671"/>
      <c r="W39" s="512"/>
      <c r="X39" s="512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401"/>
      <c r="AJ39" s="401"/>
      <c r="AK39" s="401"/>
      <c r="AL39" s="401"/>
      <c r="AM39" s="401"/>
      <c r="AN39" s="401"/>
      <c r="AO39" s="401"/>
      <c r="AP39" s="401"/>
      <c r="AQ39" s="401"/>
      <c r="AR39" s="401"/>
      <c r="AS39" s="401"/>
      <c r="AT39" s="401"/>
      <c r="AU39" s="401"/>
      <c r="AV39" s="401"/>
      <c r="AW39" s="401"/>
      <c r="AX39" s="401"/>
      <c r="AY39" s="401"/>
      <c r="AZ39" s="401"/>
      <c r="BA39" s="401"/>
      <c r="BB39" s="401"/>
      <c r="BC39" s="401" t="str">
        <f t="shared" si="32"/>
        <v>-</v>
      </c>
    </row>
    <row r="40" spans="1:64" s="405" customFormat="1" ht="15" customHeight="1" outlineLevel="1" x14ac:dyDescent="0.25">
      <c r="A40" s="396"/>
      <c r="B40" s="724" t="s">
        <v>102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4"/>
      <c r="S40" s="672"/>
      <c r="T40" s="673"/>
      <c r="U40" s="673"/>
      <c r="V40" s="674"/>
      <c r="W40" s="512"/>
      <c r="X40" s="512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401"/>
      <c r="AJ40" s="401"/>
      <c r="AK40" s="401"/>
      <c r="AL40" s="401"/>
      <c r="AM40" s="401"/>
      <c r="AN40" s="401"/>
      <c r="AO40" s="401"/>
      <c r="AP40" s="401"/>
      <c r="AQ40" s="401"/>
      <c r="AR40" s="401"/>
      <c r="AS40" s="401"/>
      <c r="AT40" s="401"/>
      <c r="AU40" s="401"/>
      <c r="AV40" s="401"/>
      <c r="AW40" s="401"/>
      <c r="AX40" s="401"/>
      <c r="AY40" s="401"/>
      <c r="AZ40" s="401"/>
      <c r="BA40" s="401"/>
      <c r="BB40" s="401"/>
      <c r="BC40" s="401" t="str">
        <f t="shared" si="32"/>
        <v>-</v>
      </c>
    </row>
    <row r="41" spans="1:64" s="405" customFormat="1" ht="15" customHeight="1" outlineLevel="1" thickBot="1" x14ac:dyDescent="0.3">
      <c r="A41" s="439"/>
      <c r="B41" s="725"/>
      <c r="C41" s="702"/>
      <c r="D41" s="685"/>
      <c r="E41" s="461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4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32"/>
        <v>-</v>
      </c>
    </row>
    <row r="42" spans="1:64" s="405" customFormat="1" ht="15" customHeight="1" outlineLevel="1" thickBot="1" x14ac:dyDescent="0.3">
      <c r="A42" s="396"/>
      <c r="B42" s="725"/>
      <c r="C42" s="686">
        <v>1</v>
      </c>
      <c r="D42" s="689" t="str">
        <f>IF(AND(F43="-",G43="-",H43="-",I43="-",J43="-",K43="-",L43="-",M43="-"),"-",MAX(F43,G43,H43,I43,J43,K43,L43,M43))</f>
        <v>-</v>
      </c>
      <c r="E42" s="462" t="s">
        <v>96</v>
      </c>
      <c r="F42" s="445" t="str">
        <f t="shared" ref="F42:N42" si="34">IF(OR(F41="-",F41=""),IF(OR(F40="-",F40=""),"-",F40),IF(OR(F40="-",F40=""),F41,(F40+F41)/2))</f>
        <v>-</v>
      </c>
      <c r="G42" s="445" t="str">
        <f t="shared" si="34"/>
        <v>-</v>
      </c>
      <c r="H42" s="445" t="str">
        <f t="shared" si="34"/>
        <v>-</v>
      </c>
      <c r="I42" s="445" t="str">
        <f t="shared" si="34"/>
        <v>-</v>
      </c>
      <c r="J42" s="445" t="str">
        <f t="shared" si="34"/>
        <v>-</v>
      </c>
      <c r="K42" s="446" t="str">
        <f t="shared" si="34"/>
        <v>-</v>
      </c>
      <c r="L42" s="446" t="str">
        <f t="shared" si="34"/>
        <v>-</v>
      </c>
      <c r="M42" s="446" t="str">
        <f t="shared" si="34"/>
        <v>-</v>
      </c>
      <c r="N42" s="445" t="str">
        <f t="shared" si="34"/>
        <v>-</v>
      </c>
      <c r="O42" s="672"/>
      <c r="P42" s="673"/>
      <c r="Q42" s="673"/>
      <c r="R42" s="674"/>
      <c r="S42" s="672"/>
      <c r="T42" s="673"/>
      <c r="U42" s="673"/>
      <c r="V42" s="674"/>
      <c r="W42" s="512"/>
      <c r="X42" s="512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AI42" s="401"/>
      <c r="AJ42" s="401"/>
      <c r="AK42" s="401"/>
      <c r="AL42" s="401"/>
      <c r="AM42" s="401"/>
      <c r="AN42" s="401"/>
      <c r="AO42" s="401"/>
      <c r="AP42" s="401"/>
      <c r="AQ42" s="401"/>
      <c r="AR42" s="401"/>
      <c r="AS42" s="401"/>
      <c r="AT42" s="401"/>
      <c r="AU42" s="401"/>
      <c r="AV42" s="401"/>
      <c r="AW42" s="401"/>
      <c r="AX42" s="401"/>
      <c r="AY42" s="401"/>
      <c r="AZ42" s="401"/>
      <c r="BA42" s="401"/>
      <c r="BB42" s="401"/>
      <c r="BC42" s="401" t="str">
        <f t="shared" si="32"/>
        <v>-</v>
      </c>
    </row>
    <row r="43" spans="1:64" s="405" customFormat="1" ht="15" customHeight="1" outlineLevel="1" thickBot="1" x14ac:dyDescent="0.3">
      <c r="A43" s="396"/>
      <c r="B43" s="725"/>
      <c r="C43" s="687"/>
      <c r="D43" s="690"/>
      <c r="E43" s="447" t="s">
        <v>97</v>
      </c>
      <c r="F43" s="448" t="str">
        <f t="shared" ref="F43:N43" si="35">IF(OR($C42="-",$C42="CET",$C42=""),"-",IF(AND(NOT(F42="-"),NOT(F$5="-"),NOT(F$5="")),F42/F$5,"-"))</f>
        <v>-</v>
      </c>
      <c r="G43" s="448" t="str">
        <f t="shared" si="35"/>
        <v>-</v>
      </c>
      <c r="H43" s="448" t="str">
        <f t="shared" si="35"/>
        <v>-</v>
      </c>
      <c r="I43" s="448" t="str">
        <f t="shared" si="35"/>
        <v>-</v>
      </c>
      <c r="J43" s="448" t="str">
        <f t="shared" si="35"/>
        <v>-</v>
      </c>
      <c r="K43" s="449" t="str">
        <f t="shared" si="35"/>
        <v>-</v>
      </c>
      <c r="L43" s="449" t="str">
        <f t="shared" si="35"/>
        <v>-</v>
      </c>
      <c r="M43" s="449" t="str">
        <f t="shared" si="35"/>
        <v>-</v>
      </c>
      <c r="N43" s="448" t="str">
        <f t="shared" si="35"/>
        <v>-</v>
      </c>
      <c r="O43" s="672"/>
      <c r="P43" s="673"/>
      <c r="Q43" s="673"/>
      <c r="R43" s="674"/>
      <c r="S43" s="672"/>
      <c r="T43" s="673"/>
      <c r="U43" s="673"/>
      <c r="V43" s="674"/>
      <c r="W43" s="512"/>
      <c r="X43" s="512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AI43" s="401"/>
      <c r="AJ43" s="401"/>
      <c r="AK43" s="401"/>
      <c r="AL43" s="401"/>
      <c r="AM43" s="401"/>
      <c r="AN43" s="401"/>
      <c r="AO43" s="401"/>
      <c r="AP43" s="401"/>
      <c r="AQ43" s="401"/>
      <c r="AR43" s="401"/>
      <c r="AS43" s="401"/>
      <c r="AT43" s="401"/>
      <c r="AU43" s="401"/>
      <c r="AV43" s="401"/>
      <c r="AW43" s="401"/>
      <c r="AX43" s="401"/>
      <c r="AY43" s="401"/>
      <c r="AZ43" s="401"/>
      <c r="BA43" s="401"/>
      <c r="BB43" s="401"/>
      <c r="BC43" s="401" t="str">
        <f t="shared" si="32"/>
        <v>-</v>
      </c>
    </row>
    <row r="44" spans="1:64" s="405" customFormat="1" ht="15" customHeight="1" outlineLevel="1" thickBot="1" x14ac:dyDescent="0.3">
      <c r="A44" s="396"/>
      <c r="B44" s="726"/>
      <c r="C44" s="688"/>
      <c r="D44" s="691"/>
      <c r="E44" s="451" t="s">
        <v>30</v>
      </c>
      <c r="F44" s="451" t="str">
        <f>IF(AND(OR(F40="-",F40=""),OR(F41="-",F41="")),"-",IF(OR($C42="-",$C42="",$C42="CET"),"-",IF(#REF!="not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>IF(AND(OR(G40="-",G40=""),OR(G41="-",G41="")),"-",IF(OR($C42="-",$C42="",$C42="CET"),"-",IF(#REF!="not listed","-",IF(NOT(G$5="-"),IF(AND(AND(NOT(G40=0),NOT(G40="-"),NOT(G40="")),AND(NOT(G41="-"),NOT(G41=0),NOT(G41=""))),IF(AND((G40+G41)/2&lt;1*G$5*IF(OR($C42="CET",$C42="-",$C42=""),"-",$C42),G40&lt;1.1*G$5*IF(OR($C42="CET",$C42="-",$C42=""),"-",$C42),G41&lt;1.1*G$5*IF(OR($C42="CET",$C42="-",$C42=""),"-",$C42)),"passed","refused"),IF(IF(OR(G40="-",G40=""),G41,G40)&lt;0.7*G$5*IF(OR($C42="CET",$C42="-",$C42=""),"-",$C42),"passed",IF(IF(OR(G40="-",G40=""),G41,G40)&lt;1.1*IF(OR($C42="CET",$C42="-",$C42=""),"-",$C42)*G$5,"failed","refused"))),"-"))))</f>
        <v>-</v>
      </c>
      <c r="H44" s="451" t="str">
        <f>IF(AND(OR(H40="-",H40=""),OR(H41="-",H41="")),"-",IF(OR($C42="-",$C42="",$C42="CET"),"-",IF(#REF!="not listed","-",IF(NOT(H$5="-"),IF(AND(AND(NOT(H40=0),NOT(H40="-"),NOT(H40="")),AND(NOT(H41="-"),NOT(H41=0),NOT(H41=""))),IF(AND((H40+H41)/2&lt;1*H$5*IF(OR($C42="CET",$C42="-",$C42=""),"-",$C42),H40&lt;1.1*H$5*IF(OR($C42="CET",$C42="-",$C42=""),"-",$C42),H41&lt;1.1*H$5*IF(OR($C42="CET",$C42="-",$C42=""),"-",$C42)),"passed","refused"),IF(IF(OR(H40="-",H40=""),H41,H40)&lt;0.7*H$5*IF(OR($C42="CET",$C42="-",$C42=""),"-",$C42),"passed",IF(IF(OR(H40="-",H40=""),H41,H40)&lt;1.1*IF(OR($C42="CET",$C42="-",$C42=""),"-",$C42)*H$5,"failed","refused"))),"-"))))</f>
        <v>-</v>
      </c>
      <c r="I44" s="451" t="str">
        <f>IF(AND(OR(I40="-",I40=""),OR(I41="-",I41="")),"-",IF(OR($C42="-",$C42="",$C42="CET"),"-",IF(#REF!="not listed","-",IF(NOT(I$5="-"),IF(AND(AND(NOT(I40=0),NOT(I40="-"),NOT(I40="")),AND(NOT(I41="-"),NOT(I41=0),NOT(I41=""))),IF(AND((I40+I41)/2&lt;1*I$5*IF(OR($C42="CET",$C42="-",$C42=""),"-",$C42),I40&lt;1.1*I$5*IF(OR($C42="CET",$C42="-",$C42=""),"-",$C42),I41&lt;1.1*I$5*IF(OR($C42="CET",$C42="-",$C42=""),"-",$C42)),"passed","refused"),IF(IF(OR(I40="-",I40=""),I41,I40)&lt;0.7*I$5*IF(OR($C42="CET",$C42="-",$C42=""),"-",$C42),"passed",IF(IF(OR(I40="-",I40=""),I41,I40)&lt;1.1*IF(OR($C42="CET",$C42="-",$C42=""),"-",$C42)*I$5,"failed","refused"))),"-"))))</f>
        <v>-</v>
      </c>
      <c r="J44" s="451" t="str">
        <f>IF(AND(OR(J40="-",J40=""),OR(J41="-",J41="")),"-",IF(OR($C42="-",$C42="",$C42="CET"),"-",IF(#REF!="not listed","-",IF(NOT(J$5="-"),IF(AND(AND(NOT(J40=0),NOT(J40="-"),NOT(J40="")),AND(NOT(J41="-"),NOT(J41=0),NOT(J41=""))),IF(AND((J40+J41)/2&lt;1*J$5*IF(OR($C42="CET",$C42="-",$C42=""),"-",$C42),J40&lt;1.1*J$5*IF(OR($C42="CET",$C42="-",$C42=""),"-",$C42),J41&lt;1.1*J$5*IF(OR($C42="CET",$C42="-",$C42=""),"-",$C42)),"passed","refused"),IF(IF(OR(J40="-",J40=""),J41,J40)&lt;0.7*J$5*IF(OR($C42="CET",$C42="-",$C42=""),"-",$C42),"passed",IF(IF(OR(J40="-",J40=""),J41,J40)&lt;1.1*IF(OR($C42="CET",$C42="-",$C42=""),"-",$C42)*J$5,"failed","refused"))),"-"))))</f>
        <v>-</v>
      </c>
      <c r="K44" s="452" t="str">
        <f>IF(AND(OR(K40="-",K40=""),OR(K41="-",K41="")),"-",IF(OR($C42="-",$C42="",$C42="CET"),"-",IF(#REF!="not listed","-",IF(NOT(K$5="-"),IF(AND(AND(NOT(K40=0),NOT(K40="-"),NOT(K40="")),AND(NOT(K41="-"),NOT(K41=0),NOT(K41=""))),IF(AND((K40+K41)/2&lt;1*K$5*IF(OR($C42="CET",$C42="-",$C42=""),"-",$C42),K40&lt;1.1*K$5*IF(OR($C42="CET",$C42="-",$C42=""),"-",$C42),K41&lt;1.1*K$5*IF(OR($C42="CET",$C42="-",$C42=""),"-",$C42)),"passed","refused"),IF(IF(OR(K40="-",K40=""),K41,K40)&lt;0.7*K$5*IF(OR($C42="CET",$C42="-",$C42=""),"-",$C42),"passed",IF(IF(OR(K40="-",K40=""),K41,K40)&lt;1.1*IF(OR($C42="CET",$C42="-",$C42=""),"-",$C42)*K$5,"failed","refused"))),"-"))))</f>
        <v>-</v>
      </c>
      <c r="L44" s="452" t="str">
        <f>IF(AND(OR(L40="-",L40=""),OR(L41="-",L41="")),"-",IF(OR($C42="-",$C42="",$C42="CET"),"-",IF(#REF!="not listed","-",IF(NOT(L$5="-"),IF(AND(AND(NOT(L40=0),NOT(L40="-"),NOT(L40="")),AND(NOT(L41="-"),NOT(L41=0),NOT(L41=""))),IF(AND((L40+L41)/2&lt;1*L$5*IF(OR($C42="CET",$C42="-",$C42=""),"-",$C42),L40&lt;1.1*L$5*IF(OR($C42="CET",$C42="-",$C42=""),"-",$C42),L41&lt;1.1*L$5*IF(OR($C42="CET",$C42="-",$C42=""),"-",$C42)),"passed","refused"),IF(IF(OR(L40="-",L40=""),L41,L40)&lt;0.7*L$5*IF(OR($C42="CET",$C42="-",$C42=""),"-",$C42),"passed",IF(IF(OR(L40="-",L40=""),L41,L40)&lt;1.1*IF(OR($C42="CET",$C42="-",$C42=""),"-",$C42)*L$5,"failed","refused"))),"-"))))</f>
        <v>-</v>
      </c>
      <c r="M44" s="452" t="str">
        <f>IF(AND(OR(M40="-",M40=""),OR(M41="-",M41="")),"-",IF(OR($C42="-",$C42="",$C42="CET"),"-",IF(#REF!="not listed","-",IF(NOT(M$5="-"),IF(AND(AND(NOT(M40=0),NOT(M40="-"),NOT(M40="")),AND(NOT(M41="-"),NOT(M41=0),NOT(M41=""))),IF(AND((M40+M41)/2&lt;1*M$5*IF(OR($C42="CET",$C42="-",$C42=""),"-",$C42),M40&lt;1.1*M$5*IF(OR($C42="CET",$C42="-",$C42=""),"-",$C42),M41&lt;1.1*M$5*IF(OR($C42="CET",$C42="-",$C42=""),"-",$C42)),"passed","refused"),IF(IF(OR(M40="-",M40=""),M41,M40)&lt;0.7*M$5*IF(OR($C42="CET",$C42="-",$C42=""),"-",$C42),"passed",IF(IF(OR(M40="-",M40=""),M41,M40)&lt;1.1*IF(OR($C42="CET",$C42="-",$C42=""),"-",$C42)*M$5,"failed","refused"))),"-"))))</f>
        <v>-</v>
      </c>
      <c r="N44" s="451" t="str">
        <f>IF(AND(OR(N40="-",N40=""),OR(N41="-",N41="")),"-",IF(OR($C42="-",$C42="",$C42="CET"),"-",IF(#REF!="not listed","-",IF(NOT(N$5="-"),IF(AND(AND(NOT(N40=0),NOT(N40="-"),NOT(N40="")),AND(NOT(N41="-"),NOT(N41=0),NOT(N41=""))),IF(AND((N40+N41)/2&lt;1*N$5*IF(OR($C42="CET",$C42="-",$C42=""),"-",$C42),N40&lt;1.1*N$5*IF(OR($C42="CET",$C42="-",$C42=""),"-",$C42),N41&lt;1.1*N$5*IF(OR($C42="CET",$C42="-",$C42=""),"-",$C42)),"passed","refused"),IF(IF(OR(N40="-",N40=""),N41,N40)&lt;0.7*N$5*IF(OR($C42="CET",$C42="-",$C42=""),"-",$C42),"passed",IF(IF(OR(N40="-",N40=""),N41,N40)&lt;1.1*IF(OR($C42="CET",$C42="-",$C42=""),"-",$C42)*N$5,"failed","refused"))),"-"))))</f>
        <v>-</v>
      </c>
      <c r="O44" s="672"/>
      <c r="P44" s="673"/>
      <c r="Q44" s="673"/>
      <c r="R44" s="674"/>
      <c r="S44" s="672"/>
      <c r="T44" s="673"/>
      <c r="U44" s="673"/>
      <c r="V44" s="674"/>
      <c r="W44" s="512"/>
      <c r="X44" s="512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AI44" s="401"/>
      <c r="AJ44" s="401"/>
      <c r="AK44" s="401"/>
      <c r="AL44" s="401"/>
      <c r="AM44" s="401"/>
      <c r="AN44" s="401"/>
      <c r="AO44" s="401"/>
      <c r="AP44" s="401"/>
      <c r="AQ44" s="401"/>
      <c r="AR44" s="401"/>
      <c r="AS44" s="401"/>
      <c r="AT44" s="401"/>
      <c r="AU44" s="401"/>
      <c r="AV44" s="401"/>
      <c r="AW44" s="401"/>
      <c r="AX44" s="401"/>
      <c r="AY44" s="401"/>
      <c r="AZ44" s="401"/>
      <c r="BA44" s="401"/>
      <c r="BB44" s="401"/>
      <c r="BC44" s="401" t="str">
        <f t="shared" si="32"/>
        <v>-</v>
      </c>
      <c r="BD44" s="429" t="s">
        <v>85</v>
      </c>
      <c r="BE44" s="430" t="str">
        <f>F$4</f>
        <v>NMHC 
[g/km]</v>
      </c>
      <c r="BF44" s="430" t="str">
        <f t="shared" ref="BF44:BL44" si="36">G$4</f>
        <v>THC
[g/km]</v>
      </c>
      <c r="BG44" s="430" t="str">
        <f t="shared" si="36"/>
        <v>CO
[g/km]</v>
      </c>
      <c r="BH44" s="430" t="str">
        <f t="shared" si="36"/>
        <v>NOx
[g/km]</v>
      </c>
      <c r="BI44" s="430" t="str">
        <f t="shared" si="36"/>
        <v>PM
[mg/km]</v>
      </c>
      <c r="BJ44" s="430" t="str">
        <f t="shared" si="36"/>
        <v>PN
[#/km]</v>
      </c>
      <c r="BK44" s="430" t="str">
        <f t="shared" si="36"/>
        <v>Additional
component</v>
      </c>
      <c r="BL44" s="430" t="str">
        <f t="shared" si="36"/>
        <v>Additional
component 2</v>
      </c>
    </row>
    <row r="45" spans="1:64" s="405" customFormat="1" ht="15" customHeight="1" outlineLevel="1" x14ac:dyDescent="0.25">
      <c r="A45" s="396"/>
      <c r="B45" s="721"/>
      <c r="C45" s="668"/>
      <c r="D45" s="510"/>
      <c r="E45" s="510"/>
      <c r="F45" s="463"/>
      <c r="G45" s="463"/>
      <c r="H45" s="463"/>
      <c r="I45" s="463"/>
      <c r="J45" s="463"/>
      <c r="K45" s="464"/>
      <c r="L45" s="464"/>
      <c r="M45" s="464"/>
      <c r="N45" s="465"/>
      <c r="O45" s="672"/>
      <c r="P45" s="673"/>
      <c r="Q45" s="673"/>
      <c r="R45" s="674"/>
      <c r="S45" s="672"/>
      <c r="T45" s="673"/>
      <c r="U45" s="673"/>
      <c r="V45" s="674"/>
      <c r="W45" s="512"/>
      <c r="X45" s="512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401"/>
      <c r="AJ45" s="401"/>
      <c r="AK45" s="401"/>
      <c r="AL45" s="401"/>
      <c r="AM45" s="401"/>
      <c r="AN45" s="401"/>
      <c r="AO45" s="401"/>
      <c r="AP45" s="401"/>
      <c r="AQ45" s="401"/>
      <c r="AR45" s="401"/>
      <c r="AS45" s="401"/>
      <c r="AT45" s="401"/>
      <c r="AU45" s="401"/>
      <c r="AV45" s="401"/>
      <c r="AW45" s="401"/>
      <c r="AX45" s="401"/>
      <c r="AY45" s="401"/>
      <c r="AZ45" s="401"/>
      <c r="BA45" s="401"/>
      <c r="BB45" s="401"/>
      <c r="BC45" s="401" t="str">
        <f t="shared" si="32"/>
        <v>-</v>
      </c>
      <c r="BD45" s="429" t="str">
        <f>$E$4</f>
        <v>Other</v>
      </c>
      <c r="BE45" s="435">
        <v>1</v>
      </c>
      <c r="BF45" s="435">
        <v>1</v>
      </c>
      <c r="BG45" s="435">
        <v>1</v>
      </c>
      <c r="BH45" s="435">
        <v>1</v>
      </c>
      <c r="BI45" s="435">
        <v>1</v>
      </c>
      <c r="BJ45" s="435">
        <v>1</v>
      </c>
      <c r="BK45" s="435">
        <v>1</v>
      </c>
      <c r="BL45" s="435">
        <v>1</v>
      </c>
    </row>
    <row r="46" spans="1:64" s="405" customFormat="1" ht="15" customHeight="1" outlineLevel="1" x14ac:dyDescent="0.25">
      <c r="A46" s="396"/>
      <c r="B46" s="721"/>
      <c r="C46" s="668"/>
      <c r="D46" s="510"/>
      <c r="E46" s="510"/>
      <c r="F46" s="463"/>
      <c r="G46" s="463"/>
      <c r="H46" s="463"/>
      <c r="I46" s="463"/>
      <c r="J46" s="463"/>
      <c r="K46" s="464"/>
      <c r="L46" s="464"/>
      <c r="M46" s="464"/>
      <c r="N46" s="465"/>
      <c r="O46" s="672"/>
      <c r="P46" s="673"/>
      <c r="Q46" s="673"/>
      <c r="R46" s="674"/>
      <c r="S46" s="672"/>
      <c r="T46" s="673"/>
      <c r="U46" s="673"/>
      <c r="V46" s="674"/>
      <c r="W46" s="512"/>
      <c r="X46" s="512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401"/>
      <c r="AJ46" s="401"/>
      <c r="AK46" s="401"/>
      <c r="AL46" s="401"/>
      <c r="AM46" s="401"/>
      <c r="AN46" s="401"/>
      <c r="AO46" s="401"/>
      <c r="AP46" s="401"/>
      <c r="AQ46" s="401"/>
      <c r="AR46" s="401"/>
      <c r="AS46" s="401"/>
      <c r="AT46" s="401"/>
      <c r="AU46" s="401"/>
      <c r="AV46" s="401"/>
      <c r="AW46" s="401"/>
      <c r="AX46" s="401"/>
      <c r="AY46" s="401"/>
      <c r="AZ46" s="401"/>
      <c r="BA46" s="401"/>
      <c r="BB46" s="401"/>
      <c r="BC46" s="401" t="str">
        <f t="shared" si="32"/>
        <v>-</v>
      </c>
      <c r="BD46" s="429" t="str">
        <f>"1st " &amp;  B40</f>
        <v>1st WLTC 20°C</v>
      </c>
      <c r="BE46" s="435" t="str">
        <f t="shared" ref="BE46:BL46" si="37">IF((OR($C42="-",$C42="CET",$C42="")),"-",IF(AND(OR(F40="-",F40=""),OR(F41="-",F41="")),"-",IF(NOT(OR(F40="-",F40="")),F40/F$5,F41/F$5)))</f>
        <v>-</v>
      </c>
      <c r="BF46" s="435" t="str">
        <f t="shared" si="37"/>
        <v>-</v>
      </c>
      <c r="BG46" s="435" t="str">
        <f t="shared" si="37"/>
        <v>-</v>
      </c>
      <c r="BH46" s="435" t="str">
        <f t="shared" si="37"/>
        <v>-</v>
      </c>
      <c r="BI46" s="435" t="str">
        <f t="shared" si="37"/>
        <v>-</v>
      </c>
      <c r="BJ46" s="435" t="str">
        <f t="shared" si="37"/>
        <v>-</v>
      </c>
      <c r="BK46" s="435" t="str">
        <f t="shared" si="37"/>
        <v>-</v>
      </c>
      <c r="BL46" s="435" t="str">
        <f t="shared" si="37"/>
        <v>-</v>
      </c>
    </row>
    <row r="47" spans="1:64" s="405" customFormat="1" ht="15" customHeight="1" outlineLevel="1" x14ac:dyDescent="0.25">
      <c r="A47" s="396"/>
      <c r="B47" s="721"/>
      <c r="C47" s="668"/>
      <c r="D47" s="510"/>
      <c r="E47" s="510"/>
      <c r="F47" s="466"/>
      <c r="G47" s="466"/>
      <c r="H47" s="466"/>
      <c r="I47" s="466"/>
      <c r="J47" s="466"/>
      <c r="K47" s="464"/>
      <c r="L47" s="464"/>
      <c r="M47" s="464"/>
      <c r="N47" s="467"/>
      <c r="O47" s="672"/>
      <c r="P47" s="673"/>
      <c r="Q47" s="673"/>
      <c r="R47" s="674"/>
      <c r="S47" s="672"/>
      <c r="T47" s="673"/>
      <c r="U47" s="673"/>
      <c r="V47" s="674"/>
      <c r="W47" s="512"/>
      <c r="X47" s="512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1"/>
      <c r="AT47" s="401"/>
      <c r="AU47" s="401"/>
      <c r="AV47" s="401"/>
      <c r="AW47" s="401"/>
      <c r="AX47" s="401"/>
      <c r="AY47" s="401"/>
      <c r="AZ47" s="401"/>
      <c r="BA47" s="401"/>
      <c r="BB47" s="401"/>
      <c r="BC47" s="401" t="str">
        <f t="shared" si="32"/>
        <v>-</v>
      </c>
      <c r="BD47" s="429"/>
      <c r="BE47" s="435"/>
      <c r="BF47" s="435"/>
      <c r="BG47" s="435"/>
      <c r="BH47" s="435"/>
      <c r="BI47" s="435"/>
      <c r="BJ47" s="435"/>
      <c r="BK47" s="435"/>
      <c r="BL47" s="435"/>
    </row>
    <row r="48" spans="1:64" s="405" customFormat="1" ht="15" customHeight="1" outlineLevel="1" x14ac:dyDescent="0.25">
      <c r="A48" s="396"/>
      <c r="B48" s="721"/>
      <c r="C48" s="668"/>
      <c r="D48" s="510"/>
      <c r="E48" s="510"/>
      <c r="F48" s="466"/>
      <c r="G48" s="466"/>
      <c r="H48" s="466"/>
      <c r="I48" s="466"/>
      <c r="J48" s="466"/>
      <c r="K48" s="464"/>
      <c r="L48" s="464"/>
      <c r="M48" s="464"/>
      <c r="N48" s="467"/>
      <c r="O48" s="672"/>
      <c r="P48" s="673"/>
      <c r="Q48" s="673"/>
      <c r="R48" s="674"/>
      <c r="S48" s="672"/>
      <c r="T48" s="673"/>
      <c r="U48" s="673"/>
      <c r="V48" s="674"/>
      <c r="W48" s="512"/>
      <c r="X48" s="512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AI48" s="401"/>
      <c r="AJ48" s="401"/>
      <c r="AK48" s="401"/>
      <c r="AL48" s="401"/>
      <c r="AM48" s="401"/>
      <c r="AN48" s="401"/>
      <c r="AO48" s="401"/>
      <c r="AP48" s="401"/>
      <c r="AQ48" s="401"/>
      <c r="AR48" s="401"/>
      <c r="AS48" s="401"/>
      <c r="AT48" s="401"/>
      <c r="AU48" s="401"/>
      <c r="AV48" s="401"/>
      <c r="AW48" s="401"/>
      <c r="AX48" s="401"/>
      <c r="AY48" s="401"/>
      <c r="AZ48" s="401"/>
      <c r="BA48" s="401"/>
      <c r="BB48" s="401"/>
      <c r="BC48" s="401" t="str">
        <f t="shared" si="32"/>
        <v>-</v>
      </c>
      <c r="BD48" s="429"/>
      <c r="BE48" s="435"/>
      <c r="BF48" s="435"/>
      <c r="BG48" s="435"/>
      <c r="BH48" s="435"/>
      <c r="BI48" s="435"/>
      <c r="BJ48" s="435"/>
      <c r="BK48" s="435"/>
      <c r="BL48" s="435"/>
    </row>
    <row r="49" spans="1:64" s="405" customFormat="1" ht="15" customHeight="1" outlineLevel="1" x14ac:dyDescent="0.25">
      <c r="A49" s="404"/>
      <c r="B49" s="721"/>
      <c r="C49" s="668"/>
      <c r="D49" s="510"/>
      <c r="E49" s="510"/>
      <c r="F49" s="510"/>
      <c r="G49" s="510"/>
      <c r="H49" s="510"/>
      <c r="I49" s="510"/>
      <c r="J49" s="510"/>
      <c r="K49" s="464"/>
      <c r="L49" s="464"/>
      <c r="M49" s="464"/>
      <c r="N49" s="468"/>
      <c r="O49" s="672"/>
      <c r="P49" s="673"/>
      <c r="Q49" s="673"/>
      <c r="R49" s="674"/>
      <c r="S49" s="672"/>
      <c r="T49" s="673"/>
      <c r="U49" s="673"/>
      <c r="V49" s="674"/>
      <c r="W49" s="512"/>
      <c r="X49" s="512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1"/>
      <c r="AT49" s="401"/>
      <c r="AU49" s="401"/>
      <c r="AV49" s="401"/>
      <c r="AW49" s="401"/>
      <c r="AX49" s="401"/>
      <c r="AY49" s="401"/>
      <c r="AZ49" s="401"/>
      <c r="BA49" s="401"/>
      <c r="BB49" s="401"/>
      <c r="BC49" s="401" t="str">
        <f t="shared" si="32"/>
        <v>-</v>
      </c>
      <c r="BD49" s="429"/>
      <c r="BE49" s="435"/>
      <c r="BF49" s="435"/>
      <c r="BG49" s="435"/>
      <c r="BH49" s="435"/>
      <c r="BI49" s="435"/>
      <c r="BJ49" s="435"/>
      <c r="BK49" s="435"/>
      <c r="BL49" s="435"/>
    </row>
    <row r="50" spans="1:64" s="405" customFormat="1" ht="15" customHeight="1" outlineLevel="1" x14ac:dyDescent="0.25">
      <c r="A50" s="404"/>
      <c r="B50" s="721"/>
      <c r="C50" s="668"/>
      <c r="D50" s="510"/>
      <c r="E50" s="510"/>
      <c r="F50" s="463"/>
      <c r="G50" s="463"/>
      <c r="H50" s="463"/>
      <c r="I50" s="463"/>
      <c r="J50" s="463"/>
      <c r="K50" s="464"/>
      <c r="L50" s="464"/>
      <c r="M50" s="464"/>
      <c r="N50" s="465"/>
      <c r="O50" s="672"/>
      <c r="P50" s="673"/>
      <c r="Q50" s="673"/>
      <c r="R50" s="674"/>
      <c r="S50" s="672"/>
      <c r="T50" s="673"/>
      <c r="U50" s="673"/>
      <c r="V50" s="674"/>
      <c r="W50" s="512"/>
      <c r="X50" s="512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AI50" s="401"/>
      <c r="AJ50" s="401"/>
      <c r="AK50" s="401"/>
      <c r="AL50" s="401"/>
      <c r="AM50" s="401"/>
      <c r="AN50" s="401"/>
      <c r="AO50" s="401"/>
      <c r="AP50" s="401"/>
      <c r="AQ50" s="401"/>
      <c r="AR50" s="401"/>
      <c r="AS50" s="401"/>
      <c r="AT50" s="401"/>
      <c r="AU50" s="401"/>
      <c r="AV50" s="401"/>
      <c r="AW50" s="401"/>
      <c r="AX50" s="401"/>
      <c r="AY50" s="401"/>
      <c r="AZ50" s="401"/>
      <c r="BA50" s="401"/>
      <c r="BB50" s="401"/>
      <c r="BC50" s="401" t="str">
        <f t="shared" si="32"/>
        <v>-</v>
      </c>
      <c r="BD50" s="429" t="str">
        <f>"0.7*IEF " &amp; (B40)</f>
        <v>0.7*IEF WLTC 20°C</v>
      </c>
      <c r="BE50" s="435">
        <f t="shared" ref="BE50:BL50" si="38">IF(OR($C42="-",$C42="CET",$C42=""),"-",0.7*$C42)</f>
        <v>0.7</v>
      </c>
      <c r="BF50" s="435">
        <f t="shared" si="38"/>
        <v>0.7</v>
      </c>
      <c r="BG50" s="435">
        <f t="shared" si="38"/>
        <v>0.7</v>
      </c>
      <c r="BH50" s="435">
        <f t="shared" si="38"/>
        <v>0.7</v>
      </c>
      <c r="BI50" s="435">
        <f t="shared" si="38"/>
        <v>0.7</v>
      </c>
      <c r="BJ50" s="435">
        <f t="shared" si="38"/>
        <v>0.7</v>
      </c>
      <c r="BK50" s="435">
        <f t="shared" si="38"/>
        <v>0.7</v>
      </c>
      <c r="BL50" s="435">
        <f t="shared" si="38"/>
        <v>0.7</v>
      </c>
    </row>
    <row r="51" spans="1:64" s="405" customFormat="1" ht="15" customHeight="1" outlineLevel="1" x14ac:dyDescent="0.25">
      <c r="A51" s="404"/>
      <c r="B51" s="721"/>
      <c r="C51" s="668"/>
      <c r="D51" s="510"/>
      <c r="E51" s="510"/>
      <c r="F51" s="463"/>
      <c r="G51" s="463"/>
      <c r="H51" s="463"/>
      <c r="I51" s="463"/>
      <c r="J51" s="463"/>
      <c r="K51" s="464"/>
      <c r="L51" s="464"/>
      <c r="M51" s="464"/>
      <c r="N51" s="465"/>
      <c r="O51" s="672"/>
      <c r="P51" s="673"/>
      <c r="Q51" s="673"/>
      <c r="R51" s="674"/>
      <c r="S51" s="672"/>
      <c r="T51" s="673"/>
      <c r="U51" s="673"/>
      <c r="V51" s="674"/>
      <c r="W51" s="512"/>
      <c r="X51" s="512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1"/>
      <c r="AT51" s="401"/>
      <c r="AU51" s="401"/>
      <c r="AV51" s="401"/>
      <c r="AW51" s="401"/>
      <c r="AX51" s="401"/>
      <c r="AY51" s="401"/>
      <c r="AZ51" s="401"/>
      <c r="BA51" s="401"/>
      <c r="BB51" s="401"/>
      <c r="BC51" s="401" t="str">
        <f t="shared" si="32"/>
        <v>-</v>
      </c>
      <c r="BD51" s="429"/>
      <c r="BE51" s="435"/>
      <c r="BF51" s="435"/>
      <c r="BG51" s="435"/>
      <c r="BH51" s="435"/>
      <c r="BI51" s="435"/>
      <c r="BJ51" s="435"/>
      <c r="BK51" s="435"/>
      <c r="BL51" s="435"/>
    </row>
    <row r="52" spans="1:64" s="405" customFormat="1" ht="15" customHeight="1" outlineLevel="1" x14ac:dyDescent="0.25">
      <c r="A52" s="404"/>
      <c r="B52" s="721"/>
      <c r="C52" s="668"/>
      <c r="D52" s="510"/>
      <c r="E52" s="510"/>
      <c r="F52" s="466"/>
      <c r="G52" s="466"/>
      <c r="H52" s="466"/>
      <c r="I52" s="466"/>
      <c r="J52" s="466"/>
      <c r="K52" s="464"/>
      <c r="L52" s="464"/>
      <c r="M52" s="464"/>
      <c r="N52" s="467"/>
      <c r="O52" s="672"/>
      <c r="P52" s="673"/>
      <c r="Q52" s="673"/>
      <c r="R52" s="674"/>
      <c r="S52" s="672"/>
      <c r="T52" s="673"/>
      <c r="U52" s="673"/>
      <c r="V52" s="674"/>
      <c r="W52" s="512"/>
      <c r="X52" s="512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401"/>
      <c r="AJ52" s="401"/>
      <c r="AK52" s="401"/>
      <c r="AL52" s="401"/>
      <c r="AM52" s="401"/>
      <c r="AN52" s="401"/>
      <c r="AO52" s="401"/>
      <c r="AP52" s="401"/>
      <c r="AQ52" s="401"/>
      <c r="AR52" s="401"/>
      <c r="AS52" s="401"/>
      <c r="AT52" s="401"/>
      <c r="AU52" s="401"/>
      <c r="AV52" s="401"/>
      <c r="AW52" s="401"/>
      <c r="AX52" s="401"/>
      <c r="AY52" s="401"/>
      <c r="AZ52" s="401"/>
      <c r="BA52" s="401"/>
      <c r="BB52" s="401"/>
      <c r="BC52" s="401" t="str">
        <f t="shared" si="32"/>
        <v>-</v>
      </c>
      <c r="BD52" s="429"/>
      <c r="BE52" s="435"/>
      <c r="BF52" s="435"/>
      <c r="BG52" s="435"/>
      <c r="BH52" s="435"/>
      <c r="BI52" s="435"/>
      <c r="BJ52" s="435"/>
      <c r="BK52" s="435"/>
      <c r="BL52" s="435"/>
    </row>
    <row r="53" spans="1:64" s="405" customFormat="1" ht="15" customHeight="1" outlineLevel="1" x14ac:dyDescent="0.25">
      <c r="A53" s="404"/>
      <c r="B53" s="721"/>
      <c r="C53" s="668"/>
      <c r="D53" s="510"/>
      <c r="E53" s="510"/>
      <c r="F53" s="466"/>
      <c r="G53" s="466"/>
      <c r="H53" s="466"/>
      <c r="I53" s="466"/>
      <c r="J53" s="466"/>
      <c r="K53" s="464"/>
      <c r="L53" s="464"/>
      <c r="M53" s="464"/>
      <c r="N53" s="467"/>
      <c r="O53" s="672"/>
      <c r="P53" s="673"/>
      <c r="Q53" s="673"/>
      <c r="R53" s="674"/>
      <c r="S53" s="672"/>
      <c r="T53" s="673"/>
      <c r="U53" s="673"/>
      <c r="V53" s="674"/>
      <c r="W53" s="512"/>
      <c r="X53" s="512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1"/>
      <c r="AT53" s="401"/>
      <c r="AU53" s="401"/>
      <c r="AV53" s="401"/>
      <c r="AW53" s="401"/>
      <c r="AX53" s="401"/>
      <c r="AY53" s="401"/>
      <c r="AZ53" s="401"/>
      <c r="BA53" s="401"/>
      <c r="BB53" s="401"/>
      <c r="BC53" s="401" t="str">
        <f t="shared" si="32"/>
        <v>-</v>
      </c>
      <c r="BD53" s="429"/>
      <c r="BE53" s="435"/>
      <c r="BF53" s="435"/>
      <c r="BG53" s="435"/>
      <c r="BH53" s="435"/>
      <c r="BI53" s="435"/>
      <c r="BJ53" s="435"/>
      <c r="BK53" s="435"/>
      <c r="BL53" s="435"/>
    </row>
    <row r="54" spans="1:64" s="405" customFormat="1" ht="15" customHeight="1" outlineLevel="1" x14ac:dyDescent="0.25">
      <c r="A54" s="404"/>
      <c r="B54" s="721"/>
      <c r="C54" s="668"/>
      <c r="D54" s="510"/>
      <c r="E54" s="510"/>
      <c r="F54" s="510"/>
      <c r="G54" s="510"/>
      <c r="H54" s="510"/>
      <c r="I54" s="510"/>
      <c r="J54" s="510"/>
      <c r="K54" s="464"/>
      <c r="L54" s="464"/>
      <c r="M54" s="464"/>
      <c r="N54" s="468"/>
      <c r="O54" s="672"/>
      <c r="P54" s="673"/>
      <c r="Q54" s="673"/>
      <c r="R54" s="674"/>
      <c r="S54" s="672"/>
      <c r="T54" s="673"/>
      <c r="U54" s="673"/>
      <c r="V54" s="674"/>
      <c r="W54" s="512"/>
      <c r="X54" s="512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AI54" s="401"/>
      <c r="AJ54" s="401"/>
      <c r="AK54" s="401"/>
      <c r="AL54" s="401"/>
      <c r="AM54" s="401"/>
      <c r="AN54" s="401"/>
      <c r="AO54" s="401"/>
      <c r="AP54" s="401"/>
      <c r="AQ54" s="401"/>
      <c r="AR54" s="401"/>
      <c r="AS54" s="401"/>
      <c r="AT54" s="401"/>
      <c r="AU54" s="401"/>
      <c r="AV54" s="401"/>
      <c r="AW54" s="401"/>
      <c r="AX54" s="401"/>
      <c r="AY54" s="401"/>
      <c r="AZ54" s="401"/>
      <c r="BA54" s="401"/>
      <c r="BB54" s="401"/>
      <c r="BC54" s="401" t="str">
        <f t="shared" si="32"/>
        <v>-</v>
      </c>
      <c r="BD54" s="429" t="str">
        <f>B40</f>
        <v>WLTC 20°C</v>
      </c>
      <c r="BE54" s="435" t="str">
        <f t="shared" ref="BE54:BL54" si="39">F43</f>
        <v>-</v>
      </c>
      <c r="BF54" s="435" t="str">
        <f t="shared" si="39"/>
        <v>-</v>
      </c>
      <c r="BG54" s="435" t="str">
        <f t="shared" si="39"/>
        <v>-</v>
      </c>
      <c r="BH54" s="435" t="str">
        <f t="shared" si="39"/>
        <v>-</v>
      </c>
      <c r="BI54" s="435" t="str">
        <f t="shared" si="39"/>
        <v>-</v>
      </c>
      <c r="BJ54" s="435" t="str">
        <f t="shared" si="39"/>
        <v>-</v>
      </c>
      <c r="BK54" s="435" t="str">
        <f t="shared" si="39"/>
        <v>-</v>
      </c>
      <c r="BL54" s="435" t="str">
        <f t="shared" si="39"/>
        <v>-</v>
      </c>
    </row>
    <row r="55" spans="1:64" s="405" customFormat="1" ht="15" customHeight="1" outlineLevel="1" x14ac:dyDescent="0.25">
      <c r="A55" s="404"/>
      <c r="B55" s="721"/>
      <c r="C55" s="668"/>
      <c r="D55" s="510"/>
      <c r="E55" s="510"/>
      <c r="F55" s="463"/>
      <c r="G55" s="463"/>
      <c r="H55" s="463"/>
      <c r="I55" s="463"/>
      <c r="J55" s="463"/>
      <c r="K55" s="464"/>
      <c r="L55" s="464"/>
      <c r="M55" s="464"/>
      <c r="N55" s="465"/>
      <c r="O55" s="672"/>
      <c r="P55" s="673"/>
      <c r="Q55" s="673"/>
      <c r="R55" s="674"/>
      <c r="S55" s="672"/>
      <c r="T55" s="673"/>
      <c r="U55" s="673"/>
      <c r="V55" s="674"/>
      <c r="W55" s="512"/>
      <c r="X55" s="512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1"/>
      <c r="AT55" s="401"/>
      <c r="AU55" s="401"/>
      <c r="AV55" s="401"/>
      <c r="AW55" s="401"/>
      <c r="AX55" s="401"/>
      <c r="AY55" s="401"/>
      <c r="AZ55" s="401"/>
      <c r="BA55" s="401"/>
      <c r="BB55" s="401"/>
      <c r="BC55" s="401" t="str">
        <f t="shared" si="32"/>
        <v>-</v>
      </c>
      <c r="BD55" s="429"/>
      <c r="BE55" s="435"/>
      <c r="BF55" s="435"/>
      <c r="BG55" s="435"/>
      <c r="BH55" s="435"/>
      <c r="BI55" s="435"/>
      <c r="BJ55" s="435"/>
      <c r="BK55" s="435"/>
      <c r="BL55" s="435"/>
    </row>
    <row r="56" spans="1:64" s="405" customFormat="1" ht="15" customHeight="1" outlineLevel="1" x14ac:dyDescent="0.25">
      <c r="A56" s="404"/>
      <c r="B56" s="721"/>
      <c r="C56" s="668"/>
      <c r="D56" s="510"/>
      <c r="E56" s="510"/>
      <c r="F56" s="463"/>
      <c r="G56" s="463"/>
      <c r="H56" s="463"/>
      <c r="I56" s="463"/>
      <c r="J56" s="463"/>
      <c r="K56" s="464"/>
      <c r="L56" s="464"/>
      <c r="M56" s="464"/>
      <c r="N56" s="465"/>
      <c r="O56" s="672"/>
      <c r="P56" s="673"/>
      <c r="Q56" s="673"/>
      <c r="R56" s="674"/>
      <c r="S56" s="672"/>
      <c r="T56" s="673"/>
      <c r="U56" s="673"/>
      <c r="V56" s="674"/>
      <c r="W56" s="512"/>
      <c r="X56" s="512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AI56" s="401"/>
      <c r="AJ56" s="401"/>
      <c r="AK56" s="401"/>
      <c r="AL56" s="401"/>
      <c r="AM56" s="401"/>
      <c r="AN56" s="401"/>
      <c r="AO56" s="401"/>
      <c r="AP56" s="401"/>
      <c r="AQ56" s="401"/>
      <c r="AR56" s="401"/>
      <c r="AS56" s="401"/>
      <c r="AT56" s="401"/>
      <c r="AU56" s="401"/>
      <c r="AV56" s="401"/>
      <c r="AW56" s="401"/>
      <c r="AX56" s="401"/>
      <c r="AY56" s="401"/>
      <c r="AZ56" s="401"/>
      <c r="BA56" s="401"/>
      <c r="BB56" s="401"/>
      <c r="BC56" s="401" t="str">
        <f t="shared" si="32"/>
        <v>-</v>
      </c>
      <c r="BD56" s="429"/>
      <c r="BE56" s="435"/>
      <c r="BF56" s="435"/>
      <c r="BG56" s="435"/>
      <c r="BH56" s="435"/>
      <c r="BI56" s="435"/>
      <c r="BJ56" s="435"/>
      <c r="BK56" s="435"/>
      <c r="BL56" s="435"/>
    </row>
    <row r="57" spans="1:64" s="405" customFormat="1" ht="15" customHeight="1" outlineLevel="1" x14ac:dyDescent="0.25">
      <c r="A57" s="404"/>
      <c r="B57" s="721"/>
      <c r="C57" s="668"/>
      <c r="D57" s="510"/>
      <c r="E57" s="510"/>
      <c r="F57" s="466"/>
      <c r="G57" s="466"/>
      <c r="H57" s="466"/>
      <c r="I57" s="466"/>
      <c r="J57" s="466"/>
      <c r="K57" s="464"/>
      <c r="L57" s="464"/>
      <c r="M57" s="464"/>
      <c r="N57" s="467"/>
      <c r="O57" s="672"/>
      <c r="P57" s="673"/>
      <c r="Q57" s="673"/>
      <c r="R57" s="674"/>
      <c r="S57" s="672"/>
      <c r="T57" s="673"/>
      <c r="U57" s="673"/>
      <c r="V57" s="674"/>
      <c r="W57" s="512"/>
      <c r="X57" s="512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1"/>
      <c r="AT57" s="401"/>
      <c r="AU57" s="401"/>
      <c r="AV57" s="401"/>
      <c r="AW57" s="401"/>
      <c r="AX57" s="401"/>
      <c r="AY57" s="401"/>
      <c r="AZ57" s="401"/>
      <c r="BA57" s="401"/>
      <c r="BB57" s="401"/>
      <c r="BC57" s="401" t="str">
        <f t="shared" si="32"/>
        <v>-</v>
      </c>
      <c r="BD57" s="429"/>
      <c r="BE57" s="435"/>
      <c r="BF57" s="435"/>
      <c r="BG57" s="435"/>
      <c r="BH57" s="435"/>
      <c r="BI57" s="435"/>
      <c r="BJ57" s="435"/>
      <c r="BK57" s="435"/>
      <c r="BL57" s="435"/>
    </row>
    <row r="58" spans="1:64" s="405" customFormat="1" ht="15" customHeight="1" outlineLevel="1" x14ac:dyDescent="0.25">
      <c r="A58" s="404"/>
      <c r="B58" s="721"/>
      <c r="C58" s="668"/>
      <c r="D58" s="510"/>
      <c r="E58" s="510"/>
      <c r="F58" s="466"/>
      <c r="G58" s="466"/>
      <c r="H58" s="466"/>
      <c r="I58" s="466"/>
      <c r="J58" s="466"/>
      <c r="K58" s="464"/>
      <c r="L58" s="464"/>
      <c r="M58" s="464"/>
      <c r="N58" s="467"/>
      <c r="O58" s="672"/>
      <c r="P58" s="673"/>
      <c r="Q58" s="673"/>
      <c r="R58" s="674"/>
      <c r="S58" s="672"/>
      <c r="T58" s="673"/>
      <c r="U58" s="673"/>
      <c r="V58" s="674"/>
      <c r="W58" s="512"/>
      <c r="X58" s="512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AI58" s="401"/>
      <c r="AJ58" s="401"/>
      <c r="AK58" s="401"/>
      <c r="AL58" s="401"/>
      <c r="AM58" s="401"/>
      <c r="AN58" s="401"/>
      <c r="AO58" s="401"/>
      <c r="AP58" s="401"/>
      <c r="AQ58" s="401"/>
      <c r="AR58" s="401"/>
      <c r="AS58" s="401"/>
      <c r="AT58" s="401"/>
      <c r="AU58" s="401"/>
      <c r="AV58" s="401"/>
      <c r="AW58" s="401"/>
      <c r="AX58" s="401"/>
      <c r="AY58" s="401"/>
      <c r="AZ58" s="401"/>
      <c r="BA58" s="401"/>
      <c r="BB58" s="401"/>
      <c r="BC58" s="401" t="str">
        <f t="shared" si="32"/>
        <v>-</v>
      </c>
      <c r="BD58" s="429" t="str">
        <f>"IEF " &amp;B40</f>
        <v>IEF WLTC 20°C</v>
      </c>
      <c r="BE58" s="435">
        <f t="shared" ref="BE58:BL58" si="40">IF(OR($C42="CET",$C42="-",$C42=""),"-",$C42)</f>
        <v>1</v>
      </c>
      <c r="BF58" s="435">
        <f t="shared" si="40"/>
        <v>1</v>
      </c>
      <c r="BG58" s="435">
        <f t="shared" si="40"/>
        <v>1</v>
      </c>
      <c r="BH58" s="435">
        <f t="shared" si="40"/>
        <v>1</v>
      </c>
      <c r="BI58" s="435">
        <f t="shared" si="40"/>
        <v>1</v>
      </c>
      <c r="BJ58" s="435">
        <f t="shared" si="40"/>
        <v>1</v>
      </c>
      <c r="BK58" s="435">
        <f t="shared" si="40"/>
        <v>1</v>
      </c>
      <c r="BL58" s="435">
        <f t="shared" si="40"/>
        <v>1</v>
      </c>
    </row>
    <row r="59" spans="1:64" s="405" customFormat="1" ht="15.75" outlineLevel="1" thickBot="1" x14ac:dyDescent="0.3">
      <c r="A59" s="401"/>
      <c r="B59" s="722"/>
      <c r="C59" s="723"/>
      <c r="D59" s="516"/>
      <c r="E59" s="516"/>
      <c r="F59" s="516"/>
      <c r="G59" s="516"/>
      <c r="H59" s="516"/>
      <c r="I59" s="516"/>
      <c r="J59" s="516"/>
      <c r="K59" s="470"/>
      <c r="L59" s="470"/>
      <c r="M59" s="470"/>
      <c r="N59" s="471"/>
      <c r="O59" s="675"/>
      <c r="P59" s="676"/>
      <c r="Q59" s="676"/>
      <c r="R59" s="677"/>
      <c r="S59" s="675"/>
      <c r="T59" s="676"/>
      <c r="U59" s="676"/>
      <c r="V59" s="677"/>
      <c r="W59" s="401"/>
      <c r="X59" s="401"/>
      <c r="Y59" s="401"/>
      <c r="Z59" s="401"/>
      <c r="AA59" s="401"/>
      <c r="AB59" s="401"/>
      <c r="AC59" s="401"/>
      <c r="AD59" s="401"/>
      <c r="AE59" s="401"/>
      <c r="AF59" s="401"/>
      <c r="AG59" s="401"/>
      <c r="AH59" s="401"/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1"/>
      <c r="AT59" s="401"/>
      <c r="AU59" s="401"/>
      <c r="AV59" s="401"/>
      <c r="AW59" s="401"/>
      <c r="AX59" s="401"/>
      <c r="AY59" s="401"/>
      <c r="AZ59" s="401"/>
      <c r="BA59" s="401"/>
      <c r="BB59" s="401"/>
      <c r="BC59" s="401" t="str">
        <f t="shared" si="32"/>
        <v>-</v>
      </c>
      <c r="BD59" s="459"/>
      <c r="BE59" s="459"/>
      <c r="BF59" s="459"/>
      <c r="BG59" s="459"/>
      <c r="BH59" s="459"/>
      <c r="BI59" s="459"/>
      <c r="BJ59" s="459"/>
      <c r="BK59" s="459"/>
      <c r="BL59" s="459"/>
    </row>
    <row r="60" spans="1:64" s="405" customFormat="1" ht="15" customHeight="1" x14ac:dyDescent="0.25">
      <c r="A60" s="401"/>
      <c r="B60" s="401"/>
      <c r="C60" s="401"/>
      <c r="D60" s="401"/>
      <c r="E60" s="401"/>
      <c r="F60" s="401"/>
      <c r="G60" s="401"/>
      <c r="H60" s="401"/>
      <c r="I60" s="401"/>
      <c r="J60" s="401"/>
      <c r="K60" s="458"/>
      <c r="L60" s="458"/>
      <c r="M60" s="458"/>
      <c r="N60" s="401"/>
      <c r="O60" s="401"/>
      <c r="P60" s="401"/>
      <c r="Q60" s="401"/>
      <c r="R60" s="401"/>
      <c r="S60" s="401"/>
      <c r="T60" s="401"/>
      <c r="U60" s="401"/>
      <c r="V60" s="401"/>
      <c r="W60" s="401"/>
      <c r="X60" s="401"/>
      <c r="Y60" s="401"/>
      <c r="Z60" s="401"/>
      <c r="AA60" s="401"/>
      <c r="AB60" s="401"/>
      <c r="AC60" s="401"/>
      <c r="AD60" s="401"/>
      <c r="AE60" s="401"/>
      <c r="AF60" s="401"/>
      <c r="AG60" s="401"/>
      <c r="AH60" s="401"/>
      <c r="AI60" s="401"/>
      <c r="AJ60" s="401"/>
      <c r="AK60" s="401"/>
      <c r="AL60" s="401"/>
      <c r="AM60" s="401"/>
      <c r="AN60" s="401"/>
      <c r="AO60" s="401"/>
      <c r="AP60" s="401"/>
      <c r="AQ60" s="401"/>
      <c r="AR60" s="401"/>
      <c r="AS60" s="401"/>
      <c r="AT60" s="401"/>
      <c r="AU60" s="401"/>
      <c r="AV60" s="401"/>
      <c r="AW60" s="401"/>
      <c r="AX60" s="401"/>
      <c r="AY60" s="401"/>
      <c r="AZ60" s="401"/>
      <c r="BA60" s="401"/>
      <c r="BB60" s="401"/>
      <c r="BC60" s="401"/>
    </row>
    <row r="61" spans="1:64" s="405" customFormat="1" ht="15" customHeight="1" x14ac:dyDescent="0.25">
      <c r="A61" s="401"/>
      <c r="B61" s="401"/>
      <c r="C61" s="401"/>
      <c r="D61" s="401"/>
      <c r="E61" s="401"/>
      <c r="F61" s="401"/>
      <c r="G61" s="401"/>
      <c r="H61" s="401"/>
      <c r="I61" s="401"/>
      <c r="J61" s="401"/>
      <c r="K61" s="458"/>
      <c r="L61" s="458"/>
      <c r="M61" s="458"/>
      <c r="N61" s="401"/>
      <c r="O61" s="401"/>
      <c r="P61" s="401"/>
      <c r="Q61" s="401"/>
      <c r="R61" s="401"/>
      <c r="S61" s="401"/>
      <c r="T61" s="401"/>
      <c r="U61" s="401"/>
      <c r="V61" s="401"/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401"/>
      <c r="AL61" s="401"/>
      <c r="AM61" s="401"/>
      <c r="AN61" s="401"/>
      <c r="AO61" s="401"/>
      <c r="AP61" s="401"/>
      <c r="AQ61" s="401"/>
      <c r="AR61" s="401"/>
      <c r="AS61" s="401"/>
      <c r="AT61" s="401"/>
      <c r="AU61" s="401"/>
      <c r="AV61" s="401"/>
      <c r="AW61" s="401"/>
      <c r="AX61" s="401"/>
      <c r="AY61" s="401"/>
      <c r="AZ61" s="401"/>
      <c r="BA61" s="401"/>
      <c r="BB61" s="401"/>
      <c r="BC61" s="401" t="str">
        <f t="shared" si="11"/>
        <v>-</v>
      </c>
    </row>
    <row r="62" spans="1:64" s="405" customFormat="1" ht="15" customHeight="1" thickBot="1" x14ac:dyDescent="0.3">
      <c r="A62" s="396"/>
      <c r="B62" s="401"/>
      <c r="C62" s="401"/>
      <c r="D62" s="401"/>
      <c r="E62" s="401"/>
      <c r="F62" s="401"/>
      <c r="G62" s="401"/>
      <c r="H62" s="401"/>
      <c r="I62" s="401"/>
      <c r="J62" s="401"/>
      <c r="K62" s="458"/>
      <c r="L62" s="458"/>
      <c r="M62" s="458"/>
      <c r="N62" s="401"/>
      <c r="O62" s="401"/>
      <c r="P62" s="401"/>
      <c r="Q62" s="401"/>
      <c r="R62" s="401"/>
      <c r="S62" s="401"/>
      <c r="T62" s="401"/>
      <c r="U62" s="401"/>
      <c r="V62" s="401"/>
      <c r="W62" s="414"/>
      <c r="X62" s="414"/>
      <c r="Y62" s="414"/>
      <c r="Z62" s="414"/>
      <c r="AA62" s="414"/>
      <c r="AB62" s="414"/>
      <c r="AC62" s="414"/>
      <c r="AD62" s="414"/>
      <c r="AE62" s="414"/>
      <c r="AF62" s="414"/>
      <c r="AG62" s="414"/>
      <c r="AH62" s="414"/>
      <c r="AI62" s="401"/>
      <c r="AJ62" s="401"/>
      <c r="AK62" s="401"/>
      <c r="AL62" s="401"/>
      <c r="AM62" s="401"/>
      <c r="AN62" s="401"/>
      <c r="AO62" s="401"/>
      <c r="AP62" s="401"/>
      <c r="AQ62" s="401"/>
      <c r="AR62" s="401"/>
      <c r="AS62" s="401"/>
      <c r="AT62" s="401"/>
      <c r="AU62" s="401"/>
      <c r="AV62" s="401"/>
      <c r="AW62" s="401"/>
      <c r="AX62" s="401"/>
      <c r="AY62" s="401"/>
      <c r="AZ62" s="401"/>
      <c r="BA62" s="401"/>
      <c r="BB62" s="401"/>
      <c r="BC62" s="401" t="str">
        <f t="shared" si="11"/>
        <v>-</v>
      </c>
    </row>
    <row r="63" spans="1:64" s="405" customFormat="1" ht="24.95" customHeight="1" thickBot="1" x14ac:dyDescent="0.3">
      <c r="A63" s="396"/>
      <c r="B63" s="415">
        <v>3</v>
      </c>
      <c r="C63" s="706" t="s">
        <v>239</v>
      </c>
      <c r="D63" s="707"/>
      <c r="E63" s="707"/>
      <c r="F63" s="707"/>
      <c r="G63" s="707"/>
      <c r="H63" s="707"/>
      <c r="I63" s="707"/>
      <c r="J63" s="707"/>
      <c r="K63" s="707"/>
      <c r="L63" s="707"/>
      <c r="M63" s="707"/>
      <c r="N63" s="708"/>
      <c r="O63" s="416" t="s">
        <v>117</v>
      </c>
      <c r="P63" s="398" t="str">
        <f>IF(COUNTIF(F71:N96,"refused")&gt;0,"refused",IF(COUNTIF(F71:N96,"failed")&gt;0,"failed",IF(COUNTIF(F71:N96,"passed")&gt;0,"passed","-")))</f>
        <v>-</v>
      </c>
      <c r="Q63" s="399" t="s">
        <v>80</v>
      </c>
      <c r="R63" s="399" t="str">
        <f>IF(COUNT(F67:M68,F72:M73,F77:M78,F82:M83,F87:M88,F92:M93)&gt;0,"listed","not listed")</f>
        <v>not listed</v>
      </c>
      <c r="S63" s="511"/>
      <c r="T63" s="418"/>
      <c r="U63" s="418"/>
      <c r="V63" s="419"/>
      <c r="W63" s="414"/>
      <c r="X63" s="414"/>
      <c r="Y63" s="414"/>
      <c r="Z63" s="414"/>
      <c r="AA63" s="414"/>
      <c r="AB63" s="414"/>
      <c r="AC63" s="414"/>
      <c r="AD63" s="414"/>
      <c r="AE63" s="414"/>
      <c r="AF63" s="414"/>
      <c r="AG63" s="414"/>
      <c r="AH63" s="414"/>
      <c r="AI63" s="401"/>
      <c r="AJ63" s="401"/>
      <c r="AK63" s="401"/>
      <c r="AL63" s="401"/>
      <c r="AM63" s="401"/>
      <c r="AN63" s="401"/>
      <c r="AO63" s="401"/>
      <c r="AP63" s="401"/>
      <c r="AQ63" s="401"/>
      <c r="AR63" s="401"/>
      <c r="AS63" s="401"/>
      <c r="AT63" s="401"/>
      <c r="AU63" s="401"/>
      <c r="AV63" s="401"/>
      <c r="AW63" s="401"/>
      <c r="AX63" s="401"/>
      <c r="AY63" s="401"/>
      <c r="AZ63" s="401"/>
      <c r="BA63" s="401"/>
      <c r="BB63" s="401"/>
      <c r="BC63" s="401" t="str">
        <f t="shared" si="11"/>
        <v>-</v>
      </c>
    </row>
    <row r="64" spans="1:64" s="405" customFormat="1" ht="15" customHeight="1" outlineLevel="1" thickBot="1" x14ac:dyDescent="0.3">
      <c r="A64" s="396"/>
      <c r="B64" s="513"/>
      <c r="C64" s="514"/>
      <c r="D64" s="514"/>
      <c r="E64" s="514"/>
      <c r="F64" s="514"/>
      <c r="G64" s="514"/>
      <c r="H64" s="514"/>
      <c r="I64" s="514"/>
      <c r="J64" s="514"/>
      <c r="K64" s="421"/>
      <c r="L64" s="421"/>
      <c r="M64" s="421"/>
      <c r="N64" s="514"/>
      <c r="O64" s="514"/>
      <c r="P64" s="514"/>
      <c r="Q64" s="514"/>
      <c r="R64" s="514"/>
      <c r="S64" s="514"/>
      <c r="T64" s="422"/>
      <c r="U64" s="422"/>
      <c r="V64" s="423"/>
      <c r="W64" s="424"/>
      <c r="X64" s="424"/>
      <c r="Y64" s="698"/>
      <c r="Z64" s="698"/>
      <c r="AA64" s="698"/>
      <c r="AB64" s="698"/>
      <c r="AC64" s="698"/>
      <c r="AD64" s="698"/>
      <c r="AE64" s="698"/>
      <c r="AF64" s="698"/>
      <c r="AG64" s="698"/>
      <c r="AH64" s="698"/>
      <c r="AI64" s="401"/>
      <c r="AJ64" s="401"/>
      <c r="AK64" s="401"/>
      <c r="AL64" s="401"/>
      <c r="AM64" s="401"/>
      <c r="AN64" s="401"/>
      <c r="AO64" s="401"/>
      <c r="AP64" s="401"/>
      <c r="AQ64" s="401"/>
      <c r="AR64" s="401"/>
      <c r="AS64" s="401"/>
      <c r="AT64" s="401"/>
      <c r="AU64" s="401"/>
      <c r="AV64" s="401"/>
      <c r="AW64" s="401"/>
      <c r="AX64" s="401"/>
      <c r="AY64" s="401"/>
      <c r="AZ64" s="401"/>
      <c r="BA64" s="401"/>
      <c r="BB64" s="401"/>
      <c r="BC64" s="401" t="str">
        <f t="shared" si="11"/>
        <v>-</v>
      </c>
    </row>
    <row r="65" spans="1:64" s="405" customFormat="1" ht="15" customHeight="1" outlineLevel="1" thickBot="1" x14ac:dyDescent="0.3">
      <c r="A65" s="396"/>
      <c r="B65" s="695" t="s">
        <v>81</v>
      </c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7"/>
      <c r="O65" s="695" t="s">
        <v>82</v>
      </c>
      <c r="P65" s="696"/>
      <c r="Q65" s="696"/>
      <c r="R65" s="697"/>
      <c r="S65" s="695" t="s">
        <v>83</v>
      </c>
      <c r="T65" s="696"/>
      <c r="U65" s="696"/>
      <c r="V65" s="697"/>
      <c r="W65" s="512"/>
      <c r="X65" s="512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AI65" s="401"/>
      <c r="AJ65" s="401"/>
      <c r="AK65" s="401"/>
      <c r="AL65" s="401"/>
      <c r="AM65" s="401"/>
      <c r="AN65" s="401"/>
      <c r="AO65" s="401"/>
      <c r="AP65" s="401"/>
      <c r="AQ65" s="401"/>
      <c r="AR65" s="401"/>
      <c r="AS65" s="401"/>
      <c r="AT65" s="401"/>
      <c r="AU65" s="401"/>
      <c r="AV65" s="401"/>
      <c r="AW65" s="401"/>
      <c r="AX65" s="401"/>
      <c r="AY65" s="401"/>
      <c r="AZ65" s="401"/>
      <c r="BA65" s="401"/>
      <c r="BB65" s="401"/>
      <c r="BC65" s="401" t="str">
        <f t="shared" si="11"/>
        <v>-</v>
      </c>
      <c r="BD65" s="429" t="s">
        <v>85</v>
      </c>
      <c r="BE65" s="430" t="str">
        <f>F$4</f>
        <v>NMHC 
[g/km]</v>
      </c>
      <c r="BF65" s="430" t="str">
        <f t="shared" ref="BF65:BL65" si="41">G$4</f>
        <v>THC
[g/km]</v>
      </c>
      <c r="BG65" s="430" t="str">
        <f t="shared" si="41"/>
        <v>CO
[g/km]</v>
      </c>
      <c r="BH65" s="430" t="str">
        <f t="shared" si="41"/>
        <v>NOx
[g/km]</v>
      </c>
      <c r="BI65" s="430" t="str">
        <f t="shared" si="41"/>
        <v>PM
[mg/km]</v>
      </c>
      <c r="BJ65" s="430" t="str">
        <f t="shared" si="41"/>
        <v>PN
[#/km]</v>
      </c>
      <c r="BK65" s="430" t="str">
        <f t="shared" si="41"/>
        <v>Additional
component</v>
      </c>
      <c r="BL65" s="430" t="str">
        <f t="shared" si="41"/>
        <v>Additional
component 2</v>
      </c>
    </row>
    <row r="66" spans="1:64" s="405" customFormat="1" ht="35.1" customHeight="1" outlineLevel="1" thickBot="1" x14ac:dyDescent="0.3">
      <c r="A66" s="396"/>
      <c r="B66" s="709" t="s">
        <v>84</v>
      </c>
      <c r="C66" s="682"/>
      <c r="D66" s="682"/>
      <c r="E66" s="683"/>
      <c r="F66" s="425" t="str">
        <f>F$4</f>
        <v>NMHC 
[g/km]</v>
      </c>
      <c r="G66" s="425" t="str">
        <f t="shared" ref="G66:M66" si="42">G$4</f>
        <v>THC
[g/km]</v>
      </c>
      <c r="H66" s="425" t="str">
        <f t="shared" si="42"/>
        <v>CO
[g/km]</v>
      </c>
      <c r="I66" s="425" t="str">
        <f t="shared" si="42"/>
        <v>NOx
[g/km]</v>
      </c>
      <c r="J66" s="425" t="str">
        <f t="shared" si="42"/>
        <v>PM
[mg/km]</v>
      </c>
      <c r="K66" s="425" t="str">
        <f t="shared" si="42"/>
        <v>PN
[#/km]</v>
      </c>
      <c r="L66" s="426" t="str">
        <f t="shared" si="42"/>
        <v>Additional
component</v>
      </c>
      <c r="M66" s="426" t="str">
        <f t="shared" si="42"/>
        <v>Additional
component 2</v>
      </c>
      <c r="N66" s="425" t="str">
        <f>N$4</f>
        <v>CO2
[g/km]</v>
      </c>
      <c r="O66" s="669"/>
      <c r="P66" s="670"/>
      <c r="Q66" s="670"/>
      <c r="R66" s="670"/>
      <c r="S66" s="669"/>
      <c r="T66" s="670"/>
      <c r="U66" s="670"/>
      <c r="V66" s="671"/>
      <c r="W66" s="512"/>
      <c r="X66" s="512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401"/>
      <c r="AJ66" s="401"/>
      <c r="AK66" s="401"/>
      <c r="AL66" s="401"/>
      <c r="AM66" s="401"/>
      <c r="AN66" s="401"/>
      <c r="AO66" s="401"/>
      <c r="AP66" s="401"/>
      <c r="AQ66" s="401"/>
      <c r="AR66" s="401"/>
      <c r="AS66" s="401"/>
      <c r="AT66" s="401"/>
      <c r="AU66" s="401"/>
      <c r="AV66" s="401"/>
      <c r="AW66" s="401"/>
      <c r="AX66" s="401"/>
      <c r="AY66" s="401"/>
      <c r="AZ66" s="401"/>
      <c r="BA66" s="401"/>
      <c r="BB66" s="401"/>
      <c r="BC66" s="401" t="str">
        <f t="shared" si="11"/>
        <v>-</v>
      </c>
      <c r="BD66" s="429" t="str">
        <f>$E$4</f>
        <v>Other</v>
      </c>
      <c r="BE66" s="435">
        <v>1</v>
      </c>
      <c r="BF66" s="435">
        <v>1</v>
      </c>
      <c r="BG66" s="435">
        <v>1</v>
      </c>
      <c r="BH66" s="435">
        <v>1</v>
      </c>
      <c r="BI66" s="435">
        <v>1</v>
      </c>
      <c r="BJ66" s="435">
        <v>1</v>
      </c>
      <c r="BK66" s="435">
        <v>1</v>
      </c>
      <c r="BL66" s="435">
        <v>1</v>
      </c>
    </row>
    <row r="67" spans="1:64" s="405" customFormat="1" ht="15" customHeight="1" outlineLevel="1" x14ac:dyDescent="0.25">
      <c r="A67" s="396"/>
      <c r="B67" s="679" t="str">
        <f>'Variant 5 - WMTC'!B67:B71</f>
        <v>Drive Mode 1</v>
      </c>
      <c r="C67" s="684" t="s">
        <v>114</v>
      </c>
      <c r="D67" s="684" t="s">
        <v>113</v>
      </c>
      <c r="E67" s="453" t="s">
        <v>94</v>
      </c>
      <c r="F67" s="437" t="s">
        <v>5</v>
      </c>
      <c r="G67" s="437" t="s">
        <v>5</v>
      </c>
      <c r="H67" s="437" t="s">
        <v>5</v>
      </c>
      <c r="I67" s="437" t="s">
        <v>5</v>
      </c>
      <c r="J67" s="437" t="s">
        <v>5</v>
      </c>
      <c r="K67" s="438" t="s">
        <v>5</v>
      </c>
      <c r="L67" s="438" t="s">
        <v>5</v>
      </c>
      <c r="M67" s="438" t="s">
        <v>5</v>
      </c>
      <c r="N67" s="437" t="s">
        <v>5</v>
      </c>
      <c r="O67" s="672"/>
      <c r="P67" s="673"/>
      <c r="Q67" s="673"/>
      <c r="R67" s="673"/>
      <c r="S67" s="672"/>
      <c r="T67" s="673"/>
      <c r="U67" s="673"/>
      <c r="V67" s="674"/>
      <c r="W67" s="512"/>
      <c r="X67" s="512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401"/>
      <c r="AJ67" s="401"/>
      <c r="AK67" s="401"/>
      <c r="AL67" s="401"/>
      <c r="AM67" s="401"/>
      <c r="AN67" s="401"/>
      <c r="AO67" s="401"/>
      <c r="AP67" s="401"/>
      <c r="AQ67" s="401"/>
      <c r="AR67" s="401"/>
      <c r="AS67" s="401"/>
      <c r="AT67" s="401"/>
      <c r="AU67" s="401"/>
      <c r="AV67" s="401"/>
      <c r="AW67" s="401"/>
      <c r="AX67" s="401"/>
      <c r="AY67" s="401"/>
      <c r="AZ67" s="401"/>
      <c r="BA67" s="401"/>
      <c r="BB67" s="401"/>
      <c r="BC67" s="401" t="str">
        <f t="shared" si="11"/>
        <v>-</v>
      </c>
      <c r="BD67" s="429" t="str">
        <f>"1st " &amp;  B67</f>
        <v>1st Drive Mode 1</v>
      </c>
      <c r="BE67" s="435" t="str">
        <f t="shared" ref="BE67:BL67" si="43">IF((OR($C69="-",$C69="CET",$C69="")),"-",IF(AND(OR(F67="-",F67=""),OR(F68="-",F68="")),"-",IF(NOT(OR(F67="-",F67="")),F67/F$5,F68/F$5)))</f>
        <v>-</v>
      </c>
      <c r="BF67" s="435" t="str">
        <f t="shared" si="43"/>
        <v>-</v>
      </c>
      <c r="BG67" s="435" t="str">
        <f t="shared" si="43"/>
        <v>-</v>
      </c>
      <c r="BH67" s="435" t="str">
        <f t="shared" si="43"/>
        <v>-</v>
      </c>
      <c r="BI67" s="435" t="str">
        <f t="shared" si="43"/>
        <v>-</v>
      </c>
      <c r="BJ67" s="435" t="str">
        <f t="shared" si="43"/>
        <v>-</v>
      </c>
      <c r="BK67" s="435" t="str">
        <f t="shared" si="43"/>
        <v>-</v>
      </c>
      <c r="BL67" s="435" t="str">
        <f t="shared" si="43"/>
        <v>-</v>
      </c>
    </row>
    <row r="68" spans="1:64" s="405" customFormat="1" ht="15" customHeight="1" outlineLevel="1" thickBot="1" x14ac:dyDescent="0.3">
      <c r="A68" s="439"/>
      <c r="B68" s="680"/>
      <c r="C68" s="702"/>
      <c r="D68" s="685"/>
      <c r="E68" s="440" t="s">
        <v>95</v>
      </c>
      <c r="F68" s="441" t="s">
        <v>5</v>
      </c>
      <c r="G68" s="441" t="s">
        <v>5</v>
      </c>
      <c r="H68" s="441" t="s">
        <v>5</v>
      </c>
      <c r="I68" s="441" t="s">
        <v>5</v>
      </c>
      <c r="J68" s="441" t="s">
        <v>5</v>
      </c>
      <c r="K68" s="442" t="s">
        <v>5</v>
      </c>
      <c r="L68" s="442" t="s">
        <v>5</v>
      </c>
      <c r="M68" s="442" t="s">
        <v>5</v>
      </c>
      <c r="N68" s="441" t="s">
        <v>5</v>
      </c>
      <c r="O68" s="672"/>
      <c r="P68" s="673"/>
      <c r="Q68" s="673"/>
      <c r="R68" s="673"/>
      <c r="S68" s="672"/>
      <c r="T68" s="673"/>
      <c r="U68" s="673"/>
      <c r="V68" s="674"/>
      <c r="W68" s="443"/>
      <c r="X68" s="443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1"/>
        <v>-</v>
      </c>
      <c r="BD68" s="429" t="str">
        <f>"1st " &amp; B72</f>
        <v>1st Drive Mode 2</v>
      </c>
      <c r="BE68" s="435" t="str">
        <f t="shared" ref="BE68:BL68" si="44">IF((OR($C74="-",$C74="CET",$C74="")),"-",IF(AND(OR(F72="-",F72=""),OR(F73="-",F73="")),"-",IF(NOT(OR(F72="-",F72="")),F72/F$5,F73/F$5)))</f>
        <v>-</v>
      </c>
      <c r="BF68" s="435" t="str">
        <f t="shared" si="44"/>
        <v>-</v>
      </c>
      <c r="BG68" s="435" t="str">
        <f t="shared" si="44"/>
        <v>-</v>
      </c>
      <c r="BH68" s="435" t="str">
        <f t="shared" si="44"/>
        <v>-</v>
      </c>
      <c r="BI68" s="435" t="str">
        <f t="shared" si="44"/>
        <v>-</v>
      </c>
      <c r="BJ68" s="435" t="str">
        <f t="shared" si="44"/>
        <v>-</v>
      </c>
      <c r="BK68" s="435" t="str">
        <f t="shared" si="44"/>
        <v>-</v>
      </c>
      <c r="BL68" s="435" t="str">
        <f t="shared" si="44"/>
        <v>-</v>
      </c>
    </row>
    <row r="69" spans="1:64" s="405" customFormat="1" ht="15" customHeight="1" outlineLevel="1" thickBot="1" x14ac:dyDescent="0.3">
      <c r="A69" s="396"/>
      <c r="B69" s="680"/>
      <c r="C69" s="686">
        <v>1</v>
      </c>
      <c r="D69" s="689" t="str">
        <f>IF(AND(F70="-",G70="-",H70="-",I70="-",J70="-",K70="-",L70="-",M70="-"),"-",MAX(F70,G70,H70,I70,J70,K70,L70,M70))</f>
        <v>-</v>
      </c>
      <c r="E69" s="444" t="s">
        <v>96</v>
      </c>
      <c r="F69" s="445" t="str">
        <f t="shared" ref="F69:M69" si="45">IF(OR(F68="-",F68=""),IF(OR(F67="-",F67=""),"-",F67),IF(OR(F67="-",F67=""),F68,(F67+F68)/2))</f>
        <v>-</v>
      </c>
      <c r="G69" s="445" t="str">
        <f t="shared" si="45"/>
        <v>-</v>
      </c>
      <c r="H69" s="445" t="str">
        <f t="shared" si="45"/>
        <v>-</v>
      </c>
      <c r="I69" s="445" t="str">
        <f t="shared" si="45"/>
        <v>-</v>
      </c>
      <c r="J69" s="445" t="str">
        <f t="shared" si="45"/>
        <v>-</v>
      </c>
      <c r="K69" s="446" t="str">
        <f t="shared" si="45"/>
        <v>-</v>
      </c>
      <c r="L69" s="446" t="str">
        <f t="shared" si="45"/>
        <v>-</v>
      </c>
      <c r="M69" s="446" t="str">
        <f t="shared" si="45"/>
        <v>-</v>
      </c>
      <c r="N69" s="699"/>
      <c r="O69" s="672"/>
      <c r="P69" s="673"/>
      <c r="Q69" s="673"/>
      <c r="R69" s="673"/>
      <c r="S69" s="672"/>
      <c r="T69" s="673"/>
      <c r="U69" s="673"/>
      <c r="V69" s="674"/>
      <c r="W69" s="512"/>
      <c r="X69" s="512"/>
      <c r="Y69" s="678"/>
      <c r="Z69" s="678"/>
      <c r="AA69" s="678"/>
      <c r="AB69" s="678"/>
      <c r="AC69" s="678"/>
      <c r="AD69" s="678"/>
      <c r="AE69" s="678"/>
      <c r="AF69" s="678"/>
      <c r="AG69" s="678"/>
      <c r="AH69" s="678"/>
      <c r="AI69" s="401"/>
      <c r="AJ69" s="401"/>
      <c r="AK69" s="401"/>
      <c r="AL69" s="401"/>
      <c r="AM69" s="401"/>
      <c r="AN69" s="401"/>
      <c r="AO69" s="401"/>
      <c r="AP69" s="401"/>
      <c r="AQ69" s="401"/>
      <c r="AR69" s="401"/>
      <c r="AS69" s="401"/>
      <c r="AT69" s="401"/>
      <c r="AU69" s="401"/>
      <c r="AV69" s="401"/>
      <c r="AW69" s="401"/>
      <c r="AX69" s="401"/>
      <c r="AY69" s="401"/>
      <c r="AZ69" s="401"/>
      <c r="BA69" s="401"/>
      <c r="BB69" s="401"/>
      <c r="BC69" s="401" t="str">
        <f t="shared" si="11"/>
        <v>-</v>
      </c>
      <c r="BD69" s="429" t="str">
        <f>"1st " &amp; B77</f>
        <v>1st Drive Mode 3</v>
      </c>
      <c r="BE69" s="435" t="str">
        <f t="shared" ref="BE69:BL69" si="46">IF((OR($C79="-",$C79="CET",$C79="")),"-",IF(AND(OR(F77="-",F77=""),OR(F78="-",F78="")),"-",IF(NOT(OR(F77="-",F77="")),F77/F$5,F78/F$5)))</f>
        <v>-</v>
      </c>
      <c r="BF69" s="435" t="str">
        <f t="shared" si="46"/>
        <v>-</v>
      </c>
      <c r="BG69" s="435" t="str">
        <f t="shared" si="46"/>
        <v>-</v>
      </c>
      <c r="BH69" s="435" t="str">
        <f t="shared" si="46"/>
        <v>-</v>
      </c>
      <c r="BI69" s="435" t="str">
        <f t="shared" si="46"/>
        <v>-</v>
      </c>
      <c r="BJ69" s="435" t="str">
        <f t="shared" si="46"/>
        <v>-</v>
      </c>
      <c r="BK69" s="435" t="str">
        <f t="shared" si="46"/>
        <v>-</v>
      </c>
      <c r="BL69" s="435" t="str">
        <f t="shared" si="46"/>
        <v>-</v>
      </c>
    </row>
    <row r="70" spans="1:64" s="405" customFormat="1" ht="15" customHeight="1" outlineLevel="1" thickBot="1" x14ac:dyDescent="0.3">
      <c r="A70" s="396"/>
      <c r="B70" s="680"/>
      <c r="C70" s="687"/>
      <c r="D70" s="690"/>
      <c r="E70" s="447" t="s">
        <v>97</v>
      </c>
      <c r="F70" s="448" t="str">
        <f t="shared" ref="F70:M70" si="47">IF(OR($C69="-",$C69="CET",$C69=""),"-",IF(AND(NOT(F69="-"),NOT(F$5="-"),NOT(F$5="")),F69/F$5,"-"))</f>
        <v>-</v>
      </c>
      <c r="G70" s="448" t="str">
        <f t="shared" si="47"/>
        <v>-</v>
      </c>
      <c r="H70" s="448" t="str">
        <f t="shared" si="47"/>
        <v>-</v>
      </c>
      <c r="I70" s="448" t="str">
        <f t="shared" si="47"/>
        <v>-</v>
      </c>
      <c r="J70" s="448" t="str">
        <f t="shared" si="47"/>
        <v>-</v>
      </c>
      <c r="K70" s="449" t="str">
        <f t="shared" si="47"/>
        <v>-</v>
      </c>
      <c r="L70" s="449" t="str">
        <f t="shared" si="47"/>
        <v>-</v>
      </c>
      <c r="M70" s="449" t="str">
        <f t="shared" si="47"/>
        <v>-</v>
      </c>
      <c r="N70" s="700"/>
      <c r="O70" s="672"/>
      <c r="P70" s="673"/>
      <c r="Q70" s="673"/>
      <c r="R70" s="673"/>
      <c r="S70" s="672"/>
      <c r="T70" s="673"/>
      <c r="U70" s="673"/>
      <c r="V70" s="674"/>
      <c r="W70" s="512"/>
      <c r="X70" s="512"/>
      <c r="Y70" s="678"/>
      <c r="Z70" s="678"/>
      <c r="AA70" s="678"/>
      <c r="AB70" s="678"/>
      <c r="AC70" s="678"/>
      <c r="AD70" s="678"/>
      <c r="AE70" s="678"/>
      <c r="AF70" s="678"/>
      <c r="AG70" s="678"/>
      <c r="AH70" s="678"/>
      <c r="AI70" s="401"/>
      <c r="AJ70" s="401"/>
      <c r="AK70" s="401"/>
      <c r="AL70" s="401"/>
      <c r="AM70" s="401"/>
      <c r="AN70" s="401"/>
      <c r="AO70" s="401"/>
      <c r="AP70" s="401"/>
      <c r="AQ70" s="401"/>
      <c r="AR70" s="401"/>
      <c r="AS70" s="401"/>
      <c r="AT70" s="401"/>
      <c r="AU70" s="401"/>
      <c r="AV70" s="401"/>
      <c r="AW70" s="401"/>
      <c r="AX70" s="401"/>
      <c r="AY70" s="401"/>
      <c r="AZ70" s="401"/>
      <c r="BA70" s="401"/>
      <c r="BB70" s="401"/>
      <c r="BC70" s="401" t="str">
        <f t="shared" si="11"/>
        <v>-</v>
      </c>
      <c r="BD70" s="429" t="str">
        <f>"1st " &amp; B82</f>
        <v>1st Drive Mode 4</v>
      </c>
      <c r="BE70" s="435" t="str">
        <f t="shared" ref="BE70:BL70" si="48">IF((OR($C84="-",$C84="CET",$C84="")),"-",IF(AND(OR(F82="-",F82=""),OR(F83="-",F83="")),"-",IF(NOT(OR(F82="-",F82="")),F82/F$5,F83/F$5)))</f>
        <v>-</v>
      </c>
      <c r="BF70" s="435" t="str">
        <f t="shared" si="48"/>
        <v>-</v>
      </c>
      <c r="BG70" s="435" t="str">
        <f t="shared" si="48"/>
        <v>-</v>
      </c>
      <c r="BH70" s="435" t="str">
        <f t="shared" si="48"/>
        <v>-</v>
      </c>
      <c r="BI70" s="435" t="str">
        <f t="shared" si="48"/>
        <v>-</v>
      </c>
      <c r="BJ70" s="435" t="str">
        <f t="shared" si="48"/>
        <v>-</v>
      </c>
      <c r="BK70" s="435" t="str">
        <f t="shared" si="48"/>
        <v>-</v>
      </c>
      <c r="BL70" s="435" t="str">
        <f t="shared" si="48"/>
        <v>-</v>
      </c>
    </row>
    <row r="71" spans="1:64" s="405" customFormat="1" ht="15" customHeight="1" outlineLevel="1" thickBot="1" x14ac:dyDescent="0.3">
      <c r="A71" s="396"/>
      <c r="B71" s="681"/>
      <c r="C71" s="688"/>
      <c r="D71" s="691"/>
      <c r="E71" s="450" t="s">
        <v>30</v>
      </c>
      <c r="F71" s="451" t="str">
        <f t="shared" ref="F71:M71" si="49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451" t="str">
        <f t="shared" si="49"/>
        <v>-</v>
      </c>
      <c r="H71" s="451" t="str">
        <f t="shared" si="49"/>
        <v>-</v>
      </c>
      <c r="I71" s="451" t="str">
        <f t="shared" si="49"/>
        <v>-</v>
      </c>
      <c r="J71" s="451" t="str">
        <f t="shared" si="49"/>
        <v>-</v>
      </c>
      <c r="K71" s="452" t="str">
        <f t="shared" si="49"/>
        <v>-</v>
      </c>
      <c r="L71" s="452" t="str">
        <f t="shared" si="49"/>
        <v>-</v>
      </c>
      <c r="M71" s="452" t="str">
        <f t="shared" si="49"/>
        <v>-</v>
      </c>
      <c r="N71" s="701"/>
      <c r="O71" s="672"/>
      <c r="P71" s="673"/>
      <c r="Q71" s="673"/>
      <c r="R71" s="673"/>
      <c r="S71" s="672"/>
      <c r="T71" s="673"/>
      <c r="U71" s="673"/>
      <c r="V71" s="674"/>
      <c r="W71" s="512"/>
      <c r="X71" s="512"/>
      <c r="Y71" s="678"/>
      <c r="Z71" s="678"/>
      <c r="AA71" s="678"/>
      <c r="AB71" s="678"/>
      <c r="AC71" s="678"/>
      <c r="AD71" s="678"/>
      <c r="AE71" s="678"/>
      <c r="AF71" s="678"/>
      <c r="AG71" s="678"/>
      <c r="AH71" s="678"/>
      <c r="AI71" s="401"/>
      <c r="AJ71" s="401"/>
      <c r="AK71" s="401"/>
      <c r="AL71" s="401"/>
      <c r="AM71" s="401"/>
      <c r="AN71" s="401"/>
      <c r="AO71" s="401"/>
      <c r="AP71" s="401"/>
      <c r="AQ71" s="401"/>
      <c r="AR71" s="401"/>
      <c r="AS71" s="401"/>
      <c r="AT71" s="401"/>
      <c r="AU71" s="401"/>
      <c r="AV71" s="401"/>
      <c r="AW71" s="401"/>
      <c r="AX71" s="401"/>
      <c r="AY71" s="401"/>
      <c r="AZ71" s="401"/>
      <c r="BA71" s="401"/>
      <c r="BB71" s="401"/>
      <c r="BC71" s="401" t="str">
        <f t="shared" si="11"/>
        <v>-</v>
      </c>
      <c r="BD71" s="429" t="str">
        <f>"1st " &amp; B87</f>
        <v>1st Drive Mode 5</v>
      </c>
      <c r="BE71" s="435" t="str">
        <f t="shared" ref="BE71:BL71" si="50">IF((OR($C89="-",$C89="CET",$C89="")),"-",IF(AND(OR(F87="-",F87=""),OR(F88="-",F88="")),"-",IF(NOT(OR(F87="-",F87="")),F87/F$5,F88/F$5)))</f>
        <v>-</v>
      </c>
      <c r="BF71" s="435" t="str">
        <f t="shared" si="50"/>
        <v>-</v>
      </c>
      <c r="BG71" s="435" t="str">
        <f t="shared" si="50"/>
        <v>-</v>
      </c>
      <c r="BH71" s="435" t="str">
        <f t="shared" si="50"/>
        <v>-</v>
      </c>
      <c r="BI71" s="435" t="str">
        <f t="shared" si="50"/>
        <v>-</v>
      </c>
      <c r="BJ71" s="435" t="str">
        <f t="shared" si="50"/>
        <v>-</v>
      </c>
      <c r="BK71" s="435" t="str">
        <f t="shared" si="50"/>
        <v>-</v>
      </c>
      <c r="BL71" s="435" t="str">
        <f t="shared" si="50"/>
        <v>-</v>
      </c>
    </row>
    <row r="72" spans="1:64" s="405" customFormat="1" ht="15" customHeight="1" outlineLevel="1" x14ac:dyDescent="0.25">
      <c r="A72" s="396"/>
      <c r="B72" s="679" t="str">
        <f>'Variant 5 - WMTC'!B72:B76</f>
        <v>Drive Mode 2</v>
      </c>
      <c r="C72" s="684" t="s">
        <v>114</v>
      </c>
      <c r="D72" s="684" t="s">
        <v>113</v>
      </c>
      <c r="E72" s="453" t="s">
        <v>94</v>
      </c>
      <c r="F72" s="437" t="s">
        <v>5</v>
      </c>
      <c r="G72" s="437" t="s">
        <v>5</v>
      </c>
      <c r="H72" s="437" t="s">
        <v>5</v>
      </c>
      <c r="I72" s="437" t="s">
        <v>5</v>
      </c>
      <c r="J72" s="437" t="s">
        <v>5</v>
      </c>
      <c r="K72" s="438" t="s">
        <v>5</v>
      </c>
      <c r="L72" s="438" t="s">
        <v>5</v>
      </c>
      <c r="M72" s="438" t="s">
        <v>5</v>
      </c>
      <c r="N72" s="437" t="s">
        <v>5</v>
      </c>
      <c r="O72" s="672"/>
      <c r="P72" s="673"/>
      <c r="Q72" s="673"/>
      <c r="R72" s="673"/>
      <c r="S72" s="672"/>
      <c r="T72" s="673"/>
      <c r="U72" s="673"/>
      <c r="V72" s="674"/>
      <c r="W72" s="512"/>
      <c r="X72" s="512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401"/>
      <c r="AJ72" s="401"/>
      <c r="AK72" s="401"/>
      <c r="AL72" s="401"/>
      <c r="AM72" s="401"/>
      <c r="AN72" s="401"/>
      <c r="AO72" s="401"/>
      <c r="AP72" s="401"/>
      <c r="AQ72" s="401"/>
      <c r="AR72" s="401"/>
      <c r="AS72" s="401"/>
      <c r="AT72" s="401"/>
      <c r="AU72" s="401"/>
      <c r="AV72" s="401"/>
      <c r="AW72" s="401"/>
      <c r="AX72" s="401"/>
      <c r="AY72" s="401"/>
      <c r="AZ72" s="401"/>
      <c r="BA72" s="401"/>
      <c r="BB72" s="401"/>
      <c r="BC72" s="401" t="str">
        <f t="shared" si="11"/>
        <v>-</v>
      </c>
      <c r="BD72" s="429" t="str">
        <f>"1st " &amp; B92</f>
        <v>1st Drive Mode 6</v>
      </c>
      <c r="BE72" s="435" t="str">
        <f t="shared" ref="BE72:BL72" si="51">IF((OR($C94="-",$C94="CET",$C94="")),"-",IF(AND(OR(F92="-",F92=""),OR(F93="-",F93="")),"-",IF(NOT(OR(F92="-",F92="")),F92/F$5,F93/F$5)))</f>
        <v>-</v>
      </c>
      <c r="BF72" s="435" t="str">
        <f t="shared" si="51"/>
        <v>-</v>
      </c>
      <c r="BG72" s="435" t="str">
        <f t="shared" si="51"/>
        <v>-</v>
      </c>
      <c r="BH72" s="435" t="str">
        <f t="shared" si="51"/>
        <v>-</v>
      </c>
      <c r="BI72" s="435" t="str">
        <f t="shared" si="51"/>
        <v>-</v>
      </c>
      <c r="BJ72" s="435" t="str">
        <f t="shared" si="51"/>
        <v>-</v>
      </c>
      <c r="BK72" s="435" t="str">
        <f t="shared" si="51"/>
        <v>-</v>
      </c>
      <c r="BL72" s="435" t="str">
        <f t="shared" si="51"/>
        <v>-</v>
      </c>
    </row>
    <row r="73" spans="1:64" s="405" customFormat="1" ht="15" customHeight="1" outlineLevel="1" thickBot="1" x14ac:dyDescent="0.3">
      <c r="A73" s="439"/>
      <c r="B73" s="680"/>
      <c r="C73" s="702"/>
      <c r="D73" s="685"/>
      <c r="E73" s="440" t="s">
        <v>95</v>
      </c>
      <c r="F73" s="441" t="s">
        <v>5</v>
      </c>
      <c r="G73" s="441" t="s">
        <v>5</v>
      </c>
      <c r="H73" s="441" t="s">
        <v>5</v>
      </c>
      <c r="I73" s="441" t="s">
        <v>5</v>
      </c>
      <c r="J73" s="441" t="s">
        <v>5</v>
      </c>
      <c r="K73" s="442" t="s">
        <v>5</v>
      </c>
      <c r="L73" s="442" t="s">
        <v>5</v>
      </c>
      <c r="M73" s="442" t="s">
        <v>5</v>
      </c>
      <c r="N73" s="441" t="s">
        <v>5</v>
      </c>
      <c r="O73" s="672"/>
      <c r="P73" s="673"/>
      <c r="Q73" s="673"/>
      <c r="R73" s="673"/>
      <c r="S73" s="672"/>
      <c r="T73" s="673"/>
      <c r="U73" s="673"/>
      <c r="V73" s="674"/>
      <c r="W73" s="443"/>
      <c r="X73" s="443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BC73" s="401" t="str">
        <f t="shared" si="11"/>
        <v>-</v>
      </c>
      <c r="BD73" s="429" t="str">
        <f>"0.7*IEF " &amp; (B67)</f>
        <v>0.7*IEF Drive Mode 1</v>
      </c>
      <c r="BE73" s="435">
        <f t="shared" ref="BE73:BL73" si="52">IF(OR($C69="-",$C69="CET",$C69=""),"-",0.7*$C69)</f>
        <v>0.7</v>
      </c>
      <c r="BF73" s="435">
        <f t="shared" si="52"/>
        <v>0.7</v>
      </c>
      <c r="BG73" s="435">
        <f t="shared" si="52"/>
        <v>0.7</v>
      </c>
      <c r="BH73" s="435">
        <f t="shared" si="52"/>
        <v>0.7</v>
      </c>
      <c r="BI73" s="435">
        <f t="shared" si="52"/>
        <v>0.7</v>
      </c>
      <c r="BJ73" s="435">
        <f t="shared" si="52"/>
        <v>0.7</v>
      </c>
      <c r="BK73" s="435">
        <f t="shared" si="52"/>
        <v>0.7</v>
      </c>
      <c r="BL73" s="435">
        <f t="shared" si="52"/>
        <v>0.7</v>
      </c>
    </row>
    <row r="74" spans="1:64" s="405" customFormat="1" ht="15" customHeight="1" outlineLevel="1" thickBot="1" x14ac:dyDescent="0.3">
      <c r="A74" s="396"/>
      <c r="B74" s="680"/>
      <c r="C74" s="686">
        <v>1</v>
      </c>
      <c r="D74" s="689" t="str">
        <f>IF(AND(F75="-",G75="-",H75="-",I75="-",J75="-",K75="-",L75="-",M75="-"),"-",MAX(F75,G75,H75,I75,J75,K75,L75,M75))</f>
        <v>-</v>
      </c>
      <c r="E74" s="444" t="s">
        <v>96</v>
      </c>
      <c r="F74" s="445" t="str">
        <f t="shared" ref="F74:M74" si="53">IF(OR(F73="-",F73=""),IF(OR(F72="-",F72=""),"-",F72),IF(OR(F72="-",F72=""),F73,(F72+F73)/2))</f>
        <v>-</v>
      </c>
      <c r="G74" s="445" t="str">
        <f t="shared" si="53"/>
        <v>-</v>
      </c>
      <c r="H74" s="445" t="str">
        <f t="shared" si="53"/>
        <v>-</v>
      </c>
      <c r="I74" s="445" t="str">
        <f t="shared" si="53"/>
        <v>-</v>
      </c>
      <c r="J74" s="445" t="str">
        <f t="shared" si="53"/>
        <v>-</v>
      </c>
      <c r="K74" s="446" t="str">
        <f t="shared" si="53"/>
        <v>-</v>
      </c>
      <c r="L74" s="446" t="str">
        <f t="shared" si="53"/>
        <v>-</v>
      </c>
      <c r="M74" s="446" t="str">
        <f t="shared" si="53"/>
        <v>-</v>
      </c>
      <c r="N74" s="699"/>
      <c r="O74" s="672"/>
      <c r="P74" s="673"/>
      <c r="Q74" s="673"/>
      <c r="R74" s="673"/>
      <c r="S74" s="672"/>
      <c r="T74" s="673"/>
      <c r="U74" s="673"/>
      <c r="V74" s="674"/>
      <c r="W74" s="512"/>
      <c r="X74" s="512"/>
      <c r="Y74" s="678"/>
      <c r="Z74" s="678"/>
      <c r="AA74" s="678"/>
      <c r="AB74" s="678"/>
      <c r="AC74" s="678"/>
      <c r="AD74" s="678"/>
      <c r="AE74" s="678"/>
      <c r="AF74" s="678"/>
      <c r="AG74" s="678"/>
      <c r="AH74" s="678"/>
      <c r="AI74" s="401"/>
      <c r="AJ74" s="401"/>
      <c r="AK74" s="401"/>
      <c r="AL74" s="401"/>
      <c r="AM74" s="401"/>
      <c r="AN74" s="401"/>
      <c r="AO74" s="401"/>
      <c r="AP74" s="401"/>
      <c r="AQ74" s="401"/>
      <c r="AR74" s="401"/>
      <c r="AS74" s="401"/>
      <c r="AT74" s="401"/>
      <c r="AU74" s="401"/>
      <c r="AV74" s="401"/>
      <c r="AW74" s="401"/>
      <c r="AX74" s="401"/>
      <c r="AY74" s="401"/>
      <c r="AZ74" s="401"/>
      <c r="BA74" s="401"/>
      <c r="BB74" s="401"/>
      <c r="BC74" s="401" t="str">
        <f t="shared" si="11"/>
        <v>-</v>
      </c>
      <c r="BD74" s="429" t="str">
        <f>"0.7*IEF " &amp; B72</f>
        <v>0.7*IEF Drive Mode 2</v>
      </c>
      <c r="BE74" s="435">
        <f t="shared" ref="BE74:BL74" si="54">IF(OR($C74="-",$C74="CET",$C74=""),"-",0.7*$C74)</f>
        <v>0.7</v>
      </c>
      <c r="BF74" s="435">
        <f t="shared" si="54"/>
        <v>0.7</v>
      </c>
      <c r="BG74" s="435">
        <f t="shared" si="54"/>
        <v>0.7</v>
      </c>
      <c r="BH74" s="435">
        <f t="shared" si="54"/>
        <v>0.7</v>
      </c>
      <c r="BI74" s="435">
        <f t="shared" si="54"/>
        <v>0.7</v>
      </c>
      <c r="BJ74" s="435">
        <f t="shared" si="54"/>
        <v>0.7</v>
      </c>
      <c r="BK74" s="435">
        <f t="shared" si="54"/>
        <v>0.7</v>
      </c>
      <c r="BL74" s="435">
        <f t="shared" si="54"/>
        <v>0.7</v>
      </c>
    </row>
    <row r="75" spans="1:64" s="405" customFormat="1" ht="15" customHeight="1" outlineLevel="1" thickBot="1" x14ac:dyDescent="0.3">
      <c r="A75" s="396"/>
      <c r="B75" s="680"/>
      <c r="C75" s="687"/>
      <c r="D75" s="690"/>
      <c r="E75" s="447" t="s">
        <v>97</v>
      </c>
      <c r="F75" s="448" t="str">
        <f t="shared" ref="F75:M75" si="55">IF(OR($C74="-",$C74="CET",$C74=""),"-",IF(AND(NOT(F74="-"),NOT(F$5="-"),NOT(F$5="")),F74/F$5,"-"))</f>
        <v>-</v>
      </c>
      <c r="G75" s="448" t="str">
        <f t="shared" si="55"/>
        <v>-</v>
      </c>
      <c r="H75" s="448" t="str">
        <f t="shared" si="55"/>
        <v>-</v>
      </c>
      <c r="I75" s="448" t="str">
        <f t="shared" si="55"/>
        <v>-</v>
      </c>
      <c r="J75" s="448" t="str">
        <f t="shared" si="55"/>
        <v>-</v>
      </c>
      <c r="K75" s="449" t="str">
        <f t="shared" si="55"/>
        <v>-</v>
      </c>
      <c r="L75" s="449" t="str">
        <f t="shared" si="55"/>
        <v>-</v>
      </c>
      <c r="M75" s="449" t="str">
        <f t="shared" si="55"/>
        <v>-</v>
      </c>
      <c r="N75" s="700"/>
      <c r="O75" s="672"/>
      <c r="P75" s="673"/>
      <c r="Q75" s="673"/>
      <c r="R75" s="673"/>
      <c r="S75" s="672"/>
      <c r="T75" s="673"/>
      <c r="U75" s="673"/>
      <c r="V75" s="674"/>
      <c r="W75" s="512"/>
      <c r="X75" s="512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AI75" s="401"/>
      <c r="AJ75" s="401"/>
      <c r="AK75" s="401"/>
      <c r="AL75" s="401"/>
      <c r="AM75" s="401"/>
      <c r="AN75" s="401"/>
      <c r="AO75" s="401"/>
      <c r="AP75" s="401"/>
      <c r="AQ75" s="401"/>
      <c r="AR75" s="401"/>
      <c r="AS75" s="401"/>
      <c r="AT75" s="401"/>
      <c r="AU75" s="401"/>
      <c r="AV75" s="401"/>
      <c r="AW75" s="401"/>
      <c r="AX75" s="401"/>
      <c r="AY75" s="401"/>
      <c r="AZ75" s="401"/>
      <c r="BA75" s="401"/>
      <c r="BB75" s="401"/>
      <c r="BC75" s="401" t="str">
        <f t="shared" si="11"/>
        <v>-</v>
      </c>
      <c r="BD75" s="429" t="str">
        <f>"0.7*IEF " &amp; B77</f>
        <v>0.7*IEF Drive Mode 3</v>
      </c>
      <c r="BE75" s="435">
        <f t="shared" ref="BE75:BL75" si="56">IF(OR($C79="-",$C79="CET",$C79=""),"-",0.7*$C79)</f>
        <v>0.7</v>
      </c>
      <c r="BF75" s="435">
        <f t="shared" si="56"/>
        <v>0.7</v>
      </c>
      <c r="BG75" s="435">
        <f t="shared" si="56"/>
        <v>0.7</v>
      </c>
      <c r="BH75" s="435">
        <f t="shared" si="56"/>
        <v>0.7</v>
      </c>
      <c r="BI75" s="435">
        <f t="shared" si="56"/>
        <v>0.7</v>
      </c>
      <c r="BJ75" s="435">
        <f t="shared" si="56"/>
        <v>0.7</v>
      </c>
      <c r="BK75" s="435">
        <f t="shared" si="56"/>
        <v>0.7</v>
      </c>
      <c r="BL75" s="435">
        <f t="shared" si="56"/>
        <v>0.7</v>
      </c>
    </row>
    <row r="76" spans="1:64" s="405" customFormat="1" ht="15" customHeight="1" outlineLevel="1" thickBot="1" x14ac:dyDescent="0.3">
      <c r="A76" s="404"/>
      <c r="B76" s="681"/>
      <c r="C76" s="688"/>
      <c r="D76" s="691"/>
      <c r="E76" s="451" t="s">
        <v>30</v>
      </c>
      <c r="F76" s="451" t="str">
        <f t="shared" ref="F76:M76" si="57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451" t="str">
        <f t="shared" si="57"/>
        <v>-</v>
      </c>
      <c r="H76" s="451" t="str">
        <f t="shared" si="57"/>
        <v>-</v>
      </c>
      <c r="I76" s="451" t="str">
        <f t="shared" si="57"/>
        <v>-</v>
      </c>
      <c r="J76" s="451" t="str">
        <f t="shared" si="57"/>
        <v>-</v>
      </c>
      <c r="K76" s="452" t="str">
        <f t="shared" si="57"/>
        <v>-</v>
      </c>
      <c r="L76" s="452" t="str">
        <f t="shared" si="57"/>
        <v>-</v>
      </c>
      <c r="M76" s="452" t="str">
        <f t="shared" si="57"/>
        <v>-</v>
      </c>
      <c r="N76" s="701"/>
      <c r="O76" s="672"/>
      <c r="P76" s="673"/>
      <c r="Q76" s="673"/>
      <c r="R76" s="673"/>
      <c r="S76" s="672"/>
      <c r="T76" s="673"/>
      <c r="U76" s="673"/>
      <c r="V76" s="674"/>
      <c r="W76" s="512"/>
      <c r="X76" s="512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AI76" s="401"/>
      <c r="AJ76" s="401"/>
      <c r="AK76" s="401"/>
      <c r="AL76" s="401"/>
      <c r="AM76" s="401"/>
      <c r="AN76" s="401"/>
      <c r="AO76" s="401"/>
      <c r="AP76" s="401"/>
      <c r="AQ76" s="401"/>
      <c r="AR76" s="401"/>
      <c r="AS76" s="401"/>
      <c r="AT76" s="401"/>
      <c r="AU76" s="401"/>
      <c r="AV76" s="401"/>
      <c r="AW76" s="401"/>
      <c r="AX76" s="401"/>
      <c r="AY76" s="401"/>
      <c r="AZ76" s="401"/>
      <c r="BA76" s="401"/>
      <c r="BB76" s="401"/>
      <c r="BC76" s="401" t="str">
        <f t="shared" si="11"/>
        <v>-</v>
      </c>
      <c r="BD76" s="429" t="str">
        <f>"0.7*IEF " &amp; B82</f>
        <v>0.7*IEF Drive Mode 4</v>
      </c>
      <c r="BE76" s="435">
        <f t="shared" ref="BE76:BL76" si="58">IF(OR($C84="-",$C84="CET",$C84=""),"-",0.7*$C84)</f>
        <v>0.7</v>
      </c>
      <c r="BF76" s="435">
        <f t="shared" si="58"/>
        <v>0.7</v>
      </c>
      <c r="BG76" s="435">
        <f t="shared" si="58"/>
        <v>0.7</v>
      </c>
      <c r="BH76" s="435">
        <f t="shared" si="58"/>
        <v>0.7</v>
      </c>
      <c r="BI76" s="435">
        <f t="shared" si="58"/>
        <v>0.7</v>
      </c>
      <c r="BJ76" s="435">
        <f t="shared" si="58"/>
        <v>0.7</v>
      </c>
      <c r="BK76" s="435">
        <f t="shared" si="58"/>
        <v>0.7</v>
      </c>
      <c r="BL76" s="435">
        <f t="shared" si="58"/>
        <v>0.7</v>
      </c>
    </row>
    <row r="77" spans="1:64" s="405" customFormat="1" ht="15" customHeight="1" outlineLevel="1" x14ac:dyDescent="0.25">
      <c r="A77" s="404"/>
      <c r="B77" s="679" t="str">
        <f>'Variant 5 - WMTC'!B77:B81</f>
        <v>Drive Mode 3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3"/>
      <c r="S77" s="672"/>
      <c r="T77" s="673"/>
      <c r="U77" s="673"/>
      <c r="V77" s="674"/>
      <c r="W77" s="512"/>
      <c r="X77" s="512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AI77" s="401"/>
      <c r="AJ77" s="401"/>
      <c r="AK77" s="401"/>
      <c r="AL77" s="401"/>
      <c r="AM77" s="401"/>
      <c r="AN77" s="401"/>
      <c r="AO77" s="401"/>
      <c r="AP77" s="401"/>
      <c r="AQ77" s="401"/>
      <c r="AR77" s="401"/>
      <c r="AS77" s="401"/>
      <c r="AT77" s="401"/>
      <c r="AU77" s="401"/>
      <c r="AV77" s="401"/>
      <c r="AW77" s="401"/>
      <c r="AX77" s="401"/>
      <c r="AY77" s="401"/>
      <c r="AZ77" s="401"/>
      <c r="BA77" s="401"/>
      <c r="BB77" s="401"/>
      <c r="BC77" s="401" t="str">
        <f t="shared" si="11"/>
        <v>-</v>
      </c>
      <c r="BD77" s="429" t="str">
        <f>"0.7*IEF " &amp; B87</f>
        <v>0.7*IEF Drive Mode 5</v>
      </c>
      <c r="BE77" s="435">
        <f t="shared" ref="BE77:BL77" si="59">IF(OR($C89="-",$C89="CET",$C89=""),"-",0.7*$C89)</f>
        <v>0.7</v>
      </c>
      <c r="BF77" s="435">
        <f t="shared" si="59"/>
        <v>0.7</v>
      </c>
      <c r="BG77" s="435">
        <f t="shared" si="59"/>
        <v>0.7</v>
      </c>
      <c r="BH77" s="435">
        <f t="shared" si="59"/>
        <v>0.7</v>
      </c>
      <c r="BI77" s="435">
        <f t="shared" si="59"/>
        <v>0.7</v>
      </c>
      <c r="BJ77" s="435">
        <f t="shared" si="59"/>
        <v>0.7</v>
      </c>
      <c r="BK77" s="435">
        <f t="shared" si="59"/>
        <v>0.7</v>
      </c>
      <c r="BL77" s="435">
        <f t="shared" si="59"/>
        <v>0.7</v>
      </c>
    </row>
    <row r="78" spans="1:64" s="405" customFormat="1" ht="15" customHeight="1" outlineLevel="1" thickBot="1" x14ac:dyDescent="0.3">
      <c r="A78" s="454"/>
      <c r="B78" s="680"/>
      <c r="C78" s="702"/>
      <c r="D78" s="685"/>
      <c r="E78" s="440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3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1"/>
        <v>-</v>
      </c>
      <c r="BD78" s="429" t="str">
        <f>"0.7*IEF " &amp; B92</f>
        <v>0.7*IEF Drive Mode 6</v>
      </c>
      <c r="BE78" s="435">
        <f t="shared" ref="BE78:BL78" si="60">IF(OR($C94="-",$C94="CET",$C94=""),"-",0.7*$C94)</f>
        <v>0.7</v>
      </c>
      <c r="BF78" s="435">
        <f t="shared" si="60"/>
        <v>0.7</v>
      </c>
      <c r="BG78" s="435">
        <f t="shared" si="60"/>
        <v>0.7</v>
      </c>
      <c r="BH78" s="435">
        <f t="shared" si="60"/>
        <v>0.7</v>
      </c>
      <c r="BI78" s="435">
        <f t="shared" si="60"/>
        <v>0.7</v>
      </c>
      <c r="BJ78" s="435">
        <f t="shared" si="60"/>
        <v>0.7</v>
      </c>
      <c r="BK78" s="435">
        <f t="shared" si="60"/>
        <v>0.7</v>
      </c>
      <c r="BL78" s="435">
        <f t="shared" si="60"/>
        <v>0.7</v>
      </c>
    </row>
    <row r="79" spans="1:64" s="405" customFormat="1" ht="15" customHeight="1" outlineLevel="1" thickBot="1" x14ac:dyDescent="0.3">
      <c r="A79" s="404"/>
      <c r="B79" s="680"/>
      <c r="C79" s="686">
        <v>1</v>
      </c>
      <c r="D79" s="689" t="str">
        <f>IF(AND(F80="-",G80="-",H80="-",I80="-",J80="-",K80="-",L80="-",M80="-"),"-",MAX(F80,G80,H80,I80,J80,K80,L80,M80))</f>
        <v>-</v>
      </c>
      <c r="E79" s="444" t="s">
        <v>96</v>
      </c>
      <c r="F79" s="445" t="str">
        <f t="shared" ref="F79:M79" si="61">IF(OR(F78="-",F78=""),IF(OR(F77="-",F77=""),"-",F77),IF(OR(F77="-",F77=""),F78,(F77+F78)/2))</f>
        <v>-</v>
      </c>
      <c r="G79" s="445" t="str">
        <f t="shared" si="61"/>
        <v>-</v>
      </c>
      <c r="H79" s="445" t="str">
        <f t="shared" si="61"/>
        <v>-</v>
      </c>
      <c r="I79" s="445" t="str">
        <f t="shared" si="61"/>
        <v>-</v>
      </c>
      <c r="J79" s="445" t="str">
        <f t="shared" si="61"/>
        <v>-</v>
      </c>
      <c r="K79" s="446" t="str">
        <f t="shared" si="61"/>
        <v>-</v>
      </c>
      <c r="L79" s="446" t="str">
        <f t="shared" si="61"/>
        <v>-</v>
      </c>
      <c r="M79" s="446" t="str">
        <f t="shared" si="61"/>
        <v>-</v>
      </c>
      <c r="N79" s="699"/>
      <c r="O79" s="672"/>
      <c r="P79" s="673"/>
      <c r="Q79" s="673"/>
      <c r="R79" s="673"/>
      <c r="S79" s="672"/>
      <c r="T79" s="673"/>
      <c r="U79" s="673"/>
      <c r="V79" s="674"/>
      <c r="W79" s="512"/>
      <c r="X79" s="512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401"/>
      <c r="AJ79" s="401"/>
      <c r="AK79" s="401"/>
      <c r="AL79" s="401"/>
      <c r="AM79" s="401"/>
      <c r="AN79" s="401"/>
      <c r="AO79" s="401"/>
      <c r="AP79" s="401"/>
      <c r="AQ79" s="401"/>
      <c r="AR79" s="401"/>
      <c r="AS79" s="401"/>
      <c r="AT79" s="401"/>
      <c r="AU79" s="401"/>
      <c r="AV79" s="401"/>
      <c r="AW79" s="401"/>
      <c r="AX79" s="401"/>
      <c r="AY79" s="401"/>
      <c r="AZ79" s="401"/>
      <c r="BA79" s="401"/>
      <c r="BB79" s="401"/>
      <c r="BC79" s="401" t="str">
        <f t="shared" si="11"/>
        <v>-</v>
      </c>
      <c r="BD79" s="429" t="str">
        <f>$B67</f>
        <v>Drive Mode 1</v>
      </c>
      <c r="BE79" s="435" t="str">
        <f t="shared" ref="BE79:BL79" si="62">F70</f>
        <v>-</v>
      </c>
      <c r="BF79" s="435" t="str">
        <f t="shared" si="62"/>
        <v>-</v>
      </c>
      <c r="BG79" s="435" t="str">
        <f t="shared" si="62"/>
        <v>-</v>
      </c>
      <c r="BH79" s="435" t="str">
        <f t="shared" si="62"/>
        <v>-</v>
      </c>
      <c r="BI79" s="435" t="str">
        <f t="shared" si="62"/>
        <v>-</v>
      </c>
      <c r="BJ79" s="435" t="str">
        <f t="shared" si="62"/>
        <v>-</v>
      </c>
      <c r="BK79" s="435" t="str">
        <f t="shared" si="62"/>
        <v>-</v>
      </c>
      <c r="BL79" s="435" t="str">
        <f t="shared" si="62"/>
        <v>-</v>
      </c>
    </row>
    <row r="80" spans="1:64" s="405" customFormat="1" ht="15" customHeight="1" outlineLevel="1" thickBot="1" x14ac:dyDescent="0.3">
      <c r="A80" s="404"/>
      <c r="B80" s="680"/>
      <c r="C80" s="687"/>
      <c r="D80" s="690"/>
      <c r="E80" s="447" t="s">
        <v>97</v>
      </c>
      <c r="F80" s="448" t="str">
        <f t="shared" ref="F80:M80" si="63">IF(OR($C79="-",$C79="CET",$C79=""),"-",IF(AND(NOT(F79="-"),NOT(F$5="-"),NOT(F$5="")),F79/F$5,"-"))</f>
        <v>-</v>
      </c>
      <c r="G80" s="448" t="str">
        <f t="shared" si="63"/>
        <v>-</v>
      </c>
      <c r="H80" s="448" t="str">
        <f t="shared" si="63"/>
        <v>-</v>
      </c>
      <c r="I80" s="448" t="str">
        <f t="shared" si="63"/>
        <v>-</v>
      </c>
      <c r="J80" s="448" t="str">
        <f t="shared" si="63"/>
        <v>-</v>
      </c>
      <c r="K80" s="449" t="str">
        <f t="shared" si="63"/>
        <v>-</v>
      </c>
      <c r="L80" s="449" t="str">
        <f t="shared" si="63"/>
        <v>-</v>
      </c>
      <c r="M80" s="449" t="str">
        <f t="shared" si="63"/>
        <v>-</v>
      </c>
      <c r="N80" s="700"/>
      <c r="O80" s="672"/>
      <c r="P80" s="673"/>
      <c r="Q80" s="673"/>
      <c r="R80" s="673"/>
      <c r="S80" s="672"/>
      <c r="T80" s="673"/>
      <c r="U80" s="673"/>
      <c r="V80" s="674"/>
      <c r="W80" s="512"/>
      <c r="X80" s="512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AI80" s="401"/>
      <c r="AJ80" s="401"/>
      <c r="AK80" s="401"/>
      <c r="AL80" s="401"/>
      <c r="AM80" s="401"/>
      <c r="AN80" s="401"/>
      <c r="AO80" s="401"/>
      <c r="AP80" s="401"/>
      <c r="AQ80" s="401"/>
      <c r="AR80" s="401"/>
      <c r="AS80" s="401"/>
      <c r="AT80" s="401"/>
      <c r="AU80" s="401"/>
      <c r="AV80" s="401"/>
      <c r="AW80" s="401"/>
      <c r="AX80" s="401"/>
      <c r="AY80" s="401"/>
      <c r="AZ80" s="401"/>
      <c r="BA80" s="401"/>
      <c r="BB80" s="401"/>
      <c r="BC80" s="401" t="str">
        <f t="shared" si="11"/>
        <v>-</v>
      </c>
      <c r="BD80" s="429" t="str">
        <f>$B72</f>
        <v>Drive Mode 2</v>
      </c>
      <c r="BE80" s="435" t="str">
        <f t="shared" ref="BE80:BL80" si="64">F75</f>
        <v>-</v>
      </c>
      <c r="BF80" s="435" t="str">
        <f t="shared" si="64"/>
        <v>-</v>
      </c>
      <c r="BG80" s="435" t="str">
        <f t="shared" si="64"/>
        <v>-</v>
      </c>
      <c r="BH80" s="435" t="str">
        <f t="shared" si="64"/>
        <v>-</v>
      </c>
      <c r="BI80" s="435" t="str">
        <f t="shared" si="64"/>
        <v>-</v>
      </c>
      <c r="BJ80" s="435" t="str">
        <f t="shared" si="64"/>
        <v>-</v>
      </c>
      <c r="BK80" s="435" t="str">
        <f t="shared" si="64"/>
        <v>-</v>
      </c>
      <c r="BL80" s="435" t="str">
        <f t="shared" si="64"/>
        <v>-</v>
      </c>
    </row>
    <row r="81" spans="1:64" s="405" customFormat="1" ht="15" customHeight="1" outlineLevel="1" thickBot="1" x14ac:dyDescent="0.3">
      <c r="A81" s="404"/>
      <c r="B81" s="681"/>
      <c r="C81" s="688"/>
      <c r="D81" s="691"/>
      <c r="E81" s="451" t="s">
        <v>30</v>
      </c>
      <c r="F81" s="451" t="str">
        <f t="shared" ref="F81:M81" si="65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65"/>
        <v>-</v>
      </c>
      <c r="H81" s="451" t="str">
        <f t="shared" si="65"/>
        <v>-</v>
      </c>
      <c r="I81" s="451" t="str">
        <f t="shared" si="65"/>
        <v>-</v>
      </c>
      <c r="J81" s="451" t="str">
        <f t="shared" si="65"/>
        <v>-</v>
      </c>
      <c r="K81" s="452" t="str">
        <f t="shared" si="65"/>
        <v>-</v>
      </c>
      <c r="L81" s="452" t="str">
        <f t="shared" si="65"/>
        <v>-</v>
      </c>
      <c r="M81" s="452" t="str">
        <f t="shared" si="65"/>
        <v>-</v>
      </c>
      <c r="N81" s="701"/>
      <c r="O81" s="672"/>
      <c r="P81" s="673"/>
      <c r="Q81" s="673"/>
      <c r="R81" s="673"/>
      <c r="S81" s="672"/>
      <c r="T81" s="673"/>
      <c r="U81" s="673"/>
      <c r="V81" s="674"/>
      <c r="W81" s="512"/>
      <c r="X81" s="512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AI81" s="401"/>
      <c r="AJ81" s="401"/>
      <c r="AK81" s="401"/>
      <c r="AL81" s="401"/>
      <c r="AM81" s="401"/>
      <c r="AN81" s="401"/>
      <c r="AO81" s="401"/>
      <c r="AP81" s="401"/>
      <c r="AQ81" s="401"/>
      <c r="AR81" s="401"/>
      <c r="AS81" s="401"/>
      <c r="AT81" s="401"/>
      <c r="AU81" s="401"/>
      <c r="AV81" s="401"/>
      <c r="AW81" s="401"/>
      <c r="AX81" s="401"/>
      <c r="AY81" s="401"/>
      <c r="AZ81" s="401"/>
      <c r="BA81" s="401"/>
      <c r="BB81" s="401"/>
      <c r="BC81" s="401" t="str">
        <f t="shared" si="11"/>
        <v>-</v>
      </c>
      <c r="BD81" s="429" t="str">
        <f>$B77</f>
        <v>Drive Mode 3</v>
      </c>
      <c r="BE81" s="435" t="str">
        <f t="shared" ref="BE81:BL81" si="66">F80</f>
        <v>-</v>
      </c>
      <c r="BF81" s="435" t="str">
        <f t="shared" si="66"/>
        <v>-</v>
      </c>
      <c r="BG81" s="435" t="str">
        <f t="shared" si="66"/>
        <v>-</v>
      </c>
      <c r="BH81" s="435" t="str">
        <f t="shared" si="66"/>
        <v>-</v>
      </c>
      <c r="BI81" s="435" t="str">
        <f t="shared" si="66"/>
        <v>-</v>
      </c>
      <c r="BJ81" s="435" t="str">
        <f t="shared" si="66"/>
        <v>-</v>
      </c>
      <c r="BK81" s="435" t="str">
        <f t="shared" si="66"/>
        <v>-</v>
      </c>
      <c r="BL81" s="435" t="str">
        <f t="shared" si="66"/>
        <v>-</v>
      </c>
    </row>
    <row r="82" spans="1:64" s="405" customFormat="1" ht="15" customHeight="1" outlineLevel="1" x14ac:dyDescent="0.25">
      <c r="A82" s="404"/>
      <c r="B82" s="679" t="str">
        <f>'Variant 5 - WMTC'!B82:B86</f>
        <v>Drive Mode 4</v>
      </c>
      <c r="C82" s="684" t="s">
        <v>114</v>
      </c>
      <c r="D82" s="684" t="s">
        <v>113</v>
      </c>
      <c r="E82" s="453" t="s">
        <v>94</v>
      </c>
      <c r="F82" s="437" t="s">
        <v>5</v>
      </c>
      <c r="G82" s="437" t="s">
        <v>5</v>
      </c>
      <c r="H82" s="437" t="s">
        <v>5</v>
      </c>
      <c r="I82" s="437" t="s">
        <v>5</v>
      </c>
      <c r="J82" s="437" t="s">
        <v>5</v>
      </c>
      <c r="K82" s="438" t="s">
        <v>5</v>
      </c>
      <c r="L82" s="438" t="s">
        <v>5</v>
      </c>
      <c r="M82" s="438" t="s">
        <v>5</v>
      </c>
      <c r="N82" s="437" t="s">
        <v>5</v>
      </c>
      <c r="O82" s="672"/>
      <c r="P82" s="673"/>
      <c r="Q82" s="673"/>
      <c r="R82" s="673"/>
      <c r="S82" s="672"/>
      <c r="T82" s="673"/>
      <c r="U82" s="673"/>
      <c r="V82" s="674"/>
      <c r="W82" s="512"/>
      <c r="X82" s="512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AI82" s="401"/>
      <c r="AJ82" s="401"/>
      <c r="AK82" s="401"/>
      <c r="AL82" s="401"/>
      <c r="AM82" s="401"/>
      <c r="AN82" s="401"/>
      <c r="AO82" s="401"/>
      <c r="AP82" s="401"/>
      <c r="AQ82" s="401"/>
      <c r="AR82" s="401"/>
      <c r="AS82" s="401"/>
      <c r="AT82" s="401"/>
      <c r="AU82" s="401"/>
      <c r="AV82" s="401"/>
      <c r="AW82" s="401"/>
      <c r="AX82" s="401"/>
      <c r="AY82" s="401"/>
      <c r="AZ82" s="401"/>
      <c r="BA82" s="401"/>
      <c r="BB82" s="401"/>
      <c r="BC82" s="401" t="str">
        <f t="shared" si="11"/>
        <v>-</v>
      </c>
      <c r="BD82" s="429" t="str">
        <f>$B82</f>
        <v>Drive Mode 4</v>
      </c>
      <c r="BE82" s="435" t="str">
        <f t="shared" ref="BE82:BL82" si="67">F85</f>
        <v>-</v>
      </c>
      <c r="BF82" s="435" t="str">
        <f t="shared" si="67"/>
        <v>-</v>
      </c>
      <c r="BG82" s="435" t="str">
        <f t="shared" si="67"/>
        <v>-</v>
      </c>
      <c r="BH82" s="435" t="str">
        <f t="shared" si="67"/>
        <v>-</v>
      </c>
      <c r="BI82" s="435" t="str">
        <f t="shared" si="67"/>
        <v>-</v>
      </c>
      <c r="BJ82" s="435" t="str">
        <f t="shared" si="67"/>
        <v>-</v>
      </c>
      <c r="BK82" s="435" t="str">
        <f t="shared" si="67"/>
        <v>-</v>
      </c>
      <c r="BL82" s="435" t="str">
        <f t="shared" si="67"/>
        <v>-</v>
      </c>
    </row>
    <row r="83" spans="1:64" s="405" customFormat="1" ht="15" customHeight="1" outlineLevel="1" thickBot="1" x14ac:dyDescent="0.3">
      <c r="A83" s="454"/>
      <c r="B83" s="680"/>
      <c r="C83" s="702"/>
      <c r="D83" s="685"/>
      <c r="E83" s="440" t="s">
        <v>95</v>
      </c>
      <c r="F83" s="441" t="s">
        <v>5</v>
      </c>
      <c r="G83" s="441" t="s">
        <v>5</v>
      </c>
      <c r="H83" s="441" t="s">
        <v>5</v>
      </c>
      <c r="I83" s="441" t="s">
        <v>5</v>
      </c>
      <c r="J83" s="441" t="s">
        <v>5</v>
      </c>
      <c r="K83" s="442" t="s">
        <v>5</v>
      </c>
      <c r="L83" s="442" t="s">
        <v>5</v>
      </c>
      <c r="M83" s="442" t="s">
        <v>5</v>
      </c>
      <c r="N83" s="441" t="s">
        <v>5</v>
      </c>
      <c r="O83" s="672"/>
      <c r="P83" s="673"/>
      <c r="Q83" s="673"/>
      <c r="R83" s="673"/>
      <c r="S83" s="672"/>
      <c r="T83" s="673"/>
      <c r="U83" s="673"/>
      <c r="V83" s="674"/>
      <c r="W83" s="443"/>
      <c r="X83" s="443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11"/>
        <v>-</v>
      </c>
      <c r="BD83" s="429" t="str">
        <f>$B87</f>
        <v>Drive Mode 5</v>
      </c>
      <c r="BE83" s="435" t="str">
        <f t="shared" ref="BE83:BL83" si="68">F90</f>
        <v>-</v>
      </c>
      <c r="BF83" s="435" t="str">
        <f t="shared" si="68"/>
        <v>-</v>
      </c>
      <c r="BG83" s="435" t="str">
        <f t="shared" si="68"/>
        <v>-</v>
      </c>
      <c r="BH83" s="435" t="str">
        <f t="shared" si="68"/>
        <v>-</v>
      </c>
      <c r="BI83" s="435" t="str">
        <f t="shared" si="68"/>
        <v>-</v>
      </c>
      <c r="BJ83" s="435" t="str">
        <f t="shared" si="68"/>
        <v>-</v>
      </c>
      <c r="BK83" s="435" t="str">
        <f t="shared" si="68"/>
        <v>-</v>
      </c>
      <c r="BL83" s="435" t="str">
        <f t="shared" si="68"/>
        <v>-</v>
      </c>
    </row>
    <row r="84" spans="1:64" s="405" customFormat="1" ht="15" customHeight="1" outlineLevel="1" thickBot="1" x14ac:dyDescent="0.3">
      <c r="A84" s="404"/>
      <c r="B84" s="680"/>
      <c r="C84" s="686">
        <v>1</v>
      </c>
      <c r="D84" s="689" t="str">
        <f>IF(AND(F85="-",G85="-",H85="-",I85="-",J85="-",K85="-",L85="-",M85="-"),"-",MAX(F85,G85,H85,I85,J85,K85,L85,M85))</f>
        <v>-</v>
      </c>
      <c r="E84" s="444" t="s">
        <v>96</v>
      </c>
      <c r="F84" s="445" t="str">
        <f t="shared" ref="F84:N84" si="69">IF(OR(F83="-",F83=""),IF(OR(F82="-",F82=""),"-",F82),IF(OR(F82="-",F82=""),F83,(F82+F83)/2))</f>
        <v>-</v>
      </c>
      <c r="G84" s="445" t="str">
        <f t="shared" si="69"/>
        <v>-</v>
      </c>
      <c r="H84" s="445" t="str">
        <f t="shared" si="69"/>
        <v>-</v>
      </c>
      <c r="I84" s="445" t="str">
        <f t="shared" si="69"/>
        <v>-</v>
      </c>
      <c r="J84" s="445" t="str">
        <f t="shared" si="69"/>
        <v>-</v>
      </c>
      <c r="K84" s="446" t="str">
        <f t="shared" si="69"/>
        <v>-</v>
      </c>
      <c r="L84" s="446" t="str">
        <f t="shared" si="69"/>
        <v>-</v>
      </c>
      <c r="M84" s="446" t="str">
        <f t="shared" si="69"/>
        <v>-</v>
      </c>
      <c r="N84" s="445" t="str">
        <f t="shared" si="69"/>
        <v>-</v>
      </c>
      <c r="O84" s="672"/>
      <c r="P84" s="673"/>
      <c r="Q84" s="673"/>
      <c r="R84" s="673"/>
      <c r="S84" s="672"/>
      <c r="T84" s="673"/>
      <c r="U84" s="673"/>
      <c r="V84" s="674"/>
      <c r="W84" s="512"/>
      <c r="X84" s="512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401"/>
      <c r="AJ84" s="401"/>
      <c r="AK84" s="401"/>
      <c r="AL84" s="401"/>
      <c r="AM84" s="401"/>
      <c r="AN84" s="401"/>
      <c r="AO84" s="401"/>
      <c r="AP84" s="401"/>
      <c r="AQ84" s="401"/>
      <c r="AR84" s="401"/>
      <c r="AS84" s="401"/>
      <c r="AT84" s="401"/>
      <c r="AU84" s="401"/>
      <c r="AV84" s="401"/>
      <c r="AW84" s="401"/>
      <c r="AX84" s="401"/>
      <c r="AY84" s="401"/>
      <c r="AZ84" s="401"/>
      <c r="BA84" s="401"/>
      <c r="BB84" s="401"/>
      <c r="BC84" s="401" t="str">
        <f t="shared" si="11"/>
        <v>-</v>
      </c>
      <c r="BD84" s="429" t="str">
        <f>$B92</f>
        <v>Drive Mode 6</v>
      </c>
      <c r="BE84" s="435" t="str">
        <f t="shared" ref="BE84:BL84" si="70">F95</f>
        <v>-</v>
      </c>
      <c r="BF84" s="435" t="str">
        <f t="shared" si="70"/>
        <v>-</v>
      </c>
      <c r="BG84" s="435" t="str">
        <f t="shared" si="70"/>
        <v>-</v>
      </c>
      <c r="BH84" s="435" t="str">
        <f t="shared" si="70"/>
        <v>-</v>
      </c>
      <c r="BI84" s="435" t="str">
        <f t="shared" si="70"/>
        <v>-</v>
      </c>
      <c r="BJ84" s="435" t="str">
        <f t="shared" si="70"/>
        <v>-</v>
      </c>
      <c r="BK84" s="435" t="str">
        <f t="shared" si="70"/>
        <v>-</v>
      </c>
      <c r="BL84" s="435" t="str">
        <f t="shared" si="70"/>
        <v>-</v>
      </c>
    </row>
    <row r="85" spans="1:64" s="405" customFormat="1" ht="15" customHeight="1" outlineLevel="1" thickBot="1" x14ac:dyDescent="0.3">
      <c r="A85" s="404"/>
      <c r="B85" s="680"/>
      <c r="C85" s="687"/>
      <c r="D85" s="690"/>
      <c r="E85" s="447" t="s">
        <v>97</v>
      </c>
      <c r="F85" s="448" t="str">
        <f t="shared" ref="F85:N85" si="71">IF(OR($C84="-",$C84="CET",$C84=""),"-",IF(AND(NOT(F84="-"),NOT(F$5="-"),NOT(F$5="")),F84/F$5,"-"))</f>
        <v>-</v>
      </c>
      <c r="G85" s="448" t="str">
        <f t="shared" si="71"/>
        <v>-</v>
      </c>
      <c r="H85" s="448" t="str">
        <f t="shared" si="71"/>
        <v>-</v>
      </c>
      <c r="I85" s="448" t="str">
        <f t="shared" si="71"/>
        <v>-</v>
      </c>
      <c r="J85" s="448" t="str">
        <f t="shared" si="71"/>
        <v>-</v>
      </c>
      <c r="K85" s="449" t="str">
        <f t="shared" si="71"/>
        <v>-</v>
      </c>
      <c r="L85" s="449" t="str">
        <f t="shared" si="71"/>
        <v>-</v>
      </c>
      <c r="M85" s="449" t="str">
        <f t="shared" si="71"/>
        <v>-</v>
      </c>
      <c r="N85" s="448" t="str">
        <f t="shared" si="71"/>
        <v>-</v>
      </c>
      <c r="O85" s="672"/>
      <c r="P85" s="673"/>
      <c r="Q85" s="673"/>
      <c r="R85" s="673"/>
      <c r="S85" s="672"/>
      <c r="T85" s="673"/>
      <c r="U85" s="673"/>
      <c r="V85" s="674"/>
      <c r="W85" s="512"/>
      <c r="X85" s="512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401"/>
      <c r="AJ85" s="401"/>
      <c r="AK85" s="401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401" t="str">
        <f t="shared" si="11"/>
        <v>-</v>
      </c>
      <c r="BD85" s="429" t="str">
        <f>"IEF " &amp;B67</f>
        <v>IEF Drive Mode 1</v>
      </c>
      <c r="BE85" s="435">
        <f t="shared" ref="BE85:BL85" si="72">IF(OR($C69="CET",$C69="-",$C69=""),"-",$C69)</f>
        <v>1</v>
      </c>
      <c r="BF85" s="435">
        <f t="shared" si="72"/>
        <v>1</v>
      </c>
      <c r="BG85" s="435">
        <f t="shared" si="72"/>
        <v>1</v>
      </c>
      <c r="BH85" s="435">
        <f t="shared" si="72"/>
        <v>1</v>
      </c>
      <c r="BI85" s="435">
        <f t="shared" si="72"/>
        <v>1</v>
      </c>
      <c r="BJ85" s="435">
        <f t="shared" si="72"/>
        <v>1</v>
      </c>
      <c r="BK85" s="435">
        <f t="shared" si="72"/>
        <v>1</v>
      </c>
      <c r="BL85" s="435">
        <f t="shared" si="72"/>
        <v>1</v>
      </c>
    </row>
    <row r="86" spans="1:64" s="405" customFormat="1" ht="15" customHeight="1" outlineLevel="1" thickBot="1" x14ac:dyDescent="0.3">
      <c r="A86" s="404"/>
      <c r="B86" s="681"/>
      <c r="C86" s="688"/>
      <c r="D86" s="691"/>
      <c r="E86" s="451" t="s">
        <v>30</v>
      </c>
      <c r="F86" s="451" t="str">
        <f t="shared" ref="F86:N86" si="73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451" t="str">
        <f t="shared" si="73"/>
        <v>-</v>
      </c>
      <c r="H86" s="451" t="str">
        <f t="shared" si="73"/>
        <v>-</v>
      </c>
      <c r="I86" s="451" t="str">
        <f t="shared" si="73"/>
        <v>-</v>
      </c>
      <c r="J86" s="451" t="str">
        <f t="shared" si="73"/>
        <v>-</v>
      </c>
      <c r="K86" s="452" t="str">
        <f t="shared" si="73"/>
        <v>-</v>
      </c>
      <c r="L86" s="452" t="str">
        <f t="shared" si="73"/>
        <v>-</v>
      </c>
      <c r="M86" s="452" t="str">
        <f t="shared" si="73"/>
        <v>-</v>
      </c>
      <c r="N86" s="451" t="str">
        <f t="shared" si="73"/>
        <v>-</v>
      </c>
      <c r="O86" s="672"/>
      <c r="P86" s="673"/>
      <c r="Q86" s="673"/>
      <c r="R86" s="673"/>
      <c r="S86" s="672"/>
      <c r="T86" s="673"/>
      <c r="U86" s="673"/>
      <c r="V86" s="674"/>
      <c r="W86" s="512"/>
      <c r="X86" s="512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401"/>
      <c r="AJ86" s="401"/>
      <c r="AK86" s="401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401" t="str">
        <f t="shared" si="11"/>
        <v>-</v>
      </c>
      <c r="BD86" s="429" t="str">
        <f>"IEF " &amp; B72</f>
        <v>IEF Drive Mode 2</v>
      </c>
      <c r="BE86" s="435">
        <f t="shared" ref="BE86:BL86" si="74">IF(OR($C74="CET",$C74="-",$C74=""),"-",$C74)</f>
        <v>1</v>
      </c>
      <c r="BF86" s="435">
        <f t="shared" si="74"/>
        <v>1</v>
      </c>
      <c r="BG86" s="435">
        <f t="shared" si="74"/>
        <v>1</v>
      </c>
      <c r="BH86" s="435">
        <f t="shared" si="74"/>
        <v>1</v>
      </c>
      <c r="BI86" s="435">
        <f t="shared" si="74"/>
        <v>1</v>
      </c>
      <c r="BJ86" s="435">
        <f t="shared" si="74"/>
        <v>1</v>
      </c>
      <c r="BK86" s="435">
        <f t="shared" si="74"/>
        <v>1</v>
      </c>
      <c r="BL86" s="435">
        <f t="shared" si="74"/>
        <v>1</v>
      </c>
    </row>
    <row r="87" spans="1:64" s="405" customFormat="1" ht="15" customHeight="1" outlineLevel="1" x14ac:dyDescent="0.25">
      <c r="A87" s="404"/>
      <c r="B87" s="679" t="str">
        <f>'Variant 5 - WMTC'!B87:B91</f>
        <v>Drive Mode 5</v>
      </c>
      <c r="C87" s="684" t="s">
        <v>114</v>
      </c>
      <c r="D87" s="684" t="s">
        <v>113</v>
      </c>
      <c r="E87" s="453" t="s">
        <v>94</v>
      </c>
      <c r="F87" s="437" t="s">
        <v>5</v>
      </c>
      <c r="G87" s="437" t="s">
        <v>5</v>
      </c>
      <c r="H87" s="437" t="s">
        <v>5</v>
      </c>
      <c r="I87" s="437" t="s">
        <v>5</v>
      </c>
      <c r="J87" s="437" t="s">
        <v>5</v>
      </c>
      <c r="K87" s="438" t="s">
        <v>5</v>
      </c>
      <c r="L87" s="438" t="s">
        <v>5</v>
      </c>
      <c r="M87" s="438" t="s">
        <v>5</v>
      </c>
      <c r="N87" s="437" t="s">
        <v>5</v>
      </c>
      <c r="O87" s="672"/>
      <c r="P87" s="673"/>
      <c r="Q87" s="673"/>
      <c r="R87" s="673"/>
      <c r="S87" s="672"/>
      <c r="T87" s="673"/>
      <c r="U87" s="673"/>
      <c r="V87" s="674"/>
      <c r="W87" s="512"/>
      <c r="X87" s="512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AI87" s="401"/>
      <c r="AJ87" s="401"/>
      <c r="AK87" s="401"/>
      <c r="AL87" s="401"/>
      <c r="AM87" s="401"/>
      <c r="AN87" s="401"/>
      <c r="AO87" s="401"/>
      <c r="AP87" s="401"/>
      <c r="AQ87" s="401"/>
      <c r="AR87" s="401"/>
      <c r="AS87" s="401"/>
      <c r="AT87" s="401"/>
      <c r="AU87" s="401"/>
      <c r="AV87" s="401"/>
      <c r="AW87" s="401"/>
      <c r="AX87" s="401"/>
      <c r="AY87" s="401"/>
      <c r="AZ87" s="401"/>
      <c r="BA87" s="401"/>
      <c r="BB87" s="401"/>
      <c r="BC87" s="401" t="str">
        <f t="shared" si="11"/>
        <v>-</v>
      </c>
      <c r="BD87" s="429" t="str">
        <f>"IEF " &amp; B77</f>
        <v>IEF Drive Mode 3</v>
      </c>
      <c r="BE87" s="435">
        <f t="shared" ref="BE87:BL87" si="75">IF(OR($C79="CET",$C79="-",$C79=""),"-",$C79)</f>
        <v>1</v>
      </c>
      <c r="BF87" s="435">
        <f t="shared" si="75"/>
        <v>1</v>
      </c>
      <c r="BG87" s="435">
        <f t="shared" si="75"/>
        <v>1</v>
      </c>
      <c r="BH87" s="435">
        <f t="shared" si="75"/>
        <v>1</v>
      </c>
      <c r="BI87" s="435">
        <f t="shared" si="75"/>
        <v>1</v>
      </c>
      <c r="BJ87" s="435">
        <f t="shared" si="75"/>
        <v>1</v>
      </c>
      <c r="BK87" s="435">
        <f t="shared" si="75"/>
        <v>1</v>
      </c>
      <c r="BL87" s="435">
        <f t="shared" si="75"/>
        <v>1</v>
      </c>
    </row>
    <row r="88" spans="1:64" s="405" customFormat="1" ht="15" customHeight="1" outlineLevel="1" thickBot="1" x14ac:dyDescent="0.3">
      <c r="A88" s="454"/>
      <c r="B88" s="680"/>
      <c r="C88" s="702"/>
      <c r="D88" s="685"/>
      <c r="E88" s="440" t="s">
        <v>95</v>
      </c>
      <c r="F88" s="441" t="s">
        <v>5</v>
      </c>
      <c r="G88" s="441" t="s">
        <v>5</v>
      </c>
      <c r="H88" s="441" t="s">
        <v>5</v>
      </c>
      <c r="I88" s="441" t="s">
        <v>5</v>
      </c>
      <c r="J88" s="441" t="s">
        <v>5</v>
      </c>
      <c r="K88" s="442" t="s">
        <v>5</v>
      </c>
      <c r="L88" s="442" t="s">
        <v>5</v>
      </c>
      <c r="M88" s="442" t="s">
        <v>5</v>
      </c>
      <c r="N88" s="441" t="s">
        <v>5</v>
      </c>
      <c r="O88" s="672"/>
      <c r="P88" s="673"/>
      <c r="Q88" s="673"/>
      <c r="R88" s="673"/>
      <c r="S88" s="672"/>
      <c r="T88" s="673"/>
      <c r="U88" s="673"/>
      <c r="V88" s="674"/>
      <c r="W88" s="443"/>
      <c r="X88" s="443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11"/>
        <v>-</v>
      </c>
      <c r="BD88" s="429" t="str">
        <f>"IEF " &amp; B82</f>
        <v>IEF Drive Mode 4</v>
      </c>
      <c r="BE88" s="435">
        <f t="shared" ref="BE88:BL88" si="76">IF(OR($C84="CET",$C84="-",$C84=""),"-",$C84)</f>
        <v>1</v>
      </c>
      <c r="BF88" s="435">
        <f t="shared" si="76"/>
        <v>1</v>
      </c>
      <c r="BG88" s="435">
        <f t="shared" si="76"/>
        <v>1</v>
      </c>
      <c r="BH88" s="435">
        <f t="shared" si="76"/>
        <v>1</v>
      </c>
      <c r="BI88" s="435">
        <f t="shared" si="76"/>
        <v>1</v>
      </c>
      <c r="BJ88" s="435">
        <f t="shared" si="76"/>
        <v>1</v>
      </c>
      <c r="BK88" s="435">
        <f t="shared" si="76"/>
        <v>1</v>
      </c>
      <c r="BL88" s="435">
        <f t="shared" si="76"/>
        <v>1</v>
      </c>
    </row>
    <row r="89" spans="1:64" s="405" customFormat="1" ht="15" customHeight="1" outlineLevel="1" thickBot="1" x14ac:dyDescent="0.3">
      <c r="A89" s="404"/>
      <c r="B89" s="680"/>
      <c r="C89" s="686">
        <v>1</v>
      </c>
      <c r="D89" s="689" t="str">
        <f>IF(AND(F90="-",G90="-",H90="-",I90="-",J90="-",K90="-",L90="-",M90="-"),"-",MAX(F90,G90,H90,I90,J90,K90,L90,M90))</f>
        <v>-</v>
      </c>
      <c r="E89" s="444" t="s">
        <v>96</v>
      </c>
      <c r="F89" s="445" t="str">
        <f t="shared" ref="F89:N89" si="77">IF(OR(F88="-",F88=""),IF(OR(F87="-",F87=""),"-",F87),IF(OR(F87="-",F87=""),F88,(F87+F88)/2))</f>
        <v>-</v>
      </c>
      <c r="G89" s="445" t="str">
        <f t="shared" si="77"/>
        <v>-</v>
      </c>
      <c r="H89" s="445" t="str">
        <f t="shared" si="77"/>
        <v>-</v>
      </c>
      <c r="I89" s="445" t="str">
        <f t="shared" si="77"/>
        <v>-</v>
      </c>
      <c r="J89" s="445" t="str">
        <f t="shared" si="77"/>
        <v>-</v>
      </c>
      <c r="K89" s="446" t="str">
        <f t="shared" si="77"/>
        <v>-</v>
      </c>
      <c r="L89" s="446" t="str">
        <f t="shared" si="77"/>
        <v>-</v>
      </c>
      <c r="M89" s="446" t="str">
        <f t="shared" si="77"/>
        <v>-</v>
      </c>
      <c r="N89" s="445" t="str">
        <f t="shared" si="77"/>
        <v>-</v>
      </c>
      <c r="O89" s="672"/>
      <c r="P89" s="673"/>
      <c r="Q89" s="673"/>
      <c r="R89" s="673"/>
      <c r="S89" s="672"/>
      <c r="T89" s="673"/>
      <c r="U89" s="673"/>
      <c r="V89" s="674"/>
      <c r="W89" s="512"/>
      <c r="X89" s="512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AI89" s="401"/>
      <c r="AJ89" s="401"/>
      <c r="AK89" s="401"/>
      <c r="AL89" s="401"/>
      <c r="AM89" s="401"/>
      <c r="AN89" s="401"/>
      <c r="AO89" s="401"/>
      <c r="AP89" s="401"/>
      <c r="AQ89" s="401"/>
      <c r="AR89" s="401"/>
      <c r="AS89" s="401"/>
      <c r="AT89" s="401"/>
      <c r="AU89" s="401"/>
      <c r="AV89" s="401"/>
      <c r="AW89" s="401"/>
      <c r="AX89" s="401"/>
      <c r="AY89" s="401"/>
      <c r="AZ89" s="401"/>
      <c r="BA89" s="401"/>
      <c r="BB89" s="401"/>
      <c r="BC89" s="401" t="str">
        <f t="shared" si="11"/>
        <v>-</v>
      </c>
      <c r="BD89" s="429" t="str">
        <f>"IEF " &amp; B87</f>
        <v>IEF Drive Mode 5</v>
      </c>
      <c r="BE89" s="435">
        <f t="shared" ref="BE89:BL89" si="78">IF(OR($C89="CET",$C89="-",$C89=""),"-",$C89)</f>
        <v>1</v>
      </c>
      <c r="BF89" s="435">
        <f t="shared" si="78"/>
        <v>1</v>
      </c>
      <c r="BG89" s="435">
        <f t="shared" si="78"/>
        <v>1</v>
      </c>
      <c r="BH89" s="435">
        <f t="shared" si="78"/>
        <v>1</v>
      </c>
      <c r="BI89" s="435">
        <f t="shared" si="78"/>
        <v>1</v>
      </c>
      <c r="BJ89" s="435">
        <f t="shared" si="78"/>
        <v>1</v>
      </c>
      <c r="BK89" s="435">
        <f t="shared" si="78"/>
        <v>1</v>
      </c>
      <c r="BL89" s="435">
        <f t="shared" si="78"/>
        <v>1</v>
      </c>
    </row>
    <row r="90" spans="1:64" s="405" customFormat="1" ht="15" customHeight="1" outlineLevel="1" thickBot="1" x14ac:dyDescent="0.3">
      <c r="A90" s="404"/>
      <c r="B90" s="680"/>
      <c r="C90" s="687"/>
      <c r="D90" s="690"/>
      <c r="E90" s="447" t="s">
        <v>97</v>
      </c>
      <c r="F90" s="448" t="str">
        <f t="shared" ref="F90:N90" si="79">IF(OR($C89="-",$C89="CET",$C89=""),"-",IF(AND(NOT(F89="-"),NOT(F$5="-"),NOT(F$5="")),F89/F$5,"-"))</f>
        <v>-</v>
      </c>
      <c r="G90" s="448" t="str">
        <f t="shared" si="79"/>
        <v>-</v>
      </c>
      <c r="H90" s="448" t="str">
        <f t="shared" si="79"/>
        <v>-</v>
      </c>
      <c r="I90" s="448" t="str">
        <f t="shared" si="79"/>
        <v>-</v>
      </c>
      <c r="J90" s="448" t="str">
        <f t="shared" si="79"/>
        <v>-</v>
      </c>
      <c r="K90" s="449" t="str">
        <f t="shared" si="79"/>
        <v>-</v>
      </c>
      <c r="L90" s="449" t="str">
        <f t="shared" si="79"/>
        <v>-</v>
      </c>
      <c r="M90" s="449" t="str">
        <f t="shared" si="79"/>
        <v>-</v>
      </c>
      <c r="N90" s="448" t="str">
        <f t="shared" si="79"/>
        <v>-</v>
      </c>
      <c r="O90" s="672"/>
      <c r="P90" s="673"/>
      <c r="Q90" s="673"/>
      <c r="R90" s="673"/>
      <c r="S90" s="672"/>
      <c r="T90" s="673"/>
      <c r="U90" s="673"/>
      <c r="V90" s="674"/>
      <c r="W90" s="512"/>
      <c r="X90" s="512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401"/>
      <c r="AJ90" s="401"/>
      <c r="AK90" s="401"/>
      <c r="AL90" s="401"/>
      <c r="AM90" s="401"/>
      <c r="AN90" s="401"/>
      <c r="AO90" s="401"/>
      <c r="AP90" s="401"/>
      <c r="AQ90" s="401"/>
      <c r="AR90" s="401"/>
      <c r="AS90" s="401"/>
      <c r="AT90" s="401"/>
      <c r="AU90" s="401"/>
      <c r="AV90" s="401"/>
      <c r="AW90" s="401"/>
      <c r="AX90" s="401"/>
      <c r="AY90" s="401"/>
      <c r="AZ90" s="401"/>
      <c r="BA90" s="401"/>
      <c r="BB90" s="401"/>
      <c r="BC90" s="401" t="str">
        <f t="shared" si="11"/>
        <v>-</v>
      </c>
      <c r="BD90" s="429" t="str">
        <f>"IEF " &amp; B92</f>
        <v>IEF Drive Mode 6</v>
      </c>
      <c r="BE90" s="435">
        <f t="shared" ref="BE90:BL90" si="80">IF(OR($C94="CET",$C94="-",$C94=""),"-",$C94)</f>
        <v>1</v>
      </c>
      <c r="BF90" s="435">
        <f t="shared" si="80"/>
        <v>1</v>
      </c>
      <c r="BG90" s="435">
        <f t="shared" si="80"/>
        <v>1</v>
      </c>
      <c r="BH90" s="435">
        <f t="shared" si="80"/>
        <v>1</v>
      </c>
      <c r="BI90" s="435">
        <f t="shared" si="80"/>
        <v>1</v>
      </c>
      <c r="BJ90" s="435">
        <f t="shared" si="80"/>
        <v>1</v>
      </c>
      <c r="BK90" s="435">
        <f t="shared" si="80"/>
        <v>1</v>
      </c>
      <c r="BL90" s="435">
        <f t="shared" si="80"/>
        <v>1</v>
      </c>
    </row>
    <row r="91" spans="1:64" s="405" customFormat="1" ht="15" customHeight="1" outlineLevel="1" thickBot="1" x14ac:dyDescent="0.3">
      <c r="A91" s="404"/>
      <c r="B91" s="681"/>
      <c r="C91" s="688"/>
      <c r="D91" s="691"/>
      <c r="E91" s="451" t="s">
        <v>30</v>
      </c>
      <c r="F91" s="451" t="str">
        <f t="shared" ref="F91:N91" si="81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451" t="str">
        <f t="shared" si="81"/>
        <v>-</v>
      </c>
      <c r="H91" s="451" t="str">
        <f t="shared" si="81"/>
        <v>-</v>
      </c>
      <c r="I91" s="451" t="str">
        <f t="shared" si="81"/>
        <v>-</v>
      </c>
      <c r="J91" s="451" t="str">
        <f t="shared" si="81"/>
        <v>-</v>
      </c>
      <c r="K91" s="452" t="str">
        <f t="shared" si="81"/>
        <v>-</v>
      </c>
      <c r="L91" s="452" t="str">
        <f t="shared" si="81"/>
        <v>-</v>
      </c>
      <c r="M91" s="452" t="str">
        <f t="shared" si="81"/>
        <v>-</v>
      </c>
      <c r="N91" s="451" t="str">
        <f t="shared" si="81"/>
        <v>-</v>
      </c>
      <c r="O91" s="672"/>
      <c r="P91" s="673"/>
      <c r="Q91" s="673"/>
      <c r="R91" s="673"/>
      <c r="S91" s="672"/>
      <c r="T91" s="673"/>
      <c r="U91" s="673"/>
      <c r="V91" s="674"/>
      <c r="W91" s="512"/>
      <c r="X91" s="512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401"/>
      <c r="AJ91" s="401"/>
      <c r="AK91" s="401"/>
      <c r="AL91" s="401"/>
      <c r="AM91" s="401"/>
      <c r="AN91" s="401"/>
      <c r="AO91" s="401"/>
      <c r="AP91" s="401"/>
      <c r="AQ91" s="401"/>
      <c r="AR91" s="401"/>
      <c r="AS91" s="401"/>
      <c r="AT91" s="401"/>
      <c r="AU91" s="401"/>
      <c r="AV91" s="401"/>
      <c r="AW91" s="401"/>
      <c r="AX91" s="401"/>
      <c r="AY91" s="401"/>
      <c r="AZ91" s="401"/>
      <c r="BA91" s="401"/>
      <c r="BB91" s="401"/>
      <c r="BC91" s="401" t="str">
        <f t="shared" si="11"/>
        <v>-</v>
      </c>
    </row>
    <row r="92" spans="1:64" s="405" customFormat="1" ht="15" customHeight="1" outlineLevel="1" x14ac:dyDescent="0.25">
      <c r="A92" s="404"/>
      <c r="B92" s="679" t="str">
        <f>'Variant 5 - WMTC'!B92:B96</f>
        <v>Drive Mode 6</v>
      </c>
      <c r="C92" s="713" t="s">
        <v>114</v>
      </c>
      <c r="D92" s="684" t="s">
        <v>113</v>
      </c>
      <c r="E92" s="453" t="s">
        <v>94</v>
      </c>
      <c r="F92" s="437" t="s">
        <v>5</v>
      </c>
      <c r="G92" s="437" t="s">
        <v>5</v>
      </c>
      <c r="H92" s="437" t="s">
        <v>5</v>
      </c>
      <c r="I92" s="437" t="s">
        <v>5</v>
      </c>
      <c r="J92" s="437" t="s">
        <v>5</v>
      </c>
      <c r="K92" s="438" t="s">
        <v>5</v>
      </c>
      <c r="L92" s="438" t="s">
        <v>5</v>
      </c>
      <c r="M92" s="438" t="s">
        <v>5</v>
      </c>
      <c r="N92" s="437" t="s">
        <v>5</v>
      </c>
      <c r="O92" s="672"/>
      <c r="P92" s="673"/>
      <c r="Q92" s="673"/>
      <c r="R92" s="673"/>
      <c r="S92" s="672"/>
      <c r="T92" s="673"/>
      <c r="U92" s="673"/>
      <c r="V92" s="674"/>
      <c r="W92" s="512"/>
      <c r="X92" s="512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AI92" s="401"/>
      <c r="AJ92" s="401"/>
      <c r="AK92" s="401"/>
      <c r="AL92" s="401"/>
      <c r="AM92" s="401"/>
      <c r="AN92" s="401"/>
      <c r="AO92" s="401"/>
      <c r="AP92" s="401"/>
      <c r="AQ92" s="401"/>
      <c r="AR92" s="401"/>
      <c r="AS92" s="401"/>
      <c r="AT92" s="401"/>
      <c r="AU92" s="401"/>
      <c r="AV92" s="401"/>
      <c r="AW92" s="401"/>
      <c r="AX92" s="401"/>
      <c r="AY92" s="401"/>
      <c r="AZ92" s="401"/>
      <c r="BA92" s="401"/>
      <c r="BB92" s="401"/>
      <c r="BC92" s="401" t="str">
        <f t="shared" si="11"/>
        <v>-</v>
      </c>
      <c r="BD92" s="459"/>
      <c r="BE92" s="459"/>
      <c r="BF92" s="459"/>
      <c r="BG92" s="459"/>
      <c r="BH92" s="459"/>
      <c r="BI92" s="459"/>
      <c r="BJ92" s="459"/>
      <c r="BK92" s="459"/>
      <c r="BL92" s="459"/>
    </row>
    <row r="93" spans="1:64" s="405" customFormat="1" ht="15" customHeight="1" outlineLevel="1" thickBot="1" x14ac:dyDescent="0.3">
      <c r="A93" s="454"/>
      <c r="B93" s="680"/>
      <c r="C93" s="714"/>
      <c r="D93" s="685"/>
      <c r="E93" s="440" t="s">
        <v>95</v>
      </c>
      <c r="F93" s="441" t="s">
        <v>5</v>
      </c>
      <c r="G93" s="441" t="s">
        <v>5</v>
      </c>
      <c r="H93" s="441" t="s">
        <v>5</v>
      </c>
      <c r="I93" s="441" t="s">
        <v>5</v>
      </c>
      <c r="J93" s="441" t="s">
        <v>5</v>
      </c>
      <c r="K93" s="442" t="s">
        <v>5</v>
      </c>
      <c r="L93" s="442" t="s">
        <v>5</v>
      </c>
      <c r="M93" s="442" t="s">
        <v>5</v>
      </c>
      <c r="N93" s="441" t="s">
        <v>5</v>
      </c>
      <c r="O93" s="672"/>
      <c r="P93" s="673"/>
      <c r="Q93" s="673"/>
      <c r="R93" s="673"/>
      <c r="S93" s="672"/>
      <c r="T93" s="673"/>
      <c r="U93" s="673"/>
      <c r="V93" s="674"/>
      <c r="W93" s="443"/>
      <c r="X93" s="443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11"/>
        <v>-</v>
      </c>
      <c r="BD93" s="459"/>
      <c r="BE93" s="459"/>
      <c r="BF93" s="459"/>
      <c r="BG93" s="459"/>
      <c r="BH93" s="459"/>
      <c r="BI93" s="459"/>
      <c r="BJ93" s="459"/>
      <c r="BK93" s="459"/>
      <c r="BL93" s="459"/>
    </row>
    <row r="94" spans="1:64" s="405" customFormat="1" ht="15" customHeight="1" outlineLevel="1" thickBot="1" x14ac:dyDescent="0.3">
      <c r="A94" s="404"/>
      <c r="B94" s="680"/>
      <c r="C94" s="715">
        <v>1</v>
      </c>
      <c r="D94" s="689" t="str">
        <f>IF(AND(F95="-",G95="-",H95="-",I95="-",J95="-",K95="-",L95="-",M95="-"),"-",MAX(F95,G95,H95,I95,J95,K95,L95,M95))</f>
        <v>-</v>
      </c>
      <c r="E94" s="444" t="s">
        <v>96</v>
      </c>
      <c r="F94" s="445" t="str">
        <f t="shared" ref="F94:N94" si="82">IF(OR(F93="-",F93=""),IF(OR(F92="-",F92=""),"-",F92),IF(OR(F92="-",F92=""),F93,(F92+F93)/2))</f>
        <v>-</v>
      </c>
      <c r="G94" s="445" t="str">
        <f t="shared" si="82"/>
        <v>-</v>
      </c>
      <c r="H94" s="445" t="str">
        <f t="shared" si="82"/>
        <v>-</v>
      </c>
      <c r="I94" s="445" t="str">
        <f t="shared" si="82"/>
        <v>-</v>
      </c>
      <c r="J94" s="445" t="str">
        <f t="shared" si="82"/>
        <v>-</v>
      </c>
      <c r="K94" s="446" t="str">
        <f t="shared" si="82"/>
        <v>-</v>
      </c>
      <c r="L94" s="446" t="str">
        <f t="shared" si="82"/>
        <v>-</v>
      </c>
      <c r="M94" s="446" t="str">
        <f t="shared" si="82"/>
        <v>-</v>
      </c>
      <c r="N94" s="445" t="str">
        <f t="shared" si="82"/>
        <v>-</v>
      </c>
      <c r="O94" s="672"/>
      <c r="P94" s="673"/>
      <c r="Q94" s="673"/>
      <c r="R94" s="673"/>
      <c r="S94" s="672"/>
      <c r="T94" s="673"/>
      <c r="U94" s="673"/>
      <c r="V94" s="674"/>
      <c r="W94" s="512"/>
      <c r="X94" s="512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AI94" s="401"/>
      <c r="AJ94" s="401"/>
      <c r="AK94" s="401"/>
      <c r="AL94" s="401"/>
      <c r="AM94" s="401"/>
      <c r="AN94" s="401"/>
      <c r="AO94" s="401"/>
      <c r="AP94" s="401"/>
      <c r="AQ94" s="401"/>
      <c r="AR94" s="401"/>
      <c r="AS94" s="401"/>
      <c r="AT94" s="401"/>
      <c r="AU94" s="401"/>
      <c r="AV94" s="401"/>
      <c r="AW94" s="401"/>
      <c r="AX94" s="401"/>
      <c r="AY94" s="401"/>
      <c r="AZ94" s="401"/>
      <c r="BA94" s="401"/>
      <c r="BB94" s="401"/>
      <c r="BC94" s="401" t="str">
        <f t="shared" si="11"/>
        <v>-</v>
      </c>
      <c r="BD94" s="460"/>
      <c r="BE94" s="460"/>
      <c r="BF94" s="460"/>
      <c r="BG94" s="460"/>
      <c r="BH94" s="460"/>
      <c r="BI94" s="460"/>
      <c r="BJ94" s="460"/>
      <c r="BK94" s="460"/>
      <c r="BL94" s="460"/>
    </row>
    <row r="95" spans="1:64" s="405" customFormat="1" ht="15" customHeight="1" outlineLevel="1" thickBot="1" x14ac:dyDescent="0.3">
      <c r="A95" s="404"/>
      <c r="B95" s="680"/>
      <c r="C95" s="716"/>
      <c r="D95" s="690"/>
      <c r="E95" s="447" t="s">
        <v>97</v>
      </c>
      <c r="F95" s="448" t="str">
        <f t="shared" ref="F95:N95" si="83">IF(OR($C94="-",$C94="CET",$C94=""),"-",IF(AND(NOT(F94="-"),NOT(F$5="-"),NOT(F$5="")),F94/F$5,"-"))</f>
        <v>-</v>
      </c>
      <c r="G95" s="448" t="str">
        <f t="shared" si="83"/>
        <v>-</v>
      </c>
      <c r="H95" s="448" t="str">
        <f t="shared" si="83"/>
        <v>-</v>
      </c>
      <c r="I95" s="448" t="str">
        <f t="shared" si="83"/>
        <v>-</v>
      </c>
      <c r="J95" s="448" t="str">
        <f t="shared" si="83"/>
        <v>-</v>
      </c>
      <c r="K95" s="449" t="str">
        <f t="shared" si="83"/>
        <v>-</v>
      </c>
      <c r="L95" s="449" t="str">
        <f t="shared" si="83"/>
        <v>-</v>
      </c>
      <c r="M95" s="449" t="str">
        <f t="shared" si="83"/>
        <v>-</v>
      </c>
      <c r="N95" s="448" t="str">
        <f t="shared" si="83"/>
        <v>-</v>
      </c>
      <c r="O95" s="672"/>
      <c r="P95" s="673"/>
      <c r="Q95" s="673"/>
      <c r="R95" s="673"/>
      <c r="S95" s="672"/>
      <c r="T95" s="673"/>
      <c r="U95" s="673"/>
      <c r="V95" s="674"/>
      <c r="W95" s="512"/>
      <c r="X95" s="512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AI95" s="401"/>
      <c r="AJ95" s="401"/>
      <c r="AK95" s="401"/>
      <c r="AL95" s="401"/>
      <c r="AM95" s="401"/>
      <c r="AN95" s="401"/>
      <c r="AO95" s="401"/>
      <c r="AP95" s="401"/>
      <c r="AQ95" s="401"/>
      <c r="AR95" s="401"/>
      <c r="AS95" s="401"/>
      <c r="AT95" s="401"/>
      <c r="AU95" s="401"/>
      <c r="AV95" s="401"/>
      <c r="AW95" s="401"/>
      <c r="AX95" s="401"/>
      <c r="AY95" s="401"/>
      <c r="AZ95" s="401"/>
      <c r="BA95" s="401"/>
      <c r="BB95" s="401"/>
      <c r="BC95" s="401" t="str">
        <f t="shared" si="11"/>
        <v>-</v>
      </c>
      <c r="BD95" s="460"/>
      <c r="BE95" s="460"/>
      <c r="BF95" s="460"/>
      <c r="BG95" s="460"/>
      <c r="BH95" s="460"/>
      <c r="BI95" s="460"/>
      <c r="BJ95" s="460"/>
      <c r="BK95" s="460"/>
      <c r="BL95" s="460"/>
    </row>
    <row r="96" spans="1:64" s="405" customFormat="1" ht="15.75" outlineLevel="1" thickBot="1" x14ac:dyDescent="0.3">
      <c r="A96" s="401"/>
      <c r="B96" s="681"/>
      <c r="C96" s="717"/>
      <c r="D96" s="691"/>
      <c r="E96" s="451" t="s">
        <v>30</v>
      </c>
      <c r="F96" s="451" t="str">
        <f t="shared" ref="F96:N96" si="84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451" t="str">
        <f t="shared" si="84"/>
        <v>-</v>
      </c>
      <c r="H96" s="451" t="str">
        <f t="shared" si="84"/>
        <v>-</v>
      </c>
      <c r="I96" s="451" t="str">
        <f t="shared" si="84"/>
        <v>-</v>
      </c>
      <c r="J96" s="451" t="str">
        <f t="shared" si="84"/>
        <v>-</v>
      </c>
      <c r="K96" s="452" t="str">
        <f t="shared" si="84"/>
        <v>-</v>
      </c>
      <c r="L96" s="452" t="str">
        <f t="shared" si="84"/>
        <v>-</v>
      </c>
      <c r="M96" s="452" t="str">
        <f t="shared" si="84"/>
        <v>-</v>
      </c>
      <c r="N96" s="451" t="str">
        <f t="shared" si="84"/>
        <v>-</v>
      </c>
      <c r="O96" s="675"/>
      <c r="P96" s="676"/>
      <c r="Q96" s="676"/>
      <c r="R96" s="676"/>
      <c r="S96" s="675"/>
      <c r="T96" s="676"/>
      <c r="U96" s="676"/>
      <c r="V96" s="677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  <c r="AI96" s="401"/>
      <c r="AJ96" s="401"/>
      <c r="AK96" s="401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 t="str">
        <f t="shared" si="11"/>
        <v>-</v>
      </c>
      <c r="BD96" s="460"/>
      <c r="BE96" s="460"/>
      <c r="BF96" s="460"/>
      <c r="BG96" s="460"/>
      <c r="BH96" s="460"/>
      <c r="BI96" s="460"/>
      <c r="BJ96" s="460"/>
      <c r="BK96" s="460"/>
      <c r="BL96" s="460"/>
    </row>
    <row r="97" spans="1:64" s="405" customFormat="1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AI97" s="401"/>
      <c r="AJ97" s="401"/>
      <c r="AK97" s="401"/>
      <c r="AL97" s="401"/>
      <c r="AM97" s="401"/>
      <c r="AN97" s="401"/>
      <c r="AO97" s="401"/>
      <c r="AP97" s="401"/>
      <c r="AQ97" s="401"/>
      <c r="AR97" s="401"/>
      <c r="AS97" s="401"/>
      <c r="AT97" s="401"/>
      <c r="AU97" s="401"/>
      <c r="AV97" s="401"/>
      <c r="AW97" s="401"/>
      <c r="AX97" s="401"/>
      <c r="AY97" s="401"/>
      <c r="AZ97" s="401"/>
      <c r="BA97" s="401"/>
      <c r="BB97" s="401"/>
      <c r="BC97" s="401" t="str">
        <f t="shared" ref="BC97:BC153" si="85">IF(COUNTIF(F97:M97,"refused")&gt;0,"refused",IF(COUNTIF(F97:M97,"failed")&gt;0,"failed",IF(COUNTIF(F97:M97,"passed")&gt;0,"passed","-")))</f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s="405" customFormat="1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AI98" s="401"/>
      <c r="AJ98" s="401"/>
      <c r="AK98" s="401"/>
      <c r="AL98" s="401"/>
      <c r="AM98" s="401"/>
      <c r="AN98" s="401"/>
      <c r="AO98" s="401"/>
      <c r="AP98" s="401"/>
      <c r="AQ98" s="401"/>
      <c r="AR98" s="401"/>
      <c r="AS98" s="401"/>
      <c r="AT98" s="401"/>
      <c r="AU98" s="401"/>
      <c r="AV98" s="401"/>
      <c r="AW98" s="401"/>
      <c r="AX98" s="401"/>
      <c r="AY98" s="401"/>
      <c r="AZ98" s="401"/>
      <c r="BA98" s="401"/>
      <c r="BB98" s="401"/>
      <c r="BC98" s="401" t="str">
        <f t="shared" si="85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s="405" customFormat="1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AI99" s="401"/>
      <c r="AJ99" s="401"/>
      <c r="AK99" s="401"/>
      <c r="AL99" s="401"/>
      <c r="AM99" s="401"/>
      <c r="AN99" s="401"/>
      <c r="AO99" s="401"/>
      <c r="AP99" s="401"/>
      <c r="AQ99" s="401"/>
      <c r="AR99" s="401"/>
      <c r="AS99" s="401"/>
      <c r="AT99" s="401"/>
      <c r="AU99" s="401"/>
      <c r="AV99" s="401"/>
      <c r="AW99" s="401"/>
      <c r="AX99" s="401"/>
      <c r="AY99" s="401"/>
      <c r="AZ99" s="401"/>
      <c r="BA99" s="401"/>
      <c r="BB99" s="401"/>
      <c r="BC99" s="401" t="str">
        <f t="shared" si="85"/>
        <v>-</v>
      </c>
    </row>
    <row r="100" spans="1:64" s="405" customFormat="1" ht="24.95" customHeight="1" thickBot="1" x14ac:dyDescent="0.3">
      <c r="A100" s="396"/>
      <c r="B100" s="415">
        <v>4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511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AI100" s="401"/>
      <c r="AJ100" s="401"/>
      <c r="AK100" s="401"/>
      <c r="AL100" s="401"/>
      <c r="AM100" s="401"/>
      <c r="AN100" s="401"/>
      <c r="AO100" s="401"/>
      <c r="AP100" s="401"/>
      <c r="AQ100" s="401"/>
      <c r="AR100" s="401"/>
      <c r="AS100" s="401"/>
      <c r="AT100" s="401"/>
      <c r="AU100" s="401"/>
      <c r="AV100" s="401"/>
      <c r="AW100" s="401"/>
      <c r="AX100" s="401"/>
      <c r="AY100" s="401"/>
      <c r="AZ100" s="401"/>
      <c r="BA100" s="401"/>
      <c r="BB100" s="401"/>
      <c r="BC100" s="401" t="str">
        <f t="shared" si="85"/>
        <v>-</v>
      </c>
    </row>
    <row r="101" spans="1:64" s="405" customFormat="1" ht="15" customHeight="1" outlineLevel="1" thickBot="1" x14ac:dyDescent="0.3">
      <c r="A101" s="396"/>
      <c r="B101" s="513"/>
      <c r="C101" s="514"/>
      <c r="D101" s="514"/>
      <c r="E101" s="514"/>
      <c r="F101" s="514"/>
      <c r="G101" s="514"/>
      <c r="H101" s="514"/>
      <c r="I101" s="514"/>
      <c r="J101" s="514"/>
      <c r="K101" s="421"/>
      <c r="L101" s="421"/>
      <c r="M101" s="421"/>
      <c r="N101" s="514"/>
      <c r="O101" s="514"/>
      <c r="P101" s="514"/>
      <c r="Q101" s="514"/>
      <c r="R101" s="514"/>
      <c r="S101" s="514"/>
      <c r="T101" s="422"/>
      <c r="U101" s="422"/>
      <c r="V101" s="423"/>
      <c r="W101" s="512"/>
      <c r="X101" s="512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AI101" s="401"/>
      <c r="AJ101" s="401"/>
      <c r="AK101" s="401"/>
      <c r="AL101" s="401"/>
      <c r="AM101" s="401"/>
      <c r="AN101" s="401"/>
      <c r="AO101" s="401"/>
      <c r="AP101" s="401"/>
      <c r="AQ101" s="401"/>
      <c r="AR101" s="401"/>
      <c r="AS101" s="401"/>
      <c r="AT101" s="401"/>
      <c r="AU101" s="401"/>
      <c r="AV101" s="401"/>
      <c r="AW101" s="401"/>
      <c r="AX101" s="401"/>
      <c r="AY101" s="401"/>
      <c r="AZ101" s="401"/>
      <c r="BA101" s="401"/>
      <c r="BB101" s="401"/>
      <c r="BC101" s="401" t="str">
        <f t="shared" si="85"/>
        <v>-</v>
      </c>
    </row>
    <row r="102" spans="1:64" s="405" customFormat="1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512"/>
      <c r="X102" s="512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401"/>
      <c r="AJ102" s="401"/>
      <c r="AK102" s="401"/>
      <c r="AL102" s="401"/>
      <c r="AM102" s="401"/>
      <c r="AN102" s="401"/>
      <c r="AO102" s="401"/>
      <c r="AP102" s="401"/>
      <c r="AQ102" s="401"/>
      <c r="AR102" s="401"/>
      <c r="AS102" s="401"/>
      <c r="AT102" s="401"/>
      <c r="AU102" s="401"/>
      <c r="AV102" s="401"/>
      <c r="AW102" s="401"/>
      <c r="AX102" s="401"/>
      <c r="AY102" s="401"/>
      <c r="AZ102" s="401"/>
      <c r="BA102" s="401"/>
      <c r="BB102" s="401"/>
      <c r="BC102" s="401" t="str">
        <f t="shared" si="85"/>
        <v>-</v>
      </c>
    </row>
    <row r="103" spans="1:64" s="405" customFormat="1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86">G$4</f>
        <v>THC
[g/km]</v>
      </c>
      <c r="H103" s="425" t="str">
        <f t="shared" si="86"/>
        <v>CO
[g/km]</v>
      </c>
      <c r="I103" s="425" t="str">
        <f t="shared" si="86"/>
        <v>NOx
[g/km]</v>
      </c>
      <c r="J103" s="425" t="str">
        <f t="shared" si="86"/>
        <v>PM
[mg/km]</v>
      </c>
      <c r="K103" s="425" t="str">
        <f t="shared" si="86"/>
        <v>PN
[#/km]</v>
      </c>
      <c r="L103" s="426" t="str">
        <f t="shared" si="86"/>
        <v>Additional
component</v>
      </c>
      <c r="M103" s="426" t="str">
        <f t="shared" si="86"/>
        <v>Additional
component 2</v>
      </c>
      <c r="N103" s="425" t="str">
        <f t="shared" si="8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512"/>
      <c r="X103" s="512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401"/>
      <c r="AJ103" s="401"/>
      <c r="AK103" s="401"/>
      <c r="AL103" s="401"/>
      <c r="AM103" s="401"/>
      <c r="AN103" s="401"/>
      <c r="AO103" s="401"/>
      <c r="AP103" s="401"/>
      <c r="AQ103" s="401"/>
      <c r="AR103" s="401"/>
      <c r="AS103" s="401"/>
      <c r="AT103" s="401"/>
      <c r="AU103" s="401"/>
      <c r="AV103" s="401"/>
      <c r="AW103" s="401"/>
      <c r="AX103" s="401"/>
      <c r="AY103" s="401"/>
      <c r="AZ103" s="401"/>
      <c r="BA103" s="401"/>
      <c r="BB103" s="401"/>
      <c r="BC103" s="401" t="str">
        <f t="shared" si="85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85"/>
        <v>-</v>
      </c>
    </row>
    <row r="105" spans="1:64" s="405" customFormat="1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512"/>
      <c r="X105" s="512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AI105" s="401"/>
      <c r="AJ105" s="401"/>
      <c r="AK105" s="401"/>
      <c r="AL105" s="401"/>
      <c r="AM105" s="401"/>
      <c r="AN105" s="401"/>
      <c r="AO105" s="401"/>
      <c r="AP105" s="401"/>
      <c r="AQ105" s="401"/>
      <c r="AR105" s="401"/>
      <c r="AS105" s="401"/>
      <c r="AT105" s="401"/>
      <c r="AU105" s="401"/>
      <c r="AV105" s="401"/>
      <c r="AW105" s="401"/>
      <c r="AX105" s="401"/>
      <c r="AY105" s="401"/>
      <c r="AZ105" s="401"/>
      <c r="BA105" s="401"/>
      <c r="BB105" s="401"/>
      <c r="BC105" s="401" t="str">
        <f t="shared" si="85"/>
        <v>-</v>
      </c>
    </row>
    <row r="106" spans="1:64" s="405" customFormat="1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87">IF(OR(F105="-",F105=""),IF(OR(F104="-",F104=""),"-",F104),IF(OR(F104="-",F104=""),F105,(F104+F105)/2))</f>
        <v>-</v>
      </c>
      <c r="G106" s="445" t="str">
        <f t="shared" si="87"/>
        <v>-</v>
      </c>
      <c r="H106" s="445" t="str">
        <f t="shared" si="87"/>
        <v>-</v>
      </c>
      <c r="I106" s="445" t="str">
        <f t="shared" si="87"/>
        <v>-</v>
      </c>
      <c r="J106" s="445" t="str">
        <f t="shared" si="87"/>
        <v>-</v>
      </c>
      <c r="K106" s="446" t="str">
        <f t="shared" si="87"/>
        <v>-</v>
      </c>
      <c r="L106" s="446" t="str">
        <f t="shared" si="87"/>
        <v>-</v>
      </c>
      <c r="M106" s="446" t="str">
        <f t="shared" si="87"/>
        <v>-</v>
      </c>
      <c r="N106" s="445" t="str">
        <f t="shared" si="87"/>
        <v>-</v>
      </c>
      <c r="O106" s="672"/>
      <c r="P106" s="673"/>
      <c r="Q106" s="673"/>
      <c r="R106" s="674"/>
      <c r="S106" s="672"/>
      <c r="T106" s="673"/>
      <c r="U106" s="673"/>
      <c r="V106" s="674"/>
      <c r="W106" s="512"/>
      <c r="X106" s="512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AI106" s="401"/>
      <c r="AJ106" s="401"/>
      <c r="AK106" s="401"/>
      <c r="AL106" s="401"/>
      <c r="AM106" s="401"/>
      <c r="AN106" s="401"/>
      <c r="AO106" s="401"/>
      <c r="AP106" s="401"/>
      <c r="AQ106" s="401"/>
      <c r="AR106" s="401"/>
      <c r="AS106" s="401"/>
      <c r="AT106" s="401"/>
      <c r="AU106" s="401"/>
      <c r="AV106" s="401"/>
      <c r="AW106" s="401"/>
      <c r="AX106" s="401"/>
      <c r="AY106" s="401"/>
      <c r="AZ106" s="401"/>
      <c r="BA106" s="401"/>
      <c r="BB106" s="401"/>
      <c r="BC106" s="401" t="str">
        <f t="shared" si="85"/>
        <v>-</v>
      </c>
    </row>
    <row r="107" spans="1:64" s="405" customFormat="1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88">IF(OR($C106="-",$C106="CET",$C106=""),"-",IF(AND(NOT(F106="-"),NOT(F$5="-"),NOT(F$5="")),F106/F$5,"-"))</f>
        <v>-</v>
      </c>
      <c r="G107" s="448" t="str">
        <f t="shared" si="88"/>
        <v>-</v>
      </c>
      <c r="H107" s="448" t="str">
        <f t="shared" si="88"/>
        <v>-</v>
      </c>
      <c r="I107" s="448" t="str">
        <f t="shared" si="88"/>
        <v>-</v>
      </c>
      <c r="J107" s="448" t="str">
        <f t="shared" si="88"/>
        <v>-</v>
      </c>
      <c r="K107" s="449" t="str">
        <f t="shared" si="88"/>
        <v>-</v>
      </c>
      <c r="L107" s="449" t="str">
        <f t="shared" si="88"/>
        <v>-</v>
      </c>
      <c r="M107" s="449" t="str">
        <f t="shared" si="88"/>
        <v>-</v>
      </c>
      <c r="N107" s="448" t="str">
        <f t="shared" si="88"/>
        <v>-</v>
      </c>
      <c r="O107" s="672"/>
      <c r="P107" s="673"/>
      <c r="Q107" s="673"/>
      <c r="R107" s="674"/>
      <c r="S107" s="672"/>
      <c r="T107" s="673"/>
      <c r="U107" s="673"/>
      <c r="V107" s="674"/>
      <c r="W107" s="512"/>
      <c r="X107" s="512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AI107" s="401"/>
      <c r="AJ107" s="401"/>
      <c r="AK107" s="401"/>
      <c r="AL107" s="401"/>
      <c r="AM107" s="401"/>
      <c r="AN107" s="401"/>
      <c r="AO107" s="401"/>
      <c r="AP107" s="401"/>
      <c r="AQ107" s="401"/>
      <c r="AR107" s="401"/>
      <c r="AS107" s="401"/>
      <c r="AT107" s="401"/>
      <c r="AU107" s="401"/>
      <c r="AV107" s="401"/>
      <c r="AW107" s="401"/>
      <c r="AX107" s="401"/>
      <c r="AY107" s="401"/>
      <c r="AZ107" s="401"/>
      <c r="BA107" s="401"/>
      <c r="BB107" s="401"/>
      <c r="BC107" s="401" t="str">
        <f t="shared" si="85"/>
        <v>-</v>
      </c>
      <c r="BD107" s="429" t="s">
        <v>85</v>
      </c>
      <c r="BE107" s="430" t="str">
        <f>F$4</f>
        <v>NMHC 
[g/km]</v>
      </c>
      <c r="BF107" s="430" t="str">
        <f t="shared" ref="BF107:BL107" si="89">G$4</f>
        <v>THC
[g/km]</v>
      </c>
      <c r="BG107" s="430" t="str">
        <f t="shared" si="89"/>
        <v>CO
[g/km]</v>
      </c>
      <c r="BH107" s="430" t="str">
        <f t="shared" si="89"/>
        <v>NOx
[g/km]</v>
      </c>
      <c r="BI107" s="430" t="str">
        <f t="shared" si="89"/>
        <v>PM
[mg/km]</v>
      </c>
      <c r="BJ107" s="430" t="str">
        <f t="shared" si="89"/>
        <v>PN
[#/km]</v>
      </c>
      <c r="BK107" s="430" t="str">
        <f t="shared" si="89"/>
        <v>Additional
component</v>
      </c>
      <c r="BL107" s="430" t="str">
        <f t="shared" si="89"/>
        <v>Additional
component 2</v>
      </c>
    </row>
    <row r="108" spans="1:64" s="405" customFormat="1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9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90"/>
        <v>-</v>
      </c>
      <c r="H108" s="451" t="str">
        <f t="shared" si="90"/>
        <v>-</v>
      </c>
      <c r="I108" s="451" t="str">
        <f t="shared" si="90"/>
        <v>-</v>
      </c>
      <c r="J108" s="451" t="str">
        <f t="shared" si="90"/>
        <v>-</v>
      </c>
      <c r="K108" s="452" t="str">
        <f t="shared" si="90"/>
        <v>-</v>
      </c>
      <c r="L108" s="452" t="str">
        <f t="shared" si="90"/>
        <v>-</v>
      </c>
      <c r="M108" s="452" t="str">
        <f t="shared" si="90"/>
        <v>-</v>
      </c>
      <c r="N108" s="451" t="str">
        <f t="shared" si="90"/>
        <v>-</v>
      </c>
      <c r="O108" s="672"/>
      <c r="P108" s="673"/>
      <c r="Q108" s="673"/>
      <c r="R108" s="674"/>
      <c r="S108" s="672"/>
      <c r="T108" s="673"/>
      <c r="U108" s="673"/>
      <c r="V108" s="674"/>
      <c r="W108" s="512"/>
      <c r="X108" s="512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401"/>
      <c r="AJ108" s="401"/>
      <c r="AK108" s="401"/>
      <c r="AL108" s="401"/>
      <c r="AM108" s="401"/>
      <c r="AN108" s="401"/>
      <c r="AO108" s="401"/>
      <c r="AP108" s="401"/>
      <c r="AQ108" s="401"/>
      <c r="AR108" s="401"/>
      <c r="AS108" s="401"/>
      <c r="AT108" s="401"/>
      <c r="AU108" s="401"/>
      <c r="AV108" s="401"/>
      <c r="AW108" s="401"/>
      <c r="AX108" s="401"/>
      <c r="AY108" s="401"/>
      <c r="AZ108" s="401"/>
      <c r="BA108" s="401"/>
      <c r="BB108" s="401"/>
      <c r="BC108" s="401" t="str">
        <f t="shared" si="85"/>
        <v>-</v>
      </c>
      <c r="BD108" s="429" t="str">
        <f>$E$4</f>
        <v>Other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s="405" customFormat="1" ht="15" customHeight="1" outlineLevel="1" x14ac:dyDescent="0.25">
      <c r="A109" s="396"/>
      <c r="B109" s="721"/>
      <c r="C109" s="668"/>
      <c r="D109" s="510"/>
      <c r="E109" s="510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512"/>
      <c r="X109" s="512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401"/>
      <c r="AJ109" s="401"/>
      <c r="AK109" s="401"/>
      <c r="AL109" s="401"/>
      <c r="AM109" s="401"/>
      <c r="AN109" s="401"/>
      <c r="AO109" s="401"/>
      <c r="AP109" s="401"/>
      <c r="AQ109" s="401"/>
      <c r="AR109" s="401"/>
      <c r="AS109" s="401"/>
      <c r="AT109" s="401"/>
      <c r="AU109" s="401"/>
      <c r="AV109" s="401"/>
      <c r="AW109" s="401"/>
      <c r="AX109" s="401"/>
      <c r="AY109" s="401"/>
      <c r="AZ109" s="401"/>
      <c r="BA109" s="401"/>
      <c r="BB109" s="401"/>
      <c r="BC109" s="401" t="str">
        <f t="shared" si="85"/>
        <v>-</v>
      </c>
      <c r="BD109" s="429" t="str">
        <f>"1st " &amp;  B104</f>
        <v>1st s.s.e.t.</v>
      </c>
      <c r="BE109" s="435" t="str">
        <f t="shared" ref="BE109:BL109" si="91">IF((OR($C106="-",$C106="CET",$C106="")),"-",IF(AND(OR(F104="-",F104=""),OR(F105="-",F105="")),"-",IF(NOT(OR(F104="-",F104="")),F104/F$5,F105/F$5)))</f>
        <v>-</v>
      </c>
      <c r="BF109" s="435" t="str">
        <f t="shared" si="91"/>
        <v>-</v>
      </c>
      <c r="BG109" s="435" t="str">
        <f t="shared" si="91"/>
        <v>-</v>
      </c>
      <c r="BH109" s="435" t="str">
        <f t="shared" si="91"/>
        <v>-</v>
      </c>
      <c r="BI109" s="435" t="str">
        <f t="shared" si="91"/>
        <v>-</v>
      </c>
      <c r="BJ109" s="435" t="str">
        <f t="shared" si="91"/>
        <v>-</v>
      </c>
      <c r="BK109" s="435" t="str">
        <f t="shared" si="91"/>
        <v>-</v>
      </c>
      <c r="BL109" s="435" t="str">
        <f t="shared" si="91"/>
        <v>-</v>
      </c>
    </row>
    <row r="110" spans="1:64" s="405" customFormat="1" ht="15" customHeight="1" outlineLevel="1" x14ac:dyDescent="0.25">
      <c r="A110" s="396"/>
      <c r="B110" s="721"/>
      <c r="C110" s="668"/>
      <c r="D110" s="510"/>
      <c r="E110" s="510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512"/>
      <c r="X110" s="512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AI110" s="401"/>
      <c r="AJ110" s="401"/>
      <c r="AK110" s="401"/>
      <c r="AL110" s="401"/>
      <c r="AM110" s="401"/>
      <c r="AN110" s="401"/>
      <c r="AO110" s="401"/>
      <c r="AP110" s="401"/>
      <c r="AQ110" s="401"/>
      <c r="AR110" s="401"/>
      <c r="AS110" s="401"/>
      <c r="AT110" s="401"/>
      <c r="AU110" s="401"/>
      <c r="AV110" s="401"/>
      <c r="AW110" s="401"/>
      <c r="AX110" s="401"/>
      <c r="AY110" s="401"/>
      <c r="AZ110" s="401"/>
      <c r="BA110" s="401"/>
      <c r="BB110" s="401"/>
      <c r="BC110" s="401" t="str">
        <f t="shared" si="85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s="405" customFormat="1" ht="15" customHeight="1" outlineLevel="1" x14ac:dyDescent="0.25">
      <c r="A111" s="396"/>
      <c r="B111" s="721"/>
      <c r="C111" s="668"/>
      <c r="D111" s="510"/>
      <c r="E111" s="510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512"/>
      <c r="X111" s="512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AI111" s="401"/>
      <c r="AJ111" s="401"/>
      <c r="AK111" s="401"/>
      <c r="AL111" s="401"/>
      <c r="AM111" s="401"/>
      <c r="AN111" s="401"/>
      <c r="AO111" s="401"/>
      <c r="AP111" s="401"/>
      <c r="AQ111" s="401"/>
      <c r="AR111" s="401"/>
      <c r="AS111" s="401"/>
      <c r="AT111" s="401"/>
      <c r="AU111" s="401"/>
      <c r="AV111" s="401"/>
      <c r="AW111" s="401"/>
      <c r="AX111" s="401"/>
      <c r="AY111" s="401"/>
      <c r="AZ111" s="401"/>
      <c r="BA111" s="401"/>
      <c r="BB111" s="401"/>
      <c r="BC111" s="401" t="str">
        <f t="shared" si="85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s="405" customFormat="1" ht="15" customHeight="1" outlineLevel="1" x14ac:dyDescent="0.25">
      <c r="A112" s="404"/>
      <c r="B112" s="721"/>
      <c r="C112" s="668"/>
      <c r="D112" s="510"/>
      <c r="E112" s="510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512"/>
      <c r="X112" s="512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AI112" s="401"/>
      <c r="AJ112" s="401"/>
      <c r="AK112" s="401"/>
      <c r="AL112" s="401"/>
      <c r="AM112" s="401"/>
      <c r="AN112" s="401"/>
      <c r="AO112" s="401"/>
      <c r="AP112" s="401"/>
      <c r="AQ112" s="401"/>
      <c r="AR112" s="401"/>
      <c r="AS112" s="401"/>
      <c r="AT112" s="401"/>
      <c r="AU112" s="401"/>
      <c r="AV112" s="401"/>
      <c r="AW112" s="401"/>
      <c r="AX112" s="401"/>
      <c r="AY112" s="401"/>
      <c r="AZ112" s="401"/>
      <c r="BA112" s="401"/>
      <c r="BB112" s="401"/>
      <c r="BC112" s="401" t="str">
        <f t="shared" si="85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s="405" customFormat="1" ht="15" customHeight="1" outlineLevel="1" x14ac:dyDescent="0.25">
      <c r="A113" s="404"/>
      <c r="B113" s="721"/>
      <c r="C113" s="668"/>
      <c r="D113" s="510"/>
      <c r="E113" s="510"/>
      <c r="F113" s="510"/>
      <c r="G113" s="510"/>
      <c r="H113" s="510"/>
      <c r="I113" s="510"/>
      <c r="J113" s="510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512"/>
      <c r="X113" s="512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AI113" s="401"/>
      <c r="AJ113" s="401"/>
      <c r="AK113" s="401"/>
      <c r="AL113" s="401"/>
      <c r="AM113" s="401"/>
      <c r="AN113" s="401"/>
      <c r="AO113" s="401"/>
      <c r="AP113" s="401"/>
      <c r="AQ113" s="401"/>
      <c r="AR113" s="401"/>
      <c r="AS113" s="401"/>
      <c r="AT113" s="401"/>
      <c r="AU113" s="401"/>
      <c r="AV113" s="401"/>
      <c r="AW113" s="401"/>
      <c r="AX113" s="401"/>
      <c r="AY113" s="401"/>
      <c r="AZ113" s="401"/>
      <c r="BA113" s="401"/>
      <c r="BB113" s="401"/>
      <c r="BC113" s="401" t="str">
        <f t="shared" si="85"/>
        <v>-</v>
      </c>
      <c r="BD113" s="429" t="str">
        <f>"0.7*IEF " &amp; (B104)</f>
        <v>0.7*IEF s.s.e.t.</v>
      </c>
      <c r="BE113" s="435" t="str">
        <f t="shared" ref="BE113:BL113" si="92">IF(OR($C106="-",$C106="CET",$C106=""),"-",0.7*$C106)</f>
        <v>-</v>
      </c>
      <c r="BF113" s="435" t="str">
        <f t="shared" si="92"/>
        <v>-</v>
      </c>
      <c r="BG113" s="435" t="str">
        <f t="shared" si="92"/>
        <v>-</v>
      </c>
      <c r="BH113" s="435" t="str">
        <f t="shared" si="92"/>
        <v>-</v>
      </c>
      <c r="BI113" s="435" t="str">
        <f t="shared" si="92"/>
        <v>-</v>
      </c>
      <c r="BJ113" s="435" t="str">
        <f t="shared" si="92"/>
        <v>-</v>
      </c>
      <c r="BK113" s="435" t="str">
        <f t="shared" si="92"/>
        <v>-</v>
      </c>
      <c r="BL113" s="435" t="str">
        <f t="shared" si="92"/>
        <v>-</v>
      </c>
    </row>
    <row r="114" spans="1:64" s="405" customFormat="1" ht="15" customHeight="1" outlineLevel="1" x14ac:dyDescent="0.25">
      <c r="A114" s="404"/>
      <c r="B114" s="721"/>
      <c r="C114" s="668"/>
      <c r="D114" s="510"/>
      <c r="E114" s="510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512"/>
      <c r="X114" s="512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401"/>
      <c r="AJ114" s="401"/>
      <c r="AK114" s="401"/>
      <c r="AL114" s="401"/>
      <c r="AM114" s="401"/>
      <c r="AN114" s="401"/>
      <c r="AO114" s="401"/>
      <c r="AP114" s="401"/>
      <c r="AQ114" s="401"/>
      <c r="AR114" s="401"/>
      <c r="AS114" s="401"/>
      <c r="AT114" s="401"/>
      <c r="AU114" s="401"/>
      <c r="AV114" s="401"/>
      <c r="AW114" s="401"/>
      <c r="AX114" s="401"/>
      <c r="AY114" s="401"/>
      <c r="AZ114" s="401"/>
      <c r="BA114" s="401"/>
      <c r="BB114" s="401"/>
      <c r="BC114" s="401" t="str">
        <f t="shared" si="85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s="405" customFormat="1" ht="15" customHeight="1" outlineLevel="1" x14ac:dyDescent="0.25">
      <c r="A115" s="404"/>
      <c r="B115" s="721"/>
      <c r="C115" s="668"/>
      <c r="D115" s="510"/>
      <c r="E115" s="510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512"/>
      <c r="X115" s="512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401"/>
      <c r="AJ115" s="401"/>
      <c r="AK115" s="401"/>
      <c r="AL115" s="401"/>
      <c r="AM115" s="401"/>
      <c r="AN115" s="401"/>
      <c r="AO115" s="401"/>
      <c r="AP115" s="401"/>
      <c r="AQ115" s="401"/>
      <c r="AR115" s="401"/>
      <c r="AS115" s="401"/>
      <c r="AT115" s="401"/>
      <c r="AU115" s="401"/>
      <c r="AV115" s="401"/>
      <c r="AW115" s="401"/>
      <c r="AX115" s="401"/>
      <c r="AY115" s="401"/>
      <c r="AZ115" s="401"/>
      <c r="BA115" s="401"/>
      <c r="BB115" s="401"/>
      <c r="BC115" s="401" t="str">
        <f t="shared" si="85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s="405" customFormat="1" ht="15" customHeight="1" outlineLevel="1" x14ac:dyDescent="0.25">
      <c r="A116" s="404"/>
      <c r="B116" s="721"/>
      <c r="C116" s="668"/>
      <c r="D116" s="510"/>
      <c r="E116" s="510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512"/>
      <c r="X116" s="512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AI116" s="401"/>
      <c r="AJ116" s="401"/>
      <c r="AK116" s="401"/>
      <c r="AL116" s="401"/>
      <c r="AM116" s="401"/>
      <c r="AN116" s="401"/>
      <c r="AO116" s="401"/>
      <c r="AP116" s="401"/>
      <c r="AQ116" s="401"/>
      <c r="AR116" s="401"/>
      <c r="AS116" s="401"/>
      <c r="AT116" s="401"/>
      <c r="AU116" s="401"/>
      <c r="AV116" s="401"/>
      <c r="AW116" s="401"/>
      <c r="AX116" s="401"/>
      <c r="AY116" s="401"/>
      <c r="AZ116" s="401"/>
      <c r="BA116" s="401"/>
      <c r="BB116" s="401"/>
      <c r="BC116" s="401" t="str">
        <f t="shared" si="85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s="405" customFormat="1" ht="15" customHeight="1" outlineLevel="1" x14ac:dyDescent="0.25">
      <c r="A117" s="404"/>
      <c r="B117" s="721"/>
      <c r="C117" s="668"/>
      <c r="D117" s="510"/>
      <c r="E117" s="510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512"/>
      <c r="X117" s="512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AI117" s="401"/>
      <c r="AJ117" s="401"/>
      <c r="AK117" s="401"/>
      <c r="AL117" s="401"/>
      <c r="AM117" s="401"/>
      <c r="AN117" s="401"/>
      <c r="AO117" s="401"/>
      <c r="AP117" s="401"/>
      <c r="AQ117" s="401"/>
      <c r="AR117" s="401"/>
      <c r="AS117" s="401"/>
      <c r="AT117" s="401"/>
      <c r="AU117" s="401"/>
      <c r="AV117" s="401"/>
      <c r="AW117" s="401"/>
      <c r="AX117" s="401"/>
      <c r="AY117" s="401"/>
      <c r="AZ117" s="401"/>
      <c r="BA117" s="401"/>
      <c r="BB117" s="401"/>
      <c r="BC117" s="401" t="str">
        <f t="shared" si="85"/>
        <v>-</v>
      </c>
      <c r="BD117" s="429" t="str">
        <f>B104</f>
        <v>s.s.e.t.</v>
      </c>
      <c r="BE117" s="477" t="str">
        <f t="shared" ref="BE117:BL117" si="93">F107</f>
        <v>-</v>
      </c>
      <c r="BF117" s="435" t="str">
        <f t="shared" si="93"/>
        <v>-</v>
      </c>
      <c r="BG117" s="435" t="str">
        <f t="shared" si="93"/>
        <v>-</v>
      </c>
      <c r="BH117" s="435" t="str">
        <f t="shared" si="93"/>
        <v>-</v>
      </c>
      <c r="BI117" s="435" t="str">
        <f t="shared" si="93"/>
        <v>-</v>
      </c>
      <c r="BJ117" s="435" t="str">
        <f t="shared" si="93"/>
        <v>-</v>
      </c>
      <c r="BK117" s="435" t="str">
        <f t="shared" si="93"/>
        <v>-</v>
      </c>
      <c r="BL117" s="435" t="str">
        <f t="shared" si="93"/>
        <v>-</v>
      </c>
    </row>
    <row r="118" spans="1:64" s="405" customFormat="1" ht="15" customHeight="1" outlineLevel="1" x14ac:dyDescent="0.25">
      <c r="A118" s="404"/>
      <c r="B118" s="721"/>
      <c r="C118" s="668"/>
      <c r="D118" s="510"/>
      <c r="E118" s="510"/>
      <c r="F118" s="510"/>
      <c r="G118" s="510"/>
      <c r="H118" s="510"/>
      <c r="I118" s="510"/>
      <c r="J118" s="510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512"/>
      <c r="X118" s="512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AI118" s="401"/>
      <c r="AJ118" s="401"/>
      <c r="AK118" s="401"/>
      <c r="AL118" s="401"/>
      <c r="AM118" s="401"/>
      <c r="AN118" s="401"/>
      <c r="AO118" s="401"/>
      <c r="AP118" s="401"/>
      <c r="AQ118" s="401"/>
      <c r="AR118" s="401"/>
      <c r="AS118" s="401"/>
      <c r="AT118" s="401"/>
      <c r="AU118" s="401"/>
      <c r="AV118" s="401"/>
      <c r="AW118" s="401"/>
      <c r="AX118" s="401"/>
      <c r="AY118" s="401"/>
      <c r="AZ118" s="401"/>
      <c r="BA118" s="401"/>
      <c r="BB118" s="401"/>
      <c r="BC118" s="401" t="str">
        <f t="shared" si="85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s="405" customFormat="1" ht="15" customHeight="1" outlineLevel="1" x14ac:dyDescent="0.25">
      <c r="A119" s="404"/>
      <c r="B119" s="721"/>
      <c r="C119" s="668"/>
      <c r="D119" s="510"/>
      <c r="E119" s="510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512"/>
      <c r="X119" s="512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AI119" s="401"/>
      <c r="AJ119" s="401"/>
      <c r="AK119" s="401"/>
      <c r="AL119" s="401"/>
      <c r="AM119" s="401"/>
      <c r="AN119" s="401"/>
      <c r="AO119" s="401"/>
      <c r="AP119" s="401"/>
      <c r="AQ119" s="401"/>
      <c r="AR119" s="401"/>
      <c r="AS119" s="401"/>
      <c r="AT119" s="401"/>
      <c r="AU119" s="401"/>
      <c r="AV119" s="401"/>
      <c r="AW119" s="401"/>
      <c r="AX119" s="401"/>
      <c r="AY119" s="401"/>
      <c r="AZ119" s="401"/>
      <c r="BA119" s="401"/>
      <c r="BB119" s="401"/>
      <c r="BC119" s="401" t="str">
        <f t="shared" si="85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s="405" customFormat="1" ht="15" customHeight="1" outlineLevel="1" x14ac:dyDescent="0.25">
      <c r="A120" s="404"/>
      <c r="B120" s="721"/>
      <c r="C120" s="668"/>
      <c r="D120" s="510"/>
      <c r="E120" s="510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512"/>
      <c r="X120" s="512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AI120" s="401"/>
      <c r="AJ120" s="401"/>
      <c r="AK120" s="401"/>
      <c r="AL120" s="401"/>
      <c r="AM120" s="401"/>
      <c r="AN120" s="401"/>
      <c r="AO120" s="401"/>
      <c r="AP120" s="401"/>
      <c r="AQ120" s="401"/>
      <c r="AR120" s="401"/>
      <c r="AS120" s="401"/>
      <c r="AT120" s="401"/>
      <c r="AU120" s="401"/>
      <c r="AV120" s="401"/>
      <c r="AW120" s="401"/>
      <c r="AX120" s="401"/>
      <c r="AY120" s="401"/>
      <c r="AZ120" s="401"/>
      <c r="BA120" s="401"/>
      <c r="BB120" s="401"/>
      <c r="BC120" s="401" t="str">
        <f t="shared" si="85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s="405" customFormat="1" ht="15" customHeight="1" outlineLevel="1" x14ac:dyDescent="0.25">
      <c r="A121" s="404"/>
      <c r="B121" s="721"/>
      <c r="C121" s="668"/>
      <c r="D121" s="510"/>
      <c r="E121" s="510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512"/>
      <c r="X121" s="512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AI121" s="401"/>
      <c r="AJ121" s="401"/>
      <c r="AK121" s="401"/>
      <c r="AL121" s="401"/>
      <c r="AM121" s="401"/>
      <c r="AN121" s="401"/>
      <c r="AO121" s="401"/>
      <c r="AP121" s="401"/>
      <c r="AQ121" s="401"/>
      <c r="AR121" s="401"/>
      <c r="AS121" s="401"/>
      <c r="AT121" s="401"/>
      <c r="AU121" s="401"/>
      <c r="AV121" s="401"/>
      <c r="AW121" s="401"/>
      <c r="AX121" s="401"/>
      <c r="AY121" s="401"/>
      <c r="AZ121" s="401"/>
      <c r="BA121" s="401"/>
      <c r="BB121" s="401"/>
      <c r="BC121" s="401" t="str">
        <f t="shared" si="85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L121" si="94">IF(OR($C106="-",$C106="CET",$C106=""),"-",$C106)</f>
        <v>-</v>
      </c>
      <c r="BG121" s="435" t="str">
        <f t="shared" si="94"/>
        <v>-</v>
      </c>
      <c r="BH121" s="435" t="str">
        <f t="shared" si="94"/>
        <v>-</v>
      </c>
      <c r="BI121" s="435" t="str">
        <f t="shared" si="94"/>
        <v>-</v>
      </c>
      <c r="BJ121" s="435" t="str">
        <f t="shared" si="94"/>
        <v>-</v>
      </c>
      <c r="BK121" s="435" t="str">
        <f t="shared" si="94"/>
        <v>-</v>
      </c>
      <c r="BL121" s="435" t="str">
        <f t="shared" si="94"/>
        <v>-</v>
      </c>
    </row>
    <row r="122" spans="1:64" s="405" customFormat="1" outlineLevel="1" x14ac:dyDescent="0.25">
      <c r="A122" s="401"/>
      <c r="B122" s="721"/>
      <c r="C122" s="668"/>
      <c r="D122" s="510"/>
      <c r="E122" s="510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W122" s="401"/>
      <c r="X122" s="401"/>
      <c r="Y122" s="401"/>
      <c r="Z122" s="401"/>
      <c r="AA122" s="401"/>
      <c r="AB122" s="401"/>
      <c r="AC122" s="401"/>
      <c r="AD122" s="401"/>
      <c r="AE122" s="401"/>
      <c r="AF122" s="401"/>
      <c r="AG122" s="401"/>
      <c r="AH122" s="401"/>
      <c r="AI122" s="401"/>
      <c r="AJ122" s="401"/>
      <c r="AK122" s="401"/>
      <c r="AL122" s="401"/>
      <c r="AM122" s="401"/>
      <c r="AN122" s="401"/>
      <c r="AO122" s="401"/>
      <c r="AP122" s="401"/>
      <c r="AQ122" s="401"/>
      <c r="AR122" s="401"/>
      <c r="AS122" s="401"/>
      <c r="AT122" s="401"/>
      <c r="AU122" s="401"/>
      <c r="AV122" s="401"/>
      <c r="AW122" s="401"/>
      <c r="AX122" s="401"/>
      <c r="AY122" s="401"/>
      <c r="AZ122" s="401"/>
      <c r="BA122" s="401"/>
      <c r="BB122" s="401"/>
      <c r="BC122" s="401" t="str">
        <f t="shared" si="85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s="405" customFormat="1" ht="15.75" outlineLevel="1" thickBot="1" x14ac:dyDescent="0.3">
      <c r="A123" s="401"/>
      <c r="B123" s="722"/>
      <c r="C123" s="723"/>
      <c r="D123" s="516"/>
      <c r="E123" s="516"/>
      <c r="F123" s="516"/>
      <c r="G123" s="516"/>
      <c r="H123" s="516"/>
      <c r="I123" s="516"/>
      <c r="J123" s="516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W123" s="401"/>
      <c r="X123" s="401"/>
      <c r="Y123" s="401"/>
      <c r="Z123" s="401"/>
      <c r="AA123" s="401"/>
      <c r="AB123" s="401"/>
      <c r="AC123" s="401"/>
      <c r="AD123" s="401"/>
      <c r="AE123" s="401"/>
      <c r="AF123" s="401"/>
      <c r="AG123" s="401"/>
      <c r="AH123" s="401"/>
      <c r="AI123" s="401"/>
      <c r="AJ123" s="401"/>
      <c r="AK123" s="401"/>
      <c r="AL123" s="401"/>
      <c r="AM123" s="401"/>
      <c r="AN123" s="401"/>
      <c r="AO123" s="401"/>
      <c r="AP123" s="401"/>
      <c r="AQ123" s="401"/>
      <c r="AR123" s="401"/>
      <c r="AS123" s="401"/>
      <c r="AT123" s="401"/>
      <c r="AU123" s="401"/>
      <c r="AV123" s="401"/>
      <c r="AW123" s="401"/>
      <c r="AX123" s="401"/>
      <c r="AY123" s="401"/>
      <c r="AZ123" s="401"/>
      <c r="BA123" s="401"/>
      <c r="BB123" s="401"/>
      <c r="BC123" s="401" t="str">
        <f t="shared" si="85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s="405" customFormat="1" ht="15" customHeight="1" x14ac:dyDescent="0.25">
      <c r="A124" s="396"/>
      <c r="B124" s="401"/>
      <c r="C124" s="401"/>
      <c r="D124" s="401"/>
      <c r="E124" s="401"/>
      <c r="F124" s="401"/>
      <c r="G124" s="401"/>
      <c r="H124" s="401"/>
      <c r="I124" s="401"/>
      <c r="J124" s="401"/>
      <c r="K124" s="458"/>
      <c r="L124" s="458"/>
      <c r="M124" s="458"/>
      <c r="N124" s="401"/>
      <c r="O124" s="401"/>
      <c r="P124" s="401"/>
      <c r="Q124" s="401"/>
      <c r="R124" s="401"/>
      <c r="S124" s="401"/>
      <c r="T124" s="401"/>
      <c r="U124" s="401"/>
      <c r="V124" s="401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AI124" s="401"/>
      <c r="AJ124" s="401"/>
      <c r="AK124" s="401"/>
      <c r="AL124" s="401"/>
      <c r="AM124" s="401"/>
      <c r="AN124" s="401"/>
      <c r="AO124" s="401"/>
      <c r="AP124" s="401"/>
      <c r="AQ124" s="401"/>
      <c r="AR124" s="401"/>
      <c r="AS124" s="401"/>
      <c r="AT124" s="401"/>
      <c r="AU124" s="401"/>
      <c r="AV124" s="401"/>
      <c r="AW124" s="401"/>
      <c r="AX124" s="401"/>
      <c r="AY124" s="401"/>
      <c r="AZ124" s="401"/>
      <c r="BA124" s="401"/>
      <c r="BB124" s="401"/>
      <c r="BC124" s="401" t="str">
        <f t="shared" si="85"/>
        <v>-</v>
      </c>
    </row>
    <row r="125" spans="1:64" s="405" customFormat="1" ht="15" customHeight="1" x14ac:dyDescent="0.25">
      <c r="A125" s="396"/>
      <c r="B125" s="401"/>
      <c r="C125" s="401"/>
      <c r="D125" s="401"/>
      <c r="E125" s="401"/>
      <c r="F125" s="401"/>
      <c r="G125" s="401"/>
      <c r="H125" s="401"/>
      <c r="I125" s="401"/>
      <c r="J125" s="401"/>
      <c r="K125" s="458"/>
      <c r="L125" s="458"/>
      <c r="M125" s="458"/>
      <c r="N125" s="401"/>
      <c r="O125" s="401"/>
      <c r="P125" s="401"/>
      <c r="Q125" s="401"/>
      <c r="R125" s="401"/>
      <c r="S125" s="401"/>
      <c r="T125" s="401"/>
      <c r="U125" s="401"/>
      <c r="V125" s="401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AI125" s="401"/>
      <c r="AJ125" s="401"/>
      <c r="AK125" s="401"/>
      <c r="AL125" s="401"/>
      <c r="AM125" s="401"/>
      <c r="AN125" s="401"/>
      <c r="AO125" s="401"/>
      <c r="AP125" s="401"/>
      <c r="AQ125" s="401"/>
      <c r="AR125" s="401"/>
      <c r="AS125" s="401"/>
      <c r="AT125" s="401"/>
      <c r="AU125" s="401"/>
      <c r="AV125" s="401"/>
      <c r="AW125" s="401"/>
      <c r="AX125" s="401"/>
      <c r="AY125" s="401"/>
      <c r="AZ125" s="401"/>
      <c r="BA125" s="401"/>
      <c r="BB125" s="401"/>
      <c r="BC125" s="401" t="str">
        <f t="shared" si="85"/>
        <v>-</v>
      </c>
    </row>
    <row r="126" spans="1:64" s="405" customFormat="1" ht="15" customHeight="1" thickBot="1" x14ac:dyDescent="0.3">
      <c r="A126" s="396"/>
      <c r="B126" s="401"/>
      <c r="C126" s="401"/>
      <c r="D126" s="401"/>
      <c r="E126" s="401"/>
      <c r="F126" s="401"/>
      <c r="G126" s="401"/>
      <c r="H126" s="401"/>
      <c r="I126" s="401"/>
      <c r="J126" s="401"/>
      <c r="K126" s="458"/>
      <c r="L126" s="458"/>
      <c r="M126" s="458"/>
      <c r="N126" s="401"/>
      <c r="O126" s="401"/>
      <c r="P126" s="401"/>
      <c r="Q126" s="401"/>
      <c r="R126" s="401"/>
      <c r="S126" s="401"/>
      <c r="T126" s="401"/>
      <c r="U126" s="401"/>
      <c r="V126" s="401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AI126" s="401"/>
      <c r="AJ126" s="401"/>
      <c r="AK126" s="401"/>
      <c r="AL126" s="401"/>
      <c r="AM126" s="401"/>
      <c r="AN126" s="401"/>
      <c r="AO126" s="401"/>
      <c r="AP126" s="401"/>
      <c r="AQ126" s="401"/>
      <c r="AR126" s="401"/>
      <c r="AS126" s="401"/>
      <c r="AT126" s="401"/>
      <c r="AU126" s="401"/>
      <c r="AV126" s="401"/>
      <c r="AW126" s="401"/>
      <c r="AX126" s="401"/>
      <c r="AY126" s="401"/>
      <c r="AZ126" s="401"/>
      <c r="BA126" s="401"/>
      <c r="BB126" s="401"/>
      <c r="BC126" s="401" t="str">
        <f t="shared" si="85"/>
        <v>-</v>
      </c>
    </row>
    <row r="127" spans="1:64" s="405" customFormat="1" ht="24.95" customHeight="1" thickBot="1" x14ac:dyDescent="0.3">
      <c r="A127" s="396"/>
      <c r="B127" s="415">
        <v>5</v>
      </c>
      <c r="C127" s="706" t="s">
        <v>240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511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AI127" s="401"/>
      <c r="AJ127" s="401"/>
      <c r="AK127" s="401"/>
      <c r="AL127" s="401"/>
      <c r="AM127" s="401"/>
      <c r="AN127" s="401"/>
      <c r="AO127" s="401"/>
      <c r="AP127" s="401"/>
      <c r="AQ127" s="401"/>
      <c r="AR127" s="401"/>
      <c r="AS127" s="401"/>
      <c r="AT127" s="401"/>
      <c r="AU127" s="401"/>
      <c r="AV127" s="401"/>
      <c r="AW127" s="401"/>
      <c r="AX127" s="401"/>
      <c r="AY127" s="401"/>
      <c r="AZ127" s="401"/>
      <c r="BA127" s="401"/>
      <c r="BB127" s="401"/>
      <c r="BC127" s="401" t="str">
        <f t="shared" si="85"/>
        <v>-</v>
      </c>
    </row>
    <row r="128" spans="1:64" s="405" customFormat="1" ht="15" customHeight="1" outlineLevel="1" thickBot="1" x14ac:dyDescent="0.3">
      <c r="A128" s="396"/>
      <c r="B128" s="513"/>
      <c r="C128" s="514"/>
      <c r="D128" s="514"/>
      <c r="E128" s="514"/>
      <c r="F128" s="514"/>
      <c r="G128" s="514"/>
      <c r="H128" s="514"/>
      <c r="I128" s="514"/>
      <c r="J128" s="514"/>
      <c r="K128" s="421"/>
      <c r="L128" s="421"/>
      <c r="M128" s="421"/>
      <c r="N128" s="514"/>
      <c r="O128" s="514"/>
      <c r="P128" s="514"/>
      <c r="Q128" s="514"/>
      <c r="R128" s="514"/>
      <c r="S128" s="514"/>
      <c r="T128" s="422"/>
      <c r="U128" s="422"/>
      <c r="V128" s="423"/>
      <c r="W128" s="512"/>
      <c r="X128" s="512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AI128" s="401"/>
      <c r="AJ128" s="401"/>
      <c r="AK128" s="401"/>
      <c r="AL128" s="401"/>
      <c r="AM128" s="401"/>
      <c r="AN128" s="401"/>
      <c r="AO128" s="401"/>
      <c r="AP128" s="401"/>
      <c r="AQ128" s="401"/>
      <c r="AR128" s="401"/>
      <c r="AS128" s="401"/>
      <c r="AT128" s="401"/>
      <c r="AU128" s="401"/>
      <c r="AV128" s="401"/>
      <c r="AW128" s="401"/>
      <c r="AX128" s="401"/>
      <c r="AY128" s="401"/>
      <c r="AZ128" s="401"/>
      <c r="BA128" s="401"/>
      <c r="BB128" s="401"/>
      <c r="BC128" s="401" t="str">
        <f t="shared" si="85"/>
        <v>-</v>
      </c>
      <c r="BD128" s="429" t="s">
        <v>85</v>
      </c>
      <c r="BE128" s="430" t="str">
        <f>F$4</f>
        <v>NMHC 
[g/km]</v>
      </c>
      <c r="BF128" s="430" t="str">
        <f t="shared" ref="BF128:BL128" si="95">G$4</f>
        <v>THC
[g/km]</v>
      </c>
      <c r="BG128" s="430" t="str">
        <f t="shared" si="95"/>
        <v>CO
[g/km]</v>
      </c>
      <c r="BH128" s="430" t="str">
        <f t="shared" si="95"/>
        <v>NOx
[g/km]</v>
      </c>
      <c r="BI128" s="430" t="str">
        <f t="shared" si="95"/>
        <v>PM
[mg/km]</v>
      </c>
      <c r="BJ128" s="430" t="str">
        <f t="shared" si="95"/>
        <v>PN
[#/km]</v>
      </c>
      <c r="BK128" s="430" t="str">
        <f t="shared" si="95"/>
        <v>Additional
component</v>
      </c>
      <c r="BL128" s="430" t="str">
        <f t="shared" si="95"/>
        <v>Additional
component 2</v>
      </c>
    </row>
    <row r="129" spans="1:64" s="405" customFormat="1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512"/>
      <c r="X129" s="512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401"/>
      <c r="AJ129" s="401"/>
      <c r="AK129" s="401"/>
      <c r="AL129" s="401"/>
      <c r="AM129" s="401"/>
      <c r="AN129" s="401"/>
      <c r="AO129" s="401"/>
      <c r="AP129" s="401"/>
      <c r="AQ129" s="401"/>
      <c r="AR129" s="401"/>
      <c r="AS129" s="401"/>
      <c r="AT129" s="401"/>
      <c r="AU129" s="401"/>
      <c r="AV129" s="401"/>
      <c r="AW129" s="401"/>
      <c r="AX129" s="401"/>
      <c r="AY129" s="401"/>
      <c r="AZ129" s="401"/>
      <c r="BA129" s="401"/>
      <c r="BB129" s="401"/>
      <c r="BC129" s="401" t="str">
        <f t="shared" si="85"/>
        <v>-</v>
      </c>
      <c r="BD129" s="429" t="str">
        <f>$E$4</f>
        <v>Other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s="405" customFormat="1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96">G$4</f>
        <v>THC
[g/km]</v>
      </c>
      <c r="H130" s="425" t="str">
        <f t="shared" si="96"/>
        <v>CO
[g/km]</v>
      </c>
      <c r="I130" s="425" t="str">
        <f t="shared" si="96"/>
        <v>NOx
[g/km]</v>
      </c>
      <c r="J130" s="425" t="str">
        <f t="shared" si="96"/>
        <v>PM
[mg/km]</v>
      </c>
      <c r="K130" s="425" t="str">
        <f t="shared" si="96"/>
        <v>PN
[#/km]</v>
      </c>
      <c r="L130" s="426" t="str">
        <f t="shared" si="96"/>
        <v>Additional
component</v>
      </c>
      <c r="M130" s="426" t="str">
        <f t="shared" si="96"/>
        <v>Additional
component 2</v>
      </c>
      <c r="N130" s="425" t="str">
        <f t="shared" si="96"/>
        <v>CO2
[g/km]</v>
      </c>
      <c r="O130" s="670"/>
      <c r="P130" s="670"/>
      <c r="Q130" s="670"/>
      <c r="R130" s="671"/>
      <c r="S130" s="669"/>
      <c r="T130" s="670"/>
      <c r="U130" s="670"/>
      <c r="V130" s="671"/>
      <c r="W130" s="512"/>
      <c r="X130" s="512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401"/>
      <c r="AJ130" s="401"/>
      <c r="AK130" s="401"/>
      <c r="AL130" s="401"/>
      <c r="AM130" s="401"/>
      <c r="AN130" s="401"/>
      <c r="AO130" s="401"/>
      <c r="AP130" s="401"/>
      <c r="AQ130" s="401"/>
      <c r="AR130" s="401"/>
      <c r="AS130" s="401"/>
      <c r="AT130" s="401"/>
      <c r="AU130" s="401"/>
      <c r="AV130" s="401"/>
      <c r="AW130" s="401"/>
      <c r="AX130" s="401"/>
      <c r="AY130" s="401"/>
      <c r="AZ130" s="401"/>
      <c r="BA130" s="401"/>
      <c r="BB130" s="401"/>
      <c r="BC130" s="401" t="str">
        <f t="shared" si="85"/>
        <v>-</v>
      </c>
      <c r="BD130" s="429" t="str">
        <f>"1st " &amp;  B131</f>
        <v>1st RDE-RC-AGGR</v>
      </c>
      <c r="BE130" s="435" t="str">
        <f t="shared" ref="BE130:BL130" si="97">IF((OR($C133="-",$C133="CET",$C133="")),"-",IF(AND(OR(F131="-",F131=""),OR(F132="-",F132="")),"-",IF(NOT(OR(F131="-",F131="")),F131/F$5,F132/F$5)))</f>
        <v>-</v>
      </c>
      <c r="BF130" s="435" t="str">
        <f t="shared" si="97"/>
        <v>-</v>
      </c>
      <c r="BG130" s="435" t="str">
        <f t="shared" si="97"/>
        <v>-</v>
      </c>
      <c r="BH130" s="435" t="str">
        <f t="shared" si="97"/>
        <v>-</v>
      </c>
      <c r="BI130" s="435" t="str">
        <f t="shared" si="97"/>
        <v>-</v>
      </c>
      <c r="BJ130" s="435" t="str">
        <f t="shared" si="97"/>
        <v>-</v>
      </c>
      <c r="BK130" s="435" t="str">
        <f t="shared" si="97"/>
        <v>-</v>
      </c>
      <c r="BL130" s="435" t="str">
        <f t="shared" si="97"/>
        <v>-</v>
      </c>
    </row>
    <row r="131" spans="1:64" s="405" customFormat="1" ht="15" customHeight="1" outlineLevel="1" x14ac:dyDescent="0.25">
      <c r="A131" s="439"/>
      <c r="B131" s="724" t="s">
        <v>240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3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85"/>
        <v>-</v>
      </c>
      <c r="BD131" s="429" t="str">
        <f>"1st " &amp; B136</f>
        <v xml:space="preserve">1st </v>
      </c>
      <c r="BE131" s="435" t="str">
        <f t="shared" ref="BE131:BL131" si="98">IF((OR($C138="-",$C138="CET",$C138="")),"-",IF(AND(OR(F136="-",F136=""),OR(F137="-",F137="")),"-",IF(NOT(OR(F136="-",F136="")),F136/F$5,F137/F$5)))</f>
        <v>-</v>
      </c>
      <c r="BF131" s="435" t="str">
        <f t="shared" si="98"/>
        <v>-</v>
      </c>
      <c r="BG131" s="435" t="str">
        <f t="shared" si="98"/>
        <v>-</v>
      </c>
      <c r="BH131" s="435" t="str">
        <f t="shared" si="98"/>
        <v>-</v>
      </c>
      <c r="BI131" s="435" t="str">
        <f t="shared" si="98"/>
        <v>-</v>
      </c>
      <c r="BJ131" s="435" t="str">
        <f t="shared" si="98"/>
        <v>-</v>
      </c>
      <c r="BK131" s="435" t="str">
        <f t="shared" si="98"/>
        <v>-</v>
      </c>
      <c r="BL131" s="435" t="str">
        <f t="shared" si="98"/>
        <v>-</v>
      </c>
    </row>
    <row r="132" spans="1:64" s="405" customFormat="1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3"/>
      <c r="P132" s="673"/>
      <c r="Q132" s="673"/>
      <c r="R132" s="674"/>
      <c r="S132" s="672"/>
      <c r="T132" s="673"/>
      <c r="U132" s="673"/>
      <c r="V132" s="674"/>
      <c r="W132" s="512"/>
      <c r="X132" s="512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AI132" s="401"/>
      <c r="AJ132" s="401"/>
      <c r="AK132" s="401"/>
      <c r="AL132" s="401"/>
      <c r="AM132" s="401"/>
      <c r="AN132" s="401"/>
      <c r="AO132" s="401"/>
      <c r="AP132" s="401"/>
      <c r="AQ132" s="401"/>
      <c r="AR132" s="401"/>
      <c r="AS132" s="401"/>
      <c r="AT132" s="401"/>
      <c r="AU132" s="401"/>
      <c r="AV132" s="401"/>
      <c r="AW132" s="401"/>
      <c r="AX132" s="401"/>
      <c r="AY132" s="401"/>
      <c r="AZ132" s="401"/>
      <c r="BA132" s="401"/>
      <c r="BB132" s="401"/>
      <c r="BC132" s="401" t="str">
        <f t="shared" si="85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s="405" customFormat="1" ht="15" customHeight="1" outlineLevel="1" thickBot="1" x14ac:dyDescent="0.3">
      <c r="A133" s="396"/>
      <c r="B133" s="725"/>
      <c r="C133" s="686">
        <v>4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99">IF(OR(F132="-",F132=""),IF(OR(F131="-",F131=""),"-",F131),IF(OR(F131="-",F131=""),F132,(F131+F132)/2))</f>
        <v>-</v>
      </c>
      <c r="G133" s="445" t="str">
        <f t="shared" si="99"/>
        <v>-</v>
      </c>
      <c r="H133" s="445" t="str">
        <f t="shared" si="99"/>
        <v>-</v>
      </c>
      <c r="I133" s="445" t="str">
        <f t="shared" si="99"/>
        <v>-</v>
      </c>
      <c r="J133" s="445" t="str">
        <f t="shared" si="99"/>
        <v>-</v>
      </c>
      <c r="K133" s="446" t="str">
        <f t="shared" si="99"/>
        <v>-</v>
      </c>
      <c r="L133" s="446" t="str">
        <f t="shared" si="99"/>
        <v>-</v>
      </c>
      <c r="M133" s="446" t="str">
        <f t="shared" si="99"/>
        <v>-</v>
      </c>
      <c r="N133" s="445" t="str">
        <f t="shared" si="99"/>
        <v>-</v>
      </c>
      <c r="O133" s="673"/>
      <c r="P133" s="673"/>
      <c r="Q133" s="673"/>
      <c r="R133" s="674"/>
      <c r="S133" s="672"/>
      <c r="T133" s="673"/>
      <c r="U133" s="673"/>
      <c r="V133" s="674"/>
      <c r="W133" s="512"/>
      <c r="X133" s="512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AI133" s="401"/>
      <c r="AJ133" s="401"/>
      <c r="AK133" s="401"/>
      <c r="AL133" s="401"/>
      <c r="AM133" s="401"/>
      <c r="AN133" s="401"/>
      <c r="AO133" s="401"/>
      <c r="AP133" s="401"/>
      <c r="AQ133" s="401"/>
      <c r="AR133" s="401"/>
      <c r="AS133" s="401"/>
      <c r="AT133" s="401"/>
      <c r="AU133" s="401"/>
      <c r="AV133" s="401"/>
      <c r="AW133" s="401"/>
      <c r="AX133" s="401"/>
      <c r="AY133" s="401"/>
      <c r="AZ133" s="401"/>
      <c r="BA133" s="401"/>
      <c r="BB133" s="401"/>
      <c r="BC133" s="401" t="str">
        <f t="shared" si="85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s="405" customFormat="1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100">IF(OR($C133="-",$C133="CET",$C133=""),"-",IF(AND(NOT(F133="-"),NOT(F$5="-"),NOT(F$5="")),F133/F$5,"-"))</f>
        <v>-</v>
      </c>
      <c r="G134" s="448" t="str">
        <f t="shared" si="100"/>
        <v>-</v>
      </c>
      <c r="H134" s="448" t="str">
        <f t="shared" si="100"/>
        <v>-</v>
      </c>
      <c r="I134" s="448" t="str">
        <f t="shared" si="100"/>
        <v>-</v>
      </c>
      <c r="J134" s="448" t="str">
        <f t="shared" si="100"/>
        <v>-</v>
      </c>
      <c r="K134" s="449" t="str">
        <f t="shared" si="100"/>
        <v>-</v>
      </c>
      <c r="L134" s="449" t="str">
        <f t="shared" si="100"/>
        <v>-</v>
      </c>
      <c r="M134" s="449" t="str">
        <f t="shared" si="100"/>
        <v>-</v>
      </c>
      <c r="N134" s="448" t="str">
        <f t="shared" si="100"/>
        <v>-</v>
      </c>
      <c r="O134" s="673"/>
      <c r="P134" s="673"/>
      <c r="Q134" s="673"/>
      <c r="R134" s="674"/>
      <c r="S134" s="672"/>
      <c r="T134" s="673"/>
      <c r="U134" s="673"/>
      <c r="V134" s="674"/>
      <c r="W134" s="512"/>
      <c r="X134" s="512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AI134" s="401"/>
      <c r="AJ134" s="401"/>
      <c r="AK134" s="401"/>
      <c r="AL134" s="401"/>
      <c r="AM134" s="401"/>
      <c r="AN134" s="401"/>
      <c r="AO134" s="401"/>
      <c r="AP134" s="401"/>
      <c r="AQ134" s="401"/>
      <c r="AR134" s="401"/>
      <c r="AS134" s="401"/>
      <c r="AT134" s="401"/>
      <c r="AU134" s="401"/>
      <c r="AV134" s="401"/>
      <c r="AW134" s="401"/>
      <c r="AX134" s="401"/>
      <c r="AY134" s="401"/>
      <c r="AZ134" s="401"/>
      <c r="BA134" s="401"/>
      <c r="BB134" s="401"/>
      <c r="BC134" s="401" t="str">
        <f t="shared" si="85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s="405" customFormat="1" ht="15" customHeight="1" outlineLevel="1" thickBot="1" x14ac:dyDescent="0.3">
      <c r="A135" s="396"/>
      <c r="B135" s="726"/>
      <c r="C135" s="688"/>
      <c r="D135" s="691"/>
      <c r="E135" s="451" t="s">
        <v>30</v>
      </c>
      <c r="F135" s="451" t="str">
        <f t="shared" ref="F135:N135" si="101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101"/>
        <v>-</v>
      </c>
      <c r="H135" s="451" t="str">
        <f t="shared" si="101"/>
        <v>-</v>
      </c>
      <c r="I135" s="451" t="str">
        <f t="shared" si="101"/>
        <v>-</v>
      </c>
      <c r="J135" s="451" t="str">
        <f t="shared" si="101"/>
        <v>-</v>
      </c>
      <c r="K135" s="452" t="str">
        <f t="shared" si="101"/>
        <v>-</v>
      </c>
      <c r="L135" s="452" t="str">
        <f t="shared" si="101"/>
        <v>-</v>
      </c>
      <c r="M135" s="452" t="str">
        <f t="shared" si="101"/>
        <v>-</v>
      </c>
      <c r="N135" s="451" t="str">
        <f t="shared" si="101"/>
        <v>-</v>
      </c>
      <c r="O135" s="673"/>
      <c r="P135" s="673"/>
      <c r="Q135" s="673"/>
      <c r="R135" s="674"/>
      <c r="S135" s="672"/>
      <c r="T135" s="673"/>
      <c r="U135" s="673"/>
      <c r="V135" s="674"/>
      <c r="W135" s="512"/>
      <c r="X135" s="512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401"/>
      <c r="AJ135" s="401"/>
      <c r="AK135" s="401"/>
      <c r="AL135" s="401"/>
      <c r="AM135" s="401"/>
      <c r="AN135" s="401"/>
      <c r="AO135" s="401"/>
      <c r="AP135" s="401"/>
      <c r="AQ135" s="401"/>
      <c r="AR135" s="401"/>
      <c r="AS135" s="401"/>
      <c r="AT135" s="401"/>
      <c r="AU135" s="401"/>
      <c r="AV135" s="401"/>
      <c r="AW135" s="401"/>
      <c r="AX135" s="401"/>
      <c r="AY135" s="401"/>
      <c r="AZ135" s="401"/>
      <c r="BA135" s="401"/>
      <c r="BB135" s="401"/>
      <c r="BC135" s="401" t="str">
        <f t="shared" si="85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7"/>
      <c r="C136" s="728"/>
      <c r="D136" s="728"/>
      <c r="E136" s="522"/>
      <c r="F136" s="523"/>
      <c r="G136" s="523"/>
      <c r="H136" s="523"/>
      <c r="I136" s="523"/>
      <c r="J136" s="523"/>
      <c r="K136" s="524"/>
      <c r="L136" s="524"/>
      <c r="M136" s="524"/>
      <c r="N136" s="525"/>
      <c r="O136" s="673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85"/>
        <v>-</v>
      </c>
      <c r="BD136" s="429" t="str">
        <f>"0.7*IEF " &amp; (B131)</f>
        <v>0.7*IEF RDE-RC-AGGR</v>
      </c>
      <c r="BE136" s="435">
        <f t="shared" ref="BE136:BL136" si="102">IF(OR($C133="-",$C133="CET",$C133=""),"-",0.7*$C133)</f>
        <v>2.8</v>
      </c>
      <c r="BF136" s="435">
        <f t="shared" si="102"/>
        <v>2.8</v>
      </c>
      <c r="BG136" s="435">
        <f t="shared" si="102"/>
        <v>2.8</v>
      </c>
      <c r="BH136" s="435">
        <f t="shared" si="102"/>
        <v>2.8</v>
      </c>
      <c r="BI136" s="435">
        <f t="shared" si="102"/>
        <v>2.8</v>
      </c>
      <c r="BJ136" s="435">
        <f t="shared" si="102"/>
        <v>2.8</v>
      </c>
      <c r="BK136" s="435">
        <f t="shared" si="102"/>
        <v>2.8</v>
      </c>
      <c r="BL136" s="435">
        <f t="shared" si="102"/>
        <v>2.8</v>
      </c>
    </row>
    <row r="137" spans="1:64" s="405" customFormat="1" ht="15" customHeight="1" outlineLevel="1" x14ac:dyDescent="0.25">
      <c r="A137" s="396"/>
      <c r="B137" s="727"/>
      <c r="C137" s="728"/>
      <c r="D137" s="728"/>
      <c r="E137" s="522"/>
      <c r="F137" s="523"/>
      <c r="G137" s="523"/>
      <c r="H137" s="523"/>
      <c r="I137" s="523"/>
      <c r="J137" s="523"/>
      <c r="K137" s="524"/>
      <c r="L137" s="524"/>
      <c r="M137" s="524"/>
      <c r="N137" s="525"/>
      <c r="O137" s="673"/>
      <c r="P137" s="673"/>
      <c r="Q137" s="673"/>
      <c r="R137" s="674"/>
      <c r="S137" s="672"/>
      <c r="T137" s="673"/>
      <c r="U137" s="673"/>
      <c r="V137" s="674"/>
      <c r="W137" s="512"/>
      <c r="X137" s="512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AI137" s="401"/>
      <c r="AJ137" s="401"/>
      <c r="AK137" s="401"/>
      <c r="AL137" s="401"/>
      <c r="AM137" s="401"/>
      <c r="AN137" s="401"/>
      <c r="AO137" s="401"/>
      <c r="AP137" s="401"/>
      <c r="AQ137" s="401"/>
      <c r="AR137" s="401"/>
      <c r="AS137" s="401"/>
      <c r="AT137" s="401"/>
      <c r="AU137" s="401"/>
      <c r="AV137" s="401"/>
      <c r="AW137" s="401"/>
      <c r="AX137" s="401"/>
      <c r="AY137" s="401"/>
      <c r="AZ137" s="401"/>
      <c r="BA137" s="401"/>
      <c r="BB137" s="401"/>
      <c r="BC137" s="401" t="str">
        <f t="shared" si="85"/>
        <v>-</v>
      </c>
      <c r="BD137" s="429" t="str">
        <f>"0.7*IEF " &amp; B136</f>
        <v xml:space="preserve">0.7*IEF </v>
      </c>
      <c r="BE137" s="435" t="str">
        <f t="shared" ref="BE137:BL137" si="103">IF(OR($C138="-",$C138="CET",$C138=""),"-",0.7*$C138)</f>
        <v>-</v>
      </c>
      <c r="BF137" s="435" t="str">
        <f t="shared" si="103"/>
        <v>-</v>
      </c>
      <c r="BG137" s="435" t="str">
        <f t="shared" si="103"/>
        <v>-</v>
      </c>
      <c r="BH137" s="435" t="str">
        <f t="shared" si="103"/>
        <v>-</v>
      </c>
      <c r="BI137" s="435" t="str">
        <f t="shared" si="103"/>
        <v>-</v>
      </c>
      <c r="BJ137" s="435" t="str">
        <f t="shared" si="103"/>
        <v>-</v>
      </c>
      <c r="BK137" s="435" t="str">
        <f t="shared" si="103"/>
        <v>-</v>
      </c>
      <c r="BL137" s="435" t="str">
        <f t="shared" si="103"/>
        <v>-</v>
      </c>
    </row>
    <row r="138" spans="1:64" s="405" customFormat="1" ht="15" customHeight="1" outlineLevel="1" x14ac:dyDescent="0.25">
      <c r="A138" s="396"/>
      <c r="B138" s="727"/>
      <c r="C138" s="729"/>
      <c r="D138" s="730"/>
      <c r="E138" s="526"/>
      <c r="F138" s="526"/>
      <c r="G138" s="526"/>
      <c r="H138" s="526"/>
      <c r="I138" s="526"/>
      <c r="J138" s="526"/>
      <c r="K138" s="527"/>
      <c r="L138" s="527"/>
      <c r="M138" s="527"/>
      <c r="N138" s="528"/>
      <c r="O138" s="673"/>
      <c r="P138" s="673"/>
      <c r="Q138" s="673"/>
      <c r="R138" s="674"/>
      <c r="S138" s="672"/>
      <c r="T138" s="673"/>
      <c r="U138" s="673"/>
      <c r="V138" s="674"/>
      <c r="W138" s="512"/>
      <c r="X138" s="512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AI138" s="401"/>
      <c r="AJ138" s="401"/>
      <c r="AK138" s="401"/>
      <c r="AL138" s="401"/>
      <c r="AM138" s="401"/>
      <c r="AN138" s="401"/>
      <c r="AO138" s="401"/>
      <c r="AP138" s="401"/>
      <c r="AQ138" s="401"/>
      <c r="AR138" s="401"/>
      <c r="AS138" s="401"/>
      <c r="AT138" s="401"/>
      <c r="AU138" s="401"/>
      <c r="AV138" s="401"/>
      <c r="AW138" s="401"/>
      <c r="AX138" s="401"/>
      <c r="AY138" s="401"/>
      <c r="AZ138" s="401"/>
      <c r="BA138" s="401"/>
      <c r="BB138" s="401"/>
      <c r="BC138" s="401" t="str">
        <f t="shared" si="85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s="405" customFormat="1" ht="15" customHeight="1" outlineLevel="1" x14ac:dyDescent="0.25">
      <c r="A139" s="404"/>
      <c r="B139" s="727"/>
      <c r="C139" s="729"/>
      <c r="D139" s="730"/>
      <c r="E139" s="529"/>
      <c r="F139" s="530"/>
      <c r="G139" s="530"/>
      <c r="H139" s="530"/>
      <c r="I139" s="530"/>
      <c r="J139" s="530"/>
      <c r="K139" s="527"/>
      <c r="L139" s="527"/>
      <c r="M139" s="527"/>
      <c r="N139" s="531"/>
      <c r="O139" s="673"/>
      <c r="P139" s="673"/>
      <c r="Q139" s="673"/>
      <c r="R139" s="674"/>
      <c r="S139" s="672"/>
      <c r="T139" s="673"/>
      <c r="U139" s="673"/>
      <c r="V139" s="674"/>
      <c r="W139" s="512"/>
      <c r="X139" s="512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AI139" s="401"/>
      <c r="AJ139" s="401"/>
      <c r="AK139" s="401"/>
      <c r="AL139" s="401"/>
      <c r="AM139" s="401"/>
      <c r="AN139" s="401"/>
      <c r="AO139" s="401"/>
      <c r="AP139" s="401"/>
      <c r="AQ139" s="401"/>
      <c r="AR139" s="401"/>
      <c r="AS139" s="401"/>
      <c r="AT139" s="401"/>
      <c r="AU139" s="401"/>
      <c r="AV139" s="401"/>
      <c r="AW139" s="401"/>
      <c r="AX139" s="401"/>
      <c r="AY139" s="401"/>
      <c r="AZ139" s="401"/>
      <c r="BA139" s="401"/>
      <c r="BB139" s="401"/>
      <c r="BC139" s="401" t="str">
        <f t="shared" si="85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s="405" customFormat="1" ht="15" customHeight="1" outlineLevel="1" x14ac:dyDescent="0.25">
      <c r="A140" s="404"/>
      <c r="B140" s="727"/>
      <c r="C140" s="729"/>
      <c r="D140" s="730"/>
      <c r="E140" s="529"/>
      <c r="F140" s="529"/>
      <c r="G140" s="529"/>
      <c r="H140" s="529"/>
      <c r="I140" s="529"/>
      <c r="J140" s="529"/>
      <c r="K140" s="527"/>
      <c r="L140" s="527"/>
      <c r="M140" s="527"/>
      <c r="N140" s="532"/>
      <c r="O140" s="673"/>
      <c r="P140" s="673"/>
      <c r="Q140" s="673"/>
      <c r="R140" s="674"/>
      <c r="S140" s="672"/>
      <c r="T140" s="673"/>
      <c r="U140" s="673"/>
      <c r="V140" s="674"/>
      <c r="W140" s="512"/>
      <c r="X140" s="512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401"/>
      <c r="AJ140" s="401"/>
      <c r="AK140" s="401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401" t="str">
        <f t="shared" si="85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84"/>
      <c r="C141" s="485"/>
      <c r="D141" s="485"/>
      <c r="E141" s="486"/>
      <c r="F141" s="463"/>
      <c r="G141" s="463"/>
      <c r="H141" s="463"/>
      <c r="I141" s="463"/>
      <c r="J141" s="463"/>
      <c r="K141" s="464"/>
      <c r="L141" s="464"/>
      <c r="M141" s="464"/>
      <c r="N141" s="465"/>
      <c r="O141" s="673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85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s="405" customFormat="1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3"/>
      <c r="P142" s="673"/>
      <c r="Q142" s="673"/>
      <c r="R142" s="674"/>
      <c r="S142" s="672"/>
      <c r="T142" s="673"/>
      <c r="U142" s="673"/>
      <c r="V142" s="674"/>
      <c r="W142" s="512"/>
      <c r="X142" s="512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401"/>
      <c r="AJ142" s="401"/>
      <c r="AK142" s="401"/>
      <c r="AL142" s="401"/>
      <c r="AM142" s="401"/>
      <c r="AN142" s="401"/>
      <c r="AO142" s="401"/>
      <c r="AP142" s="401"/>
      <c r="AQ142" s="401"/>
      <c r="AR142" s="401"/>
      <c r="AS142" s="401"/>
      <c r="AT142" s="401"/>
      <c r="AU142" s="401"/>
      <c r="AV142" s="401"/>
      <c r="AW142" s="401"/>
      <c r="AX142" s="401"/>
      <c r="AY142" s="401"/>
      <c r="AZ142" s="401"/>
      <c r="BA142" s="401"/>
      <c r="BB142" s="401"/>
      <c r="BC142" s="401" t="str">
        <f t="shared" si="85"/>
        <v>-</v>
      </c>
      <c r="BD142" s="429" t="str">
        <f>$B131</f>
        <v>RDE-RC-AGGR</v>
      </c>
      <c r="BE142" s="435" t="str">
        <f t="shared" ref="BE142:BL142" si="104">F134</f>
        <v>-</v>
      </c>
      <c r="BF142" s="435" t="str">
        <f t="shared" si="104"/>
        <v>-</v>
      </c>
      <c r="BG142" s="435" t="str">
        <f t="shared" si="104"/>
        <v>-</v>
      </c>
      <c r="BH142" s="435" t="str">
        <f t="shared" si="104"/>
        <v>-</v>
      </c>
      <c r="BI142" s="435" t="str">
        <f t="shared" si="104"/>
        <v>-</v>
      </c>
      <c r="BJ142" s="435" t="str">
        <f t="shared" si="104"/>
        <v>-</v>
      </c>
      <c r="BK142" s="435" t="str">
        <f t="shared" si="104"/>
        <v>-</v>
      </c>
      <c r="BL142" s="435" t="str">
        <f t="shared" si="104"/>
        <v>-</v>
      </c>
    </row>
    <row r="143" spans="1:64" s="405" customFormat="1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3"/>
      <c r="P143" s="673"/>
      <c r="Q143" s="673"/>
      <c r="R143" s="674"/>
      <c r="S143" s="672"/>
      <c r="T143" s="673"/>
      <c r="U143" s="673"/>
      <c r="V143" s="674"/>
      <c r="W143" s="512"/>
      <c r="X143" s="512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AI143" s="401"/>
      <c r="AJ143" s="401"/>
      <c r="AK143" s="401"/>
      <c r="AL143" s="401"/>
      <c r="AM143" s="401"/>
      <c r="AN143" s="401"/>
      <c r="AO143" s="401"/>
      <c r="AP143" s="401"/>
      <c r="AQ143" s="401"/>
      <c r="AR143" s="401"/>
      <c r="AS143" s="401"/>
      <c r="AT143" s="401"/>
      <c r="AU143" s="401"/>
      <c r="AV143" s="401"/>
      <c r="AW143" s="401"/>
      <c r="AX143" s="401"/>
      <c r="AY143" s="401"/>
      <c r="AZ143" s="401"/>
      <c r="BA143" s="401"/>
      <c r="BB143" s="401"/>
      <c r="BC143" s="401" t="str">
        <f t="shared" si="85"/>
        <v>-</v>
      </c>
      <c r="BD143" s="429">
        <f>$B136</f>
        <v>0</v>
      </c>
      <c r="BE143" s="435">
        <f t="shared" ref="BE143:BL143" si="105">F139</f>
        <v>0</v>
      </c>
      <c r="BF143" s="435">
        <f t="shared" si="105"/>
        <v>0</v>
      </c>
      <c r="BG143" s="435">
        <f t="shared" si="105"/>
        <v>0</v>
      </c>
      <c r="BH143" s="435">
        <f t="shared" si="105"/>
        <v>0</v>
      </c>
      <c r="BI143" s="435">
        <f t="shared" si="105"/>
        <v>0</v>
      </c>
      <c r="BJ143" s="435">
        <f t="shared" si="105"/>
        <v>0</v>
      </c>
      <c r="BK143" s="435">
        <f t="shared" si="105"/>
        <v>0</v>
      </c>
      <c r="BL143" s="435">
        <f t="shared" si="105"/>
        <v>0</v>
      </c>
    </row>
    <row r="144" spans="1:64" s="405" customFormat="1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3"/>
      <c r="P144" s="673"/>
      <c r="Q144" s="673"/>
      <c r="R144" s="674"/>
      <c r="S144" s="672"/>
      <c r="T144" s="673"/>
      <c r="U144" s="673"/>
      <c r="V144" s="674"/>
      <c r="W144" s="512"/>
      <c r="X144" s="512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AI144" s="401"/>
      <c r="AJ144" s="401"/>
      <c r="AK144" s="401"/>
      <c r="AL144" s="401"/>
      <c r="AM144" s="401"/>
      <c r="AN144" s="401"/>
      <c r="AO144" s="401"/>
      <c r="AP144" s="401"/>
      <c r="AQ144" s="401"/>
      <c r="AR144" s="401"/>
      <c r="AS144" s="401"/>
      <c r="AT144" s="401"/>
      <c r="AU144" s="401"/>
      <c r="AV144" s="401"/>
      <c r="AW144" s="401"/>
      <c r="AX144" s="401"/>
      <c r="AY144" s="401"/>
      <c r="AZ144" s="401"/>
      <c r="BA144" s="401"/>
      <c r="BB144" s="401"/>
      <c r="BC144" s="401" t="str">
        <f t="shared" si="85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s="405" customFormat="1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3"/>
      <c r="P145" s="673"/>
      <c r="Q145" s="673"/>
      <c r="R145" s="674"/>
      <c r="S145" s="672"/>
      <c r="T145" s="673"/>
      <c r="U145" s="673"/>
      <c r="V145" s="674"/>
      <c r="W145" s="512"/>
      <c r="X145" s="512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AI145" s="401"/>
      <c r="AJ145" s="401"/>
      <c r="AK145" s="401"/>
      <c r="AL145" s="401"/>
      <c r="AM145" s="401"/>
      <c r="AN145" s="401"/>
      <c r="AO145" s="401"/>
      <c r="AP145" s="401"/>
      <c r="AQ145" s="401"/>
      <c r="AR145" s="401"/>
      <c r="AS145" s="401"/>
      <c r="AT145" s="401"/>
      <c r="AU145" s="401"/>
      <c r="AV145" s="401"/>
      <c r="AW145" s="401"/>
      <c r="AX145" s="401"/>
      <c r="AY145" s="401"/>
      <c r="AZ145" s="401"/>
      <c r="BA145" s="401"/>
      <c r="BB145" s="401"/>
      <c r="BC145" s="401" t="str">
        <f t="shared" si="85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3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si="85"/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s="405" customFormat="1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3"/>
      <c r="P147" s="673"/>
      <c r="Q147" s="673"/>
      <c r="R147" s="674"/>
      <c r="S147" s="672"/>
      <c r="T147" s="673"/>
      <c r="U147" s="673"/>
      <c r="V147" s="674"/>
      <c r="W147" s="512"/>
      <c r="X147" s="512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401"/>
      <c r="AJ147" s="401"/>
      <c r="AK147" s="401"/>
      <c r="AL147" s="401"/>
      <c r="AM147" s="401"/>
      <c r="AN147" s="401"/>
      <c r="AO147" s="401"/>
      <c r="AP147" s="401"/>
      <c r="AQ147" s="401"/>
      <c r="AR147" s="401"/>
      <c r="AS147" s="401"/>
      <c r="AT147" s="401"/>
      <c r="AU147" s="401"/>
      <c r="AV147" s="401"/>
      <c r="AW147" s="401"/>
      <c r="AX147" s="401"/>
      <c r="AY147" s="401"/>
      <c r="AZ147" s="401"/>
      <c r="BA147" s="401"/>
      <c r="BB147" s="401"/>
      <c r="BC147" s="401" t="str">
        <f t="shared" si="85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s="405" customFormat="1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3"/>
      <c r="P148" s="673"/>
      <c r="Q148" s="673"/>
      <c r="R148" s="674"/>
      <c r="S148" s="672"/>
      <c r="T148" s="673"/>
      <c r="U148" s="673"/>
      <c r="V148" s="674"/>
      <c r="W148" s="512"/>
      <c r="X148" s="512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401"/>
      <c r="AJ148" s="401"/>
      <c r="AK148" s="401"/>
      <c r="AL148" s="401"/>
      <c r="AM148" s="401"/>
      <c r="AN148" s="401"/>
      <c r="AO148" s="401"/>
      <c r="AP148" s="401"/>
      <c r="AQ148" s="401"/>
      <c r="AR148" s="401"/>
      <c r="AS148" s="401"/>
      <c r="AT148" s="401"/>
      <c r="AU148" s="401"/>
      <c r="AV148" s="401"/>
      <c r="AW148" s="401"/>
      <c r="AX148" s="401"/>
      <c r="AY148" s="401"/>
      <c r="AZ148" s="401"/>
      <c r="BA148" s="401"/>
      <c r="BB148" s="401"/>
      <c r="BC148" s="401" t="str">
        <f t="shared" si="85"/>
        <v>-</v>
      </c>
      <c r="BD148" s="429" t="str">
        <f>"IEF " &amp;B131</f>
        <v>IEF RDE-RC-AGGR</v>
      </c>
      <c r="BE148" s="435">
        <f t="shared" ref="BE148:BL148" si="106">IF(OR($C133="-",$C133="CET",$C133=""),"-",$C133)</f>
        <v>4</v>
      </c>
      <c r="BF148" s="435">
        <f t="shared" si="106"/>
        <v>4</v>
      </c>
      <c r="BG148" s="435">
        <f t="shared" si="106"/>
        <v>4</v>
      </c>
      <c r="BH148" s="435">
        <f t="shared" si="106"/>
        <v>4</v>
      </c>
      <c r="BI148" s="435">
        <f t="shared" si="106"/>
        <v>4</v>
      </c>
      <c r="BJ148" s="435">
        <f t="shared" si="106"/>
        <v>4</v>
      </c>
      <c r="BK148" s="435">
        <f t="shared" si="106"/>
        <v>4</v>
      </c>
      <c r="BL148" s="435">
        <f t="shared" si="106"/>
        <v>4</v>
      </c>
    </row>
    <row r="149" spans="1:64" s="405" customFormat="1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3"/>
      <c r="P149" s="673"/>
      <c r="Q149" s="673"/>
      <c r="R149" s="674"/>
      <c r="S149" s="672"/>
      <c r="T149" s="673"/>
      <c r="U149" s="673"/>
      <c r="V149" s="674"/>
      <c r="W149" s="512"/>
      <c r="X149" s="512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AI149" s="401"/>
      <c r="AJ149" s="401"/>
      <c r="AK149" s="401"/>
      <c r="AL149" s="401"/>
      <c r="AM149" s="401"/>
      <c r="AN149" s="401"/>
      <c r="AO149" s="401"/>
      <c r="AP149" s="401"/>
      <c r="AQ149" s="401"/>
      <c r="AR149" s="401"/>
      <c r="AS149" s="401"/>
      <c r="AT149" s="401"/>
      <c r="AU149" s="401"/>
      <c r="AV149" s="401"/>
      <c r="AW149" s="401"/>
      <c r="AX149" s="401"/>
      <c r="AY149" s="401"/>
      <c r="AZ149" s="401"/>
      <c r="BA149" s="401"/>
      <c r="BB149" s="401"/>
      <c r="BC149" s="401" t="str">
        <f t="shared" si="85"/>
        <v>-</v>
      </c>
      <c r="BD149" s="429" t="str">
        <f>"IEF " &amp; B136</f>
        <v xml:space="preserve">IEF </v>
      </c>
      <c r="BE149" s="435" t="str">
        <f t="shared" ref="BE149:BL149" si="107">IF(OR($C138="-",$C138="CET",$C138=""),"-",$C138)</f>
        <v>-</v>
      </c>
      <c r="BF149" s="435" t="str">
        <f t="shared" si="107"/>
        <v>-</v>
      </c>
      <c r="BG149" s="435" t="str">
        <f t="shared" si="107"/>
        <v>-</v>
      </c>
      <c r="BH149" s="435" t="str">
        <f t="shared" si="107"/>
        <v>-</v>
      </c>
      <c r="BI149" s="435" t="str">
        <f t="shared" si="107"/>
        <v>-</v>
      </c>
      <c r="BJ149" s="435" t="str">
        <f t="shared" si="107"/>
        <v>-</v>
      </c>
      <c r="BK149" s="435" t="str">
        <f t="shared" si="107"/>
        <v>-</v>
      </c>
      <c r="BL149" s="435" t="str">
        <f t="shared" si="107"/>
        <v>-</v>
      </c>
    </row>
    <row r="150" spans="1:64" s="405" customFormat="1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6"/>
      <c r="P150" s="676"/>
      <c r="Q150" s="676"/>
      <c r="R150" s="677"/>
      <c r="S150" s="675"/>
      <c r="T150" s="676"/>
      <c r="U150" s="676"/>
      <c r="V150" s="677"/>
      <c r="W150" s="512"/>
      <c r="X150" s="512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AI150" s="401"/>
      <c r="AJ150" s="401"/>
      <c r="AK150" s="401"/>
      <c r="AL150" s="401"/>
      <c r="AM150" s="401"/>
      <c r="AN150" s="401"/>
      <c r="AO150" s="401"/>
      <c r="AP150" s="401"/>
      <c r="AQ150" s="401"/>
      <c r="AR150" s="401"/>
      <c r="AS150" s="401"/>
      <c r="AT150" s="401"/>
      <c r="AU150" s="401"/>
      <c r="AV150" s="401"/>
      <c r="AW150" s="401"/>
      <c r="AX150" s="401"/>
      <c r="AY150" s="401"/>
      <c r="AZ150" s="401"/>
      <c r="BA150" s="401"/>
      <c r="BB150" s="401"/>
      <c r="BC150" s="401" t="str">
        <f t="shared" si="85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85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s="405" customFormat="1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512"/>
      <c r="X152" s="512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AI152" s="401"/>
      <c r="AJ152" s="401"/>
      <c r="AK152" s="401"/>
      <c r="AL152" s="401"/>
      <c r="AM152" s="401"/>
      <c r="AN152" s="401"/>
      <c r="AO152" s="401"/>
      <c r="AP152" s="401"/>
      <c r="AQ152" s="401"/>
      <c r="AR152" s="401"/>
      <c r="AS152" s="401"/>
      <c r="AT152" s="401"/>
      <c r="AU152" s="401"/>
      <c r="AV152" s="401"/>
      <c r="AW152" s="401"/>
      <c r="AX152" s="401"/>
      <c r="AY152" s="401"/>
      <c r="AZ152" s="401"/>
      <c r="BA152" s="401"/>
      <c r="BB152" s="401"/>
      <c r="BC152" s="401" t="str">
        <f t="shared" si="85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s="405" customFormat="1" ht="15" customHeight="1" x14ac:dyDescent="0.25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512"/>
      <c r="X153" s="512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AI153" s="401"/>
      <c r="AJ153" s="401"/>
      <c r="AK153" s="401"/>
      <c r="AL153" s="401"/>
      <c r="AM153" s="401"/>
      <c r="AN153" s="401"/>
      <c r="AO153" s="401"/>
      <c r="AP153" s="401"/>
      <c r="AQ153" s="401"/>
      <c r="AR153" s="401"/>
      <c r="AS153" s="401"/>
      <c r="AT153" s="401"/>
      <c r="AU153" s="401"/>
      <c r="AV153" s="401"/>
      <c r="AW153" s="401"/>
      <c r="AX153" s="401"/>
      <c r="AY153" s="401"/>
      <c r="AZ153" s="401"/>
      <c r="BA153" s="401"/>
      <c r="BB153" s="401"/>
      <c r="BC153" s="401" t="str">
        <f t="shared" si="85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</sheetData>
  <sheetProtection selectLockedCells="1"/>
  <mergeCells count="148">
    <mergeCell ref="A1:J2"/>
    <mergeCell ref="K1:Q2"/>
    <mergeCell ref="B4:D4"/>
    <mergeCell ref="O4:P4"/>
    <mergeCell ref="B5:E5"/>
    <mergeCell ref="O5:P5"/>
    <mergeCell ref="S11:V32"/>
    <mergeCell ref="Y11:AH31"/>
    <mergeCell ref="B12:B17"/>
    <mergeCell ref="D12:E12"/>
    <mergeCell ref="C13:C14"/>
    <mergeCell ref="D13:D14"/>
    <mergeCell ref="C15:C17"/>
    <mergeCell ref="D15:D17"/>
    <mergeCell ref="B6:E6"/>
    <mergeCell ref="C8:N8"/>
    <mergeCell ref="B10:N10"/>
    <mergeCell ref="O10:R10"/>
    <mergeCell ref="S10:V10"/>
    <mergeCell ref="Y10:AH10"/>
    <mergeCell ref="N15:N17"/>
    <mergeCell ref="B18:B22"/>
    <mergeCell ref="C18:C19"/>
    <mergeCell ref="D18:D19"/>
    <mergeCell ref="C20:C22"/>
    <mergeCell ref="D20:D22"/>
    <mergeCell ref="N20:N22"/>
    <mergeCell ref="B11:E11"/>
    <mergeCell ref="O11:R32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C36:N3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4"/>
    <mergeCell ref="B50:B54"/>
    <mergeCell ref="C50:C51"/>
    <mergeCell ref="C52:C54"/>
    <mergeCell ref="B55:B59"/>
    <mergeCell ref="C55:C56"/>
    <mergeCell ref="C57:C59"/>
    <mergeCell ref="C40:C41"/>
    <mergeCell ref="D40:D41"/>
    <mergeCell ref="C42:C44"/>
    <mergeCell ref="D42:D44"/>
    <mergeCell ref="B45:B49"/>
    <mergeCell ref="C45:C46"/>
    <mergeCell ref="C47:C49"/>
    <mergeCell ref="C63:N63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N74:N76"/>
    <mergeCell ref="B77:B81"/>
    <mergeCell ref="C77:C78"/>
    <mergeCell ref="D77:D78"/>
    <mergeCell ref="C79:C81"/>
    <mergeCell ref="D79:D81"/>
    <mergeCell ref="N79:N81"/>
    <mergeCell ref="C67:C68"/>
    <mergeCell ref="D67:D68"/>
    <mergeCell ref="C69:C71"/>
    <mergeCell ref="D69:D71"/>
    <mergeCell ref="N69:N71"/>
    <mergeCell ref="B72:B76"/>
    <mergeCell ref="C72:C73"/>
    <mergeCell ref="D72:D73"/>
    <mergeCell ref="C74:C76"/>
    <mergeCell ref="D74:D76"/>
    <mergeCell ref="B92:B96"/>
    <mergeCell ref="C92:C93"/>
    <mergeCell ref="D92:D93"/>
    <mergeCell ref="C94:C96"/>
    <mergeCell ref="D94:D96"/>
    <mergeCell ref="C100:N100"/>
    <mergeCell ref="B82:B86"/>
    <mergeCell ref="C82:C83"/>
    <mergeCell ref="D82:D83"/>
    <mergeCell ref="C84:C86"/>
    <mergeCell ref="D84:D86"/>
    <mergeCell ref="B87:B91"/>
    <mergeCell ref="C87:C88"/>
    <mergeCell ref="D87:D88"/>
    <mergeCell ref="C89:C91"/>
    <mergeCell ref="D89:D91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C104:C105"/>
    <mergeCell ref="B114:B118"/>
    <mergeCell ref="C114:C115"/>
    <mergeCell ref="C116:C118"/>
    <mergeCell ref="B119:B123"/>
    <mergeCell ref="C119:C120"/>
    <mergeCell ref="C121:C123"/>
    <mergeCell ref="D104:D105"/>
    <mergeCell ref="C106:C108"/>
    <mergeCell ref="D106:D108"/>
    <mergeCell ref="B109:B113"/>
    <mergeCell ref="C109:C110"/>
    <mergeCell ref="C111:C113"/>
    <mergeCell ref="C127:N127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</mergeCells>
  <conditionalFormatting sqref="A3 F150:N150 F145:N145 F17:M17 F22:M22 F27:M27 F32:M32 F135:N135 F140:N140 F108:N108 F71:M71 F76:M76 F81:M81 F86:N86 F91:N91 F96:N96">
    <cfRule type="containsText" dxfId="2743" priority="61" operator="containsText" text="passed">
      <formula>NOT(ISERROR(SEARCH("passed",A3)))</formula>
    </cfRule>
    <cfRule type="containsText" dxfId="2742" priority="62" operator="containsText" text="failed">
      <formula>NOT(ISERROR(SEARCH("failed",A3)))</formula>
    </cfRule>
    <cfRule type="containsText" dxfId="2741" priority="63" operator="containsText" text="refused">
      <formula>NOT(ISERROR(SEARCH("refused",A3)))</formula>
    </cfRule>
  </conditionalFormatting>
  <conditionalFormatting sqref="N13:N14">
    <cfRule type="expression" dxfId="2740" priority="60">
      <formula>IF(AND(NOT(N13=""),NOT(N13="-")),N13&gt;=1.1*N$5*BL$25,"-")</formula>
    </cfRule>
  </conditionalFormatting>
  <conditionalFormatting sqref="N18:N19">
    <cfRule type="expression" dxfId="2739" priority="59">
      <formula>IF(AND(NOT(N18=""),NOT(N18="-")),N18&gt;=1.1*N$5*BL$26,"-")</formula>
    </cfRule>
  </conditionalFormatting>
  <conditionalFormatting sqref="N23:N24">
    <cfRule type="expression" dxfId="2738" priority="58">
      <formula>IF(AND(NOT(N23=""),NOT(N23="-")),N23&gt;=1.1*N$5*BL$27,"-")</formula>
    </cfRule>
  </conditionalFormatting>
  <conditionalFormatting sqref="N28:N29">
    <cfRule type="expression" dxfId="2737" priority="57">
      <formula>IF(AND(NOT(N28=""),NOT(N28="-")),N28&gt;=1.1*N$5*BL$28,"-")</formula>
    </cfRule>
  </conditionalFormatting>
  <conditionalFormatting sqref="N82:N83">
    <cfRule type="expression" dxfId="2736" priority="56">
      <formula>IF(AND(NOT(N82=""),NOT(N82="-")),N82&gt;=1.1*N$5*BL$88,"-")</formula>
    </cfRule>
  </conditionalFormatting>
  <conditionalFormatting sqref="N92:N93">
    <cfRule type="expression" dxfId="2735" priority="55">
      <formula>IF(AND(NOT(N92=""),NOT(N92="-")),N92&gt;=1.1*N$5*BL$90,"-")</formula>
    </cfRule>
  </conditionalFormatting>
  <conditionalFormatting sqref="N87:N88">
    <cfRule type="expression" dxfId="2734" priority="54">
      <formula>IF(AND(NOT(N87=""),NOT(N87="-")),N87&gt;=1.1*N$5*BL$89,"-")</formula>
    </cfRule>
  </conditionalFormatting>
  <conditionalFormatting sqref="P8">
    <cfRule type="containsText" dxfId="2733" priority="51" operator="containsText" text="passed">
      <formula>NOT(ISERROR(SEARCH("passed",P8)))</formula>
    </cfRule>
    <cfRule type="containsText" dxfId="2732" priority="52" operator="containsText" text="failed">
      <formula>NOT(ISERROR(SEARCH("failed",P8)))</formula>
    </cfRule>
    <cfRule type="containsText" dxfId="2731" priority="53" operator="containsText" text="refused">
      <formula>NOT(ISERROR(SEARCH("refused",P8)))</formula>
    </cfRule>
  </conditionalFormatting>
  <conditionalFormatting sqref="F13:K14">
    <cfRule type="expression" dxfId="2730" priority="50">
      <formula>IF(AND(NOT(F13=""),NOT(F13="-")),F13&gt;=1.1*F$5*BE$25,"-")</formula>
    </cfRule>
  </conditionalFormatting>
  <conditionalFormatting sqref="F18:K19">
    <cfRule type="expression" dxfId="2729" priority="49">
      <formula>IF(AND(NOT(F18=""),NOT(F18="-")),F18&gt;=1.1*F$5*BE$26,"-")</formula>
    </cfRule>
  </conditionalFormatting>
  <conditionalFormatting sqref="F23:K24">
    <cfRule type="expression" dxfId="2728" priority="48">
      <formula>IF(AND(NOT(F23=""),NOT(F23="-")),F23&gt;=1.1*F$5*BE$27,"-")</formula>
    </cfRule>
  </conditionalFormatting>
  <conditionalFormatting sqref="F28:K29">
    <cfRule type="expression" dxfId="2727" priority="47">
      <formula>IF(AND(NOT(F28=""),NOT(F28="-")),F28&gt;=1.1*F$5*BE$28,"-")</formula>
    </cfRule>
  </conditionalFormatting>
  <conditionalFormatting sqref="F82:K83">
    <cfRule type="expression" dxfId="2726" priority="46">
      <formula>IF(AND(NOT(F82=""),NOT(F82="-")),F82&gt;=1.1*F$5*BE$88,"-")</formula>
    </cfRule>
  </conditionalFormatting>
  <conditionalFormatting sqref="F92:K93">
    <cfRule type="expression" dxfId="2725" priority="45">
      <formula>IF(AND(NOT(F92=""),NOT(F92="-")),F92&gt;=1.1*F$5*BE$90,"-")</formula>
    </cfRule>
  </conditionalFormatting>
  <conditionalFormatting sqref="F87:K88">
    <cfRule type="expression" dxfId="2724" priority="44">
      <formula>IF(AND(NOT(F87=""),NOT(F87="-")),F87&gt;=1.1*F$5*BE$89,"-")</formula>
    </cfRule>
  </conditionalFormatting>
  <conditionalFormatting sqref="P63">
    <cfRule type="containsText" dxfId="2723" priority="41" operator="containsText" text="passed">
      <formula>NOT(ISERROR(SEARCH("passed",P63)))</formula>
    </cfRule>
    <cfRule type="containsText" dxfId="2722" priority="42" operator="containsText" text="failed">
      <formula>NOT(ISERROR(SEARCH("failed",P63)))</formula>
    </cfRule>
    <cfRule type="containsText" dxfId="2721" priority="43" operator="containsText" text="refused">
      <formula>NOT(ISERROR(SEARCH("refused",P63)))</formula>
    </cfRule>
  </conditionalFormatting>
  <conditionalFormatting sqref="P100">
    <cfRule type="containsText" dxfId="2720" priority="38" operator="containsText" text="passed">
      <formula>NOT(ISERROR(SEARCH("passed",P100)))</formula>
    </cfRule>
    <cfRule type="containsText" dxfId="2719" priority="39" operator="containsText" text="failed">
      <formula>NOT(ISERROR(SEARCH("failed",P100)))</formula>
    </cfRule>
    <cfRule type="containsText" dxfId="2718" priority="40" operator="containsText" text="refused">
      <formula>NOT(ISERROR(SEARCH("refused",P100)))</formula>
    </cfRule>
  </conditionalFormatting>
  <conditionalFormatting sqref="P127">
    <cfRule type="containsText" dxfId="2717" priority="35" operator="containsText" text="passed">
      <formula>NOT(ISERROR(SEARCH("passed",P127)))</formula>
    </cfRule>
    <cfRule type="containsText" dxfId="2716" priority="36" operator="containsText" text="failed">
      <formula>NOT(ISERROR(SEARCH("failed",P127)))</formula>
    </cfRule>
    <cfRule type="containsText" dxfId="2715" priority="37" operator="containsText" text="refused">
      <formula>NOT(ISERROR(SEARCH("refused",P127)))</formula>
    </cfRule>
  </conditionalFormatting>
  <conditionalFormatting sqref="L13:M14">
    <cfRule type="expression" dxfId="2714" priority="34">
      <formula>IF(AND(NOT(L13=""),NOT(L13="-")),L13&gt;=1.1*L$5*BL$25,"-")</formula>
    </cfRule>
  </conditionalFormatting>
  <conditionalFormatting sqref="L18:M19">
    <cfRule type="expression" dxfId="2713" priority="33">
      <formula>IF(AND(NOT(L18=""),NOT(L18="-")),L18&gt;=1.1*L$5*BL$26,"-")</formula>
    </cfRule>
  </conditionalFormatting>
  <conditionalFormatting sqref="L23:M24">
    <cfRule type="expression" dxfId="2712" priority="32">
      <formula>IF(AND(NOT(L23=""),NOT(L23="-")),L23&gt;=1.1*L$5*BL$27,"-")</formula>
    </cfRule>
  </conditionalFormatting>
  <conditionalFormatting sqref="L28:M29">
    <cfRule type="expression" dxfId="2711" priority="31">
      <formula>IF(AND(NOT(L28=""),NOT(L28="-")),L28&gt;=1.1*L$5*BL$28,"-")</formula>
    </cfRule>
  </conditionalFormatting>
  <conditionalFormatting sqref="L82:M83">
    <cfRule type="expression" dxfId="2710" priority="30">
      <formula>IF(AND(NOT(L82=""),NOT(L82="-")),L82&gt;=1.1*L$5*BL$88,"-")</formula>
    </cfRule>
  </conditionalFormatting>
  <conditionalFormatting sqref="L92:M93">
    <cfRule type="expression" dxfId="2709" priority="29">
      <formula>IF(AND(NOT(L92=""),NOT(L92="-")),L92&gt;=1.1*L$5*BL$90,"-")</formula>
    </cfRule>
  </conditionalFormatting>
  <conditionalFormatting sqref="L87:M88">
    <cfRule type="expression" dxfId="2708" priority="28">
      <formula>IF(AND(NOT(L87=""),NOT(L87="-")),L87&gt;=1.1*L$5*BL$89,"-")</formula>
    </cfRule>
  </conditionalFormatting>
  <conditionalFormatting sqref="F44:N44">
    <cfRule type="containsText" dxfId="2707" priority="25" operator="containsText" text="passed">
      <formula>NOT(ISERROR(SEARCH("passed",F44)))</formula>
    </cfRule>
    <cfRule type="containsText" dxfId="2706" priority="26" operator="containsText" text="failed">
      <formula>NOT(ISERROR(SEARCH("failed",F44)))</formula>
    </cfRule>
    <cfRule type="containsText" dxfId="2705" priority="27" operator="containsText" text="refused">
      <formula>NOT(ISERROR(SEARCH("refused",F44)))</formula>
    </cfRule>
  </conditionalFormatting>
  <conditionalFormatting sqref="P36">
    <cfRule type="containsText" dxfId="2704" priority="22" operator="containsText" text="passed">
      <formula>NOT(ISERROR(SEARCH("passed",P36)))</formula>
    </cfRule>
    <cfRule type="containsText" dxfId="2703" priority="23" operator="containsText" text="failed">
      <formula>NOT(ISERROR(SEARCH("failed",P36)))</formula>
    </cfRule>
    <cfRule type="containsText" dxfId="2702" priority="24" operator="containsText" text="refused">
      <formula>NOT(ISERROR(SEARCH("refused",P36)))</formula>
    </cfRule>
  </conditionalFormatting>
  <conditionalFormatting sqref="N67:N68">
    <cfRule type="expression" dxfId="2701" priority="21">
      <formula>IF(AND(NOT(N67=""),NOT(N67="-")),N67&gt;=1.1*N$5*BL$85,"-")</formula>
    </cfRule>
  </conditionalFormatting>
  <conditionalFormatting sqref="N77:N78">
    <cfRule type="expression" dxfId="2700" priority="20">
      <formula>IF(AND(NOT(N77=""),NOT(N77="-")),N77&gt;=1.1*N$5*BL$87,"-")</formula>
    </cfRule>
  </conditionalFormatting>
  <conditionalFormatting sqref="N72:N73">
    <cfRule type="expression" dxfId="2699" priority="19">
      <formula>IF(AND(NOT(N72=""),NOT(N72="-")),N72&gt;=1.1*N$5*BL$86,"-")</formula>
    </cfRule>
  </conditionalFormatting>
  <conditionalFormatting sqref="F67:K68">
    <cfRule type="expression" dxfId="2698" priority="18">
      <formula>IF(AND(NOT(F67=""),NOT(F67="-")),F67&gt;=1.1*F$5*BE$85,"-")</formula>
    </cfRule>
  </conditionalFormatting>
  <conditionalFormatting sqref="F77:K78">
    <cfRule type="expression" dxfId="2697" priority="17">
      <formula>IF(AND(NOT(F77=""),NOT(F77="-")),F77&gt;=1.1*F$5*BE$87,"-")</formula>
    </cfRule>
  </conditionalFormatting>
  <conditionalFormatting sqref="F72:K73">
    <cfRule type="expression" dxfId="2696" priority="16">
      <formula>IF(AND(NOT(F72=""),NOT(F72="-")),F72&gt;=1.1*F$5*BE$86,"-")</formula>
    </cfRule>
  </conditionalFormatting>
  <conditionalFormatting sqref="N131:N132">
    <cfRule type="expression" dxfId="2695" priority="15">
      <formula>IF(AND(NOT(N131=""),NOT(N131="-")),N131&gt;=1.1*N$5*BL$148,"-")</formula>
    </cfRule>
  </conditionalFormatting>
  <conditionalFormatting sqref="F131:K132">
    <cfRule type="expression" dxfId="2694" priority="14">
      <formula>IF(AND(NOT(F131=""),NOT(F131="-")),F131&gt;=1.1*F$5*BE$148,"-")</formula>
    </cfRule>
  </conditionalFormatting>
  <conditionalFormatting sqref="L67:M68">
    <cfRule type="expression" dxfId="2693" priority="13">
      <formula>IF(AND(NOT(L67=""),NOT(L67="-")),L67&gt;=1.1*L$5*BL$85,"-")</formula>
    </cfRule>
  </conditionalFormatting>
  <conditionalFormatting sqref="L77:M78">
    <cfRule type="expression" dxfId="2692" priority="12">
      <formula>IF(AND(NOT(L77=""),NOT(L77="-")),L77&gt;=1.1*L$5*BL$87,"-")</formula>
    </cfRule>
  </conditionalFormatting>
  <conditionalFormatting sqref="L72:M73">
    <cfRule type="expression" dxfId="2691" priority="11">
      <formula>IF(AND(NOT(L72=""),NOT(L72="-")),L72&gt;=1.1*L$5*BL$86,"-")</formula>
    </cfRule>
  </conditionalFormatting>
  <conditionalFormatting sqref="L131:M132">
    <cfRule type="expression" dxfId="2690" priority="10">
      <formula>IF(AND(NOT(L131=""),NOT(L131="-")),L131&gt;=1.1*L$5*BL$148,"-")</formula>
    </cfRule>
  </conditionalFormatting>
  <conditionalFormatting sqref="N40:N41">
    <cfRule type="expression" dxfId="2689" priority="9">
      <formula>IF(AND(NOT(N40=""),NOT(N40="-")),N40&gt;=1.1*N$5*#REF!,"-")</formula>
    </cfRule>
  </conditionalFormatting>
  <conditionalFormatting sqref="F40:K41">
    <cfRule type="expression" dxfId="2688" priority="8">
      <formula>IF(AND(NOT(F40=""),NOT(F40="-")),F40&gt;=1.1*F$5*#REF!,"-")</formula>
    </cfRule>
  </conditionalFormatting>
  <conditionalFormatting sqref="N136:N137">
    <cfRule type="expression" dxfId="2687" priority="7">
      <formula>IF(AND(NOT(N136=""),NOT(N136="-")),N136&gt;=1.1*N$5*BL$149,"-")</formula>
    </cfRule>
  </conditionalFormatting>
  <conditionalFormatting sqref="N104:N105">
    <cfRule type="expression" dxfId="2686" priority="6">
      <formula>IF(AND(NOT(N104=""),NOT(N104="-")),N104&gt;=1.1*N$5*BL$121,"-")</formula>
    </cfRule>
  </conditionalFormatting>
  <conditionalFormatting sqref="F136:K137">
    <cfRule type="expression" dxfId="2685" priority="5">
      <formula>IF(AND(NOT(F136=""),NOT(F136="-")),F136&gt;=1.1*F$5*BE$149,"-")</formula>
    </cfRule>
  </conditionalFormatting>
  <conditionalFormatting sqref="F104:K105">
    <cfRule type="expression" dxfId="2684" priority="4">
      <formula>IF(AND(NOT(F104=""),NOT(F104="-")),F104&gt;=1.1*F$5*BE$121,"-")</formula>
    </cfRule>
  </conditionalFormatting>
  <conditionalFormatting sqref="L40:M41">
    <cfRule type="expression" dxfId="2683" priority="3">
      <formula>IF(AND(NOT(L40=""),NOT(L40="-")),L40&gt;=1.1*L$5*#REF!,"-")</formula>
    </cfRule>
  </conditionalFormatting>
  <conditionalFormatting sqref="L136:M137">
    <cfRule type="expression" dxfId="2682" priority="2">
      <formula>IF(AND(NOT(L136=""),NOT(L136="-")),L136&gt;=1.1*L$5*BL$149,"-")</formula>
    </cfRule>
  </conditionalFormatting>
  <conditionalFormatting sqref="L104:M105">
    <cfRule type="expression" dxfId="2681" priority="1">
      <formula>IF(AND(NOT(L104=""),NOT(L104="-")),L104&gt;=1.1*L$5*BL$121,"-")</formula>
    </cfRule>
  </conditionalFormatting>
  <pageMargins left="0.7" right="0.7" top="0.75" bottom="0.75" header="0.3" footer="0.3"/>
  <pageSetup paperSize="9" scale="50" fitToHeight="0" orientation="landscape" r:id="rId1"/>
  <rowBreaks count="2" manualBreakCount="2">
    <brk id="124" max="19" man="1"/>
    <brk id="151" max="1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2">
    <pageSetUpPr fitToPage="1"/>
  </sheetPr>
  <dimension ref="A1:BU187"/>
  <sheetViews>
    <sheetView showGridLines="0" zoomScale="90" zoomScaleNormal="90" workbookViewId="0">
      <selection activeCell="E4" sqref="E4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customWidth="1"/>
    <col min="58" max="58" width="4.42578125" style="405" customWidth="1"/>
    <col min="59" max="59" width="4" style="405" customWidth="1"/>
    <col min="60" max="60" width="4.85546875" style="405" customWidth="1"/>
    <col min="61" max="62" width="4" style="405" customWidth="1"/>
    <col min="63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407" t="s">
        <v>324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">
        <v>284</v>
      </c>
      <c r="M4" s="410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61">
        <f>VLOOKUP(E4,'Daten Gasoline'!BY14:CG20,2,FALSE)</f>
        <v>6.8000000000000005E-2</v>
      </c>
      <c r="G5" s="361">
        <f>VLOOKUP(E4,'Daten Gasoline'!BY14:CG20,3,FALSE)</f>
        <v>0.1</v>
      </c>
      <c r="H5" s="361">
        <f>VLOOKUP(E4,'Daten Gasoline'!BY14:CG20,4,FALSE)</f>
        <v>1</v>
      </c>
      <c r="I5" s="361">
        <f>VLOOKUP(E4,'Daten Gasoline'!BY14:CG20,5,FALSE)</f>
        <v>0.06</v>
      </c>
      <c r="J5" s="361">
        <f>VLOOKUP(E4,'Daten Gasoline'!BY14:CG20,6,FALSE)</f>
        <v>4.4999999999999997E-3</v>
      </c>
      <c r="K5" s="361">
        <f>VLOOKUP(E4,'Daten Gasoline'!BY14:CG20,7,FALSE)</f>
        <v>600000000000</v>
      </c>
      <c r="L5" s="355" t="str">
        <f>VLOOKUP(E4,'Daten Gasoline'!BY14:CG20,8,FALSE)</f>
        <v>-</v>
      </c>
      <c r="M5" s="355" t="str">
        <f>VLOOKUP(E4,'Daten Gasoline'!BY14:CG20,9,FALSE)</f>
        <v>-</v>
      </c>
      <c r="N5" s="355" t="s">
        <v>5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412"/>
      <c r="G6" s="412"/>
      <c r="H6" s="412"/>
      <c r="I6" s="412"/>
      <c r="J6" s="412"/>
      <c r="K6" s="413"/>
      <c r="L6" s="413"/>
      <c r="M6" s="413"/>
      <c r="N6" s="412"/>
      <c r="O6" s="411"/>
      <c r="P6" s="411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172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passed</v>
      </c>
      <c r="Q8" s="399" t="s">
        <v>80</v>
      </c>
      <c r="R8" s="399" t="str">
        <f>IF(COUNT(F13:M14,F18:M19,F23:M24,F28:M29)&gt;0,"listed","not listed")</f>
        <v>listed</v>
      </c>
      <c r="S8" s="427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456"/>
      <c r="C9" s="457"/>
      <c r="D9" s="457"/>
      <c r="E9" s="457"/>
      <c r="F9" s="457"/>
      <c r="G9" s="457"/>
      <c r="H9" s="457"/>
      <c r="I9" s="457"/>
      <c r="J9" s="457"/>
      <c r="K9" s="421"/>
      <c r="L9" s="421"/>
      <c r="M9" s="421"/>
      <c r="N9" s="457"/>
      <c r="O9" s="457"/>
      <c r="P9" s="457"/>
      <c r="Q9" s="457"/>
      <c r="R9" s="457"/>
      <c r="S9" s="457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434"/>
      <c r="X11" s="434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434"/>
      <c r="X12" s="434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BS 6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>
        <f>0.068*2*0.69</f>
        <v>9.3839999999999993E-2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434"/>
      <c r="X13" s="434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>
        <f t="shared" ref="BE13:BL13" si="2">IF(AND(OR($C15="-",$C15="CET",$C15=""),OR(F12="-",F12="CET",F12="")),"-",IF(AND(OR(F13="-",F13=""),OR(F14="-",F14="")),"-",IF(NOT(OR(F13="-",F13="")),F13/F$5,F14/F$5)))</f>
        <v>1.38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si="2"/>
        <v>-</v>
      </c>
      <c r="BL13" s="435" t="str">
        <f t="shared" si="2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/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L14" si="3">IF((OR($C20="-",$C20="CET",$C20="")),"-",IF(AND(OR(F18="-",F18=""),OR(F19="-",F19="")),"-",IF(NOT(OR(F18="-",F18="")),F18/F$5,F19/F$5)))</f>
        <v>-</v>
      </c>
      <c r="BF14" s="435" t="str">
        <f t="shared" si="3"/>
        <v>-</v>
      </c>
      <c r="BG14" s="435" t="str">
        <f t="shared" si="3"/>
        <v>-</v>
      </c>
      <c r="BH14" s="435" t="str">
        <f t="shared" si="3"/>
        <v>-</v>
      </c>
      <c r="BI14" s="435" t="str">
        <f t="shared" si="3"/>
        <v>-</v>
      </c>
      <c r="BJ14" s="435" t="str">
        <f t="shared" si="3"/>
        <v>-</v>
      </c>
      <c r="BK14" s="435" t="str">
        <f t="shared" si="3"/>
        <v>-</v>
      </c>
      <c r="BL14" s="435" t="str">
        <f t="shared" si="3"/>
        <v>-</v>
      </c>
    </row>
    <row r="15" spans="1:64" ht="15" customHeight="1" outlineLevel="1" thickBot="1" x14ac:dyDescent="0.3">
      <c r="A15" s="396"/>
      <c r="B15" s="680"/>
      <c r="C15" s="686">
        <v>2</v>
      </c>
      <c r="D15" s="689">
        <f>IF(AND(F16="-",G16="-",H16="-",I16="-",J16="-",K16="-",L16="-",M16="-"),"-",MAX(F16,G16,H16,I16,J16,K16,L16,M16))</f>
        <v>1.38</v>
      </c>
      <c r="E15" s="444" t="s">
        <v>96</v>
      </c>
      <c r="F15" s="445">
        <f t="shared" ref="F15:M15" si="4">IF(OR(F14="-",F14=""),IF(OR(F13="-",F13=""),"-",F13),IF(OR(F13="-",F13=""),F14,(F13+F14)/2))</f>
        <v>9.3839999999999993E-2</v>
      </c>
      <c r="G15" s="445" t="str">
        <f t="shared" si="4"/>
        <v>-</v>
      </c>
      <c r="H15" s="445" t="str">
        <f t="shared" si="4"/>
        <v>-</v>
      </c>
      <c r="I15" s="445" t="str">
        <f t="shared" si="4"/>
        <v>-</v>
      </c>
      <c r="J15" s="445" t="str">
        <f t="shared" si="4"/>
        <v>-</v>
      </c>
      <c r="K15" s="446" t="str">
        <f t="shared" si="4"/>
        <v>-</v>
      </c>
      <c r="L15" s="446" t="str">
        <f t="shared" si="4"/>
        <v>-</v>
      </c>
      <c r="M15" s="446" t="str">
        <f t="shared" si="4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434"/>
      <c r="X15" s="434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L15" si="5">IF((OR($C25="-",$C25="CET",$C25="")),"-",IF(AND(OR(F23="-",F23=""),OR(F24="-",F24="")),"-",IF(NOT(OR(F23="-",F23="")),F23/F$5,F24/F$5)))</f>
        <v>-</v>
      </c>
      <c r="BF15" s="435" t="str">
        <f t="shared" si="5"/>
        <v>-</v>
      </c>
      <c r="BG15" s="435" t="str">
        <f t="shared" si="5"/>
        <v>-</v>
      </c>
      <c r="BH15" s="435" t="str">
        <f t="shared" si="5"/>
        <v>-</v>
      </c>
      <c r="BI15" s="435" t="str">
        <f t="shared" si="5"/>
        <v>-</v>
      </c>
      <c r="BJ15" s="435" t="str">
        <f t="shared" si="5"/>
        <v>-</v>
      </c>
      <c r="BK15" s="435" t="str">
        <f t="shared" si="5"/>
        <v>-</v>
      </c>
      <c r="BL15" s="435" t="str">
        <f t="shared" si="5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>
        <f t="shared" ref="F16:K16" si="6">IF(AND(OR($C15="-",$C15="CET",$C15=""),OR(F12="-",F12="CET",F12="")),"-",IF(AND(NOT(F15="-"),NOT(F$5="-"),NOT(F$5="")),F15/F$5,"-"))</f>
        <v>1.38</v>
      </c>
      <c r="G16" s="448" t="str">
        <f t="shared" si="6"/>
        <v>-</v>
      </c>
      <c r="H16" s="448" t="str">
        <f t="shared" si="6"/>
        <v>-</v>
      </c>
      <c r="I16" s="448" t="str">
        <f t="shared" si="6"/>
        <v>-</v>
      </c>
      <c r="J16" s="448" t="str">
        <f t="shared" si="6"/>
        <v>-</v>
      </c>
      <c r="K16" s="449" t="str">
        <f t="shared" si="6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7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434"/>
      <c r="X16" s="434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L16" si="8">IF((OR($C30="-",$C30="CET",$C30="")),"-",IF(AND(OR(F28="-",F28=""),OR(F29="-",F29="")),"-",IF(NOT(OR(F28="-",F28="")),F28/F$5,F29/F$5)))</f>
        <v>-</v>
      </c>
      <c r="BF16" s="435" t="str">
        <f t="shared" si="8"/>
        <v>-</v>
      </c>
      <c r="BG16" s="435" t="str">
        <f t="shared" si="8"/>
        <v>-</v>
      </c>
      <c r="BH16" s="435" t="str">
        <f t="shared" si="8"/>
        <v>-</v>
      </c>
      <c r="BI16" s="435" t="str">
        <f t="shared" si="8"/>
        <v>-</v>
      </c>
      <c r="BJ16" s="435" t="str">
        <f t="shared" si="8"/>
        <v>-</v>
      </c>
      <c r="BK16" s="435" t="str">
        <f t="shared" si="8"/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9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passed</v>
      </c>
      <c r="G17" s="451" t="str">
        <f t="shared" si="9"/>
        <v>-</v>
      </c>
      <c r="H17" s="451" t="str">
        <f t="shared" si="9"/>
        <v>-</v>
      </c>
      <c r="I17" s="451" t="str">
        <f t="shared" si="9"/>
        <v>-</v>
      </c>
      <c r="J17" s="451" t="str">
        <f t="shared" si="9"/>
        <v>-</v>
      </c>
      <c r="K17" s="452" t="str">
        <f t="shared" si="9"/>
        <v>-</v>
      </c>
      <c r="L17" s="452" t="str">
        <f t="shared" si="9"/>
        <v>-</v>
      </c>
      <c r="M17" s="452" t="str">
        <f t="shared" si="9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434"/>
      <c r="X17" s="434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passed</v>
      </c>
      <c r="BD17" s="429" t="str">
        <f>"0.7*IEF " &amp; (B12)</f>
        <v>0.7*IEF Cold</v>
      </c>
      <c r="BE17" s="435">
        <f t="shared" ref="BE17:BL17" si="10">IF(AND(OR($C15="-",$C15="CET",$C15=""),OR(F12="-",F12="CET",F12="")),"-",0.7*IF(OR(F12="CET",F12="-",F12=""),IF(OR($C15="CET",$C15="-",$C15=""),"-",$C15),F12))</f>
        <v>1.4</v>
      </c>
      <c r="BF17" s="435">
        <f t="shared" si="10"/>
        <v>1.4</v>
      </c>
      <c r="BG17" s="435">
        <f t="shared" si="10"/>
        <v>1.4</v>
      </c>
      <c r="BH17" s="435">
        <f t="shared" si="10"/>
        <v>1.4</v>
      </c>
      <c r="BI17" s="435">
        <f t="shared" si="10"/>
        <v>1.4</v>
      </c>
      <c r="BJ17" s="435">
        <f t="shared" si="10"/>
        <v>1.4</v>
      </c>
      <c r="BK17" s="435">
        <f t="shared" si="10"/>
        <v>1.4</v>
      </c>
      <c r="BL17" s="435">
        <f t="shared" si="10"/>
        <v>1.4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434"/>
      <c r="X18" s="434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81" si="11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L18" si="12">IF(OR($C20="-",$C20="CET",$C20=""),"-",0.7*$C20)</f>
        <v>0.7</v>
      </c>
      <c r="BF18" s="435">
        <f t="shared" si="12"/>
        <v>0.7</v>
      </c>
      <c r="BG18" s="435">
        <f t="shared" si="12"/>
        <v>0.7</v>
      </c>
      <c r="BH18" s="435">
        <f t="shared" si="12"/>
        <v>0.7</v>
      </c>
      <c r="BI18" s="435">
        <f t="shared" si="12"/>
        <v>0.7</v>
      </c>
      <c r="BJ18" s="435">
        <f t="shared" si="12"/>
        <v>0.7</v>
      </c>
      <c r="BK18" s="435">
        <f t="shared" si="12"/>
        <v>0.7</v>
      </c>
      <c r="BL18" s="435">
        <f t="shared" si="12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1"/>
        <v>-</v>
      </c>
      <c r="BD19" s="429" t="str">
        <f>"0.7*IEF " &amp; B23</f>
        <v>0.7*IEF Hot 1</v>
      </c>
      <c r="BE19" s="435">
        <f t="shared" ref="BE19:BL19" si="13">IF(OR($C25="-",$C25="CET",$C25=""),"-",0.7*$C25)</f>
        <v>0.7</v>
      </c>
      <c r="BF19" s="435">
        <f t="shared" si="13"/>
        <v>0.7</v>
      </c>
      <c r="BG19" s="435">
        <f t="shared" si="13"/>
        <v>0.7</v>
      </c>
      <c r="BH19" s="435">
        <f t="shared" si="13"/>
        <v>0.7</v>
      </c>
      <c r="BI19" s="435">
        <f t="shared" si="13"/>
        <v>0.7</v>
      </c>
      <c r="BJ19" s="435">
        <f t="shared" si="13"/>
        <v>0.7</v>
      </c>
      <c r="BK19" s="435">
        <f t="shared" si="13"/>
        <v>0.7</v>
      </c>
      <c r="BL19" s="435">
        <f t="shared" si="13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M20" si="14">IF(OR(F19="-",F19=""),IF(OR(F18="-",F18=""),"-",F18),IF(OR(F18="-",F18=""),F19,(F18+F19)/2))</f>
        <v>-</v>
      </c>
      <c r="G20" s="445" t="str">
        <f t="shared" si="14"/>
        <v>-</v>
      </c>
      <c r="H20" s="445" t="str">
        <f t="shared" si="14"/>
        <v>-</v>
      </c>
      <c r="I20" s="445" t="str">
        <f t="shared" si="14"/>
        <v>-</v>
      </c>
      <c r="J20" s="445" t="str">
        <f t="shared" si="14"/>
        <v>-</v>
      </c>
      <c r="K20" s="446" t="str">
        <f t="shared" si="14"/>
        <v>-</v>
      </c>
      <c r="L20" s="446" t="str">
        <f t="shared" si="14"/>
        <v>-</v>
      </c>
      <c r="M20" s="446" t="str">
        <f t="shared" si="1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434"/>
      <c r="X20" s="434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1"/>
        <v>-</v>
      </c>
      <c r="BD20" s="429" t="str">
        <f>"0.7*IEF " &amp; B28</f>
        <v>0.7*IEF Hot 2</v>
      </c>
      <c r="BE20" s="435">
        <f t="shared" ref="BE20:BL20" si="15">IF(OR($C30="-",$C30="CET",$C30=""),"-",0.7*$C30)</f>
        <v>0.7</v>
      </c>
      <c r="BF20" s="435">
        <f t="shared" si="15"/>
        <v>0.7</v>
      </c>
      <c r="BG20" s="435">
        <f t="shared" si="15"/>
        <v>0.7</v>
      </c>
      <c r="BH20" s="435">
        <f t="shared" si="15"/>
        <v>0.7</v>
      </c>
      <c r="BI20" s="435">
        <f t="shared" si="15"/>
        <v>0.7</v>
      </c>
      <c r="BJ20" s="435">
        <f t="shared" si="15"/>
        <v>0.7</v>
      </c>
      <c r="BK20" s="435">
        <f t="shared" si="15"/>
        <v>0.7</v>
      </c>
      <c r="BL20" s="435">
        <f t="shared" si="15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M21" si="16">IF(OR($C20="-",$C20="CET",$C20=""),"-",IF(AND(NOT(F20="-"),NOT(F$5="-"),NOT(F$5="")),F20/F$5,"-"))</f>
        <v>-</v>
      </c>
      <c r="G21" s="448" t="str">
        <f t="shared" si="16"/>
        <v>-</v>
      </c>
      <c r="H21" s="448" t="str">
        <f t="shared" si="16"/>
        <v>-</v>
      </c>
      <c r="I21" s="448" t="str">
        <f t="shared" si="16"/>
        <v>-</v>
      </c>
      <c r="J21" s="448" t="str">
        <f t="shared" si="16"/>
        <v>-</v>
      </c>
      <c r="K21" s="449" t="str">
        <f t="shared" si="16"/>
        <v>-</v>
      </c>
      <c r="L21" s="449" t="str">
        <f t="shared" si="16"/>
        <v>-</v>
      </c>
      <c r="M21" s="449" t="str">
        <f t="shared" si="16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434"/>
      <c r="X21" s="434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1"/>
        <v>-</v>
      </c>
      <c r="BD21" s="429" t="str">
        <f>B12</f>
        <v>Cold</v>
      </c>
      <c r="BE21" s="435">
        <f t="shared" ref="BE21:BL21" si="17">F16</f>
        <v>1.38</v>
      </c>
      <c r="BF21" s="435" t="str">
        <f t="shared" si="17"/>
        <v>-</v>
      </c>
      <c r="BG21" s="435" t="str">
        <f t="shared" si="17"/>
        <v>-</v>
      </c>
      <c r="BH21" s="435" t="str">
        <f t="shared" si="17"/>
        <v>-</v>
      </c>
      <c r="BI21" s="435" t="str">
        <f t="shared" si="17"/>
        <v>-</v>
      </c>
      <c r="BJ21" s="435" t="str">
        <f t="shared" si="17"/>
        <v>-</v>
      </c>
      <c r="BK21" s="435" t="str">
        <f t="shared" si="17"/>
        <v>-</v>
      </c>
      <c r="BL21" s="435" t="str">
        <f t="shared" si="17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8"/>
        <v>-</v>
      </c>
      <c r="H22" s="451" t="str">
        <f t="shared" si="18"/>
        <v>-</v>
      </c>
      <c r="I22" s="451" t="str">
        <f t="shared" si="18"/>
        <v>-</v>
      </c>
      <c r="J22" s="451" t="str">
        <f t="shared" si="18"/>
        <v>-</v>
      </c>
      <c r="K22" s="452" t="str">
        <f t="shared" si="18"/>
        <v>-</v>
      </c>
      <c r="L22" s="452" t="str">
        <f t="shared" si="18"/>
        <v>-</v>
      </c>
      <c r="M22" s="452" t="str">
        <f t="shared" si="18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434"/>
      <c r="X22" s="434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1"/>
        <v>-</v>
      </c>
      <c r="BD22" s="429" t="str">
        <f>B18</f>
        <v>Warm</v>
      </c>
      <c r="BE22" s="435" t="str">
        <f t="shared" ref="BE22:BL22" si="19">F21</f>
        <v>-</v>
      </c>
      <c r="BF22" s="435" t="str">
        <f t="shared" si="19"/>
        <v>-</v>
      </c>
      <c r="BG22" s="435" t="str">
        <f t="shared" si="19"/>
        <v>-</v>
      </c>
      <c r="BH22" s="435" t="str">
        <f t="shared" si="19"/>
        <v>-</v>
      </c>
      <c r="BI22" s="435" t="str">
        <f t="shared" si="19"/>
        <v>-</v>
      </c>
      <c r="BJ22" s="435" t="str">
        <f t="shared" si="19"/>
        <v>-</v>
      </c>
      <c r="BK22" s="435" t="str">
        <f t="shared" si="19"/>
        <v>-</v>
      </c>
      <c r="BL22" s="435" t="str">
        <f t="shared" si="19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434"/>
      <c r="X23" s="434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1"/>
        <v>-</v>
      </c>
      <c r="BD23" s="429" t="str">
        <f>B23</f>
        <v>Hot 1</v>
      </c>
      <c r="BE23" s="435" t="str">
        <f t="shared" ref="BE23:BL23" si="20">F26</f>
        <v>-</v>
      </c>
      <c r="BF23" s="435" t="str">
        <f t="shared" si="20"/>
        <v>-</v>
      </c>
      <c r="BG23" s="435" t="str">
        <f t="shared" si="20"/>
        <v>-</v>
      </c>
      <c r="BH23" s="435" t="str">
        <f t="shared" si="20"/>
        <v>-</v>
      </c>
      <c r="BI23" s="435" t="str">
        <f t="shared" si="20"/>
        <v>-</v>
      </c>
      <c r="BJ23" s="435" t="str">
        <f t="shared" si="20"/>
        <v>-</v>
      </c>
      <c r="BK23" s="435" t="str">
        <f t="shared" si="20"/>
        <v>-</v>
      </c>
      <c r="BL23" s="435" t="str">
        <f t="shared" si="20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1"/>
        <v>-</v>
      </c>
      <c r="BD24" s="429" t="str">
        <f>B28</f>
        <v>Hot 2</v>
      </c>
      <c r="BE24" s="435" t="str">
        <f t="shared" ref="BE24:BL24" si="21">F31</f>
        <v>-</v>
      </c>
      <c r="BF24" s="435" t="str">
        <f t="shared" si="21"/>
        <v>-</v>
      </c>
      <c r="BG24" s="435" t="str">
        <f t="shared" si="21"/>
        <v>-</v>
      </c>
      <c r="BH24" s="435" t="str">
        <f t="shared" si="21"/>
        <v>-</v>
      </c>
      <c r="BI24" s="435" t="str">
        <f t="shared" si="21"/>
        <v>-</v>
      </c>
      <c r="BJ24" s="435" t="str">
        <f t="shared" si="21"/>
        <v>-</v>
      </c>
      <c r="BK24" s="435" t="str">
        <f t="shared" si="21"/>
        <v>-</v>
      </c>
      <c r="BL24" s="435" t="str">
        <f t="shared" si="21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M25" si="22">IF(OR(F24="-",F24=""),IF(OR(F23="-",F23=""),"-",F23),IF(OR(F23="-",F23=""),F24,(F23+F24)/2))</f>
        <v>-</v>
      </c>
      <c r="G25" s="445" t="str">
        <f t="shared" si="22"/>
        <v>-</v>
      </c>
      <c r="H25" s="445" t="str">
        <f t="shared" si="22"/>
        <v>-</v>
      </c>
      <c r="I25" s="445" t="str">
        <f t="shared" si="22"/>
        <v>-</v>
      </c>
      <c r="J25" s="445" t="str">
        <f t="shared" si="22"/>
        <v>-</v>
      </c>
      <c r="K25" s="446" t="str">
        <f t="shared" si="22"/>
        <v>-</v>
      </c>
      <c r="L25" s="446" t="str">
        <f t="shared" si="22"/>
        <v>-</v>
      </c>
      <c r="M25" s="446" t="str">
        <f t="shared" si="22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434"/>
      <c r="X25" s="434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1"/>
        <v>-</v>
      </c>
      <c r="BD25" s="429" t="str">
        <f>"IEF " &amp;B12</f>
        <v>IEF Cold</v>
      </c>
      <c r="BE25" s="435">
        <f t="shared" ref="BE25:BL25" si="23">IF(AND(OR($C15="-",$C15="CET",$C15=""),OR(F12="-",F12="CET",F12="")),"-",IF(OR(F12="CET",F12="-",F12=""),IF(OR($C15="CET",$C15="-",$C15=""),"-",$C15),F12))</f>
        <v>2</v>
      </c>
      <c r="BF25" s="435">
        <f t="shared" si="23"/>
        <v>2</v>
      </c>
      <c r="BG25" s="435">
        <f t="shared" si="23"/>
        <v>2</v>
      </c>
      <c r="BH25" s="435">
        <f t="shared" si="23"/>
        <v>2</v>
      </c>
      <c r="BI25" s="435">
        <f t="shared" si="23"/>
        <v>2</v>
      </c>
      <c r="BJ25" s="435">
        <f t="shared" si="23"/>
        <v>2</v>
      </c>
      <c r="BK25" s="435">
        <f t="shared" si="23"/>
        <v>2</v>
      </c>
      <c r="BL25" s="435">
        <f t="shared" si="23"/>
        <v>2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M26" si="24">IF(OR($C25="-",$C25="CET",$C25=""),"-",IF(AND(NOT(F25="-"),NOT(F$5="-"),NOT(F$5="")),F25/F$5,"-"))</f>
        <v>-</v>
      </c>
      <c r="G26" s="448" t="str">
        <f t="shared" si="24"/>
        <v>-</v>
      </c>
      <c r="H26" s="448" t="str">
        <f t="shared" si="24"/>
        <v>-</v>
      </c>
      <c r="I26" s="448" t="str">
        <f t="shared" si="24"/>
        <v>-</v>
      </c>
      <c r="J26" s="448" t="str">
        <f t="shared" si="24"/>
        <v>-</v>
      </c>
      <c r="K26" s="449" t="str">
        <f t="shared" si="24"/>
        <v>-</v>
      </c>
      <c r="L26" s="449" t="str">
        <f t="shared" si="24"/>
        <v>-</v>
      </c>
      <c r="M26" s="449" t="str">
        <f t="shared" si="2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434"/>
      <c r="X26" s="434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1"/>
        <v>-</v>
      </c>
      <c r="BD26" s="429" t="str">
        <f>"IEF " &amp; B18</f>
        <v>IEF Warm</v>
      </c>
      <c r="BE26" s="435">
        <f t="shared" ref="BE26:BL26" si="25">IF(OR($C20="CET",$C20="-",$C20=""),"-",$C20)</f>
        <v>1</v>
      </c>
      <c r="BF26" s="435">
        <f t="shared" si="25"/>
        <v>1</v>
      </c>
      <c r="BG26" s="435">
        <f t="shared" si="25"/>
        <v>1</v>
      </c>
      <c r="BH26" s="435">
        <f t="shared" si="25"/>
        <v>1</v>
      </c>
      <c r="BI26" s="435">
        <f t="shared" si="25"/>
        <v>1</v>
      </c>
      <c r="BJ26" s="435">
        <f t="shared" si="25"/>
        <v>1</v>
      </c>
      <c r="BK26" s="435">
        <f t="shared" si="25"/>
        <v>1</v>
      </c>
      <c r="BL26" s="435">
        <f t="shared" si="25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6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6"/>
        <v>-</v>
      </c>
      <c r="H27" s="451" t="str">
        <f t="shared" si="26"/>
        <v>-</v>
      </c>
      <c r="I27" s="451" t="str">
        <f t="shared" si="26"/>
        <v>-</v>
      </c>
      <c r="J27" s="451" t="str">
        <f t="shared" si="26"/>
        <v>-</v>
      </c>
      <c r="K27" s="452" t="str">
        <f t="shared" si="26"/>
        <v>-</v>
      </c>
      <c r="L27" s="452" t="str">
        <f t="shared" si="26"/>
        <v>-</v>
      </c>
      <c r="M27" s="452" t="str">
        <f t="shared" si="26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434"/>
      <c r="X27" s="434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1"/>
        <v>-</v>
      </c>
      <c r="BD27" s="429" t="str">
        <f>"IEF " &amp; B23</f>
        <v>IEF Hot 1</v>
      </c>
      <c r="BE27" s="435">
        <f t="shared" ref="BE27:BL27" si="27">IF(OR($C25="CET",$C25="-",$C25=""),"-",$C25)</f>
        <v>1</v>
      </c>
      <c r="BF27" s="435">
        <f t="shared" si="27"/>
        <v>1</v>
      </c>
      <c r="BG27" s="435">
        <f t="shared" si="27"/>
        <v>1</v>
      </c>
      <c r="BH27" s="435">
        <f t="shared" si="27"/>
        <v>1</v>
      </c>
      <c r="BI27" s="435">
        <f t="shared" si="27"/>
        <v>1</v>
      </c>
      <c r="BJ27" s="435">
        <f t="shared" si="27"/>
        <v>1</v>
      </c>
      <c r="BK27" s="435">
        <f t="shared" si="27"/>
        <v>1</v>
      </c>
      <c r="BL27" s="435">
        <f t="shared" si="27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434"/>
      <c r="X28" s="434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1"/>
        <v>-</v>
      </c>
      <c r="BD28" s="429" t="str">
        <f>"IEF " &amp; B28</f>
        <v>IEF Hot 2</v>
      </c>
      <c r="BE28" s="435">
        <f t="shared" ref="BE28:BL28" si="28">IF(OR($C30="CET",$C30="-",$C30=""),"-",$C30)</f>
        <v>1</v>
      </c>
      <c r="BF28" s="435">
        <f t="shared" si="28"/>
        <v>1</v>
      </c>
      <c r="BG28" s="435">
        <f t="shared" si="28"/>
        <v>1</v>
      </c>
      <c r="BH28" s="435">
        <f t="shared" si="28"/>
        <v>1</v>
      </c>
      <c r="BI28" s="435">
        <f t="shared" si="28"/>
        <v>1</v>
      </c>
      <c r="BJ28" s="435">
        <f t="shared" si="28"/>
        <v>1</v>
      </c>
      <c r="BK28" s="435">
        <f t="shared" si="28"/>
        <v>1</v>
      </c>
      <c r="BL28" s="435">
        <f t="shared" si="28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1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M30" si="29">IF(OR(F29="-",F29=""),IF(OR(F28="-",F28=""),"-",F28),IF(OR(F28="-",F28=""),F29,(F28+F29)/2))</f>
        <v>-</v>
      </c>
      <c r="G30" s="445" t="str">
        <f t="shared" si="29"/>
        <v>-</v>
      </c>
      <c r="H30" s="445" t="str">
        <f t="shared" si="29"/>
        <v>-</v>
      </c>
      <c r="I30" s="445" t="str">
        <f t="shared" si="29"/>
        <v>-</v>
      </c>
      <c r="J30" s="445" t="str">
        <f t="shared" si="29"/>
        <v>-</v>
      </c>
      <c r="K30" s="446" t="str">
        <f t="shared" si="29"/>
        <v>-</v>
      </c>
      <c r="L30" s="446" t="str">
        <f t="shared" si="29"/>
        <v>-</v>
      </c>
      <c r="M30" s="446" t="str">
        <f t="shared" si="29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434"/>
      <c r="X30" s="434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1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M31" si="30">IF(OR($C30="-",$C30="CET",$C30=""),"-",IF(AND(NOT(F30="-"),NOT(F$5="-"),NOT(F$5="")),F30/F$5,"-"))</f>
        <v>-</v>
      </c>
      <c r="G31" s="448" t="str">
        <f t="shared" si="30"/>
        <v>-</v>
      </c>
      <c r="H31" s="448" t="str">
        <f t="shared" si="30"/>
        <v>-</v>
      </c>
      <c r="I31" s="448" t="str">
        <f t="shared" si="30"/>
        <v>-</v>
      </c>
      <c r="J31" s="448" t="str">
        <f t="shared" si="30"/>
        <v>-</v>
      </c>
      <c r="K31" s="449" t="str">
        <f t="shared" si="30"/>
        <v>-</v>
      </c>
      <c r="L31" s="449" t="str">
        <f t="shared" si="30"/>
        <v>-</v>
      </c>
      <c r="M31" s="449" t="str">
        <f t="shared" si="30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434"/>
      <c r="X31" s="434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1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3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31"/>
        <v>-</v>
      </c>
      <c r="H32" s="451" t="str">
        <f t="shared" si="31"/>
        <v>-</v>
      </c>
      <c r="I32" s="451" t="str">
        <f t="shared" si="31"/>
        <v>-</v>
      </c>
      <c r="J32" s="451" t="str">
        <f t="shared" si="31"/>
        <v>-</v>
      </c>
      <c r="K32" s="452" t="str">
        <f t="shared" si="31"/>
        <v>-</v>
      </c>
      <c r="L32" s="452" t="str">
        <f t="shared" si="31"/>
        <v>-</v>
      </c>
      <c r="M32" s="452" t="str">
        <f t="shared" si="31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1"/>
        <v>-</v>
      </c>
    </row>
    <row r="33" spans="1:64" ht="15" customHeight="1" x14ac:dyDescent="0.25">
      <c r="BC33" s="401" t="str">
        <f t="shared" si="11"/>
        <v>-</v>
      </c>
    </row>
    <row r="34" spans="1:64" ht="15" customHeight="1" x14ac:dyDescent="0.25">
      <c r="BC34" s="401" t="str">
        <f t="shared" si="11"/>
        <v>-</v>
      </c>
    </row>
    <row r="35" spans="1:64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  <c r="BC35" s="401" t="str">
        <f t="shared" si="11"/>
        <v>-</v>
      </c>
    </row>
    <row r="36" spans="1:64" ht="24.95" customHeight="1" thickBot="1" x14ac:dyDescent="0.3">
      <c r="A36" s="396"/>
      <c r="B36" s="415">
        <v>2</v>
      </c>
      <c r="C36" s="706" t="s">
        <v>171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IF(COUNTIF(F44:N69,"refused")&gt;0,"refused",IF(COUNTIF(F44:N69,"failed")&gt;0,"failed",IF(COUNTIF(F44:N69,"passed")&gt;0,"passed","-")))</f>
        <v>-</v>
      </c>
      <c r="Q36" s="399" t="s">
        <v>80</v>
      </c>
      <c r="R36" s="399" t="str">
        <f>IF(COUNT(F40:M41,F45:M46,F50:M51,F55:M56,F60:M61,F65:M66)&gt;0,"listed","not listed")</f>
        <v>not listed</v>
      </c>
      <c r="S36" s="427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BC36" s="401" t="str">
        <f t="shared" si="11"/>
        <v>-</v>
      </c>
    </row>
    <row r="37" spans="1:64" ht="15" customHeight="1" outlineLevel="1" thickBot="1" x14ac:dyDescent="0.3">
      <c r="A37" s="396"/>
      <c r="B37" s="456"/>
      <c r="C37" s="457"/>
      <c r="D37" s="457"/>
      <c r="E37" s="457"/>
      <c r="F37" s="457"/>
      <c r="G37" s="457"/>
      <c r="H37" s="457"/>
      <c r="I37" s="457"/>
      <c r="J37" s="457"/>
      <c r="K37" s="421"/>
      <c r="L37" s="421"/>
      <c r="M37" s="421"/>
      <c r="N37" s="457"/>
      <c r="O37" s="457"/>
      <c r="P37" s="457"/>
      <c r="Q37" s="457"/>
      <c r="R37" s="457"/>
      <c r="S37" s="457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BC37" s="401" t="str">
        <f t="shared" si="11"/>
        <v>-</v>
      </c>
    </row>
    <row r="38" spans="1:64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434"/>
      <c r="X38" s="434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C38" s="401" t="str">
        <f t="shared" si="11"/>
        <v>-</v>
      </c>
      <c r="BD38" s="429" t="s">
        <v>85</v>
      </c>
      <c r="BE38" s="430" t="str">
        <f>F$4</f>
        <v>NMHC 
[g/km]</v>
      </c>
      <c r="BF38" s="430" t="str">
        <f t="shared" ref="BF38:BL38" si="32">G$4</f>
        <v>THC
[g/km]</v>
      </c>
      <c r="BG38" s="430" t="str">
        <f t="shared" si="32"/>
        <v>CO
[g/km]</v>
      </c>
      <c r="BH38" s="430" t="str">
        <f t="shared" si="32"/>
        <v>NOx
[g/km]</v>
      </c>
      <c r="BI38" s="430" t="str">
        <f t="shared" si="32"/>
        <v>PM
[mg/km]</v>
      </c>
      <c r="BJ38" s="430" t="str">
        <f t="shared" si="32"/>
        <v>PN
[#/km]</v>
      </c>
      <c r="BK38" s="430" t="str">
        <f t="shared" si="32"/>
        <v>Additional
component</v>
      </c>
      <c r="BL38" s="430" t="str">
        <f t="shared" si="32"/>
        <v>Additional
component 2</v>
      </c>
    </row>
    <row r="39" spans="1:64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tr">
        <f>F$4</f>
        <v>NMHC 
[g/km]</v>
      </c>
      <c r="G39" s="425" t="str">
        <f t="shared" ref="G39:M39" si="33">G$4</f>
        <v>THC
[g/km]</v>
      </c>
      <c r="H39" s="425" t="str">
        <f t="shared" si="33"/>
        <v>CO
[g/km]</v>
      </c>
      <c r="I39" s="425" t="str">
        <f t="shared" si="33"/>
        <v>NOx
[g/km]</v>
      </c>
      <c r="J39" s="425" t="str">
        <f t="shared" si="33"/>
        <v>PM
[mg/km]</v>
      </c>
      <c r="K39" s="425" t="str">
        <f t="shared" si="33"/>
        <v>PN
[#/km]</v>
      </c>
      <c r="L39" s="426" t="str">
        <f t="shared" si="33"/>
        <v>Additional
component</v>
      </c>
      <c r="M39" s="426" t="str">
        <f t="shared" si="33"/>
        <v>Additional
component 2</v>
      </c>
      <c r="N39" s="425" t="str">
        <f>N$4</f>
        <v>CO2
[g/km]</v>
      </c>
      <c r="O39" s="669"/>
      <c r="P39" s="670"/>
      <c r="Q39" s="670"/>
      <c r="R39" s="670"/>
      <c r="S39" s="669"/>
      <c r="T39" s="670"/>
      <c r="U39" s="670"/>
      <c r="V39" s="671"/>
      <c r="W39" s="434"/>
      <c r="X39" s="434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401" t="str">
        <f t="shared" si="11"/>
        <v>-</v>
      </c>
      <c r="BD39" s="429" t="str">
        <f>$E$4</f>
        <v>BS 6</v>
      </c>
      <c r="BE39" s="435">
        <v>1</v>
      </c>
      <c r="BF39" s="435">
        <v>1</v>
      </c>
      <c r="BG39" s="435">
        <v>1</v>
      </c>
      <c r="BH39" s="435">
        <v>1</v>
      </c>
      <c r="BI39" s="435">
        <v>1</v>
      </c>
      <c r="BJ39" s="435">
        <v>1</v>
      </c>
      <c r="BK39" s="435">
        <v>1</v>
      </c>
      <c r="BL39" s="435">
        <v>1</v>
      </c>
    </row>
    <row r="40" spans="1:64" ht="15" customHeight="1" outlineLevel="1" x14ac:dyDescent="0.25">
      <c r="A40" s="396"/>
      <c r="B40" s="710" t="s">
        <v>125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3"/>
      <c r="S40" s="672"/>
      <c r="T40" s="673"/>
      <c r="U40" s="673"/>
      <c r="V40" s="674"/>
      <c r="W40" s="434"/>
      <c r="X40" s="434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401" t="str">
        <f t="shared" si="11"/>
        <v>-</v>
      </c>
      <c r="BD40" s="429" t="str">
        <f>"1st " &amp;  B40</f>
        <v>1st Drive Mode 1</v>
      </c>
      <c r="BE40" s="435" t="str">
        <f t="shared" ref="BE40:BL40" si="34">IF((OR($C42="-",$C42="CET",$C42="")),"-",IF(AND(OR(F40="-",F40=""),OR(F41="-",F41="")),"-",IF(NOT(OR(F40="-",F40="")),F40/F$5,F41/F$5)))</f>
        <v>-</v>
      </c>
      <c r="BF40" s="435" t="str">
        <f t="shared" si="34"/>
        <v>-</v>
      </c>
      <c r="BG40" s="435" t="str">
        <f t="shared" si="34"/>
        <v>-</v>
      </c>
      <c r="BH40" s="435" t="str">
        <f t="shared" si="34"/>
        <v>-</v>
      </c>
      <c r="BI40" s="435" t="str">
        <f t="shared" si="34"/>
        <v>-</v>
      </c>
      <c r="BJ40" s="435" t="str">
        <f t="shared" si="34"/>
        <v>-</v>
      </c>
      <c r="BK40" s="435" t="str">
        <f t="shared" si="34"/>
        <v>-</v>
      </c>
      <c r="BL40" s="435" t="str">
        <f t="shared" si="34"/>
        <v>-</v>
      </c>
    </row>
    <row r="41" spans="1:64" s="405" customFormat="1" ht="15" customHeight="1" outlineLevel="1" thickBot="1" x14ac:dyDescent="0.3">
      <c r="A41" s="439"/>
      <c r="B41" s="711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3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11"/>
        <v>-</v>
      </c>
      <c r="BD41" s="429" t="str">
        <f>"1st " &amp; B45</f>
        <v>1st Drive Mode 2</v>
      </c>
      <c r="BE41" s="435" t="str">
        <f t="shared" ref="BE41:BL41" si="35">IF((OR($C47="-",$C47="CET",$C47="")),"-",IF(AND(OR(F45="-",F45=""),OR(F46="-",F46="")),"-",IF(NOT(OR(F45="-",F45="")),F45/F$5,F46/F$5)))</f>
        <v>-</v>
      </c>
      <c r="BF41" s="435" t="str">
        <f t="shared" si="35"/>
        <v>-</v>
      </c>
      <c r="BG41" s="435" t="str">
        <f t="shared" si="35"/>
        <v>-</v>
      </c>
      <c r="BH41" s="435" t="str">
        <f t="shared" si="35"/>
        <v>-</v>
      </c>
      <c r="BI41" s="435" t="str">
        <f t="shared" si="35"/>
        <v>-</v>
      </c>
      <c r="BJ41" s="435" t="str">
        <f t="shared" si="35"/>
        <v>-</v>
      </c>
      <c r="BK41" s="435" t="str">
        <f t="shared" si="35"/>
        <v>-</v>
      </c>
      <c r="BL41" s="435" t="str">
        <f t="shared" si="35"/>
        <v>-</v>
      </c>
    </row>
    <row r="42" spans="1:64" ht="15" customHeight="1" outlineLevel="1" thickBot="1" x14ac:dyDescent="0.3">
      <c r="A42" s="396"/>
      <c r="B42" s="711"/>
      <c r="C42" s="686">
        <v>1</v>
      </c>
      <c r="D42" s="689" t="str">
        <f>IF(AND(F43="-",G43="-",H43="-",I43="-",J43="-",K43="-",L43="-",M43="-"),"-",MAX(F43,G43,H43,I43,J43,K43,L43,M43))</f>
        <v>-</v>
      </c>
      <c r="E42" s="444" t="s">
        <v>96</v>
      </c>
      <c r="F42" s="445" t="str">
        <f t="shared" ref="F42:M42" si="36">IF(OR(F41="-",F41=""),IF(OR(F40="-",F40=""),"-",F40),IF(OR(F40="-",F40=""),F41,(F40+F41)/2))</f>
        <v>-</v>
      </c>
      <c r="G42" s="445" t="str">
        <f t="shared" si="36"/>
        <v>-</v>
      </c>
      <c r="H42" s="445" t="str">
        <f t="shared" si="36"/>
        <v>-</v>
      </c>
      <c r="I42" s="445" t="str">
        <f t="shared" si="36"/>
        <v>-</v>
      </c>
      <c r="J42" s="445" t="str">
        <f t="shared" si="36"/>
        <v>-</v>
      </c>
      <c r="K42" s="446" t="str">
        <f t="shared" si="36"/>
        <v>-</v>
      </c>
      <c r="L42" s="446" t="str">
        <f t="shared" si="36"/>
        <v>-</v>
      </c>
      <c r="M42" s="446" t="str">
        <f t="shared" si="36"/>
        <v>-</v>
      </c>
      <c r="N42" s="699"/>
      <c r="O42" s="672"/>
      <c r="P42" s="673"/>
      <c r="Q42" s="673"/>
      <c r="R42" s="673"/>
      <c r="S42" s="672"/>
      <c r="T42" s="673"/>
      <c r="U42" s="673"/>
      <c r="V42" s="674"/>
      <c r="W42" s="434"/>
      <c r="X42" s="434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401" t="str">
        <f t="shared" si="11"/>
        <v>-</v>
      </c>
      <c r="BD42" s="429" t="str">
        <f>"1st " &amp; B50</f>
        <v>1st Drive Mode 3</v>
      </c>
      <c r="BE42" s="435" t="str">
        <f t="shared" ref="BE42:BL42" si="37">IF((OR($C52="-",$C52="CET",$C52="")),"-",IF(AND(OR(F50="-",F50=""),OR(F51="-",F51="")),"-",IF(NOT(OR(F50="-",F50="")),F50/F$5,F51/F$5)))</f>
        <v>-</v>
      </c>
      <c r="BF42" s="435" t="str">
        <f t="shared" si="37"/>
        <v>-</v>
      </c>
      <c r="BG42" s="435" t="str">
        <f t="shared" si="37"/>
        <v>-</v>
      </c>
      <c r="BH42" s="435" t="str">
        <f t="shared" si="37"/>
        <v>-</v>
      </c>
      <c r="BI42" s="435" t="str">
        <f t="shared" si="37"/>
        <v>-</v>
      </c>
      <c r="BJ42" s="435" t="str">
        <f t="shared" si="37"/>
        <v>-</v>
      </c>
      <c r="BK42" s="435" t="str">
        <f t="shared" si="37"/>
        <v>-</v>
      </c>
      <c r="BL42" s="435" t="str">
        <f t="shared" si="37"/>
        <v>-</v>
      </c>
    </row>
    <row r="43" spans="1:64" ht="15" customHeight="1" outlineLevel="1" thickBot="1" x14ac:dyDescent="0.3">
      <c r="A43" s="396"/>
      <c r="B43" s="711"/>
      <c r="C43" s="687"/>
      <c r="D43" s="690"/>
      <c r="E43" s="447" t="s">
        <v>97</v>
      </c>
      <c r="F43" s="448" t="str">
        <f t="shared" ref="F43:M43" si="38">IF(OR($C42="-",$C42="CET",$C42=""),"-",IF(AND(NOT(F42="-"),NOT(F$5="-"),NOT(F$5="")),F42/F$5,"-"))</f>
        <v>-</v>
      </c>
      <c r="G43" s="448" t="str">
        <f t="shared" si="38"/>
        <v>-</v>
      </c>
      <c r="H43" s="448" t="str">
        <f t="shared" si="38"/>
        <v>-</v>
      </c>
      <c r="I43" s="448" t="str">
        <f t="shared" si="38"/>
        <v>-</v>
      </c>
      <c r="J43" s="448" t="str">
        <f t="shared" si="38"/>
        <v>-</v>
      </c>
      <c r="K43" s="449" t="str">
        <f t="shared" si="38"/>
        <v>-</v>
      </c>
      <c r="L43" s="449" t="str">
        <f t="shared" si="38"/>
        <v>-</v>
      </c>
      <c r="M43" s="449" t="str">
        <f t="shared" si="38"/>
        <v>-</v>
      </c>
      <c r="N43" s="700"/>
      <c r="O43" s="672"/>
      <c r="P43" s="673"/>
      <c r="Q43" s="673"/>
      <c r="R43" s="673"/>
      <c r="S43" s="672"/>
      <c r="T43" s="673"/>
      <c r="U43" s="673"/>
      <c r="V43" s="674"/>
      <c r="W43" s="434"/>
      <c r="X43" s="434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401" t="str">
        <f t="shared" si="11"/>
        <v>-</v>
      </c>
      <c r="BD43" s="429" t="str">
        <f>"1st " &amp; B55</f>
        <v>1st Drive Mode 4</v>
      </c>
      <c r="BE43" s="435" t="str">
        <f t="shared" ref="BE43:BL43" si="39">IF((OR($C57="-",$C57="CET",$C57="")),"-",IF(AND(OR(F55="-",F55=""),OR(F56="-",F56="")),"-",IF(NOT(OR(F55="-",F55="")),F55/F$5,F56/F$5)))</f>
        <v>-</v>
      </c>
      <c r="BF43" s="435" t="str">
        <f t="shared" si="39"/>
        <v>-</v>
      </c>
      <c r="BG43" s="435" t="str">
        <f t="shared" si="39"/>
        <v>-</v>
      </c>
      <c r="BH43" s="435" t="str">
        <f t="shared" si="39"/>
        <v>-</v>
      </c>
      <c r="BI43" s="435" t="str">
        <f t="shared" si="39"/>
        <v>-</v>
      </c>
      <c r="BJ43" s="435" t="str">
        <f t="shared" si="39"/>
        <v>-</v>
      </c>
      <c r="BK43" s="435" t="str">
        <f t="shared" si="39"/>
        <v>-</v>
      </c>
      <c r="BL43" s="435" t="str">
        <f t="shared" si="39"/>
        <v>-</v>
      </c>
    </row>
    <row r="44" spans="1:64" ht="15" customHeight="1" outlineLevel="1" thickBot="1" x14ac:dyDescent="0.3">
      <c r="A44" s="396"/>
      <c r="B44" s="712"/>
      <c r="C44" s="688"/>
      <c r="D44" s="691"/>
      <c r="E44" s="450" t="s">
        <v>30</v>
      </c>
      <c r="F44" s="451" t="str">
        <f t="shared" ref="F44:M44" si="40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40"/>
        <v>-</v>
      </c>
      <c r="H44" s="451" t="str">
        <f t="shared" si="40"/>
        <v>-</v>
      </c>
      <c r="I44" s="451" t="str">
        <f t="shared" si="40"/>
        <v>-</v>
      </c>
      <c r="J44" s="451" t="str">
        <f t="shared" si="40"/>
        <v>-</v>
      </c>
      <c r="K44" s="452" t="str">
        <f t="shared" si="40"/>
        <v>-</v>
      </c>
      <c r="L44" s="452" t="str">
        <f t="shared" si="40"/>
        <v>-</v>
      </c>
      <c r="M44" s="452" t="str">
        <f t="shared" si="40"/>
        <v>-</v>
      </c>
      <c r="N44" s="701"/>
      <c r="O44" s="672"/>
      <c r="P44" s="673"/>
      <c r="Q44" s="673"/>
      <c r="R44" s="673"/>
      <c r="S44" s="672"/>
      <c r="T44" s="673"/>
      <c r="U44" s="673"/>
      <c r="V44" s="674"/>
      <c r="W44" s="434"/>
      <c r="X44" s="434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401" t="str">
        <f t="shared" si="11"/>
        <v>-</v>
      </c>
      <c r="BD44" s="429" t="str">
        <f>"1st " &amp; B60</f>
        <v>1st Drive Mode 5</v>
      </c>
      <c r="BE44" s="435" t="str">
        <f t="shared" ref="BE44:BL44" si="41">IF((OR($C62="-",$C62="CET",$C62="")),"-",IF(AND(OR(F60="-",F60=""),OR(F61="-",F61="")),"-",IF(NOT(OR(F60="-",F60="")),F60/F$5,F61/F$5)))</f>
        <v>-</v>
      </c>
      <c r="BF44" s="435" t="str">
        <f t="shared" si="41"/>
        <v>-</v>
      </c>
      <c r="BG44" s="435" t="str">
        <f t="shared" si="41"/>
        <v>-</v>
      </c>
      <c r="BH44" s="435" t="str">
        <f t="shared" si="41"/>
        <v>-</v>
      </c>
      <c r="BI44" s="435" t="str">
        <f t="shared" si="41"/>
        <v>-</v>
      </c>
      <c r="BJ44" s="435" t="str">
        <f t="shared" si="41"/>
        <v>-</v>
      </c>
      <c r="BK44" s="435" t="str">
        <f t="shared" si="41"/>
        <v>-</v>
      </c>
      <c r="BL44" s="435" t="str">
        <f t="shared" si="41"/>
        <v>-</v>
      </c>
    </row>
    <row r="45" spans="1:64" ht="15" customHeight="1" outlineLevel="1" x14ac:dyDescent="0.25">
      <c r="A45" s="396"/>
      <c r="B45" s="710" t="s">
        <v>124</v>
      </c>
      <c r="C45" s="684" t="s">
        <v>114</v>
      </c>
      <c r="D45" s="684" t="s">
        <v>113</v>
      </c>
      <c r="E45" s="453" t="s">
        <v>94</v>
      </c>
      <c r="F45" s="437" t="s">
        <v>5</v>
      </c>
      <c r="G45" s="437" t="s">
        <v>5</v>
      </c>
      <c r="H45" s="437" t="s">
        <v>5</v>
      </c>
      <c r="I45" s="437" t="s">
        <v>5</v>
      </c>
      <c r="J45" s="437" t="s">
        <v>5</v>
      </c>
      <c r="K45" s="438" t="s">
        <v>5</v>
      </c>
      <c r="L45" s="438" t="s">
        <v>5</v>
      </c>
      <c r="M45" s="438" t="s">
        <v>5</v>
      </c>
      <c r="N45" s="437" t="s">
        <v>5</v>
      </c>
      <c r="O45" s="672"/>
      <c r="P45" s="673"/>
      <c r="Q45" s="673"/>
      <c r="R45" s="673"/>
      <c r="S45" s="672"/>
      <c r="T45" s="673"/>
      <c r="U45" s="673"/>
      <c r="V45" s="674"/>
      <c r="W45" s="434"/>
      <c r="X45" s="434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401" t="str">
        <f t="shared" si="11"/>
        <v>-</v>
      </c>
      <c r="BD45" s="429" t="str">
        <f>"1st " &amp; B65</f>
        <v>1st Drive Mode 6</v>
      </c>
      <c r="BE45" s="435" t="str">
        <f t="shared" ref="BE45:BL45" si="42">IF((OR($C67="-",$C67="CET",$C67="")),"-",IF(AND(OR(F65="-",F65=""),OR(F66="-",F66="")),"-",IF(NOT(OR(F65="-",F65="")),F65/F$5,F66/F$5)))</f>
        <v>-</v>
      </c>
      <c r="BF45" s="435" t="str">
        <f t="shared" si="42"/>
        <v>-</v>
      </c>
      <c r="BG45" s="435" t="str">
        <f t="shared" si="42"/>
        <v>-</v>
      </c>
      <c r="BH45" s="435" t="str">
        <f t="shared" si="42"/>
        <v>-</v>
      </c>
      <c r="BI45" s="435" t="str">
        <f t="shared" si="42"/>
        <v>-</v>
      </c>
      <c r="BJ45" s="435" t="str">
        <f t="shared" si="42"/>
        <v>-</v>
      </c>
      <c r="BK45" s="435" t="str">
        <f t="shared" si="42"/>
        <v>-</v>
      </c>
      <c r="BL45" s="435" t="str">
        <f t="shared" si="42"/>
        <v>-</v>
      </c>
    </row>
    <row r="46" spans="1:64" s="405" customFormat="1" ht="15" customHeight="1" outlineLevel="1" thickBot="1" x14ac:dyDescent="0.3">
      <c r="A46" s="439"/>
      <c r="B46" s="711"/>
      <c r="C46" s="702"/>
      <c r="D46" s="685"/>
      <c r="E46" s="440" t="s">
        <v>95</v>
      </c>
      <c r="F46" s="441" t="s">
        <v>5</v>
      </c>
      <c r="G46" s="441" t="s">
        <v>5</v>
      </c>
      <c r="H46" s="441" t="s">
        <v>5</v>
      </c>
      <c r="I46" s="441" t="s">
        <v>5</v>
      </c>
      <c r="J46" s="441" t="s">
        <v>5</v>
      </c>
      <c r="K46" s="442" t="s">
        <v>5</v>
      </c>
      <c r="L46" s="442" t="s">
        <v>5</v>
      </c>
      <c r="M46" s="442" t="s">
        <v>5</v>
      </c>
      <c r="N46" s="441" t="s">
        <v>5</v>
      </c>
      <c r="O46" s="672"/>
      <c r="P46" s="673"/>
      <c r="Q46" s="673"/>
      <c r="R46" s="673"/>
      <c r="S46" s="672"/>
      <c r="T46" s="673"/>
      <c r="U46" s="673"/>
      <c r="V46" s="674"/>
      <c r="W46" s="443"/>
      <c r="X46" s="443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401" t="str">
        <f t="shared" si="11"/>
        <v>-</v>
      </c>
      <c r="BD46" s="429" t="str">
        <f>"0.7*IEF " &amp; (B40)</f>
        <v>0.7*IEF Drive Mode 1</v>
      </c>
      <c r="BE46" s="435">
        <f t="shared" ref="BE46:BL46" si="43">IF(OR($C42="-",$C42="CET",$C42=""),"-",0.7*$C42)</f>
        <v>0.7</v>
      </c>
      <c r="BF46" s="435">
        <f t="shared" si="43"/>
        <v>0.7</v>
      </c>
      <c r="BG46" s="435">
        <f t="shared" si="43"/>
        <v>0.7</v>
      </c>
      <c r="BH46" s="435">
        <f t="shared" si="43"/>
        <v>0.7</v>
      </c>
      <c r="BI46" s="435">
        <f t="shared" si="43"/>
        <v>0.7</v>
      </c>
      <c r="BJ46" s="435">
        <f t="shared" si="43"/>
        <v>0.7</v>
      </c>
      <c r="BK46" s="435">
        <f t="shared" si="43"/>
        <v>0.7</v>
      </c>
      <c r="BL46" s="435">
        <f t="shared" si="43"/>
        <v>0.7</v>
      </c>
    </row>
    <row r="47" spans="1:64" ht="15" customHeight="1" outlineLevel="1" thickBot="1" x14ac:dyDescent="0.3">
      <c r="A47" s="396"/>
      <c r="B47" s="711"/>
      <c r="C47" s="686">
        <v>1</v>
      </c>
      <c r="D47" s="689" t="str">
        <f>IF(AND(F48="-",G48="-",H48="-",I48="-",J48="-",K48="-",L48="-",M48="-"),"-",MAX(F48,G48,H48,I48,J48,K48,L48,M48))</f>
        <v>-</v>
      </c>
      <c r="E47" s="444" t="s">
        <v>96</v>
      </c>
      <c r="F47" s="445" t="str">
        <f t="shared" ref="F47:M47" si="44">IF(OR(F46="-",F46=""),IF(OR(F45="-",F45=""),"-",F45),IF(OR(F45="-",F45=""),F46,(F45+F46)/2))</f>
        <v>-</v>
      </c>
      <c r="G47" s="445" t="str">
        <f t="shared" si="44"/>
        <v>-</v>
      </c>
      <c r="H47" s="445" t="str">
        <f t="shared" si="44"/>
        <v>-</v>
      </c>
      <c r="I47" s="445" t="str">
        <f t="shared" si="44"/>
        <v>-</v>
      </c>
      <c r="J47" s="445" t="str">
        <f t="shared" si="44"/>
        <v>-</v>
      </c>
      <c r="K47" s="446" t="str">
        <f t="shared" si="44"/>
        <v>-</v>
      </c>
      <c r="L47" s="446" t="str">
        <f t="shared" si="44"/>
        <v>-</v>
      </c>
      <c r="M47" s="446" t="str">
        <f t="shared" si="44"/>
        <v>-</v>
      </c>
      <c r="N47" s="699"/>
      <c r="O47" s="672"/>
      <c r="P47" s="673"/>
      <c r="Q47" s="673"/>
      <c r="R47" s="673"/>
      <c r="S47" s="672"/>
      <c r="T47" s="673"/>
      <c r="U47" s="673"/>
      <c r="V47" s="674"/>
      <c r="W47" s="434"/>
      <c r="X47" s="434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401" t="str">
        <f t="shared" si="11"/>
        <v>-</v>
      </c>
      <c r="BD47" s="429" t="str">
        <f>"0.7*IEF " &amp; B45</f>
        <v>0.7*IEF Drive Mode 2</v>
      </c>
      <c r="BE47" s="435">
        <f t="shared" ref="BE47:BL47" si="45">IF(OR($C47="-",$C47="CET",$C47=""),"-",0.7*$C47)</f>
        <v>0.7</v>
      </c>
      <c r="BF47" s="435">
        <f t="shared" si="45"/>
        <v>0.7</v>
      </c>
      <c r="BG47" s="435">
        <f t="shared" si="45"/>
        <v>0.7</v>
      </c>
      <c r="BH47" s="435">
        <f t="shared" si="45"/>
        <v>0.7</v>
      </c>
      <c r="BI47" s="435">
        <f t="shared" si="45"/>
        <v>0.7</v>
      </c>
      <c r="BJ47" s="435">
        <f t="shared" si="45"/>
        <v>0.7</v>
      </c>
      <c r="BK47" s="435">
        <f t="shared" si="45"/>
        <v>0.7</v>
      </c>
      <c r="BL47" s="435">
        <f t="shared" si="45"/>
        <v>0.7</v>
      </c>
    </row>
    <row r="48" spans="1:64" ht="15" customHeight="1" outlineLevel="1" thickBot="1" x14ac:dyDescent="0.3">
      <c r="A48" s="396"/>
      <c r="B48" s="711"/>
      <c r="C48" s="687"/>
      <c r="D48" s="690"/>
      <c r="E48" s="447" t="s">
        <v>97</v>
      </c>
      <c r="F48" s="448" t="str">
        <f t="shared" ref="F48:M48" si="46">IF(OR($C47="-",$C47="CET",$C47=""),"-",IF(AND(NOT(F47="-"),NOT(F$5="-"),NOT(F$5="")),F47/F$5,"-"))</f>
        <v>-</v>
      </c>
      <c r="G48" s="448" t="str">
        <f t="shared" si="46"/>
        <v>-</v>
      </c>
      <c r="H48" s="448" t="str">
        <f t="shared" si="46"/>
        <v>-</v>
      </c>
      <c r="I48" s="448" t="str">
        <f t="shared" si="46"/>
        <v>-</v>
      </c>
      <c r="J48" s="448" t="str">
        <f t="shared" si="46"/>
        <v>-</v>
      </c>
      <c r="K48" s="449" t="str">
        <f t="shared" si="46"/>
        <v>-</v>
      </c>
      <c r="L48" s="449" t="str">
        <f t="shared" si="46"/>
        <v>-</v>
      </c>
      <c r="M48" s="449" t="str">
        <f t="shared" si="46"/>
        <v>-</v>
      </c>
      <c r="N48" s="700"/>
      <c r="O48" s="672"/>
      <c r="P48" s="673"/>
      <c r="Q48" s="673"/>
      <c r="R48" s="673"/>
      <c r="S48" s="672"/>
      <c r="T48" s="673"/>
      <c r="U48" s="673"/>
      <c r="V48" s="674"/>
      <c r="W48" s="434"/>
      <c r="X48" s="434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401" t="str">
        <f t="shared" si="11"/>
        <v>-</v>
      </c>
      <c r="BD48" s="429" t="str">
        <f>"0.7*IEF " &amp; B50</f>
        <v>0.7*IEF Drive Mode 3</v>
      </c>
      <c r="BE48" s="435">
        <f t="shared" ref="BE48:BL48" si="47">IF(OR($C52="-",$C52="CET",$C52=""),"-",0.7*$C52)</f>
        <v>0.7</v>
      </c>
      <c r="BF48" s="435">
        <f t="shared" si="47"/>
        <v>0.7</v>
      </c>
      <c r="BG48" s="435">
        <f t="shared" si="47"/>
        <v>0.7</v>
      </c>
      <c r="BH48" s="435">
        <f t="shared" si="47"/>
        <v>0.7</v>
      </c>
      <c r="BI48" s="435">
        <f t="shared" si="47"/>
        <v>0.7</v>
      </c>
      <c r="BJ48" s="435">
        <f t="shared" si="47"/>
        <v>0.7</v>
      </c>
      <c r="BK48" s="435">
        <f t="shared" si="47"/>
        <v>0.7</v>
      </c>
      <c r="BL48" s="435">
        <f t="shared" si="47"/>
        <v>0.7</v>
      </c>
    </row>
    <row r="49" spans="1:64" ht="15" customHeight="1" outlineLevel="1" thickBot="1" x14ac:dyDescent="0.3">
      <c r="A49" s="404"/>
      <c r="B49" s="712"/>
      <c r="C49" s="688"/>
      <c r="D49" s="691"/>
      <c r="E49" s="451" t="s">
        <v>30</v>
      </c>
      <c r="F49" s="451" t="str">
        <f t="shared" ref="F49:M49" si="48">IF(AND(OR(F45="-",F45=""),OR(F46="-",F46="")),"-",IF(OR($C47="-",$C47="",$C47="CET"),"-",IF($R$36="not listed","-",IF(NOT(F$5="-"),IF(AND(AND(NOT(F45=0),NOT(F45="-"),NOT(F45="")),AND(NOT(F46="-"),NOT(F46=0),NOT(F46=""))),IF(AND((F45+F46)/2&lt;1*F$5*IF(OR($C47="CET",$C47="-",$C47=""),"-",$C47),F45&lt;1.1*F$5*IF(OR($C47="CET",$C47="-",$C47=""),"-",$C47),F46&lt;1.1*F$5*IF(OR($C47="CET",$C47="-",$C47=""),"-",$C47)),"passed","refused"),IF(IF(OR(F45="-",F45=""),F46,F45)&lt;0.7*F$5*IF(OR($C47="CET",$C47="-",$C47=""),"-",$C47),"passed",IF(IF(OR(F45="-",F45=""),F46,F45)&lt;1.1*IF(OR($C47="CET",$C47="-",$C47=""),"-",$C47)*F$5,"failed","refused"))),"-"))))</f>
        <v>-</v>
      </c>
      <c r="G49" s="451" t="str">
        <f t="shared" si="48"/>
        <v>-</v>
      </c>
      <c r="H49" s="451" t="str">
        <f t="shared" si="48"/>
        <v>-</v>
      </c>
      <c r="I49" s="451" t="str">
        <f t="shared" si="48"/>
        <v>-</v>
      </c>
      <c r="J49" s="451" t="str">
        <f t="shared" si="48"/>
        <v>-</v>
      </c>
      <c r="K49" s="452" t="str">
        <f t="shared" si="48"/>
        <v>-</v>
      </c>
      <c r="L49" s="452" t="str">
        <f t="shared" si="48"/>
        <v>-</v>
      </c>
      <c r="M49" s="452" t="str">
        <f t="shared" si="48"/>
        <v>-</v>
      </c>
      <c r="N49" s="701"/>
      <c r="O49" s="672"/>
      <c r="P49" s="673"/>
      <c r="Q49" s="673"/>
      <c r="R49" s="673"/>
      <c r="S49" s="672"/>
      <c r="T49" s="673"/>
      <c r="U49" s="673"/>
      <c r="V49" s="674"/>
      <c r="W49" s="434"/>
      <c r="X49" s="434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401" t="str">
        <f t="shared" si="11"/>
        <v>-</v>
      </c>
      <c r="BD49" s="429" t="str">
        <f>"0.7*IEF " &amp; B55</f>
        <v>0.7*IEF Drive Mode 4</v>
      </c>
      <c r="BE49" s="435">
        <f t="shared" ref="BE49:BL49" si="49">IF(OR($C57="-",$C57="CET",$C57=""),"-",0.7*$C57)</f>
        <v>0.7</v>
      </c>
      <c r="BF49" s="435">
        <f t="shared" si="49"/>
        <v>0.7</v>
      </c>
      <c r="BG49" s="435">
        <f t="shared" si="49"/>
        <v>0.7</v>
      </c>
      <c r="BH49" s="435">
        <f t="shared" si="49"/>
        <v>0.7</v>
      </c>
      <c r="BI49" s="435">
        <f t="shared" si="49"/>
        <v>0.7</v>
      </c>
      <c r="BJ49" s="435">
        <f t="shared" si="49"/>
        <v>0.7</v>
      </c>
      <c r="BK49" s="435">
        <f t="shared" si="49"/>
        <v>0.7</v>
      </c>
      <c r="BL49" s="435">
        <f t="shared" si="49"/>
        <v>0.7</v>
      </c>
    </row>
    <row r="50" spans="1:64" ht="15" customHeight="1" outlineLevel="1" x14ac:dyDescent="0.25">
      <c r="A50" s="404"/>
      <c r="B50" s="710" t="s">
        <v>123</v>
      </c>
      <c r="C50" s="684" t="s">
        <v>114</v>
      </c>
      <c r="D50" s="684" t="s">
        <v>113</v>
      </c>
      <c r="E50" s="453" t="s">
        <v>94</v>
      </c>
      <c r="F50" s="437" t="s">
        <v>5</v>
      </c>
      <c r="G50" s="437" t="s">
        <v>5</v>
      </c>
      <c r="H50" s="437" t="s">
        <v>5</v>
      </c>
      <c r="I50" s="437" t="s">
        <v>5</v>
      </c>
      <c r="J50" s="437" t="s">
        <v>5</v>
      </c>
      <c r="K50" s="438" t="s">
        <v>5</v>
      </c>
      <c r="L50" s="438" t="s">
        <v>5</v>
      </c>
      <c r="M50" s="438" t="s">
        <v>5</v>
      </c>
      <c r="N50" s="437" t="s">
        <v>5</v>
      </c>
      <c r="O50" s="672"/>
      <c r="P50" s="673"/>
      <c r="Q50" s="673"/>
      <c r="R50" s="673"/>
      <c r="S50" s="672"/>
      <c r="T50" s="673"/>
      <c r="U50" s="673"/>
      <c r="V50" s="674"/>
      <c r="W50" s="434"/>
      <c r="X50" s="434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401" t="str">
        <f t="shared" si="11"/>
        <v>-</v>
      </c>
      <c r="BD50" s="429" t="str">
        <f>"0.7*IEF " &amp; B60</f>
        <v>0.7*IEF Drive Mode 5</v>
      </c>
      <c r="BE50" s="435">
        <f t="shared" ref="BE50:BL50" si="50">IF(OR($C62="-",$C62="CET",$C62=""),"-",0.7*$C62)</f>
        <v>0.7</v>
      </c>
      <c r="BF50" s="435">
        <f t="shared" si="50"/>
        <v>0.7</v>
      </c>
      <c r="BG50" s="435">
        <f t="shared" si="50"/>
        <v>0.7</v>
      </c>
      <c r="BH50" s="435">
        <f t="shared" si="50"/>
        <v>0.7</v>
      </c>
      <c r="BI50" s="435">
        <f t="shared" si="50"/>
        <v>0.7</v>
      </c>
      <c r="BJ50" s="435">
        <f t="shared" si="50"/>
        <v>0.7</v>
      </c>
      <c r="BK50" s="435">
        <f t="shared" si="50"/>
        <v>0.7</v>
      </c>
      <c r="BL50" s="435">
        <f t="shared" si="50"/>
        <v>0.7</v>
      </c>
    </row>
    <row r="51" spans="1:64" s="405" customFormat="1" ht="15" customHeight="1" outlineLevel="1" thickBot="1" x14ac:dyDescent="0.3">
      <c r="A51" s="454"/>
      <c r="B51" s="711"/>
      <c r="C51" s="702"/>
      <c r="D51" s="685"/>
      <c r="E51" s="440" t="s">
        <v>95</v>
      </c>
      <c r="F51" s="441" t="s">
        <v>5</v>
      </c>
      <c r="G51" s="441" t="s">
        <v>5</v>
      </c>
      <c r="H51" s="441" t="s">
        <v>5</v>
      </c>
      <c r="I51" s="441" t="s">
        <v>5</v>
      </c>
      <c r="J51" s="441" t="s">
        <v>5</v>
      </c>
      <c r="K51" s="442" t="s">
        <v>5</v>
      </c>
      <c r="L51" s="442" t="s">
        <v>5</v>
      </c>
      <c r="M51" s="442" t="s">
        <v>5</v>
      </c>
      <c r="N51" s="441" t="s">
        <v>5</v>
      </c>
      <c r="O51" s="672"/>
      <c r="P51" s="673"/>
      <c r="Q51" s="673"/>
      <c r="R51" s="673"/>
      <c r="S51" s="672"/>
      <c r="T51" s="673"/>
      <c r="U51" s="673"/>
      <c r="V51" s="674"/>
      <c r="W51" s="443"/>
      <c r="X51" s="443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401" t="str">
        <f t="shared" si="11"/>
        <v>-</v>
      </c>
      <c r="BD51" s="429" t="str">
        <f>"0.7*IEF " &amp; B65</f>
        <v>0.7*IEF Drive Mode 6</v>
      </c>
      <c r="BE51" s="435">
        <f t="shared" ref="BE51:BL51" si="51">IF(OR($C67="-",$C67="CET",$C67=""),"-",0.7*$C67)</f>
        <v>0.7</v>
      </c>
      <c r="BF51" s="435">
        <f t="shared" si="51"/>
        <v>0.7</v>
      </c>
      <c r="BG51" s="435">
        <f t="shared" si="51"/>
        <v>0.7</v>
      </c>
      <c r="BH51" s="435">
        <f t="shared" si="51"/>
        <v>0.7</v>
      </c>
      <c r="BI51" s="435">
        <f t="shared" si="51"/>
        <v>0.7</v>
      </c>
      <c r="BJ51" s="435">
        <f t="shared" si="51"/>
        <v>0.7</v>
      </c>
      <c r="BK51" s="435">
        <f t="shared" si="51"/>
        <v>0.7</v>
      </c>
      <c r="BL51" s="435">
        <f t="shared" si="51"/>
        <v>0.7</v>
      </c>
    </row>
    <row r="52" spans="1:64" ht="15" customHeight="1" outlineLevel="1" thickBot="1" x14ac:dyDescent="0.3">
      <c r="A52" s="404"/>
      <c r="B52" s="711"/>
      <c r="C52" s="686">
        <v>1</v>
      </c>
      <c r="D52" s="689" t="str">
        <f>IF(AND(F53="-",G53="-",H53="-",I53="-",J53="-",K53="-",L53="-",M53="-"),"-",MAX(F53,G53,H53,I53,J53,K53,L53,M53))</f>
        <v>-</v>
      </c>
      <c r="E52" s="444" t="s">
        <v>96</v>
      </c>
      <c r="F52" s="445" t="str">
        <f t="shared" ref="F52:M52" si="52">IF(OR(F51="-",F51=""),IF(OR(F50="-",F50=""),"-",F50),IF(OR(F50="-",F50=""),F51,(F50+F51)/2))</f>
        <v>-</v>
      </c>
      <c r="G52" s="445" t="str">
        <f t="shared" si="52"/>
        <v>-</v>
      </c>
      <c r="H52" s="445" t="str">
        <f t="shared" si="52"/>
        <v>-</v>
      </c>
      <c r="I52" s="445" t="str">
        <f t="shared" si="52"/>
        <v>-</v>
      </c>
      <c r="J52" s="445" t="str">
        <f t="shared" si="52"/>
        <v>-</v>
      </c>
      <c r="K52" s="446" t="str">
        <f t="shared" si="52"/>
        <v>-</v>
      </c>
      <c r="L52" s="446" t="str">
        <f t="shared" si="52"/>
        <v>-</v>
      </c>
      <c r="M52" s="446" t="str">
        <f t="shared" si="52"/>
        <v>-</v>
      </c>
      <c r="N52" s="699"/>
      <c r="O52" s="672"/>
      <c r="P52" s="673"/>
      <c r="Q52" s="673"/>
      <c r="R52" s="673"/>
      <c r="S52" s="672"/>
      <c r="T52" s="673"/>
      <c r="U52" s="673"/>
      <c r="V52" s="674"/>
      <c r="W52" s="434"/>
      <c r="X52" s="434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401" t="str">
        <f t="shared" si="11"/>
        <v>-</v>
      </c>
      <c r="BD52" s="429" t="str">
        <f>$B40</f>
        <v>Drive Mode 1</v>
      </c>
      <c r="BE52" s="435" t="str">
        <f t="shared" ref="BE52:BL52" si="53">F43</f>
        <v>-</v>
      </c>
      <c r="BF52" s="435" t="str">
        <f t="shared" si="53"/>
        <v>-</v>
      </c>
      <c r="BG52" s="435" t="str">
        <f t="shared" si="53"/>
        <v>-</v>
      </c>
      <c r="BH52" s="435" t="str">
        <f t="shared" si="53"/>
        <v>-</v>
      </c>
      <c r="BI52" s="435" t="str">
        <f t="shared" si="53"/>
        <v>-</v>
      </c>
      <c r="BJ52" s="435" t="str">
        <f t="shared" si="53"/>
        <v>-</v>
      </c>
      <c r="BK52" s="435" t="str">
        <f t="shared" si="53"/>
        <v>-</v>
      </c>
      <c r="BL52" s="435" t="str">
        <f t="shared" si="53"/>
        <v>-</v>
      </c>
    </row>
    <row r="53" spans="1:64" ht="15" customHeight="1" outlineLevel="1" thickBot="1" x14ac:dyDescent="0.3">
      <c r="A53" s="404"/>
      <c r="B53" s="711"/>
      <c r="C53" s="687"/>
      <c r="D53" s="690"/>
      <c r="E53" s="447" t="s">
        <v>97</v>
      </c>
      <c r="F53" s="448" t="str">
        <f t="shared" ref="F53:M53" si="54">IF(OR($C52="-",$C52="CET",$C52=""),"-",IF(AND(NOT(F52="-"),NOT(F$5="-"),NOT(F$5="")),F52/F$5,"-"))</f>
        <v>-</v>
      </c>
      <c r="G53" s="448" t="str">
        <f t="shared" si="54"/>
        <v>-</v>
      </c>
      <c r="H53" s="448" t="str">
        <f t="shared" si="54"/>
        <v>-</v>
      </c>
      <c r="I53" s="448" t="str">
        <f t="shared" si="54"/>
        <v>-</v>
      </c>
      <c r="J53" s="448" t="str">
        <f t="shared" si="54"/>
        <v>-</v>
      </c>
      <c r="K53" s="449" t="str">
        <f t="shared" si="54"/>
        <v>-</v>
      </c>
      <c r="L53" s="449" t="str">
        <f t="shared" si="54"/>
        <v>-</v>
      </c>
      <c r="M53" s="449" t="str">
        <f t="shared" si="54"/>
        <v>-</v>
      </c>
      <c r="N53" s="700"/>
      <c r="O53" s="672"/>
      <c r="P53" s="673"/>
      <c r="Q53" s="673"/>
      <c r="R53" s="673"/>
      <c r="S53" s="672"/>
      <c r="T53" s="673"/>
      <c r="U53" s="673"/>
      <c r="V53" s="674"/>
      <c r="W53" s="434"/>
      <c r="X53" s="434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401" t="str">
        <f t="shared" si="11"/>
        <v>-</v>
      </c>
      <c r="BD53" s="429" t="str">
        <f>$B45</f>
        <v>Drive Mode 2</v>
      </c>
      <c r="BE53" s="435" t="str">
        <f t="shared" ref="BE53:BL53" si="55">F48</f>
        <v>-</v>
      </c>
      <c r="BF53" s="435" t="str">
        <f t="shared" si="55"/>
        <v>-</v>
      </c>
      <c r="BG53" s="435" t="str">
        <f t="shared" si="55"/>
        <v>-</v>
      </c>
      <c r="BH53" s="435" t="str">
        <f t="shared" si="55"/>
        <v>-</v>
      </c>
      <c r="BI53" s="435" t="str">
        <f t="shared" si="55"/>
        <v>-</v>
      </c>
      <c r="BJ53" s="435" t="str">
        <f t="shared" si="55"/>
        <v>-</v>
      </c>
      <c r="BK53" s="435" t="str">
        <f t="shared" si="55"/>
        <v>-</v>
      </c>
      <c r="BL53" s="435" t="str">
        <f t="shared" si="55"/>
        <v>-</v>
      </c>
    </row>
    <row r="54" spans="1:64" ht="15" customHeight="1" outlineLevel="1" thickBot="1" x14ac:dyDescent="0.3">
      <c r="A54" s="404"/>
      <c r="B54" s="712"/>
      <c r="C54" s="688"/>
      <c r="D54" s="691"/>
      <c r="E54" s="451" t="s">
        <v>30</v>
      </c>
      <c r="F54" s="451" t="str">
        <f t="shared" ref="F54:M54" si="56">IF(AND(OR(F50="-",F50=""),OR(F51="-",F51="")),"-",IF(OR($C52="-",$C52="",$C52="CET"),"-",IF($R$36="not listed","-",IF(NOT(F$5="-"),IF(AND(AND(NOT(F50=0),NOT(F50="-"),NOT(F50="")),AND(NOT(F51="-"),NOT(F51=0),NOT(F51=""))),IF(AND((F50+F51)/2&lt;1*F$5*IF(OR($C52="CET",$C52="-",$C52=""),"-",$C52),F50&lt;1.1*F$5*IF(OR($C52="CET",$C52="-",$C52=""),"-",$C52),F51&lt;1.1*F$5*IF(OR($C52="CET",$C52="-",$C52=""),"-",$C52)),"passed","refused"),IF(IF(OR(F50="-",F50=""),F51,F50)&lt;0.7*F$5*IF(OR($C52="CET",$C52="-",$C52=""),"-",$C52),"passed",IF(IF(OR(F50="-",F50=""),F51,F50)&lt;1.1*IF(OR($C52="CET",$C52="-",$C52=""),"-",$C52)*F$5,"failed","refused"))),"-"))))</f>
        <v>-</v>
      </c>
      <c r="G54" s="451" t="str">
        <f t="shared" si="56"/>
        <v>-</v>
      </c>
      <c r="H54" s="451" t="str">
        <f t="shared" si="56"/>
        <v>-</v>
      </c>
      <c r="I54" s="451" t="str">
        <f t="shared" si="56"/>
        <v>-</v>
      </c>
      <c r="J54" s="451" t="str">
        <f t="shared" si="56"/>
        <v>-</v>
      </c>
      <c r="K54" s="452" t="str">
        <f t="shared" si="56"/>
        <v>-</v>
      </c>
      <c r="L54" s="452" t="str">
        <f t="shared" si="56"/>
        <v>-</v>
      </c>
      <c r="M54" s="452" t="str">
        <f t="shared" si="56"/>
        <v>-</v>
      </c>
      <c r="N54" s="701"/>
      <c r="O54" s="672"/>
      <c r="P54" s="673"/>
      <c r="Q54" s="673"/>
      <c r="R54" s="673"/>
      <c r="S54" s="672"/>
      <c r="T54" s="673"/>
      <c r="U54" s="673"/>
      <c r="V54" s="674"/>
      <c r="W54" s="434"/>
      <c r="X54" s="434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401" t="str">
        <f t="shared" si="11"/>
        <v>-</v>
      </c>
      <c r="BD54" s="429" t="str">
        <f>$B50</f>
        <v>Drive Mode 3</v>
      </c>
      <c r="BE54" s="435" t="str">
        <f t="shared" ref="BE54:BL54" si="57">F53</f>
        <v>-</v>
      </c>
      <c r="BF54" s="435" t="str">
        <f t="shared" si="57"/>
        <v>-</v>
      </c>
      <c r="BG54" s="435" t="str">
        <f t="shared" si="57"/>
        <v>-</v>
      </c>
      <c r="BH54" s="435" t="str">
        <f t="shared" si="57"/>
        <v>-</v>
      </c>
      <c r="BI54" s="435" t="str">
        <f t="shared" si="57"/>
        <v>-</v>
      </c>
      <c r="BJ54" s="435" t="str">
        <f t="shared" si="57"/>
        <v>-</v>
      </c>
      <c r="BK54" s="435" t="str">
        <f t="shared" si="57"/>
        <v>-</v>
      </c>
      <c r="BL54" s="435" t="str">
        <f t="shared" si="57"/>
        <v>-</v>
      </c>
    </row>
    <row r="55" spans="1:64" ht="15" customHeight="1" outlineLevel="1" x14ac:dyDescent="0.25">
      <c r="A55" s="404"/>
      <c r="B55" s="710" t="s">
        <v>122</v>
      </c>
      <c r="C55" s="684" t="s">
        <v>114</v>
      </c>
      <c r="D55" s="684" t="s">
        <v>113</v>
      </c>
      <c r="E55" s="453" t="s">
        <v>94</v>
      </c>
      <c r="F55" s="437" t="s">
        <v>5</v>
      </c>
      <c r="G55" s="437" t="s">
        <v>5</v>
      </c>
      <c r="H55" s="437" t="s">
        <v>5</v>
      </c>
      <c r="I55" s="437" t="s">
        <v>5</v>
      </c>
      <c r="J55" s="437" t="s">
        <v>5</v>
      </c>
      <c r="K55" s="438" t="s">
        <v>5</v>
      </c>
      <c r="L55" s="438" t="s">
        <v>5</v>
      </c>
      <c r="M55" s="438" t="s">
        <v>5</v>
      </c>
      <c r="N55" s="437" t="s">
        <v>5</v>
      </c>
      <c r="O55" s="672"/>
      <c r="P55" s="673"/>
      <c r="Q55" s="673"/>
      <c r="R55" s="673"/>
      <c r="S55" s="672"/>
      <c r="T55" s="673"/>
      <c r="U55" s="673"/>
      <c r="V55" s="674"/>
      <c r="W55" s="434"/>
      <c r="X55" s="434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401" t="str">
        <f t="shared" si="11"/>
        <v>-</v>
      </c>
      <c r="BD55" s="429" t="str">
        <f>$B55</f>
        <v>Drive Mode 4</v>
      </c>
      <c r="BE55" s="435" t="str">
        <f t="shared" ref="BE55:BL55" si="58">F58</f>
        <v>-</v>
      </c>
      <c r="BF55" s="435" t="str">
        <f t="shared" si="58"/>
        <v>-</v>
      </c>
      <c r="BG55" s="435" t="str">
        <f t="shared" si="58"/>
        <v>-</v>
      </c>
      <c r="BH55" s="435" t="str">
        <f t="shared" si="58"/>
        <v>-</v>
      </c>
      <c r="BI55" s="435" t="str">
        <f t="shared" si="58"/>
        <v>-</v>
      </c>
      <c r="BJ55" s="435" t="str">
        <f t="shared" si="58"/>
        <v>-</v>
      </c>
      <c r="BK55" s="435" t="str">
        <f t="shared" si="58"/>
        <v>-</v>
      </c>
      <c r="BL55" s="435" t="str">
        <f t="shared" si="58"/>
        <v>-</v>
      </c>
    </row>
    <row r="56" spans="1:64" s="405" customFormat="1" ht="15" customHeight="1" outlineLevel="1" thickBot="1" x14ac:dyDescent="0.3">
      <c r="A56" s="454"/>
      <c r="B56" s="711"/>
      <c r="C56" s="702"/>
      <c r="D56" s="685"/>
      <c r="E56" s="440" t="s">
        <v>95</v>
      </c>
      <c r="F56" s="441" t="s">
        <v>5</v>
      </c>
      <c r="G56" s="441" t="s">
        <v>5</v>
      </c>
      <c r="H56" s="441" t="s">
        <v>5</v>
      </c>
      <c r="I56" s="441" t="s">
        <v>5</v>
      </c>
      <c r="J56" s="441" t="s">
        <v>5</v>
      </c>
      <c r="K56" s="442" t="s">
        <v>5</v>
      </c>
      <c r="L56" s="442" t="s">
        <v>5</v>
      </c>
      <c r="M56" s="442" t="s">
        <v>5</v>
      </c>
      <c r="N56" s="441" t="s">
        <v>5</v>
      </c>
      <c r="O56" s="672"/>
      <c r="P56" s="673"/>
      <c r="Q56" s="673"/>
      <c r="R56" s="673"/>
      <c r="S56" s="672"/>
      <c r="T56" s="673"/>
      <c r="U56" s="673"/>
      <c r="V56" s="674"/>
      <c r="W56" s="443"/>
      <c r="X56" s="443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401" t="str">
        <f t="shared" si="11"/>
        <v>-</v>
      </c>
      <c r="BD56" s="429" t="str">
        <f>$B60</f>
        <v>Drive Mode 5</v>
      </c>
      <c r="BE56" s="435" t="str">
        <f t="shared" ref="BE56:BL56" si="59">F63</f>
        <v>-</v>
      </c>
      <c r="BF56" s="435" t="str">
        <f t="shared" si="59"/>
        <v>-</v>
      </c>
      <c r="BG56" s="435" t="str">
        <f t="shared" si="59"/>
        <v>-</v>
      </c>
      <c r="BH56" s="435" t="str">
        <f t="shared" si="59"/>
        <v>-</v>
      </c>
      <c r="BI56" s="435" t="str">
        <f t="shared" si="59"/>
        <v>-</v>
      </c>
      <c r="BJ56" s="435" t="str">
        <f t="shared" si="59"/>
        <v>-</v>
      </c>
      <c r="BK56" s="435" t="str">
        <f t="shared" si="59"/>
        <v>-</v>
      </c>
      <c r="BL56" s="435" t="str">
        <f t="shared" si="59"/>
        <v>-</v>
      </c>
    </row>
    <row r="57" spans="1:64" ht="15" customHeight="1" outlineLevel="1" thickBot="1" x14ac:dyDescent="0.3">
      <c r="A57" s="404"/>
      <c r="B57" s="711"/>
      <c r="C57" s="686">
        <v>1</v>
      </c>
      <c r="D57" s="689" t="str">
        <f>IF(AND(F58="-",G58="-",H58="-",I58="-",J58="-",K58="-",L58="-",M58="-"),"-",MAX(F58,G58,H58,I58,J58,K58,L58,M58))</f>
        <v>-</v>
      </c>
      <c r="E57" s="444" t="s">
        <v>96</v>
      </c>
      <c r="F57" s="445" t="str">
        <f t="shared" ref="F57:N57" si="60">IF(OR(F56="-",F56=""),IF(OR(F55="-",F55=""),"-",F55),IF(OR(F55="-",F55=""),F56,(F55+F56)/2))</f>
        <v>-</v>
      </c>
      <c r="G57" s="445" t="str">
        <f t="shared" si="60"/>
        <v>-</v>
      </c>
      <c r="H57" s="445" t="str">
        <f t="shared" si="60"/>
        <v>-</v>
      </c>
      <c r="I57" s="445" t="str">
        <f t="shared" si="60"/>
        <v>-</v>
      </c>
      <c r="J57" s="445" t="str">
        <f t="shared" si="60"/>
        <v>-</v>
      </c>
      <c r="K57" s="446" t="str">
        <f t="shared" si="60"/>
        <v>-</v>
      </c>
      <c r="L57" s="446" t="str">
        <f t="shared" si="60"/>
        <v>-</v>
      </c>
      <c r="M57" s="446" t="str">
        <f t="shared" si="60"/>
        <v>-</v>
      </c>
      <c r="N57" s="445" t="str">
        <f t="shared" si="60"/>
        <v>-</v>
      </c>
      <c r="O57" s="672"/>
      <c r="P57" s="673"/>
      <c r="Q57" s="673"/>
      <c r="R57" s="673"/>
      <c r="S57" s="672"/>
      <c r="T57" s="673"/>
      <c r="U57" s="673"/>
      <c r="V57" s="674"/>
      <c r="W57" s="434"/>
      <c r="X57" s="434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401" t="str">
        <f t="shared" si="11"/>
        <v>-</v>
      </c>
      <c r="BD57" s="429" t="str">
        <f>$B65</f>
        <v>Drive Mode 6</v>
      </c>
      <c r="BE57" s="435" t="str">
        <f t="shared" ref="BE57:BL57" si="61">F68</f>
        <v>-</v>
      </c>
      <c r="BF57" s="435" t="str">
        <f t="shared" si="61"/>
        <v>-</v>
      </c>
      <c r="BG57" s="435" t="str">
        <f t="shared" si="61"/>
        <v>-</v>
      </c>
      <c r="BH57" s="435" t="str">
        <f t="shared" si="61"/>
        <v>-</v>
      </c>
      <c r="BI57" s="435" t="str">
        <f t="shared" si="61"/>
        <v>-</v>
      </c>
      <c r="BJ57" s="435" t="str">
        <f t="shared" si="61"/>
        <v>-</v>
      </c>
      <c r="BK57" s="435" t="str">
        <f t="shared" si="61"/>
        <v>-</v>
      </c>
      <c r="BL57" s="435" t="str">
        <f t="shared" si="61"/>
        <v>-</v>
      </c>
    </row>
    <row r="58" spans="1:64" ht="15" customHeight="1" outlineLevel="1" thickBot="1" x14ac:dyDescent="0.3">
      <c r="A58" s="404"/>
      <c r="B58" s="711"/>
      <c r="C58" s="687"/>
      <c r="D58" s="690"/>
      <c r="E58" s="447" t="s">
        <v>97</v>
      </c>
      <c r="F58" s="448" t="str">
        <f t="shared" ref="F58:N58" si="62">IF(OR($C57="-",$C57="CET",$C57=""),"-",IF(AND(NOT(F57="-"),NOT(F$5="-"),NOT(F$5="")),F57/F$5,"-"))</f>
        <v>-</v>
      </c>
      <c r="G58" s="448" t="str">
        <f t="shared" si="62"/>
        <v>-</v>
      </c>
      <c r="H58" s="448" t="str">
        <f t="shared" si="62"/>
        <v>-</v>
      </c>
      <c r="I58" s="448" t="str">
        <f t="shared" si="62"/>
        <v>-</v>
      </c>
      <c r="J58" s="448" t="str">
        <f t="shared" si="62"/>
        <v>-</v>
      </c>
      <c r="K58" s="449" t="str">
        <f t="shared" si="62"/>
        <v>-</v>
      </c>
      <c r="L58" s="449" t="str">
        <f t="shared" si="62"/>
        <v>-</v>
      </c>
      <c r="M58" s="449" t="str">
        <f t="shared" si="62"/>
        <v>-</v>
      </c>
      <c r="N58" s="448" t="str">
        <f t="shared" si="62"/>
        <v>-</v>
      </c>
      <c r="O58" s="672"/>
      <c r="P58" s="673"/>
      <c r="Q58" s="673"/>
      <c r="R58" s="673"/>
      <c r="S58" s="672"/>
      <c r="T58" s="673"/>
      <c r="U58" s="673"/>
      <c r="V58" s="674"/>
      <c r="W58" s="434"/>
      <c r="X58" s="434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401" t="str">
        <f t="shared" si="11"/>
        <v>-</v>
      </c>
      <c r="BD58" s="429" t="str">
        <f>"IEF " &amp;B40</f>
        <v>IEF Drive Mode 1</v>
      </c>
      <c r="BE58" s="435">
        <f t="shared" ref="BE58:BL58" si="63">IF(OR($C42="CET",$C42="-",$C42=""),"-",$C42)</f>
        <v>1</v>
      </c>
      <c r="BF58" s="435">
        <f t="shared" si="63"/>
        <v>1</v>
      </c>
      <c r="BG58" s="435">
        <f t="shared" si="63"/>
        <v>1</v>
      </c>
      <c r="BH58" s="435">
        <f t="shared" si="63"/>
        <v>1</v>
      </c>
      <c r="BI58" s="435">
        <f t="shared" si="63"/>
        <v>1</v>
      </c>
      <c r="BJ58" s="435">
        <f t="shared" si="63"/>
        <v>1</v>
      </c>
      <c r="BK58" s="435">
        <f t="shared" si="63"/>
        <v>1</v>
      </c>
      <c r="BL58" s="435">
        <f t="shared" si="63"/>
        <v>1</v>
      </c>
    </row>
    <row r="59" spans="1:64" ht="15" customHeight="1" outlineLevel="1" thickBot="1" x14ac:dyDescent="0.3">
      <c r="A59" s="404"/>
      <c r="B59" s="712"/>
      <c r="C59" s="688"/>
      <c r="D59" s="691"/>
      <c r="E59" s="451" t="s">
        <v>30</v>
      </c>
      <c r="F59" s="451" t="str">
        <f t="shared" ref="F59:M59" si="64">IF(AND(OR(F55="-",F55=""),OR(F56="-",F56="")),"-",IF(OR($C57="-",$C57="",$C57="CET"),"-",IF($R$36="not listed","-",IF(NOT(F$5="-"),IF(AND(AND(NOT(F55=0),NOT(F55="-"),NOT(F55="")),AND(NOT(F56="-"),NOT(F56=0),NOT(F56=""))),IF(AND((F55+F56)/2&lt;1*F$5*IF(OR($C57="CET",$C57="-",$C57=""),"-",$C57),F55&lt;1.1*F$5*IF(OR($C57="CET",$C57="-",$C57=""),"-",$C57),F56&lt;1.1*F$5*IF(OR($C57="CET",$C57="-",$C57=""),"-",$C57)),"passed","refused"),IF(IF(OR(F55="-",F55=""),F56,F55)&lt;0.7*F$5*IF(OR($C57="CET",$C57="-",$C57=""),"-",$C57),"passed",IF(IF(OR(F55="-",F55=""),F56,F55)&lt;1.1*IF(OR($C57="CET",$C57="-",$C57=""),"-",$C57)*F$5,"failed","refused"))),"-"))))</f>
        <v>-</v>
      </c>
      <c r="G59" s="451" t="str">
        <f t="shared" si="64"/>
        <v>-</v>
      </c>
      <c r="H59" s="451" t="str">
        <f t="shared" si="64"/>
        <v>-</v>
      </c>
      <c r="I59" s="451" t="str">
        <f t="shared" si="64"/>
        <v>-</v>
      </c>
      <c r="J59" s="451" t="str">
        <f t="shared" si="64"/>
        <v>-</v>
      </c>
      <c r="K59" s="452" t="str">
        <f t="shared" si="64"/>
        <v>-</v>
      </c>
      <c r="L59" s="452" t="str">
        <f t="shared" si="64"/>
        <v>-</v>
      </c>
      <c r="M59" s="452" t="str">
        <f t="shared" si="64"/>
        <v>-</v>
      </c>
      <c r="N59" s="451" t="str">
        <f>IF(AND(OR(N55="-",N55=""),OR(N56="-",N56="")),"-",IF(OR($C57="-",$C57="",$C57="CET"),"-",IF($R$36="not listed","-",IF(NOT(N$5="-"),IF(AND(AND(NOT(N55=0),NOT(N55="-"),NOT(N55="")),AND(NOT(N56="-"),NOT(N56=0),NOT(N56=""))),IF(AND((N55+N56)/2&lt;1*N$5*IF(OR($C57="CET",$C57="-",$C57=""),"-",$C57),N55&lt;1.1*N$5*IF(OR($C57="CET",$C57="-",$C57=""),"-",$C57),N56&lt;1.1*N$5*IF(OR($C57="CET",$C57="-",$C57=""),"-",$C57)),"passed","refused"),IF(IF(OR(N55="-",N55=""),N56,N55)&lt;0.7*N$5*IF(OR($C57="CET",$C57="-",$C57=""),"-",$C57),"passed",IF(IF(OR(N55="-",N55=""),N56,N55)&lt;1.1*IF(OR($C57="CET",$C57="-",$C57=""),"-",$C57)*N$5,"failed","refused"))),"-"))))</f>
        <v>-</v>
      </c>
      <c r="O59" s="672"/>
      <c r="P59" s="673"/>
      <c r="Q59" s="673"/>
      <c r="R59" s="673"/>
      <c r="S59" s="672"/>
      <c r="T59" s="673"/>
      <c r="U59" s="673"/>
      <c r="V59" s="674"/>
      <c r="W59" s="434"/>
      <c r="X59" s="434"/>
      <c r="Y59" s="678"/>
      <c r="Z59" s="678"/>
      <c r="AA59" s="678"/>
      <c r="AB59" s="678"/>
      <c r="AC59" s="678"/>
      <c r="AD59" s="678"/>
      <c r="AE59" s="678"/>
      <c r="AF59" s="678"/>
      <c r="AG59" s="678"/>
      <c r="AH59" s="678"/>
      <c r="BC59" s="401" t="str">
        <f t="shared" si="11"/>
        <v>-</v>
      </c>
      <c r="BD59" s="429" t="str">
        <f>"IEF " &amp; B45</f>
        <v>IEF Drive Mode 2</v>
      </c>
      <c r="BE59" s="435">
        <f t="shared" ref="BE59:BL59" si="65">IF(OR($C47="CET",$C47="-",$C47=""),"-",$C47)</f>
        <v>1</v>
      </c>
      <c r="BF59" s="435">
        <f t="shared" si="65"/>
        <v>1</v>
      </c>
      <c r="BG59" s="435">
        <f t="shared" si="65"/>
        <v>1</v>
      </c>
      <c r="BH59" s="435">
        <f t="shared" si="65"/>
        <v>1</v>
      </c>
      <c r="BI59" s="435">
        <f t="shared" si="65"/>
        <v>1</v>
      </c>
      <c r="BJ59" s="435">
        <f t="shared" si="65"/>
        <v>1</v>
      </c>
      <c r="BK59" s="435">
        <f t="shared" si="65"/>
        <v>1</v>
      </c>
      <c r="BL59" s="435">
        <f t="shared" si="65"/>
        <v>1</v>
      </c>
    </row>
    <row r="60" spans="1:64" ht="15" customHeight="1" outlineLevel="1" x14ac:dyDescent="0.25">
      <c r="A60" s="404"/>
      <c r="B60" s="710" t="s">
        <v>121</v>
      </c>
      <c r="C60" s="684" t="s">
        <v>114</v>
      </c>
      <c r="D60" s="684" t="s">
        <v>113</v>
      </c>
      <c r="E60" s="453" t="s">
        <v>94</v>
      </c>
      <c r="F60" s="437" t="s">
        <v>5</v>
      </c>
      <c r="G60" s="437" t="s">
        <v>5</v>
      </c>
      <c r="H60" s="437" t="s">
        <v>5</v>
      </c>
      <c r="I60" s="437" t="s">
        <v>5</v>
      </c>
      <c r="J60" s="437" t="s">
        <v>5</v>
      </c>
      <c r="K60" s="438" t="s">
        <v>5</v>
      </c>
      <c r="L60" s="438" t="s">
        <v>5</v>
      </c>
      <c r="M60" s="438" t="s">
        <v>5</v>
      </c>
      <c r="N60" s="437" t="s">
        <v>5</v>
      </c>
      <c r="O60" s="672"/>
      <c r="P60" s="673"/>
      <c r="Q60" s="673"/>
      <c r="R60" s="673"/>
      <c r="S60" s="672"/>
      <c r="T60" s="673"/>
      <c r="U60" s="673"/>
      <c r="V60" s="674"/>
      <c r="W60" s="434"/>
      <c r="X60" s="434"/>
      <c r="Y60" s="678"/>
      <c r="Z60" s="678"/>
      <c r="AA60" s="678"/>
      <c r="AB60" s="678"/>
      <c r="AC60" s="678"/>
      <c r="AD60" s="678"/>
      <c r="AE60" s="678"/>
      <c r="AF60" s="678"/>
      <c r="AG60" s="678"/>
      <c r="AH60" s="678"/>
      <c r="BC60" s="401" t="str">
        <f t="shared" si="11"/>
        <v>-</v>
      </c>
      <c r="BD60" s="429" t="str">
        <f>"IEF " &amp; B50</f>
        <v>IEF Drive Mode 3</v>
      </c>
      <c r="BE60" s="435">
        <f t="shared" ref="BE60:BL60" si="66">IF(OR($C52="CET",$C52="-",$C52=""),"-",$C52)</f>
        <v>1</v>
      </c>
      <c r="BF60" s="435">
        <f t="shared" si="66"/>
        <v>1</v>
      </c>
      <c r="BG60" s="435">
        <f t="shared" si="66"/>
        <v>1</v>
      </c>
      <c r="BH60" s="435">
        <f t="shared" si="66"/>
        <v>1</v>
      </c>
      <c r="BI60" s="435">
        <f t="shared" si="66"/>
        <v>1</v>
      </c>
      <c r="BJ60" s="435">
        <f t="shared" si="66"/>
        <v>1</v>
      </c>
      <c r="BK60" s="435">
        <f t="shared" si="66"/>
        <v>1</v>
      </c>
      <c r="BL60" s="435">
        <f t="shared" si="66"/>
        <v>1</v>
      </c>
    </row>
    <row r="61" spans="1:64" s="405" customFormat="1" ht="15" customHeight="1" outlineLevel="1" thickBot="1" x14ac:dyDescent="0.3">
      <c r="A61" s="454"/>
      <c r="B61" s="711"/>
      <c r="C61" s="702"/>
      <c r="D61" s="685"/>
      <c r="E61" s="440" t="s">
        <v>95</v>
      </c>
      <c r="F61" s="441" t="s">
        <v>5</v>
      </c>
      <c r="G61" s="441" t="s">
        <v>5</v>
      </c>
      <c r="H61" s="441" t="s">
        <v>5</v>
      </c>
      <c r="I61" s="441" t="s">
        <v>5</v>
      </c>
      <c r="J61" s="441" t="s">
        <v>5</v>
      </c>
      <c r="K61" s="442" t="s">
        <v>5</v>
      </c>
      <c r="L61" s="442" t="s">
        <v>5</v>
      </c>
      <c r="M61" s="442" t="s">
        <v>5</v>
      </c>
      <c r="N61" s="441" t="s">
        <v>5</v>
      </c>
      <c r="O61" s="672"/>
      <c r="P61" s="673"/>
      <c r="Q61" s="673"/>
      <c r="R61" s="673"/>
      <c r="S61" s="672"/>
      <c r="T61" s="673"/>
      <c r="U61" s="673"/>
      <c r="V61" s="674"/>
      <c r="W61" s="443"/>
      <c r="X61" s="443"/>
      <c r="Y61" s="678"/>
      <c r="Z61" s="678"/>
      <c r="AA61" s="678"/>
      <c r="AB61" s="678"/>
      <c r="AC61" s="678"/>
      <c r="AD61" s="678"/>
      <c r="AE61" s="678"/>
      <c r="AF61" s="678"/>
      <c r="AG61" s="678"/>
      <c r="AH61" s="678"/>
      <c r="BC61" s="401" t="str">
        <f t="shared" si="11"/>
        <v>-</v>
      </c>
      <c r="BD61" s="429" t="str">
        <f>"IEF " &amp; B55</f>
        <v>IEF Drive Mode 4</v>
      </c>
      <c r="BE61" s="435">
        <f t="shared" ref="BE61:BL61" si="67">IF(OR($C57="CET",$C57="-",$C57=""),"-",$C57)</f>
        <v>1</v>
      </c>
      <c r="BF61" s="435">
        <f t="shared" si="67"/>
        <v>1</v>
      </c>
      <c r="BG61" s="435">
        <f t="shared" si="67"/>
        <v>1</v>
      </c>
      <c r="BH61" s="435">
        <f t="shared" si="67"/>
        <v>1</v>
      </c>
      <c r="BI61" s="435">
        <f t="shared" si="67"/>
        <v>1</v>
      </c>
      <c r="BJ61" s="435">
        <f t="shared" si="67"/>
        <v>1</v>
      </c>
      <c r="BK61" s="435">
        <f t="shared" si="67"/>
        <v>1</v>
      </c>
      <c r="BL61" s="435">
        <f t="shared" si="67"/>
        <v>1</v>
      </c>
    </row>
    <row r="62" spans="1:64" ht="15" customHeight="1" outlineLevel="1" thickBot="1" x14ac:dyDescent="0.3">
      <c r="A62" s="404"/>
      <c r="B62" s="711"/>
      <c r="C62" s="686">
        <v>1</v>
      </c>
      <c r="D62" s="689" t="str">
        <f>IF(AND(F63="-",G63="-",H63="-",I63="-",J63="-",K63="-",L63="-",M63="-"),"-",MAX(F63,G63,H63,I63,J63,K63,L63,M63))</f>
        <v>-</v>
      </c>
      <c r="E62" s="444" t="s">
        <v>96</v>
      </c>
      <c r="F62" s="445" t="str">
        <f t="shared" ref="F62:N62" si="68">IF(OR(F61="-",F61=""),IF(OR(F60="-",F60=""),"-",F60),IF(OR(F60="-",F60=""),F61,(F60+F61)/2))</f>
        <v>-</v>
      </c>
      <c r="G62" s="445" t="str">
        <f t="shared" si="68"/>
        <v>-</v>
      </c>
      <c r="H62" s="445" t="str">
        <f t="shared" si="68"/>
        <v>-</v>
      </c>
      <c r="I62" s="445" t="str">
        <f t="shared" si="68"/>
        <v>-</v>
      </c>
      <c r="J62" s="445" t="str">
        <f t="shared" si="68"/>
        <v>-</v>
      </c>
      <c r="K62" s="446" t="str">
        <f t="shared" si="68"/>
        <v>-</v>
      </c>
      <c r="L62" s="446" t="str">
        <f t="shared" si="68"/>
        <v>-</v>
      </c>
      <c r="M62" s="446" t="str">
        <f t="shared" si="68"/>
        <v>-</v>
      </c>
      <c r="N62" s="445" t="str">
        <f t="shared" si="68"/>
        <v>-</v>
      </c>
      <c r="O62" s="672"/>
      <c r="P62" s="673"/>
      <c r="Q62" s="673"/>
      <c r="R62" s="673"/>
      <c r="S62" s="672"/>
      <c r="T62" s="673"/>
      <c r="U62" s="673"/>
      <c r="V62" s="674"/>
      <c r="W62" s="434"/>
      <c r="X62" s="434"/>
      <c r="Y62" s="678"/>
      <c r="Z62" s="678"/>
      <c r="AA62" s="678"/>
      <c r="AB62" s="678"/>
      <c r="AC62" s="678"/>
      <c r="AD62" s="678"/>
      <c r="AE62" s="678"/>
      <c r="AF62" s="678"/>
      <c r="AG62" s="678"/>
      <c r="AH62" s="678"/>
      <c r="BC62" s="401" t="str">
        <f t="shared" si="11"/>
        <v>-</v>
      </c>
      <c r="BD62" s="429" t="str">
        <f>"IEF " &amp; B60</f>
        <v>IEF Drive Mode 5</v>
      </c>
      <c r="BE62" s="435">
        <f t="shared" ref="BE62:BL62" si="69">IF(OR($C62="CET",$C62="-",$C62=""),"-",$C62)</f>
        <v>1</v>
      </c>
      <c r="BF62" s="435">
        <f t="shared" si="69"/>
        <v>1</v>
      </c>
      <c r="BG62" s="435">
        <f t="shared" si="69"/>
        <v>1</v>
      </c>
      <c r="BH62" s="435">
        <f t="shared" si="69"/>
        <v>1</v>
      </c>
      <c r="BI62" s="435">
        <f t="shared" si="69"/>
        <v>1</v>
      </c>
      <c r="BJ62" s="435">
        <f t="shared" si="69"/>
        <v>1</v>
      </c>
      <c r="BK62" s="435">
        <f t="shared" si="69"/>
        <v>1</v>
      </c>
      <c r="BL62" s="435">
        <f t="shared" si="69"/>
        <v>1</v>
      </c>
    </row>
    <row r="63" spans="1:64" ht="15" customHeight="1" outlineLevel="1" thickBot="1" x14ac:dyDescent="0.3">
      <c r="A63" s="404"/>
      <c r="B63" s="711"/>
      <c r="C63" s="687"/>
      <c r="D63" s="690"/>
      <c r="E63" s="447" t="s">
        <v>97</v>
      </c>
      <c r="F63" s="448" t="str">
        <f t="shared" ref="F63:N63" si="70">IF(OR($C62="-",$C62="CET",$C62=""),"-",IF(AND(NOT(F62="-"),NOT(F$5="-"),NOT(F$5="")),F62/F$5,"-"))</f>
        <v>-</v>
      </c>
      <c r="G63" s="448" t="str">
        <f t="shared" si="70"/>
        <v>-</v>
      </c>
      <c r="H63" s="448" t="str">
        <f t="shared" si="70"/>
        <v>-</v>
      </c>
      <c r="I63" s="448" t="str">
        <f t="shared" si="70"/>
        <v>-</v>
      </c>
      <c r="J63" s="448" t="str">
        <f t="shared" si="70"/>
        <v>-</v>
      </c>
      <c r="K63" s="449" t="str">
        <f t="shared" si="70"/>
        <v>-</v>
      </c>
      <c r="L63" s="449" t="str">
        <f t="shared" si="70"/>
        <v>-</v>
      </c>
      <c r="M63" s="449" t="str">
        <f t="shared" si="70"/>
        <v>-</v>
      </c>
      <c r="N63" s="448" t="str">
        <f t="shared" si="70"/>
        <v>-</v>
      </c>
      <c r="O63" s="672"/>
      <c r="P63" s="673"/>
      <c r="Q63" s="673"/>
      <c r="R63" s="673"/>
      <c r="S63" s="672"/>
      <c r="T63" s="673"/>
      <c r="U63" s="673"/>
      <c r="V63" s="674"/>
      <c r="W63" s="434"/>
      <c r="X63" s="434"/>
      <c r="Y63" s="678"/>
      <c r="Z63" s="678"/>
      <c r="AA63" s="678"/>
      <c r="AB63" s="678"/>
      <c r="AC63" s="678"/>
      <c r="AD63" s="678"/>
      <c r="AE63" s="678"/>
      <c r="AF63" s="678"/>
      <c r="AG63" s="678"/>
      <c r="AH63" s="678"/>
      <c r="BC63" s="401" t="str">
        <f t="shared" si="11"/>
        <v>-</v>
      </c>
      <c r="BD63" s="429" t="str">
        <f>"IEF " &amp; B65</f>
        <v>IEF Drive Mode 6</v>
      </c>
      <c r="BE63" s="435">
        <f t="shared" ref="BE63:BL63" si="71">IF(OR($C67="CET",$C67="-",$C67=""),"-",$C67)</f>
        <v>1</v>
      </c>
      <c r="BF63" s="435">
        <f t="shared" si="71"/>
        <v>1</v>
      </c>
      <c r="BG63" s="435">
        <f t="shared" si="71"/>
        <v>1</v>
      </c>
      <c r="BH63" s="435">
        <f t="shared" si="71"/>
        <v>1</v>
      </c>
      <c r="BI63" s="435">
        <f t="shared" si="71"/>
        <v>1</v>
      </c>
      <c r="BJ63" s="435">
        <f t="shared" si="71"/>
        <v>1</v>
      </c>
      <c r="BK63" s="435">
        <f t="shared" si="71"/>
        <v>1</v>
      </c>
      <c r="BL63" s="435">
        <f t="shared" si="71"/>
        <v>1</v>
      </c>
    </row>
    <row r="64" spans="1:64" ht="15" customHeight="1" outlineLevel="1" thickBot="1" x14ac:dyDescent="0.3">
      <c r="A64" s="404"/>
      <c r="B64" s="712"/>
      <c r="C64" s="688"/>
      <c r="D64" s="691"/>
      <c r="E64" s="451" t="s">
        <v>30</v>
      </c>
      <c r="F64" s="451" t="str">
        <f t="shared" ref="F64:M64" si="72">IF(AND(OR(F60="-",F60=""),OR(F61="-",F61="")),"-",IF(OR($C62="-",$C62="",$C62="CET"),"-",IF($R$36="not listed","-",IF(NOT(F$5="-"),IF(AND(AND(NOT(F60=0),NOT(F60="-"),NOT(F60="")),AND(NOT(F61="-"),NOT(F61=0),NOT(F61=""))),IF(AND((F60+F61)/2&lt;1*F$5*IF(OR($C62="CET",$C62="-",$C62=""),"-",$C62),F60&lt;1.1*F$5*IF(OR($C62="CET",$C62="-",$C62=""),"-",$C62),F61&lt;1.1*F$5*IF(OR($C62="CET",$C62="-",$C62=""),"-",$C62)),"passed","refused"),IF(IF(OR(F60="-",F60=""),F61,F60)&lt;0.7*F$5*IF(OR($C62="CET",$C62="-",$C62=""),"-",$C62),"passed",IF(IF(OR(F60="-",F60=""),F61,F60)&lt;1.1*IF(OR($C62="CET",$C62="-",$C62=""),"-",$C62)*F$5,"failed","refused"))),"-"))))</f>
        <v>-</v>
      </c>
      <c r="G64" s="451" t="str">
        <f t="shared" si="72"/>
        <v>-</v>
      </c>
      <c r="H64" s="451" t="str">
        <f t="shared" si="72"/>
        <v>-</v>
      </c>
      <c r="I64" s="451" t="str">
        <f t="shared" si="72"/>
        <v>-</v>
      </c>
      <c r="J64" s="451" t="str">
        <f t="shared" si="72"/>
        <v>-</v>
      </c>
      <c r="K64" s="452" t="str">
        <f t="shared" si="72"/>
        <v>-</v>
      </c>
      <c r="L64" s="452" t="str">
        <f t="shared" si="72"/>
        <v>-</v>
      </c>
      <c r="M64" s="452" t="str">
        <f t="shared" si="72"/>
        <v>-</v>
      </c>
      <c r="N64" s="451" t="str">
        <f>IF(AND(OR(N60="-",N60=""),OR(N61="-",N61="")),"-",IF(OR($C62="-",$C62="",$C62="CET"),"-",IF($R$36="not listed","-",IF(NOT(N$5="-"),IF(AND(AND(NOT(N60=0),NOT(N60="-"),NOT(N60="")),AND(NOT(N61="-"),NOT(N61=0),NOT(N61=""))),IF(AND((N60+N61)/2&lt;1*N$5*IF(OR($C62="CET",$C62="-",$C62=""),"-",$C62),N60&lt;1.1*N$5*IF(OR($C62="CET",$C62="-",$C62=""),"-",$C62),N61&lt;1.1*N$5*IF(OR($C62="CET",$C62="-",$C62=""),"-",$C62)),"passed","refused"),IF(IF(OR(N60="-",N60=""),N61,N60)&lt;0.7*N$5*IF(OR($C62="CET",$C62="-",$C62=""),"-",$C62),"passed",IF(IF(OR(N60="-",N60=""),N61,N60)&lt;1.1*IF(OR($C62="CET",$C62="-",$C62=""),"-",$C62)*N$5,"failed","refused"))),"-"))))</f>
        <v>-</v>
      </c>
      <c r="O64" s="672"/>
      <c r="P64" s="673"/>
      <c r="Q64" s="673"/>
      <c r="R64" s="673"/>
      <c r="S64" s="672"/>
      <c r="T64" s="673"/>
      <c r="U64" s="673"/>
      <c r="V64" s="674"/>
      <c r="W64" s="434"/>
      <c r="X64" s="434"/>
      <c r="Y64" s="678"/>
      <c r="Z64" s="678"/>
      <c r="AA64" s="678"/>
      <c r="AB64" s="678"/>
      <c r="AC64" s="678"/>
      <c r="AD64" s="678"/>
      <c r="AE64" s="678"/>
      <c r="AF64" s="678"/>
      <c r="AG64" s="678"/>
      <c r="AH64" s="678"/>
      <c r="BC64" s="401" t="str">
        <f t="shared" si="11"/>
        <v>-</v>
      </c>
    </row>
    <row r="65" spans="1:64" ht="15" customHeight="1" outlineLevel="1" x14ac:dyDescent="0.25">
      <c r="A65" s="404"/>
      <c r="B65" s="710" t="s">
        <v>120</v>
      </c>
      <c r="C65" s="713" t="s">
        <v>114</v>
      </c>
      <c r="D65" s="684" t="s">
        <v>113</v>
      </c>
      <c r="E65" s="453" t="s">
        <v>94</v>
      </c>
      <c r="F65" s="437" t="s">
        <v>5</v>
      </c>
      <c r="G65" s="437" t="s">
        <v>5</v>
      </c>
      <c r="H65" s="437" t="s">
        <v>5</v>
      </c>
      <c r="I65" s="437" t="s">
        <v>5</v>
      </c>
      <c r="J65" s="437" t="s">
        <v>5</v>
      </c>
      <c r="K65" s="438" t="s">
        <v>5</v>
      </c>
      <c r="L65" s="438" t="s">
        <v>5</v>
      </c>
      <c r="M65" s="438" t="s">
        <v>5</v>
      </c>
      <c r="N65" s="437" t="s">
        <v>5</v>
      </c>
      <c r="O65" s="672"/>
      <c r="P65" s="673"/>
      <c r="Q65" s="673"/>
      <c r="R65" s="673"/>
      <c r="S65" s="672"/>
      <c r="T65" s="673"/>
      <c r="U65" s="673"/>
      <c r="V65" s="674"/>
      <c r="W65" s="434"/>
      <c r="X65" s="434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BC65" s="401" t="str">
        <f t="shared" si="11"/>
        <v>-</v>
      </c>
      <c r="BD65" s="459"/>
      <c r="BE65" s="459"/>
      <c r="BF65" s="459"/>
      <c r="BG65" s="459"/>
      <c r="BH65" s="459"/>
      <c r="BI65" s="459"/>
      <c r="BJ65" s="459"/>
      <c r="BK65" s="459"/>
      <c r="BL65" s="459"/>
    </row>
    <row r="66" spans="1:64" s="405" customFormat="1" ht="15" customHeight="1" outlineLevel="1" thickBot="1" x14ac:dyDescent="0.3">
      <c r="A66" s="454"/>
      <c r="B66" s="711"/>
      <c r="C66" s="714"/>
      <c r="D66" s="685"/>
      <c r="E66" s="440" t="s">
        <v>95</v>
      </c>
      <c r="F66" s="441" t="s">
        <v>5</v>
      </c>
      <c r="G66" s="441" t="s">
        <v>5</v>
      </c>
      <c r="H66" s="441" t="s">
        <v>5</v>
      </c>
      <c r="I66" s="441" t="s">
        <v>5</v>
      </c>
      <c r="J66" s="441" t="s">
        <v>5</v>
      </c>
      <c r="K66" s="442" t="s">
        <v>5</v>
      </c>
      <c r="L66" s="442" t="s">
        <v>5</v>
      </c>
      <c r="M66" s="442" t="s">
        <v>5</v>
      </c>
      <c r="N66" s="441" t="s">
        <v>5</v>
      </c>
      <c r="O66" s="672"/>
      <c r="P66" s="673"/>
      <c r="Q66" s="673"/>
      <c r="R66" s="673"/>
      <c r="S66" s="672"/>
      <c r="T66" s="673"/>
      <c r="U66" s="673"/>
      <c r="V66" s="674"/>
      <c r="W66" s="443"/>
      <c r="X66" s="443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BC66" s="401" t="str">
        <f t="shared" si="11"/>
        <v>-</v>
      </c>
      <c r="BD66" s="459"/>
      <c r="BE66" s="459"/>
      <c r="BF66" s="459"/>
      <c r="BG66" s="459"/>
      <c r="BH66" s="459"/>
      <c r="BI66" s="459"/>
      <c r="BJ66" s="459"/>
      <c r="BK66" s="459"/>
      <c r="BL66" s="459"/>
    </row>
    <row r="67" spans="1:64" ht="15" customHeight="1" outlineLevel="1" thickBot="1" x14ac:dyDescent="0.3">
      <c r="A67" s="404"/>
      <c r="B67" s="711"/>
      <c r="C67" s="715">
        <v>1</v>
      </c>
      <c r="D67" s="689" t="str">
        <f>IF(AND(F68="-",G68="-",H68="-",I68="-",J68="-",K68="-",L68="-",M68="-"),"-",MAX(F68,G68,H68,I68,J68,K68,L68,M68))</f>
        <v>-</v>
      </c>
      <c r="E67" s="444" t="s">
        <v>96</v>
      </c>
      <c r="F67" s="445" t="str">
        <f t="shared" ref="F67:N67" si="73">IF(OR(F66="-",F66=""),IF(OR(F65="-",F65=""),"-",F65),IF(OR(F65="-",F65=""),F66,(F65+F66)/2))</f>
        <v>-</v>
      </c>
      <c r="G67" s="445" t="str">
        <f t="shared" si="73"/>
        <v>-</v>
      </c>
      <c r="H67" s="445" t="str">
        <f t="shared" si="73"/>
        <v>-</v>
      </c>
      <c r="I67" s="445" t="str">
        <f t="shared" si="73"/>
        <v>-</v>
      </c>
      <c r="J67" s="445" t="str">
        <f t="shared" si="73"/>
        <v>-</v>
      </c>
      <c r="K67" s="446" t="str">
        <f t="shared" si="73"/>
        <v>-</v>
      </c>
      <c r="L67" s="446" t="str">
        <f t="shared" si="73"/>
        <v>-</v>
      </c>
      <c r="M67" s="446" t="str">
        <f t="shared" si="73"/>
        <v>-</v>
      </c>
      <c r="N67" s="445" t="str">
        <f t="shared" si="73"/>
        <v>-</v>
      </c>
      <c r="O67" s="672"/>
      <c r="P67" s="673"/>
      <c r="Q67" s="673"/>
      <c r="R67" s="673"/>
      <c r="S67" s="672"/>
      <c r="T67" s="673"/>
      <c r="U67" s="673"/>
      <c r="V67" s="674"/>
      <c r="W67" s="434"/>
      <c r="X67" s="434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BC67" s="401" t="str">
        <f t="shared" si="11"/>
        <v>-</v>
      </c>
      <c r="BD67" s="460"/>
      <c r="BE67" s="460"/>
      <c r="BF67" s="460"/>
      <c r="BG67" s="460"/>
      <c r="BH67" s="460"/>
      <c r="BI67" s="460"/>
      <c r="BJ67" s="460"/>
      <c r="BK67" s="460"/>
      <c r="BL67" s="460"/>
    </row>
    <row r="68" spans="1:64" ht="15" customHeight="1" outlineLevel="1" thickBot="1" x14ac:dyDescent="0.3">
      <c r="A68" s="404"/>
      <c r="B68" s="711"/>
      <c r="C68" s="716"/>
      <c r="D68" s="690"/>
      <c r="E68" s="447" t="s">
        <v>97</v>
      </c>
      <c r="F68" s="448" t="str">
        <f t="shared" ref="F68:N68" si="74">IF(OR($C67="-",$C67="CET",$C67=""),"-",IF(AND(NOT(F67="-"),NOT(F$5="-"),NOT(F$5="")),F67/F$5,"-"))</f>
        <v>-</v>
      </c>
      <c r="G68" s="448" t="str">
        <f t="shared" si="74"/>
        <v>-</v>
      </c>
      <c r="H68" s="448" t="str">
        <f t="shared" si="74"/>
        <v>-</v>
      </c>
      <c r="I68" s="448" t="str">
        <f t="shared" si="74"/>
        <v>-</v>
      </c>
      <c r="J68" s="448" t="str">
        <f t="shared" si="74"/>
        <v>-</v>
      </c>
      <c r="K68" s="449" t="str">
        <f t="shared" si="74"/>
        <v>-</v>
      </c>
      <c r="L68" s="449" t="str">
        <f t="shared" si="74"/>
        <v>-</v>
      </c>
      <c r="M68" s="449" t="str">
        <f t="shared" si="74"/>
        <v>-</v>
      </c>
      <c r="N68" s="448" t="str">
        <f t="shared" si="74"/>
        <v>-</v>
      </c>
      <c r="O68" s="672"/>
      <c r="P68" s="673"/>
      <c r="Q68" s="673"/>
      <c r="R68" s="673"/>
      <c r="S68" s="672"/>
      <c r="T68" s="673"/>
      <c r="U68" s="673"/>
      <c r="V68" s="674"/>
      <c r="W68" s="434"/>
      <c r="X68" s="434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1"/>
        <v>-</v>
      </c>
      <c r="BD68" s="460"/>
      <c r="BE68" s="460"/>
      <c r="BF68" s="460"/>
      <c r="BG68" s="460"/>
      <c r="BH68" s="460"/>
      <c r="BI68" s="460"/>
      <c r="BJ68" s="460"/>
      <c r="BK68" s="460"/>
      <c r="BL68" s="460"/>
    </row>
    <row r="69" spans="1:64" ht="15.75" outlineLevel="1" thickBot="1" x14ac:dyDescent="0.3">
      <c r="B69" s="712"/>
      <c r="C69" s="717"/>
      <c r="D69" s="691"/>
      <c r="E69" s="451" t="s">
        <v>30</v>
      </c>
      <c r="F69" s="451" t="str">
        <f t="shared" ref="F69:M69" si="75">IF(AND(OR(F65="-",F65=""),OR(F66="-",F66="")),"-",IF(OR($C67="-",$C67="",$C67="CET"),"-",IF($R$36="not listed","-",IF(NOT(F$5="-"),IF(AND(AND(NOT(F65=0),NOT(F65="-"),NOT(F65="")),AND(NOT(F66="-"),NOT(F66=0),NOT(F66=""))),IF(AND((F65+F66)/2&lt;1*F$5*IF(OR($C67="CET",$C67="-",$C67=""),"-",$C67),F65&lt;1.1*F$5*IF(OR($C67="CET",$C67="-",$C67=""),"-",$C67),F66&lt;1.1*F$5*IF(OR($C67="CET",$C67="-",$C67=""),"-",$C67)),"passed","refused"),IF(IF(OR(F65="-",F65=""),F66,F65)&lt;0.7*F$5*IF(OR($C67="CET",$C67="-",$C67=""),"-",$C67),"passed",IF(IF(OR(F65="-",F65=""),F66,F65)&lt;1.1*IF(OR($C67="CET",$C67="-",$C67=""),"-",$C67)*F$5,"failed","refused"))),"-"))))</f>
        <v>-</v>
      </c>
      <c r="G69" s="451" t="str">
        <f t="shared" si="75"/>
        <v>-</v>
      </c>
      <c r="H69" s="451" t="str">
        <f t="shared" si="75"/>
        <v>-</v>
      </c>
      <c r="I69" s="451" t="str">
        <f t="shared" si="75"/>
        <v>-</v>
      </c>
      <c r="J69" s="451" t="str">
        <f t="shared" si="75"/>
        <v>-</v>
      </c>
      <c r="K69" s="452" t="str">
        <f t="shared" si="75"/>
        <v>-</v>
      </c>
      <c r="L69" s="452" t="str">
        <f t="shared" si="75"/>
        <v>-</v>
      </c>
      <c r="M69" s="452" t="str">
        <f t="shared" si="75"/>
        <v>-</v>
      </c>
      <c r="N69" s="451" t="str">
        <f>IF(AND(OR(N65="-",N65=""),OR(N66="-",N66="")),"-",IF(OR($C67="-",$C67="",$C67="CET"),"-",IF($R$36="not listed","-",IF(NOT(N$5="-"),IF(AND(AND(NOT(N65=0),NOT(N65="-"),NOT(N65="")),AND(NOT(N66="-"),NOT(N66=0),NOT(N66=""))),IF(AND((N65+N66)/2&lt;1*N$5*IF(OR($C67="CET",$C67="-",$C67=""),"-",$C67),N65&lt;1.1*N$5*IF(OR($C67="CET",$C67="-",$C67=""),"-",$C67),N66&lt;1.1*N$5*IF(OR($C67="CET",$C67="-",$C67=""),"-",$C67)),"passed","refused"),IF(IF(OR(N65="-",N65=""),N66,N65)&lt;0.7*N$5*IF(OR($C67="CET",$C67="-",$C67=""),"-",$C67),"passed",IF(IF(OR(N65="-",N65=""),N66,N65)&lt;1.1*IF(OR($C67="CET",$C67="-",$C67=""),"-",$C67)*N$5,"failed","refused"))),"-"))))</f>
        <v>-</v>
      </c>
      <c r="O69" s="675"/>
      <c r="P69" s="676"/>
      <c r="Q69" s="676"/>
      <c r="R69" s="676"/>
      <c r="S69" s="675"/>
      <c r="T69" s="676"/>
      <c r="U69" s="676"/>
      <c r="V69" s="677"/>
      <c r="BC69" s="401" t="str">
        <f t="shared" si="11"/>
        <v>-</v>
      </c>
      <c r="BD69" s="460"/>
      <c r="BE69" s="460"/>
      <c r="BF69" s="460"/>
      <c r="BG69" s="460"/>
      <c r="BH69" s="460"/>
      <c r="BI69" s="460"/>
      <c r="BJ69" s="460"/>
      <c r="BK69" s="460"/>
      <c r="BL69" s="460"/>
    </row>
    <row r="70" spans="1:64" ht="15" customHeight="1" x14ac:dyDescent="0.25">
      <c r="BC70" s="401" t="str">
        <f t="shared" si="11"/>
        <v>-</v>
      </c>
      <c r="BD70" s="459"/>
      <c r="BE70" s="459"/>
      <c r="BF70" s="459"/>
      <c r="BG70" s="459"/>
      <c r="BH70" s="459"/>
      <c r="BI70" s="459"/>
      <c r="BJ70" s="459"/>
      <c r="BK70" s="459"/>
      <c r="BL70" s="459"/>
    </row>
    <row r="71" spans="1:64" ht="15" customHeight="1" x14ac:dyDescent="0.25">
      <c r="BC71" s="401" t="str">
        <f t="shared" si="11"/>
        <v>-</v>
      </c>
      <c r="BD71" s="459"/>
      <c r="BE71" s="459"/>
      <c r="BF71" s="459"/>
      <c r="BG71" s="459"/>
      <c r="BH71" s="459"/>
      <c r="BI71" s="459"/>
      <c r="BJ71" s="459"/>
      <c r="BK71" s="459"/>
      <c r="BL71" s="459"/>
    </row>
    <row r="72" spans="1:64" ht="15" customHeight="1" thickBot="1" x14ac:dyDescent="0.3">
      <c r="A72" s="396"/>
      <c r="W72" s="414"/>
      <c r="X72" s="414"/>
      <c r="Y72" s="414"/>
      <c r="Z72" s="414"/>
      <c r="AA72" s="414"/>
      <c r="AB72" s="414"/>
      <c r="AC72" s="414"/>
      <c r="AD72" s="414"/>
      <c r="AE72" s="414"/>
      <c r="AF72" s="414"/>
      <c r="AG72" s="414"/>
      <c r="AH72" s="414"/>
      <c r="BC72" s="401" t="str">
        <f t="shared" si="11"/>
        <v>-</v>
      </c>
      <c r="BD72" s="459"/>
      <c r="BE72" s="459"/>
      <c r="BF72" s="459"/>
      <c r="BG72" s="459"/>
      <c r="BH72" s="459"/>
      <c r="BI72" s="459"/>
      <c r="BJ72" s="459"/>
      <c r="BK72" s="459"/>
      <c r="BL72" s="459"/>
    </row>
    <row r="73" spans="1:64" ht="24.95" customHeight="1" thickBot="1" x14ac:dyDescent="0.3">
      <c r="A73" s="396"/>
      <c r="B73" s="415">
        <v>3</v>
      </c>
      <c r="C73" s="706" t="s">
        <v>102</v>
      </c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8"/>
      <c r="O73" s="416" t="s">
        <v>117</v>
      </c>
      <c r="P73" s="398" t="str">
        <f>IF(COUNTIF(F81:N96,"refused")&gt;0,"refused",IF(COUNTIF(F81:N96,"failed")&gt;0,"failed",IF(COUNTIF(F81:N96,"passed")&gt;0,"passed","-")))</f>
        <v>-</v>
      </c>
      <c r="Q73" s="399" t="s">
        <v>80</v>
      </c>
      <c r="R73" s="399" t="str">
        <f>IF(COUNT(F77:M78)&gt;0,"listed","not listed")</f>
        <v>not listed</v>
      </c>
      <c r="S73" s="427"/>
      <c r="T73" s="418"/>
      <c r="U73" s="418"/>
      <c r="V73" s="419"/>
      <c r="W73" s="414"/>
      <c r="X73" s="414"/>
      <c r="Y73" s="414"/>
      <c r="Z73" s="414"/>
      <c r="AA73" s="414"/>
      <c r="AB73" s="414"/>
      <c r="AC73" s="414"/>
      <c r="AD73" s="414"/>
      <c r="AE73" s="414"/>
      <c r="AF73" s="414"/>
      <c r="AG73" s="414"/>
      <c r="AH73" s="414"/>
      <c r="BC73" s="401" t="str">
        <f t="shared" si="11"/>
        <v>-</v>
      </c>
    </row>
    <row r="74" spans="1:64" ht="15" customHeight="1" outlineLevel="1" thickBot="1" x14ac:dyDescent="0.3">
      <c r="A74" s="396"/>
      <c r="B74" s="456"/>
      <c r="C74" s="457"/>
      <c r="D74" s="457"/>
      <c r="E74" s="457"/>
      <c r="F74" s="457"/>
      <c r="G74" s="457"/>
      <c r="H74" s="457"/>
      <c r="I74" s="457"/>
      <c r="J74" s="457"/>
      <c r="K74" s="421"/>
      <c r="L74" s="421"/>
      <c r="M74" s="421"/>
      <c r="N74" s="457"/>
      <c r="O74" s="457"/>
      <c r="P74" s="457"/>
      <c r="Q74" s="457"/>
      <c r="R74" s="457"/>
      <c r="S74" s="457"/>
      <c r="T74" s="422"/>
      <c r="U74" s="422"/>
      <c r="V74" s="423"/>
      <c r="W74" s="424"/>
      <c r="X74" s="424"/>
      <c r="Y74" s="698"/>
      <c r="Z74" s="698"/>
      <c r="AA74" s="698"/>
      <c r="AB74" s="698"/>
      <c r="AC74" s="698"/>
      <c r="AD74" s="698"/>
      <c r="AE74" s="698"/>
      <c r="AF74" s="698"/>
      <c r="AG74" s="698"/>
      <c r="AH74" s="698"/>
      <c r="BC74" s="401" t="str">
        <f t="shared" si="11"/>
        <v>-</v>
      </c>
    </row>
    <row r="75" spans="1:64" ht="15" customHeight="1" outlineLevel="1" thickBot="1" x14ac:dyDescent="0.3">
      <c r="A75" s="396"/>
      <c r="B75" s="695" t="s">
        <v>81</v>
      </c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7"/>
      <c r="O75" s="695" t="s">
        <v>82</v>
      </c>
      <c r="P75" s="696"/>
      <c r="Q75" s="696"/>
      <c r="R75" s="697"/>
      <c r="S75" s="695" t="s">
        <v>83</v>
      </c>
      <c r="T75" s="696"/>
      <c r="U75" s="696"/>
      <c r="V75" s="697"/>
      <c r="W75" s="434"/>
      <c r="X75" s="434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BC75" s="401" t="str">
        <f t="shared" si="11"/>
        <v>-</v>
      </c>
    </row>
    <row r="76" spans="1:64" ht="35.1" customHeight="1" outlineLevel="1" thickBot="1" x14ac:dyDescent="0.3">
      <c r="A76" s="396"/>
      <c r="B76" s="731" t="s">
        <v>84</v>
      </c>
      <c r="C76" s="732"/>
      <c r="D76" s="732"/>
      <c r="E76" s="733"/>
      <c r="F76" s="425" t="str">
        <f>F$4</f>
        <v>NMHC 
[g/km]</v>
      </c>
      <c r="G76" s="425" t="str">
        <f t="shared" ref="G76:N76" si="76">G$4</f>
        <v>THC
[g/km]</v>
      </c>
      <c r="H76" s="425" t="str">
        <f t="shared" si="76"/>
        <v>CO
[g/km]</v>
      </c>
      <c r="I76" s="425" t="str">
        <f t="shared" si="76"/>
        <v>NOx
[g/km]</v>
      </c>
      <c r="J76" s="425" t="str">
        <f t="shared" si="76"/>
        <v>PM
[mg/km]</v>
      </c>
      <c r="K76" s="425" t="str">
        <f t="shared" si="76"/>
        <v>PN
[#/km]</v>
      </c>
      <c r="L76" s="426" t="str">
        <f t="shared" si="76"/>
        <v>Additional
component</v>
      </c>
      <c r="M76" s="426" t="str">
        <f t="shared" si="76"/>
        <v>Additional
component 2</v>
      </c>
      <c r="N76" s="425" t="str">
        <f t="shared" si="76"/>
        <v>CO2
[g/km]</v>
      </c>
      <c r="O76" s="669"/>
      <c r="P76" s="670"/>
      <c r="Q76" s="670"/>
      <c r="R76" s="671"/>
      <c r="S76" s="669"/>
      <c r="T76" s="670"/>
      <c r="U76" s="670"/>
      <c r="V76" s="671"/>
      <c r="W76" s="434"/>
      <c r="X76" s="434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BC76" s="401" t="str">
        <f t="shared" si="11"/>
        <v>-</v>
      </c>
    </row>
    <row r="77" spans="1:64" ht="15" customHeight="1" outlineLevel="1" x14ac:dyDescent="0.25">
      <c r="A77" s="396"/>
      <c r="B77" s="724" t="s">
        <v>102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4"/>
      <c r="S77" s="672"/>
      <c r="T77" s="673"/>
      <c r="U77" s="673"/>
      <c r="V77" s="674"/>
      <c r="W77" s="434"/>
      <c r="X77" s="434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BC77" s="401" t="str">
        <f t="shared" si="11"/>
        <v>-</v>
      </c>
    </row>
    <row r="78" spans="1:64" s="405" customFormat="1" ht="15" customHeight="1" outlineLevel="1" thickBot="1" x14ac:dyDescent="0.3">
      <c r="A78" s="439"/>
      <c r="B78" s="725"/>
      <c r="C78" s="702"/>
      <c r="D78" s="685"/>
      <c r="E78" s="461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4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1"/>
        <v>-</v>
      </c>
    </row>
    <row r="79" spans="1:64" ht="15" customHeight="1" outlineLevel="1" thickBot="1" x14ac:dyDescent="0.3">
      <c r="A79" s="396"/>
      <c r="B79" s="725"/>
      <c r="C79" s="686">
        <v>1</v>
      </c>
      <c r="D79" s="689" t="str">
        <f>IF(AND(F80="-",G80="-",H80="-",I80="-",J80="-",K80="-",L80="-",M80="-"),"-",MAX(F80,G80,H80,I80,J80,K80,L80,M80))</f>
        <v>-</v>
      </c>
      <c r="E79" s="462" t="s">
        <v>96</v>
      </c>
      <c r="F79" s="445" t="str">
        <f t="shared" ref="F79:N79" si="77">IF(OR(F78="-",F78=""),IF(OR(F77="-",F77=""),"-",F77),IF(OR(F77="-",F77=""),F78,(F77+F78)/2))</f>
        <v>-</v>
      </c>
      <c r="G79" s="445" t="str">
        <f t="shared" si="77"/>
        <v>-</v>
      </c>
      <c r="H79" s="445" t="str">
        <f t="shared" si="77"/>
        <v>-</v>
      </c>
      <c r="I79" s="445" t="str">
        <f t="shared" si="77"/>
        <v>-</v>
      </c>
      <c r="J79" s="445" t="str">
        <f t="shared" si="77"/>
        <v>-</v>
      </c>
      <c r="K79" s="446" t="str">
        <f t="shared" si="77"/>
        <v>-</v>
      </c>
      <c r="L79" s="446" t="str">
        <f t="shared" si="77"/>
        <v>-</v>
      </c>
      <c r="M79" s="446" t="str">
        <f t="shared" si="77"/>
        <v>-</v>
      </c>
      <c r="N79" s="445" t="str">
        <f t="shared" si="77"/>
        <v>-</v>
      </c>
      <c r="O79" s="672"/>
      <c r="P79" s="673"/>
      <c r="Q79" s="673"/>
      <c r="R79" s="674"/>
      <c r="S79" s="672"/>
      <c r="T79" s="673"/>
      <c r="U79" s="673"/>
      <c r="V79" s="674"/>
      <c r="W79" s="434"/>
      <c r="X79" s="434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BC79" s="401" t="str">
        <f t="shared" si="11"/>
        <v>-</v>
      </c>
    </row>
    <row r="80" spans="1:64" ht="15" customHeight="1" outlineLevel="1" thickBot="1" x14ac:dyDescent="0.3">
      <c r="A80" s="396"/>
      <c r="B80" s="725"/>
      <c r="C80" s="687"/>
      <c r="D80" s="690"/>
      <c r="E80" s="447" t="s">
        <v>97</v>
      </c>
      <c r="F80" s="448" t="str">
        <f t="shared" ref="F80:N80" si="78">IF(OR($C79="-",$C79="CET",$C79=""),"-",IF(AND(NOT(F79="-"),NOT(F$5="-"),NOT(F$5="")),F79/F$5,"-"))</f>
        <v>-</v>
      </c>
      <c r="G80" s="448" t="str">
        <f t="shared" si="78"/>
        <v>-</v>
      </c>
      <c r="H80" s="448" t="str">
        <f t="shared" si="78"/>
        <v>-</v>
      </c>
      <c r="I80" s="448" t="str">
        <f t="shared" si="78"/>
        <v>-</v>
      </c>
      <c r="J80" s="448" t="str">
        <f t="shared" si="78"/>
        <v>-</v>
      </c>
      <c r="K80" s="449" t="str">
        <f t="shared" si="78"/>
        <v>-</v>
      </c>
      <c r="L80" s="449" t="str">
        <f t="shared" si="78"/>
        <v>-</v>
      </c>
      <c r="M80" s="449" t="str">
        <f t="shared" si="78"/>
        <v>-</v>
      </c>
      <c r="N80" s="448" t="str">
        <f t="shared" si="78"/>
        <v>-</v>
      </c>
      <c r="O80" s="672"/>
      <c r="P80" s="673"/>
      <c r="Q80" s="673"/>
      <c r="R80" s="674"/>
      <c r="S80" s="672"/>
      <c r="T80" s="673"/>
      <c r="U80" s="673"/>
      <c r="V80" s="674"/>
      <c r="W80" s="434"/>
      <c r="X80" s="434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BC80" s="401" t="str">
        <f t="shared" si="11"/>
        <v>-</v>
      </c>
    </row>
    <row r="81" spans="1:64" ht="15" customHeight="1" outlineLevel="1" thickBot="1" x14ac:dyDescent="0.3">
      <c r="A81" s="396"/>
      <c r="B81" s="726"/>
      <c r="C81" s="688"/>
      <c r="D81" s="691"/>
      <c r="E81" s="451" t="s">
        <v>30</v>
      </c>
      <c r="F81" s="451" t="str">
        <f t="shared" ref="F81:M81" si="79">IF(AND(OR(F77="-",F77=""),OR(F78="-",F78="")),"-",IF(OR($C79="-",$C79="",$C79="CET"),"-",IF($R$73="not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79"/>
        <v>-</v>
      </c>
      <c r="H81" s="451" t="str">
        <f t="shared" si="79"/>
        <v>-</v>
      </c>
      <c r="I81" s="451" t="str">
        <f t="shared" si="79"/>
        <v>-</v>
      </c>
      <c r="J81" s="451" t="str">
        <f t="shared" si="79"/>
        <v>-</v>
      </c>
      <c r="K81" s="452" t="str">
        <f t="shared" si="79"/>
        <v>-</v>
      </c>
      <c r="L81" s="452" t="str">
        <f t="shared" si="79"/>
        <v>-</v>
      </c>
      <c r="M81" s="452" t="str">
        <f t="shared" si="79"/>
        <v>-</v>
      </c>
      <c r="N81" s="451" t="str">
        <f>IF(AND(OR(N77="-",N77=""),OR(N78="-",N78="")),"-",IF(OR($C79="-",$C79="",$C79="CET"),"-",IF($R$73="not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672"/>
      <c r="P81" s="673"/>
      <c r="Q81" s="673"/>
      <c r="R81" s="674"/>
      <c r="S81" s="672"/>
      <c r="T81" s="673"/>
      <c r="U81" s="673"/>
      <c r="V81" s="674"/>
      <c r="W81" s="434"/>
      <c r="X81" s="434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BC81" s="401" t="str">
        <f t="shared" si="11"/>
        <v>-</v>
      </c>
      <c r="BD81" s="429" t="s">
        <v>85</v>
      </c>
      <c r="BE81" s="430" t="str">
        <f>F$4</f>
        <v>NMHC 
[g/km]</v>
      </c>
      <c r="BF81" s="430" t="str">
        <f t="shared" ref="BF81:BL81" si="80">G$4</f>
        <v>THC
[g/km]</v>
      </c>
      <c r="BG81" s="430" t="str">
        <f t="shared" si="80"/>
        <v>CO
[g/km]</v>
      </c>
      <c r="BH81" s="430" t="str">
        <f t="shared" si="80"/>
        <v>NOx
[g/km]</v>
      </c>
      <c r="BI81" s="430" t="str">
        <f t="shared" si="80"/>
        <v>PM
[mg/km]</v>
      </c>
      <c r="BJ81" s="430" t="str">
        <f t="shared" si="80"/>
        <v>PN
[#/km]</v>
      </c>
      <c r="BK81" s="430" t="str">
        <f t="shared" si="80"/>
        <v>Additional
component</v>
      </c>
      <c r="BL81" s="430" t="str">
        <f t="shared" si="80"/>
        <v>Additional
component 2</v>
      </c>
    </row>
    <row r="82" spans="1:64" ht="15" customHeight="1" outlineLevel="1" x14ac:dyDescent="0.25">
      <c r="A82" s="396"/>
      <c r="B82" s="721"/>
      <c r="C82" s="668"/>
      <c r="D82" s="411"/>
      <c r="E82" s="411"/>
      <c r="F82" s="463"/>
      <c r="G82" s="463"/>
      <c r="H82" s="463"/>
      <c r="I82" s="463"/>
      <c r="J82" s="463"/>
      <c r="K82" s="464"/>
      <c r="L82" s="464"/>
      <c r="M82" s="464"/>
      <c r="N82" s="465"/>
      <c r="O82" s="672"/>
      <c r="P82" s="673"/>
      <c r="Q82" s="673"/>
      <c r="R82" s="674"/>
      <c r="S82" s="672"/>
      <c r="T82" s="673"/>
      <c r="U82" s="673"/>
      <c r="V82" s="674"/>
      <c r="W82" s="434"/>
      <c r="X82" s="434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BC82" s="401" t="str">
        <f t="shared" ref="BC82:BC145" si="81">IF(COUNTIF(F82:M82,"refused")&gt;0,"refused",IF(COUNTIF(F82:M82,"failed")&gt;0,"failed",IF(COUNTIF(F82:M82,"passed")&gt;0,"passed","-")))</f>
        <v>-</v>
      </c>
      <c r="BD82" s="429" t="str">
        <f>$E$4</f>
        <v>BS 6</v>
      </c>
      <c r="BE82" s="435">
        <v>1</v>
      </c>
      <c r="BF82" s="435">
        <v>1</v>
      </c>
      <c r="BG82" s="435">
        <v>1</v>
      </c>
      <c r="BH82" s="435">
        <v>1</v>
      </c>
      <c r="BI82" s="435">
        <v>1</v>
      </c>
      <c r="BJ82" s="435">
        <v>1</v>
      </c>
      <c r="BK82" s="435">
        <v>1</v>
      </c>
      <c r="BL82" s="435">
        <v>1</v>
      </c>
    </row>
    <row r="83" spans="1:64" ht="15" customHeight="1" outlineLevel="1" x14ac:dyDescent="0.25">
      <c r="A83" s="396"/>
      <c r="B83" s="721"/>
      <c r="C83" s="668"/>
      <c r="D83" s="411"/>
      <c r="E83" s="411"/>
      <c r="F83" s="463"/>
      <c r="G83" s="463"/>
      <c r="H83" s="463"/>
      <c r="I83" s="463"/>
      <c r="J83" s="463"/>
      <c r="K83" s="464"/>
      <c r="L83" s="464"/>
      <c r="M83" s="464"/>
      <c r="N83" s="465"/>
      <c r="O83" s="672"/>
      <c r="P83" s="673"/>
      <c r="Q83" s="673"/>
      <c r="R83" s="674"/>
      <c r="S83" s="672"/>
      <c r="T83" s="673"/>
      <c r="U83" s="673"/>
      <c r="V83" s="674"/>
      <c r="W83" s="434"/>
      <c r="X83" s="434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81"/>
        <v>-</v>
      </c>
      <c r="BD83" s="429" t="str">
        <f>"1st " &amp;  B77</f>
        <v>1st WLTC 20°C</v>
      </c>
      <c r="BE83" s="435" t="str">
        <f t="shared" ref="BE83:BL83" si="82">IF((OR($C79="-",$C79="CET",$C79="")),"-",IF(AND(OR(F77="-",F77=""),OR(F78="-",F78="")),"-",IF(NOT(OR(F77="-",F77="")),F77/F$5,F78/F$5)))</f>
        <v>-</v>
      </c>
      <c r="BF83" s="435" t="str">
        <f t="shared" si="82"/>
        <v>-</v>
      </c>
      <c r="BG83" s="435" t="str">
        <f t="shared" si="82"/>
        <v>-</v>
      </c>
      <c r="BH83" s="435" t="str">
        <f t="shared" si="82"/>
        <v>-</v>
      </c>
      <c r="BI83" s="435" t="str">
        <f t="shared" si="82"/>
        <v>-</v>
      </c>
      <c r="BJ83" s="435" t="str">
        <f t="shared" si="82"/>
        <v>-</v>
      </c>
      <c r="BK83" s="435" t="str">
        <f t="shared" si="82"/>
        <v>-</v>
      </c>
      <c r="BL83" s="435" t="str">
        <f t="shared" si="82"/>
        <v>-</v>
      </c>
    </row>
    <row r="84" spans="1:64" ht="15" customHeight="1" outlineLevel="1" x14ac:dyDescent="0.25">
      <c r="A84" s="396"/>
      <c r="B84" s="721"/>
      <c r="C84" s="668"/>
      <c r="D84" s="411"/>
      <c r="E84" s="411"/>
      <c r="F84" s="466"/>
      <c r="G84" s="466"/>
      <c r="H84" s="466"/>
      <c r="I84" s="466"/>
      <c r="J84" s="466"/>
      <c r="K84" s="464"/>
      <c r="L84" s="464"/>
      <c r="M84" s="464"/>
      <c r="N84" s="467"/>
      <c r="O84" s="672"/>
      <c r="P84" s="673"/>
      <c r="Q84" s="673"/>
      <c r="R84" s="674"/>
      <c r="S84" s="672"/>
      <c r="T84" s="673"/>
      <c r="U84" s="673"/>
      <c r="V84" s="674"/>
      <c r="W84" s="434"/>
      <c r="X84" s="434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BC84" s="401" t="str">
        <f t="shared" si="81"/>
        <v>-</v>
      </c>
      <c r="BD84" s="429"/>
      <c r="BE84" s="435"/>
      <c r="BF84" s="435"/>
      <c r="BG84" s="435"/>
      <c r="BH84" s="435"/>
      <c r="BI84" s="435"/>
      <c r="BJ84" s="435"/>
      <c r="BK84" s="435"/>
      <c r="BL84" s="435"/>
    </row>
    <row r="85" spans="1:64" ht="15" customHeight="1" outlineLevel="1" x14ac:dyDescent="0.25">
      <c r="A85" s="396"/>
      <c r="B85" s="721"/>
      <c r="C85" s="668"/>
      <c r="D85" s="411"/>
      <c r="E85" s="411"/>
      <c r="F85" s="466"/>
      <c r="G85" s="466"/>
      <c r="H85" s="466"/>
      <c r="I85" s="466"/>
      <c r="J85" s="466"/>
      <c r="K85" s="464"/>
      <c r="L85" s="464"/>
      <c r="M85" s="464"/>
      <c r="N85" s="467"/>
      <c r="O85" s="672"/>
      <c r="P85" s="673"/>
      <c r="Q85" s="673"/>
      <c r="R85" s="674"/>
      <c r="S85" s="672"/>
      <c r="T85" s="673"/>
      <c r="U85" s="673"/>
      <c r="V85" s="674"/>
      <c r="W85" s="434"/>
      <c r="X85" s="434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BC85" s="401" t="str">
        <f t="shared" si="81"/>
        <v>-</v>
      </c>
      <c r="BD85" s="429"/>
      <c r="BE85" s="435"/>
      <c r="BF85" s="435"/>
      <c r="BG85" s="435"/>
      <c r="BH85" s="435"/>
      <c r="BI85" s="435"/>
      <c r="BJ85" s="435"/>
      <c r="BK85" s="435"/>
      <c r="BL85" s="435"/>
    </row>
    <row r="86" spans="1:64" ht="15" customHeight="1" outlineLevel="1" x14ac:dyDescent="0.25">
      <c r="A86" s="404"/>
      <c r="B86" s="721"/>
      <c r="C86" s="668"/>
      <c r="D86" s="411"/>
      <c r="E86" s="411"/>
      <c r="F86" s="411"/>
      <c r="G86" s="411"/>
      <c r="H86" s="411"/>
      <c r="I86" s="411"/>
      <c r="J86" s="411"/>
      <c r="K86" s="464"/>
      <c r="L86" s="464"/>
      <c r="M86" s="464"/>
      <c r="N86" s="468"/>
      <c r="O86" s="672"/>
      <c r="P86" s="673"/>
      <c r="Q86" s="673"/>
      <c r="R86" s="674"/>
      <c r="S86" s="672"/>
      <c r="T86" s="673"/>
      <c r="U86" s="673"/>
      <c r="V86" s="674"/>
      <c r="W86" s="434"/>
      <c r="X86" s="434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BC86" s="401" t="str">
        <f t="shared" si="81"/>
        <v>-</v>
      </c>
      <c r="BD86" s="429"/>
      <c r="BE86" s="435"/>
      <c r="BF86" s="435"/>
      <c r="BG86" s="435"/>
      <c r="BH86" s="435"/>
      <c r="BI86" s="435"/>
      <c r="BJ86" s="435"/>
      <c r="BK86" s="435"/>
      <c r="BL86" s="435"/>
    </row>
    <row r="87" spans="1:64" ht="15" customHeight="1" outlineLevel="1" x14ac:dyDescent="0.25">
      <c r="A87" s="404"/>
      <c r="B87" s="721"/>
      <c r="C87" s="668"/>
      <c r="D87" s="411"/>
      <c r="E87" s="411"/>
      <c r="F87" s="463"/>
      <c r="G87" s="463"/>
      <c r="H87" s="463"/>
      <c r="I87" s="463"/>
      <c r="J87" s="463"/>
      <c r="K87" s="464"/>
      <c r="L87" s="464"/>
      <c r="M87" s="464"/>
      <c r="N87" s="465"/>
      <c r="O87" s="672"/>
      <c r="P87" s="673"/>
      <c r="Q87" s="673"/>
      <c r="R87" s="674"/>
      <c r="S87" s="672"/>
      <c r="T87" s="673"/>
      <c r="U87" s="673"/>
      <c r="V87" s="674"/>
      <c r="W87" s="434"/>
      <c r="X87" s="434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BC87" s="401" t="str">
        <f t="shared" si="81"/>
        <v>-</v>
      </c>
      <c r="BD87" s="429" t="str">
        <f>"0.7*IEF " &amp; (B77)</f>
        <v>0.7*IEF WLTC 20°C</v>
      </c>
      <c r="BE87" s="435">
        <f t="shared" ref="BE87:BL87" si="83">IF(OR($C79="-",$C79="CET",$C79=""),"-",0.7*$C79)</f>
        <v>0.7</v>
      </c>
      <c r="BF87" s="435">
        <f t="shared" si="83"/>
        <v>0.7</v>
      </c>
      <c r="BG87" s="435">
        <f t="shared" si="83"/>
        <v>0.7</v>
      </c>
      <c r="BH87" s="435">
        <f t="shared" si="83"/>
        <v>0.7</v>
      </c>
      <c r="BI87" s="435">
        <f t="shared" si="83"/>
        <v>0.7</v>
      </c>
      <c r="BJ87" s="435">
        <f t="shared" si="83"/>
        <v>0.7</v>
      </c>
      <c r="BK87" s="435">
        <f t="shared" si="83"/>
        <v>0.7</v>
      </c>
      <c r="BL87" s="435">
        <f t="shared" si="83"/>
        <v>0.7</v>
      </c>
    </row>
    <row r="88" spans="1:64" ht="15" customHeight="1" outlineLevel="1" x14ac:dyDescent="0.25">
      <c r="A88" s="404"/>
      <c r="B88" s="721"/>
      <c r="C88" s="668"/>
      <c r="D88" s="411"/>
      <c r="E88" s="411"/>
      <c r="F88" s="463"/>
      <c r="G88" s="463"/>
      <c r="H88" s="463"/>
      <c r="I88" s="463"/>
      <c r="J88" s="463"/>
      <c r="K88" s="464"/>
      <c r="L88" s="464"/>
      <c r="M88" s="464"/>
      <c r="N88" s="465"/>
      <c r="O88" s="672"/>
      <c r="P88" s="673"/>
      <c r="Q88" s="673"/>
      <c r="R88" s="674"/>
      <c r="S88" s="672"/>
      <c r="T88" s="673"/>
      <c r="U88" s="673"/>
      <c r="V88" s="674"/>
      <c r="W88" s="434"/>
      <c r="X88" s="434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81"/>
        <v>-</v>
      </c>
      <c r="BD88" s="429"/>
      <c r="BE88" s="435"/>
      <c r="BF88" s="435"/>
      <c r="BG88" s="435"/>
      <c r="BH88" s="435"/>
      <c r="BI88" s="435"/>
      <c r="BJ88" s="435"/>
      <c r="BK88" s="435"/>
      <c r="BL88" s="435"/>
    </row>
    <row r="89" spans="1:64" ht="15" customHeight="1" outlineLevel="1" x14ac:dyDescent="0.25">
      <c r="A89" s="404"/>
      <c r="B89" s="721"/>
      <c r="C89" s="668"/>
      <c r="D89" s="411"/>
      <c r="E89" s="411"/>
      <c r="F89" s="466"/>
      <c r="G89" s="466"/>
      <c r="H89" s="466"/>
      <c r="I89" s="466"/>
      <c r="J89" s="466"/>
      <c r="K89" s="464"/>
      <c r="L89" s="464"/>
      <c r="M89" s="464"/>
      <c r="N89" s="467"/>
      <c r="O89" s="672"/>
      <c r="P89" s="673"/>
      <c r="Q89" s="673"/>
      <c r="R89" s="674"/>
      <c r="S89" s="672"/>
      <c r="T89" s="673"/>
      <c r="U89" s="673"/>
      <c r="V89" s="674"/>
      <c r="W89" s="434"/>
      <c r="X89" s="434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BC89" s="401" t="str">
        <f t="shared" si="81"/>
        <v>-</v>
      </c>
      <c r="BD89" s="429"/>
      <c r="BE89" s="435"/>
      <c r="BF89" s="435"/>
      <c r="BG89" s="435"/>
      <c r="BH89" s="435"/>
      <c r="BI89" s="435"/>
      <c r="BJ89" s="435"/>
      <c r="BK89" s="435"/>
      <c r="BL89" s="435"/>
    </row>
    <row r="90" spans="1:64" ht="15" customHeight="1" outlineLevel="1" x14ac:dyDescent="0.25">
      <c r="A90" s="404"/>
      <c r="B90" s="721"/>
      <c r="C90" s="668"/>
      <c r="D90" s="411"/>
      <c r="E90" s="411"/>
      <c r="F90" s="466"/>
      <c r="G90" s="466"/>
      <c r="H90" s="466"/>
      <c r="I90" s="466"/>
      <c r="J90" s="466"/>
      <c r="K90" s="464"/>
      <c r="L90" s="464"/>
      <c r="M90" s="464"/>
      <c r="N90" s="467"/>
      <c r="O90" s="672"/>
      <c r="P90" s="673"/>
      <c r="Q90" s="673"/>
      <c r="R90" s="674"/>
      <c r="S90" s="672"/>
      <c r="T90" s="673"/>
      <c r="U90" s="673"/>
      <c r="V90" s="674"/>
      <c r="W90" s="434"/>
      <c r="X90" s="434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BC90" s="401" t="str">
        <f t="shared" si="81"/>
        <v>-</v>
      </c>
      <c r="BD90" s="429"/>
      <c r="BE90" s="435"/>
      <c r="BF90" s="435"/>
      <c r="BG90" s="435"/>
      <c r="BH90" s="435"/>
      <c r="BI90" s="435"/>
      <c r="BJ90" s="435"/>
      <c r="BK90" s="435"/>
      <c r="BL90" s="435"/>
    </row>
    <row r="91" spans="1:64" ht="15" customHeight="1" outlineLevel="1" x14ac:dyDescent="0.25">
      <c r="A91" s="404"/>
      <c r="B91" s="721"/>
      <c r="C91" s="668"/>
      <c r="D91" s="411"/>
      <c r="E91" s="411"/>
      <c r="F91" s="411"/>
      <c r="G91" s="411"/>
      <c r="H91" s="411"/>
      <c r="I91" s="411"/>
      <c r="J91" s="411"/>
      <c r="K91" s="464"/>
      <c r="L91" s="464"/>
      <c r="M91" s="464"/>
      <c r="N91" s="468"/>
      <c r="O91" s="672"/>
      <c r="P91" s="673"/>
      <c r="Q91" s="673"/>
      <c r="R91" s="674"/>
      <c r="S91" s="672"/>
      <c r="T91" s="673"/>
      <c r="U91" s="673"/>
      <c r="V91" s="674"/>
      <c r="W91" s="434"/>
      <c r="X91" s="434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BC91" s="401" t="str">
        <f t="shared" si="81"/>
        <v>-</v>
      </c>
      <c r="BD91" s="429" t="str">
        <f>B77</f>
        <v>WLTC 20°C</v>
      </c>
      <c r="BE91" s="435" t="str">
        <f t="shared" ref="BE91:BL91" si="84">F80</f>
        <v>-</v>
      </c>
      <c r="BF91" s="435" t="str">
        <f t="shared" si="84"/>
        <v>-</v>
      </c>
      <c r="BG91" s="435" t="str">
        <f t="shared" si="84"/>
        <v>-</v>
      </c>
      <c r="BH91" s="435" t="str">
        <f t="shared" si="84"/>
        <v>-</v>
      </c>
      <c r="BI91" s="435" t="str">
        <f t="shared" si="84"/>
        <v>-</v>
      </c>
      <c r="BJ91" s="435" t="str">
        <f t="shared" si="84"/>
        <v>-</v>
      </c>
      <c r="BK91" s="435" t="str">
        <f t="shared" si="84"/>
        <v>-</v>
      </c>
      <c r="BL91" s="435" t="str">
        <f t="shared" si="84"/>
        <v>-</v>
      </c>
    </row>
    <row r="92" spans="1:64" ht="15" customHeight="1" outlineLevel="1" x14ac:dyDescent="0.25">
      <c r="A92" s="404"/>
      <c r="B92" s="721"/>
      <c r="C92" s="668"/>
      <c r="D92" s="411"/>
      <c r="E92" s="411"/>
      <c r="F92" s="463"/>
      <c r="G92" s="463"/>
      <c r="H92" s="463"/>
      <c r="I92" s="463"/>
      <c r="J92" s="463"/>
      <c r="K92" s="464"/>
      <c r="L92" s="464"/>
      <c r="M92" s="464"/>
      <c r="N92" s="465"/>
      <c r="O92" s="672"/>
      <c r="P92" s="673"/>
      <c r="Q92" s="673"/>
      <c r="R92" s="674"/>
      <c r="S92" s="672"/>
      <c r="T92" s="673"/>
      <c r="U92" s="673"/>
      <c r="V92" s="674"/>
      <c r="W92" s="434"/>
      <c r="X92" s="434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BC92" s="401" t="str">
        <f t="shared" si="81"/>
        <v>-</v>
      </c>
      <c r="BD92" s="429"/>
      <c r="BE92" s="435"/>
      <c r="BF92" s="435"/>
      <c r="BG92" s="435"/>
      <c r="BH92" s="435"/>
      <c r="BI92" s="435"/>
      <c r="BJ92" s="435"/>
      <c r="BK92" s="435"/>
      <c r="BL92" s="435"/>
    </row>
    <row r="93" spans="1:64" ht="15" customHeight="1" outlineLevel="1" x14ac:dyDescent="0.25">
      <c r="A93" s="404"/>
      <c r="B93" s="721"/>
      <c r="C93" s="668"/>
      <c r="D93" s="411"/>
      <c r="E93" s="411"/>
      <c r="F93" s="463"/>
      <c r="G93" s="463"/>
      <c r="H93" s="463"/>
      <c r="I93" s="463"/>
      <c r="J93" s="463"/>
      <c r="K93" s="464"/>
      <c r="L93" s="464"/>
      <c r="M93" s="464"/>
      <c r="N93" s="465"/>
      <c r="O93" s="672"/>
      <c r="P93" s="673"/>
      <c r="Q93" s="673"/>
      <c r="R93" s="674"/>
      <c r="S93" s="672"/>
      <c r="T93" s="673"/>
      <c r="U93" s="673"/>
      <c r="V93" s="674"/>
      <c r="W93" s="434"/>
      <c r="X93" s="434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81"/>
        <v>-</v>
      </c>
      <c r="BD93" s="429"/>
      <c r="BE93" s="435"/>
      <c r="BF93" s="435"/>
      <c r="BG93" s="435"/>
      <c r="BH93" s="435"/>
      <c r="BI93" s="435"/>
      <c r="BJ93" s="435"/>
      <c r="BK93" s="435"/>
      <c r="BL93" s="435"/>
    </row>
    <row r="94" spans="1:64" ht="15" customHeight="1" outlineLevel="1" x14ac:dyDescent="0.25">
      <c r="A94" s="404"/>
      <c r="B94" s="721"/>
      <c r="C94" s="668"/>
      <c r="D94" s="411"/>
      <c r="E94" s="411"/>
      <c r="F94" s="466"/>
      <c r="G94" s="466"/>
      <c r="H94" s="466"/>
      <c r="I94" s="466"/>
      <c r="J94" s="466"/>
      <c r="K94" s="464"/>
      <c r="L94" s="464"/>
      <c r="M94" s="464"/>
      <c r="N94" s="467"/>
      <c r="O94" s="672"/>
      <c r="P94" s="673"/>
      <c r="Q94" s="673"/>
      <c r="R94" s="674"/>
      <c r="S94" s="672"/>
      <c r="T94" s="673"/>
      <c r="U94" s="673"/>
      <c r="V94" s="674"/>
      <c r="W94" s="434"/>
      <c r="X94" s="434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BC94" s="401" t="str">
        <f t="shared" si="81"/>
        <v>-</v>
      </c>
      <c r="BD94" s="429"/>
      <c r="BE94" s="435"/>
      <c r="BF94" s="435"/>
      <c r="BG94" s="435"/>
      <c r="BH94" s="435"/>
      <c r="BI94" s="435"/>
      <c r="BJ94" s="435"/>
      <c r="BK94" s="435"/>
      <c r="BL94" s="435"/>
    </row>
    <row r="95" spans="1:64" ht="15" customHeight="1" outlineLevel="1" x14ac:dyDescent="0.25">
      <c r="A95" s="404"/>
      <c r="B95" s="721"/>
      <c r="C95" s="668"/>
      <c r="D95" s="411"/>
      <c r="E95" s="411"/>
      <c r="F95" s="466"/>
      <c r="G95" s="466"/>
      <c r="H95" s="466"/>
      <c r="I95" s="466"/>
      <c r="J95" s="466"/>
      <c r="K95" s="464"/>
      <c r="L95" s="464"/>
      <c r="M95" s="464"/>
      <c r="N95" s="467"/>
      <c r="O95" s="672"/>
      <c r="P95" s="673"/>
      <c r="Q95" s="673"/>
      <c r="R95" s="674"/>
      <c r="S95" s="672"/>
      <c r="T95" s="673"/>
      <c r="U95" s="673"/>
      <c r="V95" s="674"/>
      <c r="W95" s="434"/>
      <c r="X95" s="434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BC95" s="401" t="str">
        <f t="shared" si="81"/>
        <v>-</v>
      </c>
      <c r="BD95" s="429" t="str">
        <f>"IEF " &amp;B77</f>
        <v>IEF WLTC 20°C</v>
      </c>
      <c r="BE95" s="435">
        <f t="shared" ref="BE95:BL95" si="85">IF(OR($C79="CET",$C79="-",$C79=""),"-",$C79)</f>
        <v>1</v>
      </c>
      <c r="BF95" s="435">
        <f t="shared" si="85"/>
        <v>1</v>
      </c>
      <c r="BG95" s="435">
        <f t="shared" si="85"/>
        <v>1</v>
      </c>
      <c r="BH95" s="435">
        <f t="shared" si="85"/>
        <v>1</v>
      </c>
      <c r="BI95" s="435">
        <f t="shared" si="85"/>
        <v>1</v>
      </c>
      <c r="BJ95" s="435">
        <f t="shared" si="85"/>
        <v>1</v>
      </c>
      <c r="BK95" s="435">
        <f t="shared" si="85"/>
        <v>1</v>
      </c>
      <c r="BL95" s="435">
        <f t="shared" si="85"/>
        <v>1</v>
      </c>
    </row>
    <row r="96" spans="1:64" ht="15.75" outlineLevel="1" thickBot="1" x14ac:dyDescent="0.3">
      <c r="B96" s="722"/>
      <c r="C96" s="723"/>
      <c r="D96" s="469"/>
      <c r="E96" s="469"/>
      <c r="F96" s="469"/>
      <c r="G96" s="469"/>
      <c r="H96" s="469"/>
      <c r="I96" s="469"/>
      <c r="J96" s="469"/>
      <c r="K96" s="470"/>
      <c r="L96" s="470"/>
      <c r="M96" s="470"/>
      <c r="N96" s="471"/>
      <c r="O96" s="675"/>
      <c r="P96" s="676"/>
      <c r="Q96" s="676"/>
      <c r="R96" s="677"/>
      <c r="S96" s="675"/>
      <c r="T96" s="676"/>
      <c r="U96" s="676"/>
      <c r="V96" s="677"/>
      <c r="BC96" s="401" t="str">
        <f t="shared" si="81"/>
        <v>-</v>
      </c>
      <c r="BD96" s="459"/>
      <c r="BE96" s="459"/>
      <c r="BF96" s="459"/>
      <c r="BG96" s="459"/>
      <c r="BH96" s="459"/>
      <c r="BI96" s="459"/>
      <c r="BJ96" s="459"/>
      <c r="BK96" s="459"/>
      <c r="BL96" s="459"/>
    </row>
    <row r="97" spans="1:64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BC97" s="401" t="str">
        <f t="shared" si="81"/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BC98" s="401" t="str">
        <f t="shared" si="81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BC99" s="401" t="str">
        <f t="shared" si="81"/>
        <v>-</v>
      </c>
    </row>
    <row r="100" spans="1:64" ht="24.95" customHeight="1" thickBot="1" x14ac:dyDescent="0.3">
      <c r="A100" s="396"/>
      <c r="B100" s="415">
        <v>5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427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BC100" s="401" t="str">
        <f t="shared" si="81"/>
        <v>-</v>
      </c>
    </row>
    <row r="101" spans="1:64" ht="15" customHeight="1" outlineLevel="1" thickBot="1" x14ac:dyDescent="0.3">
      <c r="A101" s="396"/>
      <c r="B101" s="456"/>
      <c r="C101" s="457"/>
      <c r="D101" s="457"/>
      <c r="E101" s="457"/>
      <c r="F101" s="457"/>
      <c r="G101" s="457"/>
      <c r="H101" s="457"/>
      <c r="I101" s="457"/>
      <c r="J101" s="457"/>
      <c r="K101" s="421"/>
      <c r="L101" s="421"/>
      <c r="M101" s="421"/>
      <c r="N101" s="457"/>
      <c r="O101" s="457"/>
      <c r="P101" s="457"/>
      <c r="Q101" s="457"/>
      <c r="R101" s="457"/>
      <c r="S101" s="457"/>
      <c r="T101" s="422"/>
      <c r="U101" s="422"/>
      <c r="V101" s="423"/>
      <c r="W101" s="434"/>
      <c r="X101" s="434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BC101" s="401" t="str">
        <f t="shared" si="81"/>
        <v>-</v>
      </c>
    </row>
    <row r="102" spans="1:64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434"/>
      <c r="X102" s="434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BC102" s="401" t="str">
        <f t="shared" si="81"/>
        <v>-</v>
      </c>
    </row>
    <row r="103" spans="1:64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86">G$4</f>
        <v>THC
[g/km]</v>
      </c>
      <c r="H103" s="425" t="str">
        <f t="shared" si="86"/>
        <v>CO
[g/km]</v>
      </c>
      <c r="I103" s="425" t="str">
        <f t="shared" si="86"/>
        <v>NOx
[g/km]</v>
      </c>
      <c r="J103" s="425" t="str">
        <f t="shared" si="86"/>
        <v>PM
[mg/km]</v>
      </c>
      <c r="K103" s="425" t="str">
        <f t="shared" si="86"/>
        <v>PN
[#/km]</v>
      </c>
      <c r="L103" s="426" t="str">
        <f t="shared" si="86"/>
        <v>Additional
component</v>
      </c>
      <c r="M103" s="426" t="str">
        <f t="shared" si="86"/>
        <v>Additional
component 2</v>
      </c>
      <c r="N103" s="425" t="str">
        <f t="shared" si="8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434"/>
      <c r="X103" s="434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BC103" s="401" t="str">
        <f t="shared" si="81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81"/>
        <v>-</v>
      </c>
    </row>
    <row r="105" spans="1:64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434"/>
      <c r="X105" s="434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401" t="str">
        <f t="shared" si="81"/>
        <v>-</v>
      </c>
    </row>
    <row r="106" spans="1:64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87">IF(OR(F105="-",F105=""),IF(OR(F104="-",F104=""),"-",F104),IF(OR(F104="-",F104=""),F105,(F104+F105)/2))</f>
        <v>-</v>
      </c>
      <c r="G106" s="445" t="str">
        <f t="shared" si="87"/>
        <v>-</v>
      </c>
      <c r="H106" s="445" t="str">
        <f t="shared" si="87"/>
        <v>-</v>
      </c>
      <c r="I106" s="445" t="str">
        <f t="shared" si="87"/>
        <v>-</v>
      </c>
      <c r="J106" s="445" t="str">
        <f t="shared" si="87"/>
        <v>-</v>
      </c>
      <c r="K106" s="446" t="str">
        <f t="shared" si="87"/>
        <v>-</v>
      </c>
      <c r="L106" s="446" t="str">
        <f t="shared" si="87"/>
        <v>-</v>
      </c>
      <c r="M106" s="446" t="str">
        <f t="shared" si="87"/>
        <v>-</v>
      </c>
      <c r="N106" s="445" t="str">
        <f t="shared" si="87"/>
        <v>-</v>
      </c>
      <c r="O106" s="672"/>
      <c r="P106" s="673"/>
      <c r="Q106" s="673"/>
      <c r="R106" s="674"/>
      <c r="S106" s="672"/>
      <c r="T106" s="673"/>
      <c r="U106" s="673"/>
      <c r="V106" s="674"/>
      <c r="W106" s="434"/>
      <c r="X106" s="434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BC106" s="401" t="str">
        <f t="shared" si="81"/>
        <v>-</v>
      </c>
    </row>
    <row r="107" spans="1:64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88">IF(OR($C106="-",$C106="CET",$C106=""),"-",IF(AND(NOT(F106="-"),NOT(F$5="-"),NOT(F$5="")),F106/F$5,"-"))</f>
        <v>-</v>
      </c>
      <c r="G107" s="448" t="str">
        <f t="shared" si="88"/>
        <v>-</v>
      </c>
      <c r="H107" s="448" t="str">
        <f t="shared" si="88"/>
        <v>-</v>
      </c>
      <c r="I107" s="448" t="str">
        <f t="shared" si="88"/>
        <v>-</v>
      </c>
      <c r="J107" s="448" t="str">
        <f t="shared" si="88"/>
        <v>-</v>
      </c>
      <c r="K107" s="449" t="str">
        <f t="shared" si="88"/>
        <v>-</v>
      </c>
      <c r="L107" s="449" t="str">
        <f t="shared" si="88"/>
        <v>-</v>
      </c>
      <c r="M107" s="449" t="str">
        <f t="shared" si="88"/>
        <v>-</v>
      </c>
      <c r="N107" s="448" t="str">
        <f t="shared" si="88"/>
        <v>-</v>
      </c>
      <c r="O107" s="672"/>
      <c r="P107" s="673"/>
      <c r="Q107" s="673"/>
      <c r="R107" s="674"/>
      <c r="S107" s="672"/>
      <c r="T107" s="673"/>
      <c r="U107" s="673"/>
      <c r="V107" s="674"/>
      <c r="W107" s="434"/>
      <c r="X107" s="434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BC107" s="401" t="str">
        <f t="shared" si="81"/>
        <v>-</v>
      </c>
      <c r="BD107" s="429" t="s">
        <v>85</v>
      </c>
      <c r="BE107" s="430" t="str">
        <f>F$4</f>
        <v>NMHC 
[g/km]</v>
      </c>
      <c r="BF107" s="430" t="str">
        <f t="shared" ref="BF107:BL107" si="89">G$4</f>
        <v>THC
[g/km]</v>
      </c>
      <c r="BG107" s="430" t="str">
        <f t="shared" si="89"/>
        <v>CO
[g/km]</v>
      </c>
      <c r="BH107" s="430" t="str">
        <f t="shared" si="89"/>
        <v>NOx
[g/km]</v>
      </c>
      <c r="BI107" s="430" t="str">
        <f t="shared" si="89"/>
        <v>PM
[mg/km]</v>
      </c>
      <c r="BJ107" s="430" t="str">
        <f t="shared" si="89"/>
        <v>PN
[#/km]</v>
      </c>
      <c r="BK107" s="430" t="str">
        <f t="shared" si="89"/>
        <v>Additional
component</v>
      </c>
      <c r="BL107" s="430" t="str">
        <f t="shared" si="89"/>
        <v>Additional
component 2</v>
      </c>
    </row>
    <row r="108" spans="1:64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9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90"/>
        <v>-</v>
      </c>
      <c r="H108" s="451" t="str">
        <f t="shared" si="90"/>
        <v>-</v>
      </c>
      <c r="I108" s="451" t="str">
        <f t="shared" si="90"/>
        <v>-</v>
      </c>
      <c r="J108" s="451" t="str">
        <f t="shared" si="90"/>
        <v>-</v>
      </c>
      <c r="K108" s="452" t="str">
        <f t="shared" si="90"/>
        <v>-</v>
      </c>
      <c r="L108" s="452" t="str">
        <f t="shared" si="90"/>
        <v>-</v>
      </c>
      <c r="M108" s="452" t="str">
        <f t="shared" si="90"/>
        <v>-</v>
      </c>
      <c r="N108" s="451" t="str">
        <f t="shared" si="90"/>
        <v>-</v>
      </c>
      <c r="O108" s="672"/>
      <c r="P108" s="673"/>
      <c r="Q108" s="673"/>
      <c r="R108" s="674"/>
      <c r="S108" s="672"/>
      <c r="T108" s="673"/>
      <c r="U108" s="673"/>
      <c r="V108" s="674"/>
      <c r="W108" s="434"/>
      <c r="X108" s="434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BC108" s="401" t="str">
        <f t="shared" si="81"/>
        <v>-</v>
      </c>
      <c r="BD108" s="429" t="str">
        <f>$E$4</f>
        <v>BS 6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ht="15" customHeight="1" outlineLevel="1" x14ac:dyDescent="0.25">
      <c r="A109" s="396"/>
      <c r="B109" s="721"/>
      <c r="C109" s="668"/>
      <c r="D109" s="411"/>
      <c r="E109" s="411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434"/>
      <c r="X109" s="434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BC109" s="401" t="str">
        <f t="shared" si="81"/>
        <v>-</v>
      </c>
      <c r="BD109" s="429" t="str">
        <f>"1st " &amp;  B104</f>
        <v>1st s.s.e.t.</v>
      </c>
      <c r="BE109" s="435" t="str">
        <f t="shared" ref="BE109:BL109" si="91">IF((OR($C106="-",$C106="CET",$C106="")),"-",IF(AND(OR(F104="-",F104=""),OR(F105="-",F105="")),"-",IF(NOT(OR(F104="-",F104="")),F104/F$5,F105/F$5)))</f>
        <v>-</v>
      </c>
      <c r="BF109" s="435" t="str">
        <f t="shared" si="91"/>
        <v>-</v>
      </c>
      <c r="BG109" s="435" t="str">
        <f t="shared" si="91"/>
        <v>-</v>
      </c>
      <c r="BH109" s="435" t="str">
        <f t="shared" si="91"/>
        <v>-</v>
      </c>
      <c r="BI109" s="435" t="str">
        <f t="shared" si="91"/>
        <v>-</v>
      </c>
      <c r="BJ109" s="435" t="str">
        <f t="shared" si="91"/>
        <v>-</v>
      </c>
      <c r="BK109" s="435" t="str">
        <f t="shared" si="91"/>
        <v>-</v>
      </c>
      <c r="BL109" s="435" t="str">
        <f t="shared" si="91"/>
        <v>-</v>
      </c>
    </row>
    <row r="110" spans="1:64" ht="15" customHeight="1" outlineLevel="1" x14ac:dyDescent="0.25">
      <c r="A110" s="396"/>
      <c r="B110" s="721"/>
      <c r="C110" s="668"/>
      <c r="D110" s="411"/>
      <c r="E110" s="411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434"/>
      <c r="X110" s="434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BC110" s="401" t="str">
        <f t="shared" si="81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ht="15" customHeight="1" outlineLevel="1" x14ac:dyDescent="0.25">
      <c r="A111" s="396"/>
      <c r="B111" s="721"/>
      <c r="C111" s="668"/>
      <c r="D111" s="411"/>
      <c r="E111" s="411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434"/>
      <c r="X111" s="434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BC111" s="401" t="str">
        <f t="shared" si="81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ht="15" customHeight="1" outlineLevel="1" x14ac:dyDescent="0.25">
      <c r="A112" s="404"/>
      <c r="B112" s="721"/>
      <c r="C112" s="668"/>
      <c r="D112" s="411"/>
      <c r="E112" s="411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434"/>
      <c r="X112" s="434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BC112" s="401" t="str">
        <f t="shared" si="81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ht="15" customHeight="1" outlineLevel="1" x14ac:dyDescent="0.25">
      <c r="A113" s="404"/>
      <c r="B113" s="721"/>
      <c r="C113" s="668"/>
      <c r="D113" s="411"/>
      <c r="E113" s="411"/>
      <c r="F113" s="411"/>
      <c r="G113" s="411"/>
      <c r="H113" s="411"/>
      <c r="I113" s="411"/>
      <c r="J113" s="411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434"/>
      <c r="X113" s="434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BC113" s="401" t="str">
        <f t="shared" si="81"/>
        <v>-</v>
      </c>
      <c r="BD113" s="429" t="str">
        <f>"0.7*IEF " &amp; (B104)</f>
        <v>0.7*IEF s.s.e.t.</v>
      </c>
      <c r="BE113" s="435" t="str">
        <f t="shared" ref="BE113:BL113" si="92">IF(OR($C106="-",$C106="CET",$C106=""),"-",0.7*$C106)</f>
        <v>-</v>
      </c>
      <c r="BF113" s="435" t="str">
        <f t="shared" si="92"/>
        <v>-</v>
      </c>
      <c r="BG113" s="435" t="str">
        <f t="shared" si="92"/>
        <v>-</v>
      </c>
      <c r="BH113" s="435" t="str">
        <f t="shared" si="92"/>
        <v>-</v>
      </c>
      <c r="BI113" s="435" t="str">
        <f t="shared" si="92"/>
        <v>-</v>
      </c>
      <c r="BJ113" s="435" t="str">
        <f t="shared" si="92"/>
        <v>-</v>
      </c>
      <c r="BK113" s="435" t="str">
        <f t="shared" si="92"/>
        <v>-</v>
      </c>
      <c r="BL113" s="435" t="str">
        <f t="shared" si="92"/>
        <v>-</v>
      </c>
    </row>
    <row r="114" spans="1:64" ht="15" customHeight="1" outlineLevel="1" x14ac:dyDescent="0.25">
      <c r="A114" s="404"/>
      <c r="B114" s="721"/>
      <c r="C114" s="668"/>
      <c r="D114" s="411"/>
      <c r="E114" s="411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434"/>
      <c r="X114" s="434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BC114" s="401" t="str">
        <f t="shared" si="81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ht="15" customHeight="1" outlineLevel="1" x14ac:dyDescent="0.25">
      <c r="A115" s="404"/>
      <c r="B115" s="721"/>
      <c r="C115" s="668"/>
      <c r="D115" s="411"/>
      <c r="E115" s="411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434"/>
      <c r="X115" s="434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BC115" s="401" t="str">
        <f t="shared" si="81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ht="15" customHeight="1" outlineLevel="1" x14ac:dyDescent="0.25">
      <c r="A116" s="404"/>
      <c r="B116" s="721"/>
      <c r="C116" s="668"/>
      <c r="D116" s="411"/>
      <c r="E116" s="411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434"/>
      <c r="X116" s="434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BC116" s="401" t="str">
        <f t="shared" si="81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ht="15" customHeight="1" outlineLevel="1" x14ac:dyDescent="0.25">
      <c r="A117" s="404"/>
      <c r="B117" s="721"/>
      <c r="C117" s="668"/>
      <c r="D117" s="411"/>
      <c r="E117" s="411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434"/>
      <c r="X117" s="434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BC117" s="401" t="str">
        <f t="shared" si="81"/>
        <v>-</v>
      </c>
      <c r="BD117" s="429" t="str">
        <f>B104</f>
        <v>s.s.e.t.</v>
      </c>
      <c r="BE117" s="477" t="str">
        <f t="shared" ref="BE117:BL117" si="93">F107</f>
        <v>-</v>
      </c>
      <c r="BF117" s="435" t="str">
        <f t="shared" si="93"/>
        <v>-</v>
      </c>
      <c r="BG117" s="435" t="str">
        <f t="shared" si="93"/>
        <v>-</v>
      </c>
      <c r="BH117" s="435" t="str">
        <f t="shared" si="93"/>
        <v>-</v>
      </c>
      <c r="BI117" s="435" t="str">
        <f t="shared" si="93"/>
        <v>-</v>
      </c>
      <c r="BJ117" s="435" t="str">
        <f t="shared" si="93"/>
        <v>-</v>
      </c>
      <c r="BK117" s="435" t="str">
        <f t="shared" si="93"/>
        <v>-</v>
      </c>
      <c r="BL117" s="435" t="str">
        <f t="shared" si="93"/>
        <v>-</v>
      </c>
    </row>
    <row r="118" spans="1:64" ht="15" customHeight="1" outlineLevel="1" x14ac:dyDescent="0.25">
      <c r="A118" s="404"/>
      <c r="B118" s="721"/>
      <c r="C118" s="668"/>
      <c r="D118" s="411"/>
      <c r="E118" s="411"/>
      <c r="F118" s="411"/>
      <c r="G118" s="411"/>
      <c r="H118" s="411"/>
      <c r="I118" s="411"/>
      <c r="J118" s="411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434"/>
      <c r="X118" s="434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BC118" s="401" t="str">
        <f t="shared" si="81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ht="15" customHeight="1" outlineLevel="1" x14ac:dyDescent="0.25">
      <c r="A119" s="404"/>
      <c r="B119" s="721"/>
      <c r="C119" s="668"/>
      <c r="D119" s="411"/>
      <c r="E119" s="411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434"/>
      <c r="X119" s="434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BC119" s="401" t="str">
        <f t="shared" si="81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ht="15" customHeight="1" outlineLevel="1" x14ac:dyDescent="0.25">
      <c r="A120" s="404"/>
      <c r="B120" s="721"/>
      <c r="C120" s="668"/>
      <c r="D120" s="411"/>
      <c r="E120" s="411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434"/>
      <c r="X120" s="434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BC120" s="401" t="str">
        <f t="shared" si="81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ht="15" customHeight="1" outlineLevel="1" x14ac:dyDescent="0.25">
      <c r="A121" s="404"/>
      <c r="B121" s="721"/>
      <c r="C121" s="668"/>
      <c r="D121" s="411"/>
      <c r="E121" s="411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434"/>
      <c r="X121" s="434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BC121" s="401" t="str">
        <f t="shared" si="81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L121" si="94">IF(OR($C106="-",$C106="CET",$C106=""),"-",$C106)</f>
        <v>-</v>
      </c>
      <c r="BG121" s="435" t="str">
        <f t="shared" si="94"/>
        <v>-</v>
      </c>
      <c r="BH121" s="435" t="str">
        <f t="shared" si="94"/>
        <v>-</v>
      </c>
      <c r="BI121" s="435" t="str">
        <f t="shared" si="94"/>
        <v>-</v>
      </c>
      <c r="BJ121" s="435" t="str">
        <f t="shared" si="94"/>
        <v>-</v>
      </c>
      <c r="BK121" s="435" t="str">
        <f t="shared" si="94"/>
        <v>-</v>
      </c>
      <c r="BL121" s="435" t="str">
        <f t="shared" si="94"/>
        <v>-</v>
      </c>
    </row>
    <row r="122" spans="1:64" outlineLevel="1" x14ac:dyDescent="0.25">
      <c r="B122" s="721"/>
      <c r="C122" s="668"/>
      <c r="D122" s="411"/>
      <c r="E122" s="411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BC122" s="401" t="str">
        <f t="shared" si="81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ht="15.75" outlineLevel="1" thickBot="1" x14ac:dyDescent="0.3">
      <c r="B123" s="722"/>
      <c r="C123" s="723"/>
      <c r="D123" s="469"/>
      <c r="E123" s="469"/>
      <c r="F123" s="469"/>
      <c r="G123" s="469"/>
      <c r="H123" s="469"/>
      <c r="I123" s="469"/>
      <c r="J123" s="469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BC123" s="401" t="str">
        <f t="shared" si="81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ht="15" customHeight="1" x14ac:dyDescent="0.25">
      <c r="A124" s="396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BC124" s="401" t="str">
        <f t="shared" si="81"/>
        <v>-</v>
      </c>
    </row>
    <row r="125" spans="1:64" ht="15" customHeight="1" x14ac:dyDescent="0.25">
      <c r="A125" s="396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BC125" s="401" t="str">
        <f t="shared" si="81"/>
        <v>-</v>
      </c>
    </row>
    <row r="126" spans="1:64" ht="15" customHeight="1" thickBot="1" x14ac:dyDescent="0.3">
      <c r="A126" s="396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BC126" s="401" t="str">
        <f t="shared" si="81"/>
        <v>-</v>
      </c>
    </row>
    <row r="127" spans="1:64" ht="24.95" customHeight="1" thickBot="1" x14ac:dyDescent="0.3">
      <c r="A127" s="396"/>
      <c r="B127" s="415">
        <v>6</v>
      </c>
      <c r="C127" s="706" t="s">
        <v>118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427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BC127" s="401" t="str">
        <f t="shared" si="81"/>
        <v>-</v>
      </c>
    </row>
    <row r="128" spans="1:64" ht="15" customHeight="1" outlineLevel="1" thickBot="1" x14ac:dyDescent="0.3">
      <c r="A128" s="396"/>
      <c r="B128" s="456"/>
      <c r="C128" s="457"/>
      <c r="D128" s="457"/>
      <c r="E128" s="457"/>
      <c r="F128" s="457"/>
      <c r="G128" s="457"/>
      <c r="H128" s="457"/>
      <c r="I128" s="457"/>
      <c r="J128" s="457"/>
      <c r="K128" s="421"/>
      <c r="L128" s="421"/>
      <c r="M128" s="421"/>
      <c r="N128" s="457"/>
      <c r="O128" s="457"/>
      <c r="P128" s="457"/>
      <c r="Q128" s="457"/>
      <c r="R128" s="457"/>
      <c r="S128" s="457"/>
      <c r="T128" s="422"/>
      <c r="U128" s="422"/>
      <c r="V128" s="423"/>
      <c r="W128" s="434"/>
      <c r="X128" s="434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BC128" s="401" t="str">
        <f t="shared" si="81"/>
        <v>-</v>
      </c>
      <c r="BD128" s="429" t="s">
        <v>85</v>
      </c>
      <c r="BE128" s="430" t="str">
        <f>F$4</f>
        <v>NMHC 
[g/km]</v>
      </c>
      <c r="BF128" s="430" t="str">
        <f t="shared" ref="BF128:BL128" si="95">G$4</f>
        <v>THC
[g/km]</v>
      </c>
      <c r="BG128" s="430" t="str">
        <f t="shared" si="95"/>
        <v>CO
[g/km]</v>
      </c>
      <c r="BH128" s="430" t="str">
        <f t="shared" si="95"/>
        <v>NOx
[g/km]</v>
      </c>
      <c r="BI128" s="430" t="str">
        <f t="shared" si="95"/>
        <v>PM
[mg/km]</v>
      </c>
      <c r="BJ128" s="430" t="str">
        <f t="shared" si="95"/>
        <v>PN
[#/km]</v>
      </c>
      <c r="BK128" s="430" t="str">
        <f t="shared" si="95"/>
        <v>Additional
component</v>
      </c>
      <c r="BL128" s="430" t="str">
        <f t="shared" si="95"/>
        <v>Additional
component 2</v>
      </c>
    </row>
    <row r="129" spans="1:64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434"/>
      <c r="X129" s="434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BC129" s="401" t="str">
        <f t="shared" si="81"/>
        <v>-</v>
      </c>
      <c r="BD129" s="429" t="str">
        <f>$E$4</f>
        <v>BS 6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96">G$4</f>
        <v>THC
[g/km]</v>
      </c>
      <c r="H130" s="425" t="str">
        <f t="shared" si="96"/>
        <v>CO
[g/km]</v>
      </c>
      <c r="I130" s="425" t="str">
        <f t="shared" si="96"/>
        <v>NOx
[g/km]</v>
      </c>
      <c r="J130" s="425" t="str">
        <f t="shared" si="96"/>
        <v>PM
[mg/km]</v>
      </c>
      <c r="K130" s="425" t="str">
        <f t="shared" si="96"/>
        <v>PN
[#/km]</v>
      </c>
      <c r="L130" s="426" t="str">
        <f t="shared" si="96"/>
        <v>Additional
component</v>
      </c>
      <c r="M130" s="426" t="str">
        <f t="shared" si="96"/>
        <v>Additional
component 2</v>
      </c>
      <c r="N130" s="425" t="str">
        <f t="shared" si="96"/>
        <v>CO2
[g/km]</v>
      </c>
      <c r="O130" s="669"/>
      <c r="P130" s="670"/>
      <c r="Q130" s="670"/>
      <c r="R130" s="671"/>
      <c r="S130" s="669"/>
      <c r="T130" s="670"/>
      <c r="U130" s="670"/>
      <c r="V130" s="671"/>
      <c r="W130" s="434"/>
      <c r="X130" s="434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401" t="str">
        <f t="shared" si="81"/>
        <v>-</v>
      </c>
      <c r="BD130" s="429" t="str">
        <f>"1st " &amp;  B131</f>
        <v>1st normal</v>
      </c>
      <c r="BE130" s="435" t="str">
        <f t="shared" ref="BE130:BL130" si="97">IF((OR($C133="-",$C133="CET",$C133="")),"-",IF(AND(OR(F131="-",F131=""),OR(F132="-",F132="")),"-",IF(NOT(OR(F131="-",F131="")),F131/F$5,F132/F$5)))</f>
        <v>-</v>
      </c>
      <c r="BF130" s="435" t="str">
        <f t="shared" si="97"/>
        <v>-</v>
      </c>
      <c r="BG130" s="435" t="str">
        <f t="shared" si="97"/>
        <v>-</v>
      </c>
      <c r="BH130" s="435" t="str">
        <f t="shared" si="97"/>
        <v>-</v>
      </c>
      <c r="BI130" s="435" t="str">
        <f t="shared" si="97"/>
        <v>-</v>
      </c>
      <c r="BJ130" s="435" t="str">
        <f t="shared" si="97"/>
        <v>-</v>
      </c>
      <c r="BK130" s="435" t="str">
        <f t="shared" si="97"/>
        <v>-</v>
      </c>
      <c r="BL130" s="435" t="str">
        <f t="shared" si="97"/>
        <v>-</v>
      </c>
    </row>
    <row r="131" spans="1:64" s="405" customFormat="1" ht="15" customHeight="1" outlineLevel="1" x14ac:dyDescent="0.25">
      <c r="A131" s="439"/>
      <c r="B131" s="724" t="s">
        <v>116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81"/>
        <v>-</v>
      </c>
      <c r="BD131" s="429" t="str">
        <f>"1st " &amp; B136</f>
        <v>1st aggressive</v>
      </c>
      <c r="BE131" s="435" t="str">
        <f t="shared" ref="BE131:BL131" si="98">IF((OR($C138="-",$C138="CET",$C138="")),"-",IF(AND(OR(F136="-",F136=""),OR(F137="-",F137="")),"-",IF(NOT(OR(F136="-",F136="")),F136/F$5,F137/F$5)))</f>
        <v>-</v>
      </c>
      <c r="BF131" s="435" t="str">
        <f t="shared" si="98"/>
        <v>-</v>
      </c>
      <c r="BG131" s="435" t="str">
        <f t="shared" si="98"/>
        <v>-</v>
      </c>
      <c r="BH131" s="435" t="str">
        <f t="shared" si="98"/>
        <v>-</v>
      </c>
      <c r="BI131" s="435" t="str">
        <f t="shared" si="98"/>
        <v>-</v>
      </c>
      <c r="BJ131" s="435" t="str">
        <f t="shared" si="98"/>
        <v>-</v>
      </c>
      <c r="BK131" s="435" t="str">
        <f t="shared" si="98"/>
        <v>-</v>
      </c>
      <c r="BL131" s="435" t="str">
        <f t="shared" si="98"/>
        <v>-</v>
      </c>
    </row>
    <row r="132" spans="1:64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434"/>
      <c r="X132" s="434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BC132" s="401" t="str">
        <f t="shared" si="81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ht="15" customHeight="1" outlineLevel="1" thickBot="1" x14ac:dyDescent="0.3">
      <c r="A133" s="396"/>
      <c r="B133" s="725"/>
      <c r="C133" s="686">
        <v>2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99">IF(OR(F132="-",F132=""),IF(OR(F131="-",F131=""),"-",F131),IF(OR(F131="-",F131=""),F132,(F131+F132)/2))</f>
        <v>-</v>
      </c>
      <c r="G133" s="445" t="str">
        <f t="shared" si="99"/>
        <v>-</v>
      </c>
      <c r="H133" s="445" t="str">
        <f t="shared" si="99"/>
        <v>-</v>
      </c>
      <c r="I133" s="445" t="str">
        <f t="shared" si="99"/>
        <v>-</v>
      </c>
      <c r="J133" s="445" t="str">
        <f t="shared" si="99"/>
        <v>-</v>
      </c>
      <c r="K133" s="446" t="str">
        <f t="shared" si="99"/>
        <v>-</v>
      </c>
      <c r="L133" s="446" t="str">
        <f t="shared" si="99"/>
        <v>-</v>
      </c>
      <c r="M133" s="446" t="str">
        <f t="shared" si="99"/>
        <v>-</v>
      </c>
      <c r="N133" s="445" t="str">
        <f t="shared" si="99"/>
        <v>-</v>
      </c>
      <c r="O133" s="672"/>
      <c r="P133" s="673"/>
      <c r="Q133" s="673"/>
      <c r="R133" s="674"/>
      <c r="S133" s="672"/>
      <c r="T133" s="673"/>
      <c r="U133" s="673"/>
      <c r="V133" s="674"/>
      <c r="W133" s="434"/>
      <c r="X133" s="434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BC133" s="401" t="str">
        <f t="shared" si="81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100">IF(OR($C133="-",$C133="CET",$C133=""),"-",IF(AND(NOT(F133="-"),NOT(F$5="-"),NOT(F$5="")),F133/F$5,"-"))</f>
        <v>-</v>
      </c>
      <c r="G134" s="448" t="str">
        <f t="shared" si="100"/>
        <v>-</v>
      </c>
      <c r="H134" s="448" t="str">
        <f t="shared" si="100"/>
        <v>-</v>
      </c>
      <c r="I134" s="448" t="str">
        <f t="shared" si="100"/>
        <v>-</v>
      </c>
      <c r="J134" s="448" t="str">
        <f t="shared" si="100"/>
        <v>-</v>
      </c>
      <c r="K134" s="449" t="str">
        <f t="shared" si="100"/>
        <v>-</v>
      </c>
      <c r="L134" s="449" t="str">
        <f t="shared" si="100"/>
        <v>-</v>
      </c>
      <c r="M134" s="449" t="str">
        <f t="shared" si="100"/>
        <v>-</v>
      </c>
      <c r="N134" s="448" t="str">
        <f t="shared" si="100"/>
        <v>-</v>
      </c>
      <c r="O134" s="672"/>
      <c r="P134" s="673"/>
      <c r="Q134" s="673"/>
      <c r="R134" s="674"/>
      <c r="S134" s="672"/>
      <c r="T134" s="673"/>
      <c r="U134" s="673"/>
      <c r="V134" s="674"/>
      <c r="W134" s="434"/>
      <c r="X134" s="434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BC134" s="401" t="str">
        <f t="shared" si="81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ht="15" customHeight="1" outlineLevel="1" thickBot="1" x14ac:dyDescent="0.3">
      <c r="A135" s="396"/>
      <c r="B135" s="726"/>
      <c r="C135" s="688"/>
      <c r="D135" s="691"/>
      <c r="E135" s="450" t="s">
        <v>30</v>
      </c>
      <c r="F135" s="451" t="str">
        <f t="shared" ref="F135:N135" si="101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101"/>
        <v>-</v>
      </c>
      <c r="H135" s="451" t="str">
        <f t="shared" si="101"/>
        <v>-</v>
      </c>
      <c r="I135" s="451" t="str">
        <f t="shared" si="101"/>
        <v>-</v>
      </c>
      <c r="J135" s="451" t="str">
        <f t="shared" si="101"/>
        <v>-</v>
      </c>
      <c r="K135" s="452" t="str">
        <f t="shared" si="101"/>
        <v>-</v>
      </c>
      <c r="L135" s="452" t="str">
        <f t="shared" si="101"/>
        <v>-</v>
      </c>
      <c r="M135" s="452" t="str">
        <f t="shared" si="101"/>
        <v>-</v>
      </c>
      <c r="N135" s="451" t="str">
        <f t="shared" si="101"/>
        <v>-</v>
      </c>
      <c r="O135" s="672"/>
      <c r="P135" s="673"/>
      <c r="Q135" s="673"/>
      <c r="R135" s="674"/>
      <c r="S135" s="672"/>
      <c r="T135" s="673"/>
      <c r="U135" s="673"/>
      <c r="V135" s="674"/>
      <c r="W135" s="434"/>
      <c r="X135" s="434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BC135" s="401" t="str">
        <f t="shared" si="81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4" t="s">
        <v>115</v>
      </c>
      <c r="C136" s="684" t="s">
        <v>114</v>
      </c>
      <c r="D136" s="684" t="s">
        <v>113</v>
      </c>
      <c r="E136" s="453" t="s">
        <v>94</v>
      </c>
      <c r="F136" s="473" t="s">
        <v>5</v>
      </c>
      <c r="G136" s="473" t="s">
        <v>5</v>
      </c>
      <c r="H136" s="473" t="s">
        <v>5</v>
      </c>
      <c r="I136" s="473" t="s">
        <v>5</v>
      </c>
      <c r="J136" s="473" t="s">
        <v>5</v>
      </c>
      <c r="K136" s="474" t="s">
        <v>5</v>
      </c>
      <c r="L136" s="474" t="s">
        <v>5</v>
      </c>
      <c r="M136" s="474" t="s">
        <v>5</v>
      </c>
      <c r="N136" s="473" t="s">
        <v>5</v>
      </c>
      <c r="O136" s="672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81"/>
        <v>-</v>
      </c>
      <c r="BD136" s="429" t="str">
        <f>"0.7*IEF " &amp; (B131)</f>
        <v>0.7*IEF normal</v>
      </c>
      <c r="BE136" s="435">
        <f t="shared" ref="BE136:BL136" si="102">IF(OR($C133="-",$C133="CET",$C133=""),"-",0.7*$C133)</f>
        <v>1.4</v>
      </c>
      <c r="BF136" s="435">
        <f t="shared" si="102"/>
        <v>1.4</v>
      </c>
      <c r="BG136" s="435">
        <f t="shared" si="102"/>
        <v>1.4</v>
      </c>
      <c r="BH136" s="435">
        <f t="shared" si="102"/>
        <v>1.4</v>
      </c>
      <c r="BI136" s="435">
        <f t="shared" si="102"/>
        <v>1.4</v>
      </c>
      <c r="BJ136" s="435">
        <f t="shared" si="102"/>
        <v>1.4</v>
      </c>
      <c r="BK136" s="435">
        <f t="shared" si="102"/>
        <v>1.4</v>
      </c>
      <c r="BL136" s="435">
        <f t="shared" si="102"/>
        <v>1.4</v>
      </c>
    </row>
    <row r="137" spans="1:64" ht="15" customHeight="1" outlineLevel="1" thickBot="1" x14ac:dyDescent="0.3">
      <c r="A137" s="396"/>
      <c r="B137" s="725"/>
      <c r="C137" s="702"/>
      <c r="D137" s="685"/>
      <c r="E137" s="440" t="s">
        <v>95</v>
      </c>
      <c r="F137" s="475" t="s">
        <v>5</v>
      </c>
      <c r="G137" s="475" t="s">
        <v>5</v>
      </c>
      <c r="H137" s="475" t="s">
        <v>5</v>
      </c>
      <c r="I137" s="475" t="s">
        <v>5</v>
      </c>
      <c r="J137" s="475" t="s">
        <v>5</v>
      </c>
      <c r="K137" s="476" t="s">
        <v>5</v>
      </c>
      <c r="L137" s="476" t="s">
        <v>5</v>
      </c>
      <c r="M137" s="476" t="s">
        <v>5</v>
      </c>
      <c r="N137" s="475" t="s">
        <v>5</v>
      </c>
      <c r="O137" s="672"/>
      <c r="P137" s="673"/>
      <c r="Q137" s="673"/>
      <c r="R137" s="674"/>
      <c r="S137" s="672"/>
      <c r="T137" s="673"/>
      <c r="U137" s="673"/>
      <c r="V137" s="674"/>
      <c r="W137" s="434"/>
      <c r="X137" s="434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BC137" s="401" t="str">
        <f t="shared" si="81"/>
        <v>-</v>
      </c>
      <c r="BD137" s="429" t="str">
        <f>"0.7*IEF " &amp; B136</f>
        <v>0.7*IEF aggressive</v>
      </c>
      <c r="BE137" s="435">
        <f t="shared" ref="BE137:BL137" si="103">IF(OR($C138="-",$C138="CET",$C138=""),"-",0.7*$C138)</f>
        <v>2.8</v>
      </c>
      <c r="BF137" s="435">
        <f t="shared" si="103"/>
        <v>2.8</v>
      </c>
      <c r="BG137" s="435">
        <f t="shared" si="103"/>
        <v>2.8</v>
      </c>
      <c r="BH137" s="435">
        <f t="shared" si="103"/>
        <v>2.8</v>
      </c>
      <c r="BI137" s="435">
        <f t="shared" si="103"/>
        <v>2.8</v>
      </c>
      <c r="BJ137" s="435">
        <f t="shared" si="103"/>
        <v>2.8</v>
      </c>
      <c r="BK137" s="435">
        <f t="shared" si="103"/>
        <v>2.8</v>
      </c>
      <c r="BL137" s="435">
        <f t="shared" si="103"/>
        <v>2.8</v>
      </c>
    </row>
    <row r="138" spans="1:64" ht="15" customHeight="1" outlineLevel="1" thickBot="1" x14ac:dyDescent="0.3">
      <c r="A138" s="396"/>
      <c r="B138" s="725"/>
      <c r="C138" s="686">
        <v>4</v>
      </c>
      <c r="D138" s="689" t="str">
        <f>IF(AND(F139="-",G139="-",H139="-",I139="-",J139="-",K139="-",L139="-",M139="-"),"-",MAX(F139,G139,H139,I139,J139,K139,L139,M139))</f>
        <v>-</v>
      </c>
      <c r="E138" s="444" t="s">
        <v>96</v>
      </c>
      <c r="F138" s="445" t="str">
        <f t="shared" ref="F138:N138" si="104">IF(OR(F137="-",F137=""),IF(OR(F136="-",F136=""),"-",F136),IF(OR(F136="-",F136=""),F137,(F136+F137)/2))</f>
        <v>-</v>
      </c>
      <c r="G138" s="445" t="str">
        <f t="shared" si="104"/>
        <v>-</v>
      </c>
      <c r="H138" s="445" t="str">
        <f t="shared" si="104"/>
        <v>-</v>
      </c>
      <c r="I138" s="445" t="str">
        <f t="shared" si="104"/>
        <v>-</v>
      </c>
      <c r="J138" s="445" t="str">
        <f t="shared" si="104"/>
        <v>-</v>
      </c>
      <c r="K138" s="446" t="str">
        <f t="shared" si="104"/>
        <v>-</v>
      </c>
      <c r="L138" s="446" t="str">
        <f t="shared" si="104"/>
        <v>-</v>
      </c>
      <c r="M138" s="446" t="str">
        <f t="shared" si="104"/>
        <v>-</v>
      </c>
      <c r="N138" s="445" t="str">
        <f t="shared" si="104"/>
        <v>-</v>
      </c>
      <c r="O138" s="672"/>
      <c r="P138" s="673"/>
      <c r="Q138" s="673"/>
      <c r="R138" s="674"/>
      <c r="S138" s="672"/>
      <c r="T138" s="673"/>
      <c r="U138" s="673"/>
      <c r="V138" s="674"/>
      <c r="W138" s="434"/>
      <c r="X138" s="434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BC138" s="401" t="str">
        <f t="shared" si="81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ht="15" customHeight="1" outlineLevel="1" thickBot="1" x14ac:dyDescent="0.3">
      <c r="A139" s="404"/>
      <c r="B139" s="725"/>
      <c r="C139" s="687"/>
      <c r="D139" s="690"/>
      <c r="E139" s="447" t="s">
        <v>97</v>
      </c>
      <c r="F139" s="448" t="str">
        <f t="shared" ref="F139:N139" si="105">IF(OR($C138="-",$C138="CET",$C138=""),"-",IF(AND(NOT(F138="-"),NOT(F$5="-"),NOT(F$5="")),F138/F$5,"-"))</f>
        <v>-</v>
      </c>
      <c r="G139" s="448" t="str">
        <f t="shared" si="105"/>
        <v>-</v>
      </c>
      <c r="H139" s="448" t="str">
        <f t="shared" si="105"/>
        <v>-</v>
      </c>
      <c r="I139" s="448" t="str">
        <f t="shared" si="105"/>
        <v>-</v>
      </c>
      <c r="J139" s="448" t="str">
        <f t="shared" si="105"/>
        <v>-</v>
      </c>
      <c r="K139" s="449" t="str">
        <f t="shared" si="105"/>
        <v>-</v>
      </c>
      <c r="L139" s="449" t="str">
        <f t="shared" si="105"/>
        <v>-</v>
      </c>
      <c r="M139" s="449" t="str">
        <f t="shared" si="105"/>
        <v>-</v>
      </c>
      <c r="N139" s="448" t="str">
        <f t="shared" si="105"/>
        <v>-</v>
      </c>
      <c r="O139" s="672"/>
      <c r="P139" s="673"/>
      <c r="Q139" s="673"/>
      <c r="R139" s="674"/>
      <c r="S139" s="672"/>
      <c r="T139" s="673"/>
      <c r="U139" s="673"/>
      <c r="V139" s="674"/>
      <c r="W139" s="434"/>
      <c r="X139" s="434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BC139" s="401" t="str">
        <f t="shared" si="81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ht="15" customHeight="1" outlineLevel="1" thickBot="1" x14ac:dyDescent="0.3">
      <c r="A140" s="404"/>
      <c r="B140" s="726"/>
      <c r="C140" s="688"/>
      <c r="D140" s="691"/>
      <c r="E140" s="451" t="s">
        <v>30</v>
      </c>
      <c r="F140" s="451" t="str">
        <f t="shared" ref="F140:N140" si="106">IF(AND(OR(F136="-",F136=""),OR(F137="-",F137="")),"-",IF(OR($C138="-",$C138="",$C138="CET"),"-",IF($R$127="not listed","-",IF(NOT(F$5="-"),IF(AND(AND(NOT(F136=0),NOT(F136="-"),NOT(F136="")),AND(NOT(F137="-"),NOT(F137=0),NOT(F137=""))),IF(AND((F136+F137)/2&lt;1*F$5*IF(OR($C138="CET",$C138="-",$C138=""),"-",$C138),F136&lt;1.1*F$5*IF(OR($C138="CET",$C138="-",$C138=""),"-",$C138),F137&lt;1.1*F$5*IF(OR($C138="CET",$C138="-",$C138=""),"-",$C138)),"passed","refused"),IF(IF(OR(F136="-",F136=""),F137,F136)&lt;0.7*F$5*IF(OR($C138="CET",$C138="-",$C138=""),"-",$C138),"passed",IF(IF(OR(F136="-",F136=""),F137,F136)&lt;1.1*IF(OR($C138="CET",$C138="-",$C138=""),"-",$C138)*F$5,"failed","refused"))),"-"))))</f>
        <v>-</v>
      </c>
      <c r="G140" s="451" t="str">
        <f t="shared" si="106"/>
        <v>-</v>
      </c>
      <c r="H140" s="451" t="str">
        <f t="shared" si="106"/>
        <v>-</v>
      </c>
      <c r="I140" s="451" t="str">
        <f t="shared" si="106"/>
        <v>-</v>
      </c>
      <c r="J140" s="451" t="str">
        <f t="shared" si="106"/>
        <v>-</v>
      </c>
      <c r="K140" s="452" t="str">
        <f t="shared" si="106"/>
        <v>-</v>
      </c>
      <c r="L140" s="452" t="str">
        <f t="shared" si="106"/>
        <v>-</v>
      </c>
      <c r="M140" s="452" t="str">
        <f t="shared" si="106"/>
        <v>-</v>
      </c>
      <c r="N140" s="451" t="str">
        <f t="shared" si="106"/>
        <v>-</v>
      </c>
      <c r="O140" s="672"/>
      <c r="P140" s="673"/>
      <c r="Q140" s="673"/>
      <c r="R140" s="674"/>
      <c r="S140" s="672"/>
      <c r="T140" s="673"/>
      <c r="U140" s="673"/>
      <c r="V140" s="674"/>
      <c r="W140" s="434"/>
      <c r="X140" s="434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BC140" s="401" t="str">
        <f t="shared" si="81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78"/>
      <c r="C141" s="479"/>
      <c r="D141" s="479"/>
      <c r="E141" s="480"/>
      <c r="F141" s="481"/>
      <c r="G141" s="481"/>
      <c r="H141" s="481"/>
      <c r="I141" s="481"/>
      <c r="J141" s="481"/>
      <c r="K141" s="482"/>
      <c r="L141" s="482"/>
      <c r="M141" s="482"/>
      <c r="N141" s="483"/>
      <c r="O141" s="672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81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434"/>
      <c r="X142" s="434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BC142" s="401" t="str">
        <f t="shared" si="81"/>
        <v>-</v>
      </c>
      <c r="BD142" s="429" t="str">
        <f>$B131</f>
        <v>normal</v>
      </c>
      <c r="BE142" s="435" t="str">
        <f t="shared" ref="BE142:BL142" si="107">F134</f>
        <v>-</v>
      </c>
      <c r="BF142" s="435" t="str">
        <f t="shared" si="107"/>
        <v>-</v>
      </c>
      <c r="BG142" s="435" t="str">
        <f t="shared" si="107"/>
        <v>-</v>
      </c>
      <c r="BH142" s="435" t="str">
        <f t="shared" si="107"/>
        <v>-</v>
      </c>
      <c r="BI142" s="435" t="str">
        <f t="shared" si="107"/>
        <v>-</v>
      </c>
      <c r="BJ142" s="435" t="str">
        <f t="shared" si="107"/>
        <v>-</v>
      </c>
      <c r="BK142" s="435" t="str">
        <f t="shared" si="107"/>
        <v>-</v>
      </c>
      <c r="BL142" s="435" t="str">
        <f t="shared" si="107"/>
        <v>-</v>
      </c>
    </row>
    <row r="143" spans="1:64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2"/>
      <c r="P143" s="673"/>
      <c r="Q143" s="673"/>
      <c r="R143" s="674"/>
      <c r="S143" s="672"/>
      <c r="T143" s="673"/>
      <c r="U143" s="673"/>
      <c r="V143" s="674"/>
      <c r="W143" s="434"/>
      <c r="X143" s="434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BC143" s="401" t="str">
        <f t="shared" si="81"/>
        <v>-</v>
      </c>
      <c r="BD143" s="429" t="str">
        <f>$B136</f>
        <v>aggressive</v>
      </c>
      <c r="BE143" s="435" t="str">
        <f t="shared" ref="BE143:BL143" si="108">F139</f>
        <v>-</v>
      </c>
      <c r="BF143" s="435" t="str">
        <f t="shared" si="108"/>
        <v>-</v>
      </c>
      <c r="BG143" s="435" t="str">
        <f t="shared" si="108"/>
        <v>-</v>
      </c>
      <c r="BH143" s="435" t="str">
        <f t="shared" si="108"/>
        <v>-</v>
      </c>
      <c r="BI143" s="435" t="str">
        <f t="shared" si="108"/>
        <v>-</v>
      </c>
      <c r="BJ143" s="435" t="str">
        <f t="shared" si="108"/>
        <v>-</v>
      </c>
      <c r="BK143" s="435" t="str">
        <f t="shared" si="108"/>
        <v>-</v>
      </c>
      <c r="BL143" s="435" t="str">
        <f t="shared" si="108"/>
        <v>-</v>
      </c>
    </row>
    <row r="144" spans="1:64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2"/>
      <c r="P144" s="673"/>
      <c r="Q144" s="673"/>
      <c r="R144" s="674"/>
      <c r="S144" s="672"/>
      <c r="T144" s="673"/>
      <c r="U144" s="673"/>
      <c r="V144" s="674"/>
      <c r="W144" s="434"/>
      <c r="X144" s="434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BC144" s="401" t="str">
        <f t="shared" si="81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2"/>
      <c r="P145" s="673"/>
      <c r="Q145" s="673"/>
      <c r="R145" s="674"/>
      <c r="S145" s="672"/>
      <c r="T145" s="673"/>
      <c r="U145" s="673"/>
      <c r="V145" s="674"/>
      <c r="W145" s="434"/>
      <c r="X145" s="434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BC145" s="401" t="str">
        <f t="shared" si="81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ref="BC146:BC187" si="109">IF(COUNTIF(F146:M146,"refused")&gt;0,"refused",IF(COUNTIF(F146:M146,"failed")&gt;0,"failed",IF(COUNTIF(F146:M146,"passed")&gt;0,"passed","-")))</f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434"/>
      <c r="X147" s="434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BC147" s="401" t="str">
        <f t="shared" si="109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2"/>
      <c r="P148" s="673"/>
      <c r="Q148" s="673"/>
      <c r="R148" s="674"/>
      <c r="S148" s="672"/>
      <c r="T148" s="673"/>
      <c r="U148" s="673"/>
      <c r="V148" s="674"/>
      <c r="W148" s="434"/>
      <c r="X148" s="434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BC148" s="401" t="str">
        <f t="shared" si="109"/>
        <v>-</v>
      </c>
      <c r="BD148" s="429" t="str">
        <f>"IEF " &amp;B131</f>
        <v>IEF normal</v>
      </c>
      <c r="BE148" s="435">
        <f t="shared" ref="BE148:BL148" si="110">IF(OR($C133="-",$C133="CET",$C133=""),"-",$C133)</f>
        <v>2</v>
      </c>
      <c r="BF148" s="435">
        <f t="shared" si="110"/>
        <v>2</v>
      </c>
      <c r="BG148" s="435">
        <f t="shared" si="110"/>
        <v>2</v>
      </c>
      <c r="BH148" s="435">
        <f t="shared" si="110"/>
        <v>2</v>
      </c>
      <c r="BI148" s="435">
        <f t="shared" si="110"/>
        <v>2</v>
      </c>
      <c r="BJ148" s="435">
        <f t="shared" si="110"/>
        <v>2</v>
      </c>
      <c r="BK148" s="435">
        <f t="shared" si="110"/>
        <v>2</v>
      </c>
      <c r="BL148" s="435">
        <f t="shared" si="110"/>
        <v>2</v>
      </c>
    </row>
    <row r="149" spans="1:64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2"/>
      <c r="P149" s="673"/>
      <c r="Q149" s="673"/>
      <c r="R149" s="674"/>
      <c r="S149" s="672"/>
      <c r="T149" s="673"/>
      <c r="U149" s="673"/>
      <c r="V149" s="674"/>
      <c r="W149" s="434"/>
      <c r="X149" s="434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BC149" s="401" t="str">
        <f t="shared" si="109"/>
        <v>-</v>
      </c>
      <c r="BD149" s="429" t="str">
        <f>"IEF " &amp; B136</f>
        <v>IEF aggressive</v>
      </c>
      <c r="BE149" s="435">
        <f t="shared" ref="BE149:BL149" si="111">IF(OR($C138="-",$C138="CET",$C138=""),"-",$C138)</f>
        <v>4</v>
      </c>
      <c r="BF149" s="435">
        <f t="shared" si="111"/>
        <v>4</v>
      </c>
      <c r="BG149" s="435">
        <f t="shared" si="111"/>
        <v>4</v>
      </c>
      <c r="BH149" s="435">
        <f t="shared" si="111"/>
        <v>4</v>
      </c>
      <c r="BI149" s="435">
        <f t="shared" si="111"/>
        <v>4</v>
      </c>
      <c r="BJ149" s="435">
        <f t="shared" si="111"/>
        <v>4</v>
      </c>
      <c r="BK149" s="435">
        <f t="shared" si="111"/>
        <v>4</v>
      </c>
      <c r="BL149" s="435">
        <f t="shared" si="111"/>
        <v>4</v>
      </c>
    </row>
    <row r="150" spans="1:64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5"/>
      <c r="P150" s="676"/>
      <c r="Q150" s="676"/>
      <c r="R150" s="677"/>
      <c r="S150" s="675"/>
      <c r="T150" s="676"/>
      <c r="U150" s="676"/>
      <c r="V150" s="677"/>
      <c r="W150" s="434"/>
      <c r="X150" s="434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BC150" s="401" t="str">
        <f t="shared" si="109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109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434"/>
      <c r="X152" s="434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BC152" s="401" t="str">
        <f t="shared" si="109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ht="15" customHeight="1" thickBot="1" x14ac:dyDescent="0.3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434"/>
      <c r="X153" s="434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BC153" s="401" t="str">
        <f t="shared" si="109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  <row r="154" spans="1:64" ht="24.95" customHeight="1" thickBot="1" x14ac:dyDescent="0.3">
      <c r="A154" s="396"/>
      <c r="B154" s="415">
        <v>7</v>
      </c>
      <c r="C154" s="706" t="s">
        <v>52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79</v>
      </c>
      <c r="P154" s="398" t="str">
        <f>IF(COUNTIF(F162:N187,"refused")&gt;0,"refused",IF(COUNTIF(F162:N187,"failed")&gt;0,"failed",IF(COUNTIF(F162:N187,"passed")&gt;0,"passed","-")))</f>
        <v>-</v>
      </c>
      <c r="Q154" s="399" t="s">
        <v>80</v>
      </c>
      <c r="R154" s="399" t="str">
        <f>IF(COUNT(F158:M159,F163:M164,F168:M169,F173:M174,F178:M179,F183:M184)&gt;0,"listed","not listed")</f>
        <v>not listed</v>
      </c>
      <c r="S154" s="502">
        <f>MAX(D160,D165,D170,D175,D180,D185)</f>
        <v>0</v>
      </c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BC154" s="401" t="str">
        <f t="shared" si="109"/>
        <v>-</v>
      </c>
    </row>
    <row r="155" spans="1:64" ht="15" customHeight="1" outlineLevel="1" thickBot="1" x14ac:dyDescent="0.3">
      <c r="A155" s="396"/>
      <c r="B155" s="456"/>
      <c r="C155" s="457"/>
      <c r="D155" s="457"/>
      <c r="E155" s="457"/>
      <c r="F155" s="457"/>
      <c r="G155" s="457"/>
      <c r="H155" s="457"/>
      <c r="I155" s="457"/>
      <c r="J155" s="457"/>
      <c r="K155" s="421"/>
      <c r="L155" s="421"/>
      <c r="M155" s="421"/>
      <c r="N155" s="457"/>
      <c r="O155" s="457"/>
      <c r="P155" s="457"/>
      <c r="Q155" s="457"/>
      <c r="R155" s="457"/>
      <c r="S155" s="457"/>
      <c r="T155" s="422"/>
      <c r="U155" s="422"/>
      <c r="V155" s="423"/>
      <c r="W155" s="434"/>
      <c r="X155" s="434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BC155" s="401" t="str">
        <f t="shared" si="109"/>
        <v>-</v>
      </c>
      <c r="BD155" s="429" t="s">
        <v>85</v>
      </c>
      <c r="BE155" s="430" t="str">
        <f>F$4</f>
        <v>NMHC 
[g/km]</v>
      </c>
      <c r="BF155" s="430" t="str">
        <f t="shared" ref="BF155:BL155" si="112">G$4</f>
        <v>THC
[g/km]</v>
      </c>
      <c r="BG155" s="430" t="str">
        <f t="shared" si="112"/>
        <v>CO
[g/km]</v>
      </c>
      <c r="BH155" s="430" t="str">
        <f t="shared" si="112"/>
        <v>NOx
[g/km]</v>
      </c>
      <c r="BI155" s="430" t="str">
        <f t="shared" si="112"/>
        <v>PM
[mg/km]</v>
      </c>
      <c r="BJ155" s="430" t="str">
        <f t="shared" si="112"/>
        <v>PN
[#/km]</v>
      </c>
      <c r="BK155" s="430" t="str">
        <f t="shared" si="112"/>
        <v>Additional
component</v>
      </c>
      <c r="BL155" s="430" t="str">
        <f t="shared" si="112"/>
        <v>Additional
component 2</v>
      </c>
    </row>
    <row r="156" spans="1:64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434"/>
      <c r="X156" s="434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BC156" s="401" t="str">
        <f t="shared" si="109"/>
        <v>-</v>
      </c>
      <c r="BD156" s="429" t="str">
        <f>$E$4</f>
        <v>BS 6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1</v>
      </c>
      <c r="BL156" s="435">
        <v>1</v>
      </c>
    </row>
    <row r="157" spans="1:64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tr">
        <f>F$4</f>
        <v>NMHC 
[g/km]</v>
      </c>
      <c r="G157" s="425" t="str">
        <f t="shared" ref="G157:N157" si="113">G$4</f>
        <v>THC
[g/km]</v>
      </c>
      <c r="H157" s="425" t="str">
        <f t="shared" si="113"/>
        <v>CO
[g/km]</v>
      </c>
      <c r="I157" s="425" t="str">
        <f t="shared" si="113"/>
        <v>NOx
[g/km]</v>
      </c>
      <c r="J157" s="425" t="str">
        <f t="shared" si="113"/>
        <v>PM
[mg/km]</v>
      </c>
      <c r="K157" s="425" t="str">
        <f t="shared" si="113"/>
        <v>PN
[#/km]</v>
      </c>
      <c r="L157" s="426" t="str">
        <f t="shared" si="113"/>
        <v>Additional
component</v>
      </c>
      <c r="M157" s="426" t="str">
        <f t="shared" si="113"/>
        <v>Additional
component 2</v>
      </c>
      <c r="N157" s="425" t="str">
        <f t="shared" si="113"/>
        <v>CO2
[g/km]</v>
      </c>
      <c r="O157" s="669"/>
      <c r="P157" s="670"/>
      <c r="Q157" s="670"/>
      <c r="R157" s="670"/>
      <c r="S157" s="669"/>
      <c r="T157" s="670"/>
      <c r="U157" s="670"/>
      <c r="V157" s="671"/>
      <c r="W157" s="434"/>
      <c r="X157" s="434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BC157" s="401" t="str">
        <f t="shared" si="109"/>
        <v>-</v>
      </c>
      <c r="BD157" s="429" t="str">
        <f>"1st " &amp;  B158</f>
        <v>1st City (unweighted)</v>
      </c>
      <c r="BE157" s="435" t="str">
        <f t="shared" ref="BE157:BL157" si="114">IF((OR($C160="-",$C160="CET",$C160="")),"-",IF(AND(OR(F158="-",F158=""),OR(F159="-",F159="")),"-",IF(NOT(OR(F158="-",F158="")),F158/F$5,F159/F$5)))</f>
        <v>-</v>
      </c>
      <c r="BF157" s="435" t="str">
        <f t="shared" si="114"/>
        <v>-</v>
      </c>
      <c r="BG157" s="435" t="str">
        <f t="shared" si="114"/>
        <v>-</v>
      </c>
      <c r="BH157" s="435" t="str">
        <f t="shared" si="114"/>
        <v>-</v>
      </c>
      <c r="BI157" s="435" t="str">
        <f t="shared" si="114"/>
        <v>-</v>
      </c>
      <c r="BJ157" s="435" t="str">
        <f t="shared" si="114"/>
        <v>-</v>
      </c>
      <c r="BK157" s="435" t="str">
        <f t="shared" si="114"/>
        <v>-</v>
      </c>
      <c r="BL157" s="435" t="str">
        <f t="shared" si="114"/>
        <v>-</v>
      </c>
    </row>
    <row r="158" spans="1:64" s="405" customFormat="1" ht="15" customHeight="1" outlineLevel="1" x14ac:dyDescent="0.25">
      <c r="A158" s="439"/>
      <c r="B158" s="724" t="s">
        <v>107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3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401" t="str">
        <f t="shared" si="109"/>
        <v>-</v>
      </c>
      <c r="BD158" s="429" t="str">
        <f>"1st " &amp; B163</f>
        <v>1st City (EMROAD)</v>
      </c>
      <c r="BE158" s="435" t="str">
        <f t="shared" ref="BE158:BL158" si="115">IF((OR($C165="-",$C165="CET",$C165="")),"-",IF(AND(OR(F163="-",F163=""),OR(F164="-",F164="")),"-",IF(NOT(OR(F163="-",F163="")),F163/F$5,F164/F$5)))</f>
        <v>-</v>
      </c>
      <c r="BF158" s="435" t="str">
        <f t="shared" si="115"/>
        <v>-</v>
      </c>
      <c r="BG158" s="435" t="str">
        <f t="shared" si="115"/>
        <v>-</v>
      </c>
      <c r="BH158" s="435" t="str">
        <f t="shared" si="115"/>
        <v>-</v>
      </c>
      <c r="BI158" s="435" t="str">
        <f t="shared" si="115"/>
        <v>-</v>
      </c>
      <c r="BJ158" s="435" t="str">
        <f t="shared" si="115"/>
        <v>-</v>
      </c>
      <c r="BK158" s="435" t="str">
        <f t="shared" si="115"/>
        <v>-</v>
      </c>
      <c r="BL158" s="435" t="str">
        <f t="shared" si="115"/>
        <v>-</v>
      </c>
    </row>
    <row r="159" spans="1:64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3"/>
      <c r="S159" s="672"/>
      <c r="T159" s="673"/>
      <c r="U159" s="673"/>
      <c r="V159" s="674"/>
      <c r="W159" s="434"/>
      <c r="X159" s="434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BC159" s="401" t="str">
        <f t="shared" si="109"/>
        <v>-</v>
      </c>
      <c r="BD159" s="429" t="str">
        <f>"1st " &amp; B168</f>
        <v>1st City
 (SPF)</v>
      </c>
      <c r="BE159" s="435" t="str">
        <f t="shared" ref="BE159:BL159" si="116">IF((OR($C170="-",$C170="CET",$C170="")),"-",IF(AND(OR(F168="-",F168=""),OR(F169="-",F169="")),"-",IF(NOT(OR(F168="-",F168="")),F168/F$5,F169/F$5)))</f>
        <v>-</v>
      </c>
      <c r="BF159" s="435" t="str">
        <f t="shared" si="116"/>
        <v>-</v>
      </c>
      <c r="BG159" s="435" t="str">
        <f t="shared" si="116"/>
        <v>-</v>
      </c>
      <c r="BH159" s="435" t="str">
        <f t="shared" si="116"/>
        <v>-</v>
      </c>
      <c r="BI159" s="435" t="str">
        <f t="shared" si="116"/>
        <v>-</v>
      </c>
      <c r="BJ159" s="435" t="str">
        <f t="shared" si="116"/>
        <v>-</v>
      </c>
      <c r="BK159" s="435" t="str">
        <f t="shared" si="116"/>
        <v>-</v>
      </c>
      <c r="BL159" s="435" t="str">
        <f t="shared" si="116"/>
        <v>-</v>
      </c>
    </row>
    <row r="160" spans="1:64" ht="15" customHeight="1" outlineLevel="1" thickBot="1" x14ac:dyDescent="0.3">
      <c r="A160" s="396"/>
      <c r="B160" s="725"/>
      <c r="C160" s="686">
        <v>4</v>
      </c>
      <c r="D160" s="689" t="str">
        <f>IF(AND(F161="-",G161="-",H161="-",I161="-",J161="-",K161="-",L161="-",M161="-"),"-",MAX(F161,G161,H161,I161,J161,K161,L161,M161))</f>
        <v>-</v>
      </c>
      <c r="E160" s="444" t="s">
        <v>96</v>
      </c>
      <c r="F160" s="445" t="str">
        <f t="shared" ref="F160:N160" si="117">IF(OR(F159="-",F159=""),IF(OR(F158="-",F158=""),"-",F158),IF(OR(F158="-",F158=""),F159,(F158+F159)/2))</f>
        <v>-</v>
      </c>
      <c r="G160" s="445" t="str">
        <f t="shared" si="117"/>
        <v>-</v>
      </c>
      <c r="H160" s="445" t="str">
        <f t="shared" si="117"/>
        <v>-</v>
      </c>
      <c r="I160" s="445" t="str">
        <f t="shared" si="117"/>
        <v>-</v>
      </c>
      <c r="J160" s="445" t="str">
        <f t="shared" si="117"/>
        <v>-</v>
      </c>
      <c r="K160" s="446" t="str">
        <f t="shared" si="117"/>
        <v>-</v>
      </c>
      <c r="L160" s="446" t="str">
        <f t="shared" si="117"/>
        <v>-</v>
      </c>
      <c r="M160" s="446" t="str">
        <f t="shared" si="117"/>
        <v>-</v>
      </c>
      <c r="N160" s="445" t="str">
        <f t="shared" si="117"/>
        <v>-</v>
      </c>
      <c r="O160" s="672"/>
      <c r="P160" s="673"/>
      <c r="Q160" s="673"/>
      <c r="R160" s="673"/>
      <c r="S160" s="672"/>
      <c r="T160" s="673"/>
      <c r="U160" s="673"/>
      <c r="V160" s="674"/>
      <c r="W160" s="434"/>
      <c r="X160" s="434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BC160" s="401" t="str">
        <f t="shared" si="109"/>
        <v>-</v>
      </c>
      <c r="BD160" s="429" t="str">
        <f>"1st " &amp; B173</f>
        <v>1st Total (unweighted)</v>
      </c>
      <c r="BE160" s="435" t="str">
        <f t="shared" ref="BE160:BL160" si="118">IF((OR($C175="-",$C175="CET",$C175="")),"-",IF(AND(OR(F173="-",F173=""),OR(F174="-",F174="")),"-",IF(NOT(OR(F173="-",F173="")),F173/F$5,F174/F$5)))</f>
        <v>-</v>
      </c>
      <c r="BF160" s="435" t="str">
        <f t="shared" si="118"/>
        <v>-</v>
      </c>
      <c r="BG160" s="435" t="str">
        <f t="shared" si="118"/>
        <v>-</v>
      </c>
      <c r="BH160" s="435" t="str">
        <f t="shared" si="118"/>
        <v>-</v>
      </c>
      <c r="BI160" s="435" t="str">
        <f t="shared" si="118"/>
        <v>-</v>
      </c>
      <c r="BJ160" s="435" t="str">
        <f t="shared" si="118"/>
        <v>-</v>
      </c>
      <c r="BK160" s="435" t="str">
        <f t="shared" si="118"/>
        <v>-</v>
      </c>
      <c r="BL160" s="435" t="str">
        <f t="shared" si="118"/>
        <v>-</v>
      </c>
    </row>
    <row r="161" spans="1:64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str">
        <f t="shared" ref="F161:N161" si="119">IF(OR($C160="-",$C160="CET",$C160=""),"-",IF(AND(NOT(F160="-"),NOT(F$5="-"),NOT(F$5="")),F160/F$5,"-"))</f>
        <v>-</v>
      </c>
      <c r="G161" s="448" t="str">
        <f t="shared" si="119"/>
        <v>-</v>
      </c>
      <c r="H161" s="448" t="str">
        <f t="shared" si="119"/>
        <v>-</v>
      </c>
      <c r="I161" s="448" t="str">
        <f t="shared" si="119"/>
        <v>-</v>
      </c>
      <c r="J161" s="448" t="str">
        <f t="shared" si="119"/>
        <v>-</v>
      </c>
      <c r="K161" s="449" t="str">
        <f t="shared" si="119"/>
        <v>-</v>
      </c>
      <c r="L161" s="449" t="str">
        <f t="shared" si="119"/>
        <v>-</v>
      </c>
      <c r="M161" s="449" t="str">
        <f t="shared" si="119"/>
        <v>-</v>
      </c>
      <c r="N161" s="448" t="str">
        <f t="shared" si="119"/>
        <v>-</v>
      </c>
      <c r="O161" s="672"/>
      <c r="P161" s="673"/>
      <c r="Q161" s="673"/>
      <c r="R161" s="673"/>
      <c r="S161" s="672"/>
      <c r="T161" s="673"/>
      <c r="U161" s="673"/>
      <c r="V161" s="674"/>
      <c r="W161" s="434"/>
      <c r="X161" s="434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BC161" s="401" t="str">
        <f t="shared" si="109"/>
        <v>-</v>
      </c>
      <c r="BD161" s="429" t="str">
        <f>"1st " &amp; B178</f>
        <v>1st Total (EMROAD)</v>
      </c>
      <c r="BE161" s="435" t="str">
        <f t="shared" ref="BE161:BL161" si="120">IF((OR($C180="-",$C180="CET",$C180="")),"-",IF(AND(OR(F178="-",F178=""),OR(F179="-",F179="")),"-",IF(NOT(OR(F178="-",F178="")),F178/F$5,F179/F$5)))</f>
        <v>-</v>
      </c>
      <c r="BF161" s="435" t="str">
        <f t="shared" si="120"/>
        <v>-</v>
      </c>
      <c r="BG161" s="435" t="str">
        <f t="shared" si="120"/>
        <v>-</v>
      </c>
      <c r="BH161" s="435" t="str">
        <f t="shared" si="120"/>
        <v>-</v>
      </c>
      <c r="BI161" s="435" t="str">
        <f t="shared" si="120"/>
        <v>-</v>
      </c>
      <c r="BJ161" s="435" t="str">
        <f t="shared" si="120"/>
        <v>-</v>
      </c>
      <c r="BK161" s="435" t="str">
        <f t="shared" si="120"/>
        <v>-</v>
      </c>
      <c r="BL161" s="435" t="str">
        <f t="shared" si="120"/>
        <v>-</v>
      </c>
    </row>
    <row r="162" spans="1:64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N162" si="121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121"/>
        <v>-</v>
      </c>
      <c r="H162" s="451" t="str">
        <f t="shared" si="121"/>
        <v>-</v>
      </c>
      <c r="I162" s="451" t="str">
        <f t="shared" si="121"/>
        <v>-</v>
      </c>
      <c r="J162" s="451" t="str">
        <f t="shared" si="121"/>
        <v>-</v>
      </c>
      <c r="K162" s="452" t="str">
        <f t="shared" si="121"/>
        <v>-</v>
      </c>
      <c r="L162" s="452" t="str">
        <f t="shared" si="121"/>
        <v>-</v>
      </c>
      <c r="M162" s="452" t="str">
        <f t="shared" si="121"/>
        <v>-</v>
      </c>
      <c r="N162" s="451" t="str">
        <f t="shared" si="121"/>
        <v>-</v>
      </c>
      <c r="O162" s="672"/>
      <c r="P162" s="673"/>
      <c r="Q162" s="673"/>
      <c r="R162" s="673"/>
      <c r="S162" s="672"/>
      <c r="T162" s="673"/>
      <c r="U162" s="673"/>
      <c r="V162" s="674"/>
      <c r="W162" s="434"/>
      <c r="X162" s="434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BC162" s="401" t="str">
        <f t="shared" si="109"/>
        <v>-</v>
      </c>
      <c r="BD162" s="429" t="str">
        <f>"1st " &amp; B183</f>
        <v>1st Total (SPF)</v>
      </c>
      <c r="BE162" s="435" t="str">
        <f t="shared" ref="BE162:BL162" si="122">IF((OR($C185="-",$C185="CET",$C185="")),"-",IF(AND(OR(F183="-",F183=""),OR(F184="-",F184="")),"-",IF(NOT(OR(F183="-",F183="")),F183/F$5,F184/F$5)))</f>
        <v>-</v>
      </c>
      <c r="BF162" s="435" t="str">
        <f t="shared" si="122"/>
        <v>-</v>
      </c>
      <c r="BG162" s="435" t="str">
        <f t="shared" si="122"/>
        <v>-</v>
      </c>
      <c r="BH162" s="435" t="str">
        <f t="shared" si="122"/>
        <v>-</v>
      </c>
      <c r="BI162" s="435" t="str">
        <f t="shared" si="122"/>
        <v>-</v>
      </c>
      <c r="BJ162" s="435" t="str">
        <f t="shared" si="122"/>
        <v>-</v>
      </c>
      <c r="BK162" s="435" t="str">
        <f t="shared" si="122"/>
        <v>-</v>
      </c>
      <c r="BL162" s="435" t="str">
        <f t="shared" si="122"/>
        <v>-</v>
      </c>
    </row>
    <row r="163" spans="1:64" s="405" customFormat="1" ht="15" customHeight="1" outlineLevel="1" x14ac:dyDescent="0.25">
      <c r="A163" s="439"/>
      <c r="B163" s="724" t="s">
        <v>106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3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401" t="str">
        <f t="shared" si="109"/>
        <v>-</v>
      </c>
      <c r="BD163" s="429" t="str">
        <f>"0.7*IEF " &amp; (B158)</f>
        <v>0.7*IEF City (unweighted)</v>
      </c>
      <c r="BE163" s="435">
        <f t="shared" ref="BE163:BL163" si="123">IF(OR($C160="-",$C160="CET",$C160=""),"-",0.7*$C160)</f>
        <v>2.8</v>
      </c>
      <c r="BF163" s="435">
        <f t="shared" si="123"/>
        <v>2.8</v>
      </c>
      <c r="BG163" s="435">
        <f t="shared" si="123"/>
        <v>2.8</v>
      </c>
      <c r="BH163" s="435">
        <f t="shared" si="123"/>
        <v>2.8</v>
      </c>
      <c r="BI163" s="435">
        <f t="shared" si="123"/>
        <v>2.8</v>
      </c>
      <c r="BJ163" s="435">
        <f t="shared" si="123"/>
        <v>2.8</v>
      </c>
      <c r="BK163" s="435">
        <f t="shared" si="123"/>
        <v>2.8</v>
      </c>
      <c r="BL163" s="435">
        <f t="shared" si="123"/>
        <v>2.8</v>
      </c>
    </row>
    <row r="164" spans="1:64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3"/>
      <c r="S164" s="672"/>
      <c r="T164" s="673"/>
      <c r="U164" s="673"/>
      <c r="V164" s="674"/>
      <c r="W164" s="434"/>
      <c r="X164" s="434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BC164" s="401" t="str">
        <f t="shared" si="109"/>
        <v>-</v>
      </c>
      <c r="BD164" s="429" t="str">
        <f>"0.7*IEF " &amp; B163</f>
        <v>0.7*IEF City (EMROAD)</v>
      </c>
      <c r="BE164" s="435">
        <f t="shared" ref="BE164:BL164" si="124">IF(OR($C165="-",$C165="CET",$C165=""),"-",0.7*$C165)</f>
        <v>2.8</v>
      </c>
      <c r="BF164" s="435">
        <f t="shared" si="124"/>
        <v>2.8</v>
      </c>
      <c r="BG164" s="435">
        <f t="shared" si="124"/>
        <v>2.8</v>
      </c>
      <c r="BH164" s="435">
        <f t="shared" si="124"/>
        <v>2.8</v>
      </c>
      <c r="BI164" s="435">
        <f t="shared" si="124"/>
        <v>2.8</v>
      </c>
      <c r="BJ164" s="435">
        <f t="shared" si="124"/>
        <v>2.8</v>
      </c>
      <c r="BK164" s="435">
        <f t="shared" si="124"/>
        <v>2.8</v>
      </c>
      <c r="BL164" s="435">
        <f t="shared" si="124"/>
        <v>2.8</v>
      </c>
    </row>
    <row r="165" spans="1:64" ht="15" customHeight="1" outlineLevel="1" thickBot="1" x14ac:dyDescent="0.3">
      <c r="A165" s="396"/>
      <c r="B165" s="725"/>
      <c r="C165" s="686">
        <v>4</v>
      </c>
      <c r="D165" s="689" t="str">
        <f>IF(AND(F166="-",G166="-",H166="-",I166="-",J166="-",K166="-",L166="-",M166="-"),"-",MAX(F166,G166,H166,I166,J166,K166,L166,M166))</f>
        <v>-</v>
      </c>
      <c r="E165" s="444" t="s">
        <v>96</v>
      </c>
      <c r="F165" s="445" t="str">
        <f t="shared" ref="F165:N165" si="125">IF(OR(F164="-",F164=""),IF(OR(F163="-",F163=""),"-",F163),IF(OR(F163="-",F163=""),F164,(F163+F164)/2))</f>
        <v>-</v>
      </c>
      <c r="G165" s="445" t="str">
        <f t="shared" si="125"/>
        <v>-</v>
      </c>
      <c r="H165" s="445" t="str">
        <f t="shared" si="125"/>
        <v>-</v>
      </c>
      <c r="I165" s="445" t="str">
        <f t="shared" si="125"/>
        <v>-</v>
      </c>
      <c r="J165" s="445" t="str">
        <f t="shared" si="125"/>
        <v>-</v>
      </c>
      <c r="K165" s="446" t="str">
        <f t="shared" si="125"/>
        <v>-</v>
      </c>
      <c r="L165" s="446" t="str">
        <f t="shared" si="125"/>
        <v>-</v>
      </c>
      <c r="M165" s="446" t="str">
        <f t="shared" si="125"/>
        <v>-</v>
      </c>
      <c r="N165" s="445" t="str">
        <f t="shared" si="125"/>
        <v>-</v>
      </c>
      <c r="O165" s="672"/>
      <c r="P165" s="673"/>
      <c r="Q165" s="673"/>
      <c r="R165" s="673"/>
      <c r="S165" s="672"/>
      <c r="T165" s="673"/>
      <c r="U165" s="673"/>
      <c r="V165" s="674"/>
      <c r="W165" s="434"/>
      <c r="X165" s="434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BC165" s="401" t="str">
        <f t="shared" si="109"/>
        <v>-</v>
      </c>
      <c r="BD165" s="429" t="str">
        <f>"0.7*IEF " &amp; B168</f>
        <v>0.7*IEF City
 (SPF)</v>
      </c>
      <c r="BE165" s="435">
        <f t="shared" ref="BE165:BL165" si="126">IF(OR($C170="-",$C170="CET",$C170=""),"-",0.7*$C170)</f>
        <v>2.8</v>
      </c>
      <c r="BF165" s="435">
        <f t="shared" si="126"/>
        <v>2.8</v>
      </c>
      <c r="BG165" s="435">
        <f t="shared" si="126"/>
        <v>2.8</v>
      </c>
      <c r="BH165" s="435">
        <f t="shared" si="126"/>
        <v>2.8</v>
      </c>
      <c r="BI165" s="435">
        <f t="shared" si="126"/>
        <v>2.8</v>
      </c>
      <c r="BJ165" s="435">
        <f t="shared" si="126"/>
        <v>2.8</v>
      </c>
      <c r="BK165" s="435">
        <f t="shared" si="126"/>
        <v>2.8</v>
      </c>
      <c r="BL165" s="435">
        <f t="shared" si="126"/>
        <v>2.8</v>
      </c>
    </row>
    <row r="166" spans="1:64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str">
        <f t="shared" ref="F166:N166" si="127">IF(OR($C165="-",$C165="CET",$C165=""),"-",IF(AND(NOT(F165="-"),NOT(F$5="-"),NOT(F$5="")),F165/F$5,"-"))</f>
        <v>-</v>
      </c>
      <c r="G166" s="448" t="str">
        <f t="shared" si="127"/>
        <v>-</v>
      </c>
      <c r="H166" s="448" t="str">
        <f t="shared" si="127"/>
        <v>-</v>
      </c>
      <c r="I166" s="448" t="str">
        <f t="shared" si="127"/>
        <v>-</v>
      </c>
      <c r="J166" s="448" t="str">
        <f t="shared" si="127"/>
        <v>-</v>
      </c>
      <c r="K166" s="449" t="str">
        <f t="shared" si="127"/>
        <v>-</v>
      </c>
      <c r="L166" s="449" t="str">
        <f t="shared" si="127"/>
        <v>-</v>
      </c>
      <c r="M166" s="449" t="str">
        <f t="shared" si="127"/>
        <v>-</v>
      </c>
      <c r="N166" s="448" t="str">
        <f t="shared" si="127"/>
        <v>-</v>
      </c>
      <c r="O166" s="672"/>
      <c r="P166" s="673"/>
      <c r="Q166" s="673"/>
      <c r="R166" s="673"/>
      <c r="S166" s="672"/>
      <c r="T166" s="673"/>
      <c r="U166" s="673"/>
      <c r="V166" s="674"/>
      <c r="W166" s="434"/>
      <c r="X166" s="434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BC166" s="401" t="str">
        <f t="shared" si="109"/>
        <v>-</v>
      </c>
      <c r="BD166" s="429" t="str">
        <f>"0.7*IEF " &amp; B173</f>
        <v>0.7*IEF Total (unweighted)</v>
      </c>
      <c r="BE166" s="435">
        <f t="shared" ref="BE166:BL166" si="128">IF(OR($C175="-",$C175="CET",$C175=""),"-",0.7*$C175)</f>
        <v>2.8</v>
      </c>
      <c r="BF166" s="435">
        <f t="shared" si="128"/>
        <v>2.8</v>
      </c>
      <c r="BG166" s="435">
        <f t="shared" si="128"/>
        <v>2.8</v>
      </c>
      <c r="BH166" s="435">
        <f t="shared" si="128"/>
        <v>2.8</v>
      </c>
      <c r="BI166" s="435">
        <f t="shared" si="128"/>
        <v>2.8</v>
      </c>
      <c r="BJ166" s="435">
        <f t="shared" si="128"/>
        <v>2.8</v>
      </c>
      <c r="BK166" s="435">
        <f t="shared" si="128"/>
        <v>2.8</v>
      </c>
      <c r="BL166" s="435">
        <f t="shared" si="128"/>
        <v>2.8</v>
      </c>
    </row>
    <row r="167" spans="1:64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N167" si="129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129"/>
        <v>-</v>
      </c>
      <c r="H167" s="451" t="str">
        <f t="shared" si="129"/>
        <v>-</v>
      </c>
      <c r="I167" s="451" t="str">
        <f t="shared" si="129"/>
        <v>-</v>
      </c>
      <c r="J167" s="451" t="str">
        <f t="shared" si="129"/>
        <v>-</v>
      </c>
      <c r="K167" s="452" t="str">
        <f t="shared" si="129"/>
        <v>-</v>
      </c>
      <c r="L167" s="452" t="str">
        <f t="shared" si="129"/>
        <v>-</v>
      </c>
      <c r="M167" s="452" t="str">
        <f t="shared" si="129"/>
        <v>-</v>
      </c>
      <c r="N167" s="451" t="str">
        <f t="shared" si="129"/>
        <v>-</v>
      </c>
      <c r="O167" s="672"/>
      <c r="P167" s="673"/>
      <c r="Q167" s="673"/>
      <c r="R167" s="673"/>
      <c r="S167" s="672"/>
      <c r="T167" s="673"/>
      <c r="U167" s="673"/>
      <c r="V167" s="674"/>
      <c r="W167" s="434"/>
      <c r="X167" s="434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BC167" s="401" t="str">
        <f t="shared" si="109"/>
        <v>-</v>
      </c>
      <c r="BD167" s="429" t="str">
        <f>"0.7*IEF " &amp; B178</f>
        <v>0.7*IEF Total (EMROAD)</v>
      </c>
      <c r="BE167" s="435">
        <f t="shared" ref="BE167:BL167" si="130">IF(OR($C180="-",$C180="CET",$C180=""),"-",0.7*$C180)</f>
        <v>2.8</v>
      </c>
      <c r="BF167" s="435">
        <f t="shared" si="130"/>
        <v>2.8</v>
      </c>
      <c r="BG167" s="435">
        <f t="shared" si="130"/>
        <v>2.8</v>
      </c>
      <c r="BH167" s="435">
        <f t="shared" si="130"/>
        <v>2.8</v>
      </c>
      <c r="BI167" s="435">
        <f t="shared" si="130"/>
        <v>2.8</v>
      </c>
      <c r="BJ167" s="435">
        <f t="shared" si="130"/>
        <v>2.8</v>
      </c>
      <c r="BK167" s="435">
        <f t="shared" si="130"/>
        <v>2.8</v>
      </c>
      <c r="BL167" s="435">
        <f t="shared" si="130"/>
        <v>2.8</v>
      </c>
    </row>
    <row r="168" spans="1:64" s="405" customFormat="1" ht="15" customHeight="1" outlineLevel="1" x14ac:dyDescent="0.25">
      <c r="A168" s="454"/>
      <c r="B168" s="718" t="s">
        <v>141</v>
      </c>
      <c r="C168" s="684" t="s">
        <v>114</v>
      </c>
      <c r="D168" s="684" t="s">
        <v>113</v>
      </c>
      <c r="E168" s="453" t="s">
        <v>94</v>
      </c>
      <c r="F168" s="473" t="s">
        <v>5</v>
      </c>
      <c r="G168" s="473" t="s">
        <v>5</v>
      </c>
      <c r="H168" s="473" t="s">
        <v>5</v>
      </c>
      <c r="I168" s="473" t="s">
        <v>5</v>
      </c>
      <c r="J168" s="473" t="s">
        <v>5</v>
      </c>
      <c r="K168" s="474" t="s">
        <v>5</v>
      </c>
      <c r="L168" s="474" t="s">
        <v>5</v>
      </c>
      <c r="M168" s="474" t="s">
        <v>5</v>
      </c>
      <c r="N168" s="473" t="s">
        <v>5</v>
      </c>
      <c r="O168" s="672"/>
      <c r="P168" s="673"/>
      <c r="Q168" s="673"/>
      <c r="R168" s="673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C168" s="401" t="str">
        <f t="shared" si="109"/>
        <v>-</v>
      </c>
      <c r="BD168" s="429" t="str">
        <f>"0.7*IEF " &amp; B183</f>
        <v>0.7*IEF Total (SPF)</v>
      </c>
      <c r="BE168" s="435">
        <f t="shared" ref="BE168:BL168" si="131">IF(OR($C185="-",$C185="CET",$C185=""),"-",0.7*$C185)</f>
        <v>2.8</v>
      </c>
      <c r="BF168" s="435">
        <f t="shared" si="131"/>
        <v>2.8</v>
      </c>
      <c r="BG168" s="435">
        <f t="shared" si="131"/>
        <v>2.8</v>
      </c>
      <c r="BH168" s="435">
        <f t="shared" si="131"/>
        <v>2.8</v>
      </c>
      <c r="BI168" s="435">
        <f t="shared" si="131"/>
        <v>2.8</v>
      </c>
      <c r="BJ168" s="435">
        <f t="shared" si="131"/>
        <v>2.8</v>
      </c>
      <c r="BK168" s="435">
        <f t="shared" si="131"/>
        <v>2.8</v>
      </c>
      <c r="BL168" s="435">
        <f t="shared" si="131"/>
        <v>2.8</v>
      </c>
    </row>
    <row r="169" spans="1:64" ht="15" customHeight="1" outlineLevel="1" thickBot="1" x14ac:dyDescent="0.3">
      <c r="A169" s="404"/>
      <c r="B169" s="719"/>
      <c r="C169" s="702"/>
      <c r="D169" s="685"/>
      <c r="E169" s="440" t="s">
        <v>95</v>
      </c>
      <c r="F169" s="475" t="s">
        <v>5</v>
      </c>
      <c r="G169" s="475" t="s">
        <v>5</v>
      </c>
      <c r="H169" s="475" t="s">
        <v>5</v>
      </c>
      <c r="I169" s="475" t="s">
        <v>5</v>
      </c>
      <c r="J169" s="475" t="s">
        <v>5</v>
      </c>
      <c r="K169" s="476" t="s">
        <v>5</v>
      </c>
      <c r="L169" s="476" t="s">
        <v>5</v>
      </c>
      <c r="M169" s="476" t="s">
        <v>5</v>
      </c>
      <c r="N169" s="475" t="s">
        <v>5</v>
      </c>
      <c r="O169" s="672"/>
      <c r="P169" s="673"/>
      <c r="Q169" s="673"/>
      <c r="R169" s="673"/>
      <c r="S169" s="672"/>
      <c r="T169" s="673"/>
      <c r="U169" s="673"/>
      <c r="V169" s="674"/>
      <c r="W169" s="434"/>
      <c r="X169" s="434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BC169" s="401" t="str">
        <f t="shared" si="109"/>
        <v>-</v>
      </c>
      <c r="BD169" s="429" t="str">
        <f>$B158</f>
        <v>City (unweighted)</v>
      </c>
      <c r="BE169" s="435" t="str">
        <f t="shared" ref="BE169:BL169" si="132">F161</f>
        <v>-</v>
      </c>
      <c r="BF169" s="435" t="str">
        <f t="shared" si="132"/>
        <v>-</v>
      </c>
      <c r="BG169" s="435" t="str">
        <f t="shared" si="132"/>
        <v>-</v>
      </c>
      <c r="BH169" s="435" t="str">
        <f t="shared" si="132"/>
        <v>-</v>
      </c>
      <c r="BI169" s="435" t="str">
        <f t="shared" si="132"/>
        <v>-</v>
      </c>
      <c r="BJ169" s="435" t="str">
        <f t="shared" si="132"/>
        <v>-</v>
      </c>
      <c r="BK169" s="435" t="str">
        <f t="shared" si="132"/>
        <v>-</v>
      </c>
      <c r="BL169" s="435" t="str">
        <f t="shared" si="132"/>
        <v>-</v>
      </c>
    </row>
    <row r="170" spans="1:64" ht="15" customHeight="1" outlineLevel="1" thickBot="1" x14ac:dyDescent="0.3">
      <c r="A170" s="404"/>
      <c r="B170" s="719"/>
      <c r="C170" s="686">
        <v>4</v>
      </c>
      <c r="D170" s="689" t="str">
        <f>IF(AND(F171="-",G171="-",H171="-",I171="-",J171="-",K171="-",L171="-",M171="-"),"-",MAX(F171,G171,H171,I171,J171,K171,L171,M171))</f>
        <v>-</v>
      </c>
      <c r="E170" s="444" t="s">
        <v>96</v>
      </c>
      <c r="F170" s="445" t="str">
        <f t="shared" ref="F170:N170" si="133">IF(OR(F169="-",F169=""),IF(OR(F168="-",F168=""),"-",F168),IF(OR(F168="-",F168=""),F169,(F168+F169)/2))</f>
        <v>-</v>
      </c>
      <c r="G170" s="445" t="str">
        <f t="shared" si="133"/>
        <v>-</v>
      </c>
      <c r="H170" s="445" t="str">
        <f t="shared" si="133"/>
        <v>-</v>
      </c>
      <c r="I170" s="445" t="str">
        <f t="shared" si="133"/>
        <v>-</v>
      </c>
      <c r="J170" s="445" t="str">
        <f t="shared" si="133"/>
        <v>-</v>
      </c>
      <c r="K170" s="446" t="str">
        <f t="shared" si="133"/>
        <v>-</v>
      </c>
      <c r="L170" s="446" t="str">
        <f t="shared" si="133"/>
        <v>-</v>
      </c>
      <c r="M170" s="446" t="str">
        <f t="shared" si="133"/>
        <v>-</v>
      </c>
      <c r="N170" s="445" t="str">
        <f t="shared" si="133"/>
        <v>-</v>
      </c>
      <c r="O170" s="672"/>
      <c r="P170" s="673"/>
      <c r="Q170" s="673"/>
      <c r="R170" s="673"/>
      <c r="S170" s="672"/>
      <c r="T170" s="673"/>
      <c r="U170" s="673"/>
      <c r="V170" s="674"/>
      <c r="W170" s="434"/>
      <c r="X170" s="434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BC170" s="401" t="str">
        <f t="shared" si="109"/>
        <v>-</v>
      </c>
      <c r="BD170" s="429" t="str">
        <f>$B163</f>
        <v>City (EMROAD)</v>
      </c>
      <c r="BE170" s="435" t="str">
        <f t="shared" ref="BE170:BL170" si="134">F166</f>
        <v>-</v>
      </c>
      <c r="BF170" s="435" t="str">
        <f t="shared" si="134"/>
        <v>-</v>
      </c>
      <c r="BG170" s="435" t="str">
        <f t="shared" si="134"/>
        <v>-</v>
      </c>
      <c r="BH170" s="435" t="str">
        <f t="shared" si="134"/>
        <v>-</v>
      </c>
      <c r="BI170" s="435" t="str">
        <f t="shared" si="134"/>
        <v>-</v>
      </c>
      <c r="BJ170" s="435" t="str">
        <f t="shared" si="134"/>
        <v>-</v>
      </c>
      <c r="BK170" s="435" t="str">
        <f t="shared" si="134"/>
        <v>-</v>
      </c>
      <c r="BL170" s="435" t="str">
        <f t="shared" si="134"/>
        <v>-</v>
      </c>
    </row>
    <row r="171" spans="1:64" ht="15" customHeight="1" outlineLevel="1" thickBot="1" x14ac:dyDescent="0.3">
      <c r="A171" s="404"/>
      <c r="B171" s="719"/>
      <c r="C171" s="687"/>
      <c r="D171" s="690"/>
      <c r="E171" s="447" t="s">
        <v>97</v>
      </c>
      <c r="F171" s="448" t="str">
        <f t="shared" ref="F171:N171" si="135">IF(OR($C170="-",$C170="CET",$C170=""),"-",IF(AND(NOT(F170="-"),NOT(F$5="-"),NOT(F$5="")),F170/F$5,"-"))</f>
        <v>-</v>
      </c>
      <c r="G171" s="448" t="str">
        <f t="shared" si="135"/>
        <v>-</v>
      </c>
      <c r="H171" s="448" t="str">
        <f t="shared" si="135"/>
        <v>-</v>
      </c>
      <c r="I171" s="448" t="str">
        <f t="shared" si="135"/>
        <v>-</v>
      </c>
      <c r="J171" s="448" t="str">
        <f t="shared" si="135"/>
        <v>-</v>
      </c>
      <c r="K171" s="449" t="str">
        <f t="shared" si="135"/>
        <v>-</v>
      </c>
      <c r="L171" s="449" t="str">
        <f t="shared" si="135"/>
        <v>-</v>
      </c>
      <c r="M171" s="449" t="str">
        <f t="shared" si="135"/>
        <v>-</v>
      </c>
      <c r="N171" s="448" t="str">
        <f t="shared" si="135"/>
        <v>-</v>
      </c>
      <c r="O171" s="672"/>
      <c r="P171" s="673"/>
      <c r="Q171" s="673"/>
      <c r="R171" s="673"/>
      <c r="S171" s="672"/>
      <c r="T171" s="673"/>
      <c r="U171" s="673"/>
      <c r="V171" s="674"/>
      <c r="W171" s="434"/>
      <c r="X171" s="434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BC171" s="401" t="str">
        <f t="shared" si="109"/>
        <v>-</v>
      </c>
      <c r="BD171" s="429" t="str">
        <f>$B168</f>
        <v>City
 (SPF)</v>
      </c>
      <c r="BE171" s="435" t="str">
        <f t="shared" ref="BE171:BL171" si="136">F171</f>
        <v>-</v>
      </c>
      <c r="BF171" s="435" t="str">
        <f t="shared" si="136"/>
        <v>-</v>
      </c>
      <c r="BG171" s="435" t="str">
        <f t="shared" si="136"/>
        <v>-</v>
      </c>
      <c r="BH171" s="435" t="str">
        <f t="shared" si="136"/>
        <v>-</v>
      </c>
      <c r="BI171" s="435" t="str">
        <f t="shared" si="136"/>
        <v>-</v>
      </c>
      <c r="BJ171" s="435" t="str">
        <f t="shared" si="136"/>
        <v>-</v>
      </c>
      <c r="BK171" s="435" t="str">
        <f t="shared" si="136"/>
        <v>-</v>
      </c>
      <c r="BL171" s="435" t="str">
        <f t="shared" si="136"/>
        <v>-</v>
      </c>
    </row>
    <row r="172" spans="1:64" ht="15" customHeight="1" outlineLevel="1" thickBot="1" x14ac:dyDescent="0.3">
      <c r="A172" s="404"/>
      <c r="B172" s="720"/>
      <c r="C172" s="688"/>
      <c r="D172" s="691"/>
      <c r="E172" s="451" t="s">
        <v>30</v>
      </c>
      <c r="F172" s="451" t="str">
        <f t="shared" ref="F172:N172" si="137">IF(AND(OR(F168="-",F168=""),OR(F169="-",F169="")),"-",IF(OR($C170="-",$C170="",$C170="CET"),"-",IF($R$154="not listed","-",IF(NOT(F$5="-"),IF(AND(AND(NOT(F168=0),NOT(F168="-"),NOT(F168="")),AND(NOT(F169="-"),NOT(F169=0),NOT(F169=""))),IF(AND((F168+F169)/2&lt;1*F$5*IF(OR($C170="CET",$C170="-",$C170=""),"-",$C170),F168&lt;1.1*F$5*IF(OR($C170="CET",$C170="-",$C170=""),"-",$C170),F169&lt;1.1*F$5*IF(OR($C170="CET",$C170="-",$C170=""),"-",$C170)),"passed","refused"),IF(IF(OR(F168="-",F168=""),F169,F168)&lt;0.7*F$5*IF(OR($C170="CET",$C170="-",$C170=""),"-",$C170),"passed",IF(IF(OR(F168="-",F168=""),F169,F168)&lt;1.1*IF(OR($C170="CET",$C170="-",$C170=""),"-",$C170)*F$5,"failed","refused"))),"-"))))</f>
        <v>-</v>
      </c>
      <c r="G172" s="451" t="str">
        <f t="shared" si="137"/>
        <v>-</v>
      </c>
      <c r="H172" s="451" t="str">
        <f t="shared" si="137"/>
        <v>-</v>
      </c>
      <c r="I172" s="451" t="str">
        <f t="shared" si="137"/>
        <v>-</v>
      </c>
      <c r="J172" s="451" t="str">
        <f t="shared" si="137"/>
        <v>-</v>
      </c>
      <c r="K172" s="452" t="str">
        <f t="shared" si="137"/>
        <v>-</v>
      </c>
      <c r="L172" s="452" t="str">
        <f t="shared" si="137"/>
        <v>-</v>
      </c>
      <c r="M172" s="452" t="str">
        <f t="shared" si="137"/>
        <v>-</v>
      </c>
      <c r="N172" s="451" t="str">
        <f t="shared" si="137"/>
        <v>-</v>
      </c>
      <c r="O172" s="672"/>
      <c r="P172" s="673"/>
      <c r="Q172" s="673"/>
      <c r="R172" s="673"/>
      <c r="S172" s="672"/>
      <c r="T172" s="673"/>
      <c r="U172" s="673"/>
      <c r="V172" s="674"/>
      <c r="W172" s="434"/>
      <c r="X172" s="434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BC172" s="401" t="str">
        <f t="shared" si="109"/>
        <v>-</v>
      </c>
      <c r="BD172" s="429" t="str">
        <f>$B173</f>
        <v>Total (unweighted)</v>
      </c>
      <c r="BE172" s="435" t="str">
        <f t="shared" ref="BE172:BL172" si="138">F176</f>
        <v>-</v>
      </c>
      <c r="BF172" s="435" t="str">
        <f t="shared" si="138"/>
        <v>-</v>
      </c>
      <c r="BG172" s="435" t="str">
        <f t="shared" si="138"/>
        <v>-</v>
      </c>
      <c r="BH172" s="435" t="str">
        <f t="shared" si="138"/>
        <v>-</v>
      </c>
      <c r="BI172" s="435" t="str">
        <f t="shared" si="138"/>
        <v>-</v>
      </c>
      <c r="BJ172" s="435" t="str">
        <f t="shared" si="138"/>
        <v>-</v>
      </c>
      <c r="BK172" s="435" t="str">
        <f t="shared" si="138"/>
        <v>-</v>
      </c>
      <c r="BL172" s="435" t="str">
        <f t="shared" si="138"/>
        <v>-</v>
      </c>
    </row>
    <row r="173" spans="1:64" s="405" customFormat="1" ht="15" customHeight="1" outlineLevel="1" x14ac:dyDescent="0.25">
      <c r="A173" s="454"/>
      <c r="B173" s="724" t="s">
        <v>105</v>
      </c>
      <c r="C173" s="684" t="s">
        <v>114</v>
      </c>
      <c r="D173" s="684" t="s">
        <v>113</v>
      </c>
      <c r="E173" s="453" t="s">
        <v>94</v>
      </c>
      <c r="F173" s="473" t="s">
        <v>5</v>
      </c>
      <c r="G173" s="473" t="s">
        <v>5</v>
      </c>
      <c r="H173" s="473" t="s">
        <v>5</v>
      </c>
      <c r="I173" s="473" t="s">
        <v>5</v>
      </c>
      <c r="J173" s="473" t="s">
        <v>5</v>
      </c>
      <c r="K173" s="474" t="s">
        <v>5</v>
      </c>
      <c r="L173" s="474" t="s">
        <v>5</v>
      </c>
      <c r="M173" s="474" t="s">
        <v>5</v>
      </c>
      <c r="N173" s="473" t="s">
        <v>5</v>
      </c>
      <c r="O173" s="672"/>
      <c r="P173" s="673"/>
      <c r="Q173" s="673"/>
      <c r="R173" s="673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C173" s="401" t="str">
        <f t="shared" si="109"/>
        <v>-</v>
      </c>
      <c r="BD173" s="429" t="str">
        <f>$B178</f>
        <v>Total (EMROAD)</v>
      </c>
      <c r="BE173" s="435" t="str">
        <f t="shared" ref="BE173:BL173" si="139">F181</f>
        <v>-</v>
      </c>
      <c r="BF173" s="435" t="str">
        <f t="shared" si="139"/>
        <v>-</v>
      </c>
      <c r="BG173" s="435" t="str">
        <f t="shared" si="139"/>
        <v>-</v>
      </c>
      <c r="BH173" s="435" t="str">
        <f t="shared" si="139"/>
        <v>-</v>
      </c>
      <c r="BI173" s="435" t="str">
        <f t="shared" si="139"/>
        <v>-</v>
      </c>
      <c r="BJ173" s="435" t="str">
        <f t="shared" si="139"/>
        <v>-</v>
      </c>
      <c r="BK173" s="435" t="str">
        <f t="shared" si="139"/>
        <v>-</v>
      </c>
      <c r="BL173" s="435" t="str">
        <f t="shared" si="139"/>
        <v>-</v>
      </c>
    </row>
    <row r="174" spans="1:64" ht="15" customHeight="1" outlineLevel="1" thickBot="1" x14ac:dyDescent="0.3">
      <c r="A174" s="404"/>
      <c r="B174" s="725"/>
      <c r="C174" s="702"/>
      <c r="D174" s="685"/>
      <c r="E174" s="440" t="s">
        <v>95</v>
      </c>
      <c r="F174" s="475" t="s">
        <v>5</v>
      </c>
      <c r="G174" s="475" t="s">
        <v>5</v>
      </c>
      <c r="H174" s="475" t="s">
        <v>5</v>
      </c>
      <c r="I174" s="475" t="s">
        <v>5</v>
      </c>
      <c r="J174" s="475" t="s">
        <v>5</v>
      </c>
      <c r="K174" s="476" t="s">
        <v>5</v>
      </c>
      <c r="L174" s="476" t="s">
        <v>5</v>
      </c>
      <c r="M174" s="476" t="s">
        <v>5</v>
      </c>
      <c r="N174" s="475" t="s">
        <v>5</v>
      </c>
      <c r="O174" s="672"/>
      <c r="P174" s="673"/>
      <c r="Q174" s="673"/>
      <c r="R174" s="673"/>
      <c r="S174" s="672"/>
      <c r="T174" s="673"/>
      <c r="U174" s="673"/>
      <c r="V174" s="674"/>
      <c r="W174" s="434"/>
      <c r="X174" s="434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BC174" s="401" t="str">
        <f t="shared" si="109"/>
        <v>-</v>
      </c>
      <c r="BD174" s="429" t="str">
        <f>$B183</f>
        <v>Total (SPF)</v>
      </c>
      <c r="BE174" s="435" t="str">
        <f t="shared" ref="BE174:BL174" si="140">F186</f>
        <v>-</v>
      </c>
      <c r="BF174" s="435" t="str">
        <f t="shared" si="140"/>
        <v>-</v>
      </c>
      <c r="BG174" s="435" t="str">
        <f t="shared" si="140"/>
        <v>-</v>
      </c>
      <c r="BH174" s="435" t="str">
        <f t="shared" si="140"/>
        <v>-</v>
      </c>
      <c r="BI174" s="435" t="str">
        <f t="shared" si="140"/>
        <v>-</v>
      </c>
      <c r="BJ174" s="435" t="str">
        <f t="shared" si="140"/>
        <v>-</v>
      </c>
      <c r="BK174" s="435" t="str">
        <f t="shared" si="140"/>
        <v>-</v>
      </c>
      <c r="BL174" s="435" t="str">
        <f t="shared" si="140"/>
        <v>-</v>
      </c>
    </row>
    <row r="175" spans="1:64" ht="15" customHeight="1" outlineLevel="1" thickBot="1" x14ac:dyDescent="0.3">
      <c r="A175" s="404"/>
      <c r="B175" s="725"/>
      <c r="C175" s="686">
        <v>4</v>
      </c>
      <c r="D175" s="689" t="str">
        <f>IF(AND(F176="-",G176="-",H176="-",I176="-",J176="-",K176="-",L176="-",M176="-"),"-",MAX(F176,G176,H176,I176,J176,K176,L176,M176))</f>
        <v>-</v>
      </c>
      <c r="E175" s="444" t="s">
        <v>96</v>
      </c>
      <c r="F175" s="445" t="str">
        <f t="shared" ref="F175:N175" si="141">IF(OR(F174="-",F174=""),IF(OR(F173="-",F173=""),"-",F173),IF(OR(F173="-",F173=""),F174,(F173+F174)/2))</f>
        <v>-</v>
      </c>
      <c r="G175" s="445" t="str">
        <f t="shared" si="141"/>
        <v>-</v>
      </c>
      <c r="H175" s="445" t="str">
        <f t="shared" si="141"/>
        <v>-</v>
      </c>
      <c r="I175" s="445" t="str">
        <f t="shared" si="141"/>
        <v>-</v>
      </c>
      <c r="J175" s="445" t="str">
        <f t="shared" si="141"/>
        <v>-</v>
      </c>
      <c r="K175" s="446" t="str">
        <f t="shared" si="141"/>
        <v>-</v>
      </c>
      <c r="L175" s="446" t="str">
        <f t="shared" si="141"/>
        <v>-</v>
      </c>
      <c r="M175" s="446" t="str">
        <f t="shared" si="141"/>
        <v>-</v>
      </c>
      <c r="N175" s="445" t="str">
        <f t="shared" si="141"/>
        <v>-</v>
      </c>
      <c r="O175" s="672"/>
      <c r="P175" s="673"/>
      <c r="Q175" s="673"/>
      <c r="R175" s="673"/>
      <c r="S175" s="672"/>
      <c r="T175" s="673"/>
      <c r="U175" s="673"/>
      <c r="V175" s="674"/>
      <c r="W175" s="434"/>
      <c r="X175" s="434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BC175" s="401" t="str">
        <f t="shared" si="109"/>
        <v>-</v>
      </c>
      <c r="BD175" s="429" t="str">
        <f>"IEF " &amp;B158</f>
        <v>IEF City (unweighted)</v>
      </c>
      <c r="BE175" s="435">
        <f t="shared" ref="BE175:BL175" si="142">IF(OR($C160="-",$C160="CET",$C160=""),"-",$C160)</f>
        <v>4</v>
      </c>
      <c r="BF175" s="435">
        <f t="shared" si="142"/>
        <v>4</v>
      </c>
      <c r="BG175" s="435">
        <f t="shared" si="142"/>
        <v>4</v>
      </c>
      <c r="BH175" s="435">
        <f t="shared" si="142"/>
        <v>4</v>
      </c>
      <c r="BI175" s="435">
        <f t="shared" si="142"/>
        <v>4</v>
      </c>
      <c r="BJ175" s="435">
        <f t="shared" si="142"/>
        <v>4</v>
      </c>
      <c r="BK175" s="435">
        <f t="shared" si="142"/>
        <v>4</v>
      </c>
      <c r="BL175" s="435">
        <f t="shared" si="142"/>
        <v>4</v>
      </c>
    </row>
    <row r="176" spans="1:64" ht="15" customHeight="1" outlineLevel="1" thickBot="1" x14ac:dyDescent="0.3">
      <c r="A176" s="404"/>
      <c r="B176" s="725"/>
      <c r="C176" s="687"/>
      <c r="D176" s="690"/>
      <c r="E176" s="447" t="s">
        <v>97</v>
      </c>
      <c r="F176" s="448" t="str">
        <f t="shared" ref="F176:N176" si="143">IF(OR($C175="-",$C175="CET",$C175=""),"-",IF(AND(NOT(F175="-"),NOT(F$5="-"),NOT(F$5="")),F175/F$5,"-"))</f>
        <v>-</v>
      </c>
      <c r="G176" s="448" t="str">
        <f t="shared" si="143"/>
        <v>-</v>
      </c>
      <c r="H176" s="448" t="str">
        <f t="shared" si="143"/>
        <v>-</v>
      </c>
      <c r="I176" s="448" t="str">
        <f t="shared" si="143"/>
        <v>-</v>
      </c>
      <c r="J176" s="448" t="str">
        <f t="shared" si="143"/>
        <v>-</v>
      </c>
      <c r="K176" s="449" t="str">
        <f t="shared" si="143"/>
        <v>-</v>
      </c>
      <c r="L176" s="449" t="str">
        <f t="shared" si="143"/>
        <v>-</v>
      </c>
      <c r="M176" s="449" t="str">
        <f t="shared" si="143"/>
        <v>-</v>
      </c>
      <c r="N176" s="448" t="str">
        <f t="shared" si="143"/>
        <v>-</v>
      </c>
      <c r="O176" s="672"/>
      <c r="P176" s="673"/>
      <c r="Q176" s="673"/>
      <c r="R176" s="673"/>
      <c r="S176" s="672"/>
      <c r="T176" s="673"/>
      <c r="U176" s="673"/>
      <c r="V176" s="674"/>
      <c r="W176" s="434"/>
      <c r="X176" s="434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BC176" s="401" t="str">
        <f t="shared" si="109"/>
        <v>-</v>
      </c>
      <c r="BD176" s="429" t="str">
        <f>"IEF " &amp; B163</f>
        <v>IEF City (EMROAD)</v>
      </c>
      <c r="BE176" s="435">
        <f t="shared" ref="BE176:BL176" si="144">IF(OR($C165="-",$C165="CET",$C165=""),"-",$C165)</f>
        <v>4</v>
      </c>
      <c r="BF176" s="435">
        <f t="shared" si="144"/>
        <v>4</v>
      </c>
      <c r="BG176" s="435">
        <f t="shared" si="144"/>
        <v>4</v>
      </c>
      <c r="BH176" s="435">
        <f t="shared" si="144"/>
        <v>4</v>
      </c>
      <c r="BI176" s="435">
        <f t="shared" si="144"/>
        <v>4</v>
      </c>
      <c r="BJ176" s="435">
        <f t="shared" si="144"/>
        <v>4</v>
      </c>
      <c r="BK176" s="435">
        <f t="shared" si="144"/>
        <v>4</v>
      </c>
      <c r="BL176" s="435">
        <f t="shared" si="144"/>
        <v>4</v>
      </c>
    </row>
    <row r="177" spans="1:64" ht="15" customHeight="1" outlineLevel="1" thickBot="1" x14ac:dyDescent="0.3">
      <c r="A177" s="404"/>
      <c r="B177" s="726"/>
      <c r="C177" s="688"/>
      <c r="D177" s="691"/>
      <c r="E177" s="451" t="s">
        <v>30</v>
      </c>
      <c r="F177" s="451" t="str">
        <f t="shared" ref="F177:N177" si="145">IF(AND(OR(F173="-",F173=""),OR(F174="-",F174="")),"-",IF(OR($C175="-",$C175="",$C175="CET"),"-",IF($R$154="not listed","-",IF(NOT(F$5="-"),IF(AND(AND(NOT(F173=0),NOT(F173="-"),NOT(F173="")),AND(NOT(F174="-"),NOT(F174=0),NOT(F174=""))),IF(AND((F173+F174)/2&lt;1*F$5*IF(OR($C175="CET",$C175="-",$C175=""),"-",$C175),F173&lt;1.1*F$5*IF(OR($C175="CET",$C175="-",$C175=""),"-",$C175),F174&lt;1.1*F$5*IF(OR($C175="CET",$C175="-",$C175=""),"-",$C175)),"passed","refused"),IF(IF(OR(F173="-",F173=""),F174,F173)&lt;0.7*F$5*IF(OR($C175="CET",$C175="-",$C175=""),"-",$C175),"passed",IF(IF(OR(F173="-",F173=""),F174,F173)&lt;1.1*IF(OR($C175="CET",$C175="-",$C175=""),"-",$C175)*F$5,"failed","refused"))),"-"))))</f>
        <v>-</v>
      </c>
      <c r="G177" s="451" t="str">
        <f t="shared" si="145"/>
        <v>-</v>
      </c>
      <c r="H177" s="451" t="str">
        <f t="shared" si="145"/>
        <v>-</v>
      </c>
      <c r="I177" s="451" t="str">
        <f t="shared" si="145"/>
        <v>-</v>
      </c>
      <c r="J177" s="451" t="str">
        <f t="shared" si="145"/>
        <v>-</v>
      </c>
      <c r="K177" s="452" t="str">
        <f t="shared" si="145"/>
        <v>-</v>
      </c>
      <c r="L177" s="452" t="str">
        <f t="shared" si="145"/>
        <v>-</v>
      </c>
      <c r="M177" s="452" t="str">
        <f t="shared" si="145"/>
        <v>-</v>
      </c>
      <c r="N177" s="451" t="str">
        <f t="shared" si="145"/>
        <v>-</v>
      </c>
      <c r="O177" s="672"/>
      <c r="P177" s="673"/>
      <c r="Q177" s="673"/>
      <c r="R177" s="673"/>
      <c r="S177" s="672"/>
      <c r="T177" s="673"/>
      <c r="U177" s="673"/>
      <c r="V177" s="674"/>
      <c r="W177" s="434"/>
      <c r="X177" s="434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BC177" s="401" t="str">
        <f t="shared" si="109"/>
        <v>-</v>
      </c>
      <c r="BD177" s="429" t="str">
        <f>"IEF " &amp; B168</f>
        <v>IEF City
 (SPF)</v>
      </c>
      <c r="BE177" s="435">
        <f t="shared" ref="BE177:BL177" si="146">IF(OR($C170="-",$C170="CET",$C170=""),"-",$C170)</f>
        <v>4</v>
      </c>
      <c r="BF177" s="435">
        <f t="shared" si="146"/>
        <v>4</v>
      </c>
      <c r="BG177" s="435">
        <f t="shared" si="146"/>
        <v>4</v>
      </c>
      <c r="BH177" s="435">
        <f t="shared" si="146"/>
        <v>4</v>
      </c>
      <c r="BI177" s="435">
        <f t="shared" si="146"/>
        <v>4</v>
      </c>
      <c r="BJ177" s="435">
        <f t="shared" si="146"/>
        <v>4</v>
      </c>
      <c r="BK177" s="435">
        <f t="shared" si="146"/>
        <v>4</v>
      </c>
      <c r="BL177" s="435">
        <f t="shared" si="146"/>
        <v>4</v>
      </c>
    </row>
    <row r="178" spans="1:64" s="405" customFormat="1" ht="15" customHeight="1" outlineLevel="1" x14ac:dyDescent="0.25">
      <c r="A178" s="454"/>
      <c r="B178" s="724" t="s">
        <v>104</v>
      </c>
      <c r="C178" s="684" t="s">
        <v>114</v>
      </c>
      <c r="D178" s="684" t="s">
        <v>113</v>
      </c>
      <c r="E178" s="453" t="s">
        <v>94</v>
      </c>
      <c r="F178" s="473" t="s">
        <v>5</v>
      </c>
      <c r="G178" s="473" t="s">
        <v>5</v>
      </c>
      <c r="H178" s="473" t="s">
        <v>5</v>
      </c>
      <c r="I178" s="473" t="s">
        <v>5</v>
      </c>
      <c r="J178" s="473" t="s">
        <v>5</v>
      </c>
      <c r="K178" s="474" t="s">
        <v>5</v>
      </c>
      <c r="L178" s="474" t="s">
        <v>5</v>
      </c>
      <c r="M178" s="474" t="s">
        <v>5</v>
      </c>
      <c r="N178" s="473" t="s">
        <v>5</v>
      </c>
      <c r="O178" s="672"/>
      <c r="P178" s="673"/>
      <c r="Q178" s="673"/>
      <c r="R178" s="673"/>
      <c r="S178" s="672"/>
      <c r="T178" s="673"/>
      <c r="U178" s="673"/>
      <c r="V178" s="674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C178" s="401" t="str">
        <f t="shared" si="109"/>
        <v>-</v>
      </c>
      <c r="BD178" s="429" t="str">
        <f>"IEF " &amp; B173</f>
        <v>IEF Total (unweighted)</v>
      </c>
      <c r="BE178" s="435">
        <f t="shared" ref="BE178:BL178" si="147">IF(OR($C175="-",$C175="CET",$C175=""),"-",$C175)</f>
        <v>4</v>
      </c>
      <c r="BF178" s="435">
        <f t="shared" si="147"/>
        <v>4</v>
      </c>
      <c r="BG178" s="435">
        <f t="shared" si="147"/>
        <v>4</v>
      </c>
      <c r="BH178" s="435">
        <f t="shared" si="147"/>
        <v>4</v>
      </c>
      <c r="BI178" s="435">
        <f t="shared" si="147"/>
        <v>4</v>
      </c>
      <c r="BJ178" s="435">
        <f t="shared" si="147"/>
        <v>4</v>
      </c>
      <c r="BK178" s="435">
        <f t="shared" si="147"/>
        <v>4</v>
      </c>
      <c r="BL178" s="435">
        <f t="shared" si="147"/>
        <v>4</v>
      </c>
    </row>
    <row r="179" spans="1:64" ht="15" customHeight="1" outlineLevel="1" thickBot="1" x14ac:dyDescent="0.3">
      <c r="A179" s="404"/>
      <c r="B179" s="725"/>
      <c r="C179" s="702"/>
      <c r="D179" s="685"/>
      <c r="E179" s="440" t="s">
        <v>95</v>
      </c>
      <c r="F179" s="475" t="s">
        <v>5</v>
      </c>
      <c r="G179" s="475" t="s">
        <v>5</v>
      </c>
      <c r="H179" s="475" t="s">
        <v>5</v>
      </c>
      <c r="I179" s="475" t="s">
        <v>5</v>
      </c>
      <c r="J179" s="475" t="s">
        <v>5</v>
      </c>
      <c r="K179" s="476" t="s">
        <v>5</v>
      </c>
      <c r="L179" s="476" t="s">
        <v>5</v>
      </c>
      <c r="M179" s="476" t="s">
        <v>5</v>
      </c>
      <c r="N179" s="475" t="s">
        <v>5</v>
      </c>
      <c r="O179" s="672"/>
      <c r="P179" s="673"/>
      <c r="Q179" s="673"/>
      <c r="R179" s="673"/>
      <c r="S179" s="672"/>
      <c r="T179" s="673"/>
      <c r="U179" s="673"/>
      <c r="V179" s="674"/>
      <c r="W179" s="434"/>
      <c r="X179" s="434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BC179" s="401" t="str">
        <f t="shared" si="109"/>
        <v>-</v>
      </c>
      <c r="BD179" s="429" t="str">
        <f>"IEF " &amp; B178</f>
        <v>IEF Total (EMROAD)</v>
      </c>
      <c r="BE179" s="435">
        <f t="shared" ref="BE179:BL179" si="148">IF(OR($C180="-",$C180="CET",$C180=""),"-",$C180)</f>
        <v>4</v>
      </c>
      <c r="BF179" s="435">
        <f t="shared" si="148"/>
        <v>4</v>
      </c>
      <c r="BG179" s="435">
        <f t="shared" si="148"/>
        <v>4</v>
      </c>
      <c r="BH179" s="435">
        <f t="shared" si="148"/>
        <v>4</v>
      </c>
      <c r="BI179" s="435">
        <f t="shared" si="148"/>
        <v>4</v>
      </c>
      <c r="BJ179" s="435">
        <f t="shared" si="148"/>
        <v>4</v>
      </c>
      <c r="BK179" s="435">
        <f t="shared" si="148"/>
        <v>4</v>
      </c>
      <c r="BL179" s="435">
        <f t="shared" si="148"/>
        <v>4</v>
      </c>
    </row>
    <row r="180" spans="1:64" ht="15" customHeight="1" outlineLevel="1" thickBot="1" x14ac:dyDescent="0.3">
      <c r="A180" s="404"/>
      <c r="B180" s="725"/>
      <c r="C180" s="686">
        <v>4</v>
      </c>
      <c r="D180" s="689" t="str">
        <f>IF(AND(F181="-",G181="-",H181="-",I181="-",J181="-",K181="-",L181="-",M181="-"),"-",MAX(F181,G181,H181,I181,J181,K181,L181,M181))</f>
        <v>-</v>
      </c>
      <c r="E180" s="444" t="s">
        <v>96</v>
      </c>
      <c r="F180" s="445" t="str">
        <f t="shared" ref="F180:N180" si="149">IF(OR(F179="-",F179=""),IF(OR(F178="-",F178=""),"-",F178),IF(OR(F178="-",F178=""),F179,(F178+F179)/2))</f>
        <v>-</v>
      </c>
      <c r="G180" s="445" t="str">
        <f t="shared" si="149"/>
        <v>-</v>
      </c>
      <c r="H180" s="445" t="str">
        <f t="shared" si="149"/>
        <v>-</v>
      </c>
      <c r="I180" s="445" t="str">
        <f t="shared" si="149"/>
        <v>-</v>
      </c>
      <c r="J180" s="445" t="str">
        <f t="shared" si="149"/>
        <v>-</v>
      </c>
      <c r="K180" s="446" t="str">
        <f t="shared" si="149"/>
        <v>-</v>
      </c>
      <c r="L180" s="446" t="str">
        <f t="shared" si="149"/>
        <v>-</v>
      </c>
      <c r="M180" s="446" t="str">
        <f t="shared" si="149"/>
        <v>-</v>
      </c>
      <c r="N180" s="445" t="str">
        <f t="shared" si="149"/>
        <v>-</v>
      </c>
      <c r="O180" s="672"/>
      <c r="P180" s="673"/>
      <c r="Q180" s="673"/>
      <c r="R180" s="673"/>
      <c r="S180" s="672"/>
      <c r="T180" s="673"/>
      <c r="U180" s="673"/>
      <c r="V180" s="674"/>
      <c r="W180" s="434"/>
      <c r="X180" s="434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BC180" s="401" t="str">
        <f t="shared" si="109"/>
        <v>-</v>
      </c>
      <c r="BD180" s="429" t="str">
        <f>"IEF " &amp; B183</f>
        <v>IEF Total (SPF)</v>
      </c>
      <c r="BE180" s="435">
        <f t="shared" ref="BE180:BL180" si="150">IF(OR($C185="-",$C185="CET",$C185=""),"-",$C185)</f>
        <v>4</v>
      </c>
      <c r="BF180" s="435">
        <f t="shared" si="150"/>
        <v>4</v>
      </c>
      <c r="BG180" s="435">
        <f t="shared" si="150"/>
        <v>4</v>
      </c>
      <c r="BH180" s="435">
        <f t="shared" si="150"/>
        <v>4</v>
      </c>
      <c r="BI180" s="435">
        <f t="shared" si="150"/>
        <v>4</v>
      </c>
      <c r="BJ180" s="435">
        <f t="shared" si="150"/>
        <v>4</v>
      </c>
      <c r="BK180" s="435">
        <f t="shared" si="150"/>
        <v>4</v>
      </c>
      <c r="BL180" s="435">
        <f t="shared" si="150"/>
        <v>4</v>
      </c>
    </row>
    <row r="181" spans="1:64" ht="15" customHeight="1" outlineLevel="1" thickBot="1" x14ac:dyDescent="0.3">
      <c r="A181" s="404"/>
      <c r="B181" s="725"/>
      <c r="C181" s="687"/>
      <c r="D181" s="690"/>
      <c r="E181" s="447" t="s">
        <v>97</v>
      </c>
      <c r="F181" s="448" t="str">
        <f t="shared" ref="F181:N181" si="151">IF(OR($C180="-",$C180="CET",$C180=""),"-",IF(AND(NOT(F180="-"),NOT(F$5="-"),NOT(F$5="")),F180/F$5,"-"))</f>
        <v>-</v>
      </c>
      <c r="G181" s="448" t="str">
        <f t="shared" si="151"/>
        <v>-</v>
      </c>
      <c r="H181" s="448" t="str">
        <f t="shared" si="151"/>
        <v>-</v>
      </c>
      <c r="I181" s="448" t="str">
        <f t="shared" si="151"/>
        <v>-</v>
      </c>
      <c r="J181" s="448" t="str">
        <f t="shared" si="151"/>
        <v>-</v>
      </c>
      <c r="K181" s="449" t="str">
        <f t="shared" si="151"/>
        <v>-</v>
      </c>
      <c r="L181" s="449" t="str">
        <f t="shared" si="151"/>
        <v>-</v>
      </c>
      <c r="M181" s="449" t="str">
        <f t="shared" si="151"/>
        <v>-</v>
      </c>
      <c r="N181" s="448" t="str">
        <f t="shared" si="151"/>
        <v>-</v>
      </c>
      <c r="O181" s="672"/>
      <c r="P181" s="673"/>
      <c r="Q181" s="673"/>
      <c r="R181" s="673"/>
      <c r="S181" s="672"/>
      <c r="T181" s="673"/>
      <c r="U181" s="673"/>
      <c r="V181" s="674"/>
      <c r="W181" s="434"/>
      <c r="X181" s="434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BC181" s="401" t="str">
        <f t="shared" si="109"/>
        <v>-</v>
      </c>
    </row>
    <row r="182" spans="1:64" ht="15" customHeight="1" outlineLevel="1" thickBot="1" x14ac:dyDescent="0.3">
      <c r="A182" s="404"/>
      <c r="B182" s="726"/>
      <c r="C182" s="688"/>
      <c r="D182" s="691"/>
      <c r="E182" s="451" t="s">
        <v>30</v>
      </c>
      <c r="F182" s="451" t="str">
        <f t="shared" ref="F182:N182" si="152">IF(AND(OR(F178="-",F178=""),OR(F179="-",F179="")),"-",IF(OR($C180="-",$C180="",$C180="CET"),"-",IF($R$154="not listed","-",IF(NOT(F$5="-"),IF(AND(AND(NOT(F178=0),NOT(F178="-"),NOT(F178="")),AND(NOT(F179="-"),NOT(F179=0),NOT(F179=""))),IF(AND((F178+F179)/2&lt;1*F$5*IF(OR($C180="CET",$C180="-",$C180=""),"-",$C180),F178&lt;1.1*F$5*IF(OR($C180="CET",$C180="-",$C180=""),"-",$C180),F179&lt;1.1*F$5*IF(OR($C180="CET",$C180="-",$C180=""),"-",$C180)),"passed","refused"),IF(IF(OR(F178="-",F178=""),F179,F178)&lt;0.7*F$5*IF(OR($C180="CET",$C180="-",$C180=""),"-",$C180),"passed",IF(IF(OR(F178="-",F178=""),F179,F178)&lt;1.1*IF(OR($C180="CET",$C180="-",$C180=""),"-",$C180)*F$5,"failed","refused"))),"-"))))</f>
        <v>-</v>
      </c>
      <c r="G182" s="451" t="str">
        <f t="shared" si="152"/>
        <v>-</v>
      </c>
      <c r="H182" s="451" t="str">
        <f t="shared" si="152"/>
        <v>-</v>
      </c>
      <c r="I182" s="451" t="str">
        <f t="shared" si="152"/>
        <v>-</v>
      </c>
      <c r="J182" s="451" t="str">
        <f t="shared" si="152"/>
        <v>-</v>
      </c>
      <c r="K182" s="452" t="str">
        <f t="shared" si="152"/>
        <v>-</v>
      </c>
      <c r="L182" s="452" t="str">
        <f t="shared" si="152"/>
        <v>-</v>
      </c>
      <c r="M182" s="452" t="str">
        <f t="shared" si="152"/>
        <v>-</v>
      </c>
      <c r="N182" s="451" t="str">
        <f t="shared" si="152"/>
        <v>-</v>
      </c>
      <c r="O182" s="672"/>
      <c r="P182" s="673"/>
      <c r="Q182" s="673"/>
      <c r="R182" s="673"/>
      <c r="S182" s="672"/>
      <c r="T182" s="673"/>
      <c r="U182" s="673"/>
      <c r="V182" s="674"/>
      <c r="W182" s="434"/>
      <c r="X182" s="434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BC182" s="401" t="str">
        <f t="shared" si="109"/>
        <v>-</v>
      </c>
      <c r="BD182" s="459"/>
      <c r="BE182" s="459"/>
      <c r="BF182" s="459"/>
      <c r="BG182" s="459"/>
      <c r="BH182" s="459"/>
      <c r="BI182" s="459"/>
      <c r="BJ182" s="459"/>
      <c r="BK182" s="459"/>
      <c r="BL182" s="459"/>
    </row>
    <row r="183" spans="1:64" s="405" customFormat="1" ht="15" customHeight="1" outlineLevel="1" x14ac:dyDescent="0.25">
      <c r="A183" s="454"/>
      <c r="B183" s="718" t="s">
        <v>140</v>
      </c>
      <c r="C183" s="684" t="s">
        <v>114</v>
      </c>
      <c r="D183" s="684" t="s">
        <v>113</v>
      </c>
      <c r="E183" s="453" t="s">
        <v>94</v>
      </c>
      <c r="F183" s="473" t="s">
        <v>5</v>
      </c>
      <c r="G183" s="473" t="s">
        <v>5</v>
      </c>
      <c r="H183" s="473" t="s">
        <v>5</v>
      </c>
      <c r="I183" s="473" t="s">
        <v>5</v>
      </c>
      <c r="J183" s="473" t="s">
        <v>5</v>
      </c>
      <c r="K183" s="474" t="s">
        <v>5</v>
      </c>
      <c r="L183" s="474" t="s">
        <v>5</v>
      </c>
      <c r="M183" s="474" t="s">
        <v>5</v>
      </c>
      <c r="N183" s="473" t="s">
        <v>5</v>
      </c>
      <c r="O183" s="672"/>
      <c r="P183" s="673"/>
      <c r="Q183" s="673"/>
      <c r="R183" s="673"/>
      <c r="S183" s="672"/>
      <c r="T183" s="673"/>
      <c r="U183" s="673"/>
      <c r="V183" s="674"/>
      <c r="W183" s="443"/>
      <c r="X183" s="443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BC183" s="401" t="str">
        <f t="shared" si="109"/>
        <v>-</v>
      </c>
      <c r="BD183" s="459"/>
      <c r="BE183" s="459"/>
      <c r="BF183" s="459"/>
      <c r="BG183" s="459"/>
      <c r="BH183" s="459"/>
      <c r="BI183" s="459"/>
      <c r="BJ183" s="459"/>
      <c r="BK183" s="459"/>
      <c r="BL183" s="459"/>
    </row>
    <row r="184" spans="1:64" ht="15" customHeight="1" outlineLevel="1" thickBot="1" x14ac:dyDescent="0.3">
      <c r="A184" s="404"/>
      <c r="B184" s="719"/>
      <c r="C184" s="702"/>
      <c r="D184" s="685"/>
      <c r="E184" s="440" t="s">
        <v>95</v>
      </c>
      <c r="F184" s="475" t="s">
        <v>5</v>
      </c>
      <c r="G184" s="475" t="s">
        <v>5</v>
      </c>
      <c r="H184" s="475" t="s">
        <v>5</v>
      </c>
      <c r="I184" s="475" t="s">
        <v>5</v>
      </c>
      <c r="J184" s="475" t="s">
        <v>5</v>
      </c>
      <c r="K184" s="476" t="s">
        <v>5</v>
      </c>
      <c r="L184" s="476" t="s">
        <v>5</v>
      </c>
      <c r="M184" s="476" t="s">
        <v>5</v>
      </c>
      <c r="N184" s="475" t="s">
        <v>5</v>
      </c>
      <c r="O184" s="672"/>
      <c r="P184" s="673"/>
      <c r="Q184" s="673"/>
      <c r="R184" s="673"/>
      <c r="S184" s="672"/>
      <c r="T184" s="673"/>
      <c r="U184" s="673"/>
      <c r="V184" s="674"/>
      <c r="W184" s="434"/>
      <c r="X184" s="434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BC184" s="401" t="str">
        <f t="shared" si="109"/>
        <v>-</v>
      </c>
      <c r="BD184" s="460"/>
      <c r="BE184" s="460"/>
      <c r="BF184" s="460"/>
      <c r="BG184" s="460"/>
      <c r="BH184" s="460"/>
      <c r="BI184" s="460"/>
      <c r="BJ184" s="460"/>
      <c r="BK184" s="460"/>
      <c r="BL184" s="460"/>
    </row>
    <row r="185" spans="1:64" ht="15" customHeight="1" outlineLevel="1" thickBot="1" x14ac:dyDescent="0.3">
      <c r="A185" s="404"/>
      <c r="B185" s="719"/>
      <c r="C185" s="686">
        <v>4</v>
      </c>
      <c r="D185" s="689" t="str">
        <f>IF(AND(F186="-",G186="-",H186="-",I186="-",J186="-",K186="-",L186="-",M186="-"),"-",MAX(F186,G186,H186,I186,J186,K186,L186,M186))</f>
        <v>-</v>
      </c>
      <c r="E185" s="444" t="s">
        <v>96</v>
      </c>
      <c r="F185" s="445" t="str">
        <f t="shared" ref="F185:N185" si="153">IF(OR(F184="-",F184=""),IF(OR(F183="-",F183=""),"-",F183),IF(OR(F183="-",F183=""),F184,(F183+F184)/2))</f>
        <v>-</v>
      </c>
      <c r="G185" s="445" t="str">
        <f t="shared" si="153"/>
        <v>-</v>
      </c>
      <c r="H185" s="445" t="str">
        <f t="shared" si="153"/>
        <v>-</v>
      </c>
      <c r="I185" s="445" t="str">
        <f t="shared" si="153"/>
        <v>-</v>
      </c>
      <c r="J185" s="445" t="str">
        <f t="shared" si="153"/>
        <v>-</v>
      </c>
      <c r="K185" s="446" t="str">
        <f t="shared" si="153"/>
        <v>-</v>
      </c>
      <c r="L185" s="446" t="str">
        <f t="shared" si="153"/>
        <v>-</v>
      </c>
      <c r="M185" s="446" t="str">
        <f t="shared" si="153"/>
        <v>-</v>
      </c>
      <c r="N185" s="445" t="str">
        <f t="shared" si="153"/>
        <v>-</v>
      </c>
      <c r="O185" s="672"/>
      <c r="P185" s="673"/>
      <c r="Q185" s="673"/>
      <c r="R185" s="673"/>
      <c r="S185" s="672"/>
      <c r="T185" s="673"/>
      <c r="U185" s="673"/>
      <c r="V185" s="674"/>
      <c r="W185" s="434"/>
      <c r="X185" s="434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401" t="str">
        <f t="shared" si="109"/>
        <v>-</v>
      </c>
      <c r="BD185" s="460"/>
      <c r="BE185" s="460"/>
      <c r="BF185" s="460"/>
      <c r="BG185" s="460"/>
      <c r="BH185" s="460"/>
      <c r="BI185" s="460"/>
      <c r="BJ185" s="460"/>
      <c r="BK185" s="460"/>
      <c r="BL185" s="460"/>
    </row>
    <row r="186" spans="1:64" ht="15.75" outlineLevel="1" thickBot="1" x14ac:dyDescent="0.3">
      <c r="B186" s="719"/>
      <c r="C186" s="687"/>
      <c r="D186" s="690"/>
      <c r="E186" s="447" t="s">
        <v>97</v>
      </c>
      <c r="F186" s="448" t="str">
        <f t="shared" ref="F186:N186" si="154">IF(OR($C185="-",$C185="CET",$C185=""),"-",IF(AND(NOT(F185="-"),NOT(F$5="-"),NOT(F$5="")),F185/F$5,"-"))</f>
        <v>-</v>
      </c>
      <c r="G186" s="448" t="str">
        <f t="shared" si="154"/>
        <v>-</v>
      </c>
      <c r="H186" s="448" t="str">
        <f t="shared" si="154"/>
        <v>-</v>
      </c>
      <c r="I186" s="448" t="str">
        <f t="shared" si="154"/>
        <v>-</v>
      </c>
      <c r="J186" s="448" t="str">
        <f t="shared" si="154"/>
        <v>-</v>
      </c>
      <c r="K186" s="449" t="str">
        <f t="shared" si="154"/>
        <v>-</v>
      </c>
      <c r="L186" s="449" t="str">
        <f t="shared" si="154"/>
        <v>-</v>
      </c>
      <c r="M186" s="449" t="str">
        <f t="shared" si="154"/>
        <v>-</v>
      </c>
      <c r="N186" s="448" t="str">
        <f t="shared" si="154"/>
        <v>-</v>
      </c>
      <c r="O186" s="672"/>
      <c r="P186" s="673"/>
      <c r="Q186" s="673"/>
      <c r="R186" s="673"/>
      <c r="S186" s="672"/>
      <c r="T186" s="673"/>
      <c r="U186" s="673"/>
      <c r="V186" s="674"/>
      <c r="BC186" s="401" t="str">
        <f t="shared" si="109"/>
        <v>-</v>
      </c>
    </row>
    <row r="187" spans="1:64" ht="15.75" outlineLevel="1" thickBot="1" x14ac:dyDescent="0.3">
      <c r="B187" s="720"/>
      <c r="C187" s="688"/>
      <c r="D187" s="691"/>
      <c r="E187" s="451" t="s">
        <v>30</v>
      </c>
      <c r="F187" s="451" t="str">
        <f t="shared" ref="F187:N187" si="155">IF(AND(OR(F183="-",F183=""),OR(F184="-",F184="")),"-",IF(OR($C185="-",$C185="",$C185="CET"),"-",IF($R$154="not listed","-",IF(NOT(F$5="-"),IF(AND(AND(NOT(F183=0),NOT(F183="-"),NOT(F183="")),AND(NOT(F184="-"),NOT(F184=0),NOT(F184=""))),IF(AND((F183+F184)/2&lt;1*F$5*IF(OR($C185="CET",$C185="-",$C185=""),"-",$C185),F183&lt;1.1*F$5*IF(OR($C185="CET",$C185="-",$C185=""),"-",$C185),F184&lt;1.1*F$5*IF(OR($C185="CET",$C185="-",$C185=""),"-",$C185)),"passed","refused"),IF(IF(OR(F183="-",F183=""),F184,F183)&lt;0.7*F$5*IF(OR($C185="CET",$C185="-",$C185=""),"-",$C185),"passed",IF(IF(OR(F183="-",F183=""),F184,F183)&lt;1.1*IF(OR($C185="CET",$C185="-",$C185=""),"-",$C185)*F$5,"failed","refused"))),"-"))))</f>
        <v>-</v>
      </c>
      <c r="G187" s="451" t="str">
        <f t="shared" si="155"/>
        <v>-</v>
      </c>
      <c r="H187" s="451" t="str">
        <f t="shared" si="155"/>
        <v>-</v>
      </c>
      <c r="I187" s="451" t="str">
        <f t="shared" si="155"/>
        <v>-</v>
      </c>
      <c r="J187" s="451" t="str">
        <f t="shared" si="155"/>
        <v>-</v>
      </c>
      <c r="K187" s="452" t="str">
        <f t="shared" si="155"/>
        <v>-</v>
      </c>
      <c r="L187" s="452" t="str">
        <f t="shared" si="155"/>
        <v>-</v>
      </c>
      <c r="M187" s="452" t="str">
        <f t="shared" si="155"/>
        <v>-</v>
      </c>
      <c r="N187" s="451" t="str">
        <f t="shared" si="155"/>
        <v>-</v>
      </c>
      <c r="O187" s="675"/>
      <c r="P187" s="676"/>
      <c r="Q187" s="676"/>
      <c r="R187" s="676"/>
      <c r="S187" s="675"/>
      <c r="T187" s="676"/>
      <c r="U187" s="676"/>
      <c r="V187" s="677"/>
      <c r="BC187" s="401" t="str">
        <f t="shared" si="109"/>
        <v>-</v>
      </c>
    </row>
  </sheetData>
  <sheetProtection algorithmName="SHA-512" hashValue="D1rb7XzdGbulXkWWfL/vjPkH8ePITeC6UW/LS5KLxZgEv/Bq3TiTSN/SE1L+7U6T0/uFTgjh+mfISdSrpgBxqg==" saltValue="RDWMHMS6g3+e/M0ru1Kg8w==" spinCount="100000" sheet="1" objects="1" scenarios="1" selectLockedCells="1"/>
  <mergeCells count="187">
    <mergeCell ref="B183:B187"/>
    <mergeCell ref="C183:C184"/>
    <mergeCell ref="D183:D184"/>
    <mergeCell ref="C185:C187"/>
    <mergeCell ref="D185:D187"/>
    <mergeCell ref="B173:B177"/>
    <mergeCell ref="C173:C174"/>
    <mergeCell ref="D173:D174"/>
    <mergeCell ref="C175:C177"/>
    <mergeCell ref="D175:D177"/>
    <mergeCell ref="B178:B182"/>
    <mergeCell ref="C178:C179"/>
    <mergeCell ref="D178:D179"/>
    <mergeCell ref="C180:C182"/>
    <mergeCell ref="D180:D182"/>
    <mergeCell ref="C154:N154"/>
    <mergeCell ref="Y154:AH154"/>
    <mergeCell ref="Y155:AH185"/>
    <mergeCell ref="B156:N156"/>
    <mergeCell ref="O156:R156"/>
    <mergeCell ref="S156:V156"/>
    <mergeCell ref="B157:E157"/>
    <mergeCell ref="O157:R187"/>
    <mergeCell ref="S157:V187"/>
    <mergeCell ref="B158:B162"/>
    <mergeCell ref="C158:C159"/>
    <mergeCell ref="D158:D159"/>
    <mergeCell ref="C160:C162"/>
    <mergeCell ref="D160:D162"/>
    <mergeCell ref="B163:B167"/>
    <mergeCell ref="C163:C164"/>
    <mergeCell ref="D163:D164"/>
    <mergeCell ref="C165:C167"/>
    <mergeCell ref="D165:D167"/>
    <mergeCell ref="B168:B172"/>
    <mergeCell ref="C168:C169"/>
    <mergeCell ref="D168:D169"/>
    <mergeCell ref="C170:C172"/>
    <mergeCell ref="D170:D172"/>
    <mergeCell ref="C127:N127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  <mergeCell ref="C100:N100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B114:B118"/>
    <mergeCell ref="C114:C115"/>
    <mergeCell ref="C116:C118"/>
    <mergeCell ref="B119:B123"/>
    <mergeCell ref="C119:C120"/>
    <mergeCell ref="C121:C123"/>
    <mergeCell ref="C104:C105"/>
    <mergeCell ref="D104:D105"/>
    <mergeCell ref="C106:C108"/>
    <mergeCell ref="D106:D108"/>
    <mergeCell ref="B109:B113"/>
    <mergeCell ref="C109:C110"/>
    <mergeCell ref="C111:C113"/>
    <mergeCell ref="Y74:AH74"/>
    <mergeCell ref="B75:N75"/>
    <mergeCell ref="O75:R75"/>
    <mergeCell ref="S75:V75"/>
    <mergeCell ref="Y75:AH95"/>
    <mergeCell ref="B76:E76"/>
    <mergeCell ref="O76:R96"/>
    <mergeCell ref="S76:V96"/>
    <mergeCell ref="B77:B81"/>
    <mergeCell ref="C77:C78"/>
    <mergeCell ref="B87:B91"/>
    <mergeCell ref="C87:C88"/>
    <mergeCell ref="C89:C91"/>
    <mergeCell ref="B92:B96"/>
    <mergeCell ref="C92:C93"/>
    <mergeCell ref="C94:C96"/>
    <mergeCell ref="D77:D78"/>
    <mergeCell ref="C79:C81"/>
    <mergeCell ref="D79:D81"/>
    <mergeCell ref="B82:B86"/>
    <mergeCell ref="C82:C83"/>
    <mergeCell ref="C84:C86"/>
    <mergeCell ref="D45:D46"/>
    <mergeCell ref="C47:C49"/>
    <mergeCell ref="D47:D49"/>
    <mergeCell ref="B65:B69"/>
    <mergeCell ref="C65:C66"/>
    <mergeCell ref="D65:D66"/>
    <mergeCell ref="C67:C69"/>
    <mergeCell ref="D67:D69"/>
    <mergeCell ref="C73:N73"/>
    <mergeCell ref="B55:B59"/>
    <mergeCell ref="C55:C56"/>
    <mergeCell ref="D55:D56"/>
    <mergeCell ref="C57:C59"/>
    <mergeCell ref="D57:D59"/>
    <mergeCell ref="B60:B64"/>
    <mergeCell ref="C60:C61"/>
    <mergeCell ref="D60:D61"/>
    <mergeCell ref="C62:C64"/>
    <mergeCell ref="D62:D64"/>
    <mergeCell ref="C36:N36"/>
    <mergeCell ref="Y37:AH37"/>
    <mergeCell ref="B38:N38"/>
    <mergeCell ref="O38:R38"/>
    <mergeCell ref="S38:V38"/>
    <mergeCell ref="Y38:AH68"/>
    <mergeCell ref="B39:E39"/>
    <mergeCell ref="O39:R69"/>
    <mergeCell ref="S39:V69"/>
    <mergeCell ref="B40:B44"/>
    <mergeCell ref="N47:N49"/>
    <mergeCell ref="B50:B54"/>
    <mergeCell ref="C50:C51"/>
    <mergeCell ref="D50:D51"/>
    <mergeCell ref="C52:C54"/>
    <mergeCell ref="D52:D54"/>
    <mergeCell ref="N52:N54"/>
    <mergeCell ref="C40:C41"/>
    <mergeCell ref="D40:D41"/>
    <mergeCell ref="C42:C44"/>
    <mergeCell ref="D42:D44"/>
    <mergeCell ref="N42:N44"/>
    <mergeCell ref="B45:B49"/>
    <mergeCell ref="C45:C46"/>
    <mergeCell ref="C20:C22"/>
    <mergeCell ref="D20:D22"/>
    <mergeCell ref="N20:N22"/>
    <mergeCell ref="B11:E11"/>
    <mergeCell ref="O11:R32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A1:J2"/>
    <mergeCell ref="K1:Q2"/>
    <mergeCell ref="B4:D4"/>
    <mergeCell ref="O4:P4"/>
    <mergeCell ref="B5:E5"/>
    <mergeCell ref="O5:P5"/>
    <mergeCell ref="S11:V32"/>
    <mergeCell ref="Y11:AH31"/>
    <mergeCell ref="B12:B17"/>
    <mergeCell ref="D12:E12"/>
    <mergeCell ref="C13:C14"/>
    <mergeCell ref="D13:D14"/>
    <mergeCell ref="C15:C17"/>
    <mergeCell ref="D15:D17"/>
    <mergeCell ref="B6:E6"/>
    <mergeCell ref="C8:N8"/>
    <mergeCell ref="B10:N10"/>
    <mergeCell ref="O10:R10"/>
    <mergeCell ref="S10:V10"/>
    <mergeCell ref="Y10:AH10"/>
    <mergeCell ref="N15:N17"/>
    <mergeCell ref="B18:B22"/>
    <mergeCell ref="C18:C19"/>
    <mergeCell ref="D18:D19"/>
  </mergeCells>
  <conditionalFormatting sqref="A3 F150:N150 F145:N145 F17:M17 F22:M22 F27:M27 F32:M32 F162:N162 F167:N167 F172:N172 F177:N177 F182:N182 F187:N187 F135:N135 F140:N140 F108:N108 F81:N81 F44:M44 F49:M49 F54:M54 F59:N59 F64:N64 F69:N69">
    <cfRule type="containsText" dxfId="2680" priority="79" operator="containsText" text="passed">
      <formula>NOT(ISERROR(SEARCH("passed",A3)))</formula>
    </cfRule>
    <cfRule type="containsText" dxfId="2679" priority="80" operator="containsText" text="failed">
      <formula>NOT(ISERROR(SEARCH("failed",A3)))</formula>
    </cfRule>
    <cfRule type="containsText" dxfId="2678" priority="81" operator="containsText" text="refused">
      <formula>NOT(ISERROR(SEARCH("refused",A3)))</formula>
    </cfRule>
  </conditionalFormatting>
  <conditionalFormatting sqref="N13:N14">
    <cfRule type="expression" dxfId="2677" priority="78">
      <formula>IF(AND(NOT(N13=""),NOT(N13="-")),N13&gt;=1.1*N$5*BL$25,"-")</formula>
    </cfRule>
  </conditionalFormatting>
  <conditionalFormatting sqref="N18:N19">
    <cfRule type="expression" dxfId="2676" priority="77">
      <formula>IF(AND(NOT(N18=""),NOT(N18="-")),N18&gt;=1.1*N$5*BL$26,"-")</formula>
    </cfRule>
  </conditionalFormatting>
  <conditionalFormatting sqref="N23:N24">
    <cfRule type="expression" dxfId="2675" priority="76">
      <formula>IF(AND(NOT(N23=""),NOT(N23="-")),N23&gt;=1.1*N$5*BL$27,"-")</formula>
    </cfRule>
  </conditionalFormatting>
  <conditionalFormatting sqref="N28:N29">
    <cfRule type="expression" dxfId="2674" priority="75">
      <formula>IF(AND(NOT(N28=""),NOT(N28="-")),N28&gt;=1.1*N$5*BL$28,"-")</formula>
    </cfRule>
  </conditionalFormatting>
  <conditionalFormatting sqref="N40:N41">
    <cfRule type="expression" dxfId="2673" priority="74">
      <formula>IF(AND(NOT(N40=""),NOT(N40="-")),N40&gt;=1.1*N$5*BL$58,"-")</formula>
    </cfRule>
  </conditionalFormatting>
  <conditionalFormatting sqref="N50:N51">
    <cfRule type="expression" dxfId="2672" priority="73">
      <formula>IF(AND(NOT(N50=""),NOT(N50="-")),N50&gt;=1.1*N$5*BL$60,"-")</formula>
    </cfRule>
  </conditionalFormatting>
  <conditionalFormatting sqref="N55:N56">
    <cfRule type="expression" dxfId="2671" priority="72">
      <formula>IF(AND(NOT(N55=""),NOT(N55="-")),N55&gt;=1.1*N$5*BL$61,"-")</formula>
    </cfRule>
  </conditionalFormatting>
  <conditionalFormatting sqref="N45:N46">
    <cfRule type="expression" dxfId="2670" priority="71">
      <formula>IF(AND(NOT(N45=""),NOT(N45="-")),N45&gt;=1.1*N$5*BL$59,"-")</formula>
    </cfRule>
  </conditionalFormatting>
  <conditionalFormatting sqref="N60:N61">
    <cfRule type="expression" dxfId="2669" priority="70">
      <formula>IF(AND(NOT(N60=""),NOT(N60="-")),N60&gt;=1.1*N$5*BL$62,"-")</formula>
    </cfRule>
  </conditionalFormatting>
  <conditionalFormatting sqref="N65:N66">
    <cfRule type="expression" dxfId="2668" priority="69">
      <formula>IF(AND(NOT(N65=""),NOT(N65="-")),N65&gt;=1.1*N$5*BL$63,"-")</formula>
    </cfRule>
  </conditionalFormatting>
  <conditionalFormatting sqref="N77:N78">
    <cfRule type="expression" dxfId="2667" priority="68">
      <formula>IF(AND(NOT(N77=""),NOT(N77="-")),N77&gt;=1.1*N$5*BL$95,"-")</formula>
    </cfRule>
  </conditionalFormatting>
  <conditionalFormatting sqref="N163:N164">
    <cfRule type="expression" dxfId="2666" priority="67">
      <formula>IF(AND(NOT(N163=""),NOT(N163="-")),N163&gt;=1.1*N$5*BL$176,"-")</formula>
    </cfRule>
  </conditionalFormatting>
  <conditionalFormatting sqref="N158:N159">
    <cfRule type="expression" dxfId="2665" priority="66">
      <formula>IF(AND(NOT(N158=""),NOT(N158="-")),N158&gt;=1.1*N$5*BL$175,"-")</formula>
    </cfRule>
  </conditionalFormatting>
  <conditionalFormatting sqref="N131:N132">
    <cfRule type="expression" dxfId="2664" priority="65">
      <formula>IF(AND(NOT(N131=""),NOT(N131="-")),N131&gt;=1.1*N$5*BL$148,"-")</formula>
    </cfRule>
  </conditionalFormatting>
  <conditionalFormatting sqref="P8">
    <cfRule type="containsText" dxfId="2663" priority="62" operator="containsText" text="passed">
      <formula>NOT(ISERROR(SEARCH("passed",P8)))</formula>
    </cfRule>
    <cfRule type="containsText" dxfId="2662" priority="63" operator="containsText" text="failed">
      <formula>NOT(ISERROR(SEARCH("failed",P8)))</formula>
    </cfRule>
    <cfRule type="containsText" dxfId="2661" priority="64" operator="containsText" text="refused">
      <formula>NOT(ISERROR(SEARCH("refused",P8)))</formula>
    </cfRule>
  </conditionalFormatting>
  <conditionalFormatting sqref="F13:K14">
    <cfRule type="expression" dxfId="2660" priority="61">
      <formula>IF(AND(NOT(F13=""),NOT(F13="-")),F13&gt;=1.1*F$5*BE$25,"-")</formula>
    </cfRule>
  </conditionalFormatting>
  <conditionalFormatting sqref="F18:K19">
    <cfRule type="expression" dxfId="2659" priority="60">
      <formula>IF(AND(NOT(F18=""),NOT(F18="-")),F18&gt;=1.1*F$5*BE$26,"-")</formula>
    </cfRule>
  </conditionalFormatting>
  <conditionalFormatting sqref="F23:K24">
    <cfRule type="expression" dxfId="2658" priority="59">
      <formula>IF(AND(NOT(F23=""),NOT(F23="-")),F23&gt;=1.1*F$5*BE$27,"-")</formula>
    </cfRule>
  </conditionalFormatting>
  <conditionalFormatting sqref="F28:K29">
    <cfRule type="expression" dxfId="2657" priority="58">
      <formula>IF(AND(NOT(F28=""),NOT(F28="-")),F28&gt;=1.1*F$5*BE$28,"-")</formula>
    </cfRule>
  </conditionalFormatting>
  <conditionalFormatting sqref="F40:K41">
    <cfRule type="expression" dxfId="2656" priority="57">
      <formula>IF(AND(NOT(F40=""),NOT(F40="-")),F40&gt;=1.1*F$5*BE$58,"-")</formula>
    </cfRule>
  </conditionalFormatting>
  <conditionalFormatting sqref="F50:K51">
    <cfRule type="expression" dxfId="2655" priority="56">
      <formula>IF(AND(NOT(F50=""),NOT(F50="-")),F50&gt;=1.1*F$5*BE$60,"-")</formula>
    </cfRule>
  </conditionalFormatting>
  <conditionalFormatting sqref="F55:K56">
    <cfRule type="expression" dxfId="2654" priority="55">
      <formula>IF(AND(NOT(F55=""),NOT(F55="-")),F55&gt;=1.1*F$5*BE$61,"-")</formula>
    </cfRule>
  </conditionalFormatting>
  <conditionalFormatting sqref="F45:K46">
    <cfRule type="expression" dxfId="2653" priority="54">
      <formula>IF(AND(NOT(F45=""),NOT(F45="-")),F45&gt;=1.1*F$5*BE$59,"-")</formula>
    </cfRule>
  </conditionalFormatting>
  <conditionalFormatting sqref="F60:K61">
    <cfRule type="expression" dxfId="2652" priority="53">
      <formula>IF(AND(NOT(F60=""),NOT(F60="-")),F60&gt;=1.1*F$5*BE$62,"-")</formula>
    </cfRule>
  </conditionalFormatting>
  <conditionalFormatting sqref="F65:K66">
    <cfRule type="expression" dxfId="2651" priority="52">
      <formula>IF(AND(NOT(F65=""),NOT(F65="-")),F65&gt;=1.1*F$5*BE$63,"-")</formula>
    </cfRule>
  </conditionalFormatting>
  <conditionalFormatting sqref="F77:K78">
    <cfRule type="expression" dxfId="2650" priority="51">
      <formula>IF(AND(NOT(F77=""),NOT(F77="-")),F77&gt;=1.1*F$5*BE$95,"-")</formula>
    </cfRule>
  </conditionalFormatting>
  <conditionalFormatting sqref="F163:K164">
    <cfRule type="expression" dxfId="2649" priority="50">
      <formula>IF(AND(NOT(F163=""),NOT(F163="-")),F163&gt;=1.1*F$5*BE$176,"-")</formula>
    </cfRule>
  </conditionalFormatting>
  <conditionalFormatting sqref="F158:K159">
    <cfRule type="expression" dxfId="2648" priority="49">
      <formula>IF(AND(NOT(F158=""),NOT(F158="-")),F158&gt;=1.1*F$5*BE$175,"-")</formula>
    </cfRule>
  </conditionalFormatting>
  <conditionalFormatting sqref="F131:K132">
    <cfRule type="expression" dxfId="2647" priority="48">
      <formula>IF(AND(NOT(F131=""),NOT(F131="-")),F131&gt;=1.1*F$5*BE$148,"-")</formula>
    </cfRule>
  </conditionalFormatting>
  <conditionalFormatting sqref="N136:N137">
    <cfRule type="expression" dxfId="2646" priority="47">
      <formula>IF(AND(NOT(N136=""),NOT(N136="-")),N136&gt;=1.1*N$5*BL$149,"-")</formula>
    </cfRule>
  </conditionalFormatting>
  <conditionalFormatting sqref="N168:N169">
    <cfRule type="expression" dxfId="2645" priority="46">
      <formula>IF(AND(NOT(N168=""),NOT(N168="-")),N168&gt;=1.1*N$5*BL$177,"-")</formula>
    </cfRule>
  </conditionalFormatting>
  <conditionalFormatting sqref="N104:N105">
    <cfRule type="expression" dxfId="2644" priority="45">
      <formula>IF(AND(NOT(N104=""),NOT(N104="-")),N104&gt;=1.1*N$5*BL$121,"-")</formula>
    </cfRule>
  </conditionalFormatting>
  <conditionalFormatting sqref="N173:N174">
    <cfRule type="expression" dxfId="2643" priority="44">
      <formula>IF(AND(NOT(N173=""),NOT(N173="-")),N173&gt;=1.1*N$5*BL$178,"-")</formula>
    </cfRule>
  </conditionalFormatting>
  <conditionalFormatting sqref="N178:N179">
    <cfRule type="expression" dxfId="2642" priority="43">
      <formula>IF(AND(NOT(N178=""),NOT(N178="-")),N178&gt;=1.1*N$5*BL$179,"-")</formula>
    </cfRule>
  </conditionalFormatting>
  <conditionalFormatting sqref="N183:N184">
    <cfRule type="expression" dxfId="2641" priority="42">
      <formula>IF(AND(NOT(N183=""),NOT(N183="-")),N183&gt;=1.1*N$5*BL$180,"-")</formula>
    </cfRule>
  </conditionalFormatting>
  <conditionalFormatting sqref="F136:K137">
    <cfRule type="expression" dxfId="2640" priority="41">
      <formula>IF(AND(NOT(F136=""),NOT(F136="-")),F136&gt;=1.1*F$5*BE$149,"-")</formula>
    </cfRule>
  </conditionalFormatting>
  <conditionalFormatting sqref="F168:K169">
    <cfRule type="expression" dxfId="2639" priority="40">
      <formula>IF(AND(NOT(F168=""),NOT(F168="-")),F168&gt;=1.1*F$5*BE$177,"-")</formula>
    </cfRule>
  </conditionalFormatting>
  <conditionalFormatting sqref="F104:K105">
    <cfRule type="expression" dxfId="2638" priority="39">
      <formula>IF(AND(NOT(F104=""),NOT(F104="-")),F104&gt;=1.1*F$5*BE$121,"-")</formula>
    </cfRule>
  </conditionalFormatting>
  <conditionalFormatting sqref="F173:K174">
    <cfRule type="expression" dxfId="2637" priority="38">
      <formula>IF(AND(NOT(F173=""),NOT(F173="-")),F173&gt;=1.1*F$5*BE$178,"-")</formula>
    </cfRule>
  </conditionalFormatting>
  <conditionalFormatting sqref="F178:K179">
    <cfRule type="expression" dxfId="2636" priority="37">
      <formula>IF(AND(NOT(F178=""),NOT(F178="-")),F178&gt;=1.1*F$5*BE$179,"-")</formula>
    </cfRule>
  </conditionalFormatting>
  <conditionalFormatting sqref="F183:K184">
    <cfRule type="expression" dxfId="2635" priority="36">
      <formula>IF(AND(NOT(F183=""),NOT(F183="-")),F183&gt;=1.1*F$5*BE$180,"-")</formula>
    </cfRule>
  </conditionalFormatting>
  <conditionalFormatting sqref="P36">
    <cfRule type="containsText" dxfId="2634" priority="33" operator="containsText" text="passed">
      <formula>NOT(ISERROR(SEARCH("passed",P36)))</formula>
    </cfRule>
    <cfRule type="containsText" dxfId="2633" priority="34" operator="containsText" text="failed">
      <formula>NOT(ISERROR(SEARCH("failed",P36)))</formula>
    </cfRule>
    <cfRule type="containsText" dxfId="2632" priority="35" operator="containsText" text="refused">
      <formula>NOT(ISERROR(SEARCH("refused",P36)))</formula>
    </cfRule>
  </conditionalFormatting>
  <conditionalFormatting sqref="P73">
    <cfRule type="containsText" dxfId="2631" priority="30" operator="containsText" text="passed">
      <formula>NOT(ISERROR(SEARCH("passed",P73)))</formula>
    </cfRule>
    <cfRule type="containsText" dxfId="2630" priority="31" operator="containsText" text="failed">
      <formula>NOT(ISERROR(SEARCH("failed",P73)))</formula>
    </cfRule>
    <cfRule type="containsText" dxfId="2629" priority="32" operator="containsText" text="refused">
      <formula>NOT(ISERROR(SEARCH("refused",P73)))</formula>
    </cfRule>
  </conditionalFormatting>
  <conditionalFormatting sqref="P100">
    <cfRule type="containsText" dxfId="2628" priority="27" operator="containsText" text="passed">
      <formula>NOT(ISERROR(SEARCH("passed",P100)))</formula>
    </cfRule>
    <cfRule type="containsText" dxfId="2627" priority="28" operator="containsText" text="failed">
      <formula>NOT(ISERROR(SEARCH("failed",P100)))</formula>
    </cfRule>
    <cfRule type="containsText" dxfId="2626" priority="29" operator="containsText" text="refused">
      <formula>NOT(ISERROR(SEARCH("refused",P100)))</formula>
    </cfRule>
  </conditionalFormatting>
  <conditionalFormatting sqref="P127">
    <cfRule type="containsText" dxfId="2625" priority="24" operator="containsText" text="passed">
      <formula>NOT(ISERROR(SEARCH("passed",P127)))</formula>
    </cfRule>
    <cfRule type="containsText" dxfId="2624" priority="25" operator="containsText" text="failed">
      <formula>NOT(ISERROR(SEARCH("failed",P127)))</formula>
    </cfRule>
    <cfRule type="containsText" dxfId="2623" priority="26" operator="containsText" text="refused">
      <formula>NOT(ISERROR(SEARCH("refused",P127)))</formula>
    </cfRule>
  </conditionalFormatting>
  <conditionalFormatting sqref="P154">
    <cfRule type="containsText" dxfId="2622" priority="21" operator="containsText" text="passed">
      <formula>NOT(ISERROR(SEARCH("passed",P154)))</formula>
    </cfRule>
    <cfRule type="containsText" dxfId="2621" priority="22" operator="containsText" text="failed">
      <formula>NOT(ISERROR(SEARCH("failed",P154)))</formula>
    </cfRule>
    <cfRule type="containsText" dxfId="2620" priority="23" operator="containsText" text="refused">
      <formula>NOT(ISERROR(SEARCH("refused",P154)))</formula>
    </cfRule>
  </conditionalFormatting>
  <conditionalFormatting sqref="L13:M14">
    <cfRule type="expression" dxfId="2619" priority="20">
      <formula>IF(AND(NOT(L13=""),NOT(L13="-")),L13&gt;=1.1*L$5*BL$25,"-")</formula>
    </cfRule>
  </conditionalFormatting>
  <conditionalFormatting sqref="L18:M19">
    <cfRule type="expression" dxfId="2618" priority="19">
      <formula>IF(AND(NOT(L18=""),NOT(L18="-")),L18&gt;=1.1*L$5*BL$26,"-")</formula>
    </cfRule>
  </conditionalFormatting>
  <conditionalFormatting sqref="L23:M24">
    <cfRule type="expression" dxfId="2617" priority="18">
      <formula>IF(AND(NOT(L23=""),NOT(L23="-")),L23&gt;=1.1*L$5*BL$27,"-")</formula>
    </cfRule>
  </conditionalFormatting>
  <conditionalFormatting sqref="L28:M29">
    <cfRule type="expression" dxfId="2616" priority="17">
      <formula>IF(AND(NOT(L28=""),NOT(L28="-")),L28&gt;=1.1*L$5*BL$28,"-")</formula>
    </cfRule>
  </conditionalFormatting>
  <conditionalFormatting sqref="L40:M41">
    <cfRule type="expression" dxfId="2615" priority="16">
      <formula>IF(AND(NOT(L40=""),NOT(L40="-")),L40&gt;=1.1*L$5*BL$58,"-")</formula>
    </cfRule>
  </conditionalFormatting>
  <conditionalFormatting sqref="L50:M51">
    <cfRule type="expression" dxfId="2614" priority="15">
      <formula>IF(AND(NOT(L50=""),NOT(L50="-")),L50&gt;=1.1*L$5*BL$60,"-")</formula>
    </cfRule>
  </conditionalFormatting>
  <conditionalFormatting sqref="L55:M56">
    <cfRule type="expression" dxfId="2613" priority="14">
      <formula>IF(AND(NOT(L55=""),NOT(L55="-")),L55&gt;=1.1*L$5*BL$61,"-")</formula>
    </cfRule>
  </conditionalFormatting>
  <conditionalFormatting sqref="L45:M46">
    <cfRule type="expression" dxfId="2612" priority="13">
      <formula>IF(AND(NOT(L45=""),NOT(L45="-")),L45&gt;=1.1*L$5*BL$59,"-")</formula>
    </cfRule>
  </conditionalFormatting>
  <conditionalFormatting sqref="L60:M61">
    <cfRule type="expression" dxfId="2611" priority="12">
      <formula>IF(AND(NOT(L60=""),NOT(L60="-")),L60&gt;=1.1*L$5*BL$62,"-")</formula>
    </cfRule>
  </conditionalFormatting>
  <conditionalFormatting sqref="L65:M66">
    <cfRule type="expression" dxfId="2610" priority="11">
      <formula>IF(AND(NOT(L65=""),NOT(L65="-")),L65&gt;=1.1*L$5*BL$63,"-")</formula>
    </cfRule>
  </conditionalFormatting>
  <conditionalFormatting sqref="L77:M78">
    <cfRule type="expression" dxfId="2609" priority="10">
      <formula>IF(AND(NOT(L77=""),NOT(L77="-")),L77&gt;=1.1*L$5*BL$95,"-")</formula>
    </cfRule>
  </conditionalFormatting>
  <conditionalFormatting sqref="L163:M164">
    <cfRule type="expression" dxfId="2608" priority="9">
      <formula>IF(AND(NOT(L163=""),NOT(L163="-")),L163&gt;=1.1*L$5*BL$176,"-")</formula>
    </cfRule>
  </conditionalFormatting>
  <conditionalFormatting sqref="L158:M159">
    <cfRule type="expression" dxfId="2607" priority="8">
      <formula>IF(AND(NOT(L158=""),NOT(L158="-")),L158&gt;=1.1*L$5*BL$175,"-")</formula>
    </cfRule>
  </conditionalFormatting>
  <conditionalFormatting sqref="L131:M132">
    <cfRule type="expression" dxfId="2606" priority="7">
      <formula>IF(AND(NOT(L131=""),NOT(L131="-")),L131&gt;=1.1*L$5*BL$148,"-")</formula>
    </cfRule>
  </conditionalFormatting>
  <conditionalFormatting sqref="L136:M137">
    <cfRule type="expression" dxfId="2605" priority="6">
      <formula>IF(AND(NOT(L136=""),NOT(L136="-")),L136&gt;=1.1*L$5*BL$149,"-")</formula>
    </cfRule>
  </conditionalFormatting>
  <conditionalFormatting sqref="L168:M169">
    <cfRule type="expression" dxfId="2604" priority="5">
      <formula>IF(AND(NOT(L168=""),NOT(L168="-")),L168&gt;=1.1*L$5*BL$177,"-")</formula>
    </cfRule>
  </conditionalFormatting>
  <conditionalFormatting sqref="L104:M105">
    <cfRule type="expression" dxfId="2603" priority="4">
      <formula>IF(AND(NOT(L104=""),NOT(L104="-")),L104&gt;=1.1*L$5*BL$121,"-")</formula>
    </cfRule>
  </conditionalFormatting>
  <conditionalFormatting sqref="L173:M174">
    <cfRule type="expression" dxfId="2602" priority="3">
      <formula>IF(AND(NOT(L173=""),NOT(L173="-")),L173&gt;=1.1*L$5*BL$178,"-")</formula>
    </cfRule>
  </conditionalFormatting>
  <conditionalFormatting sqref="L178:M179">
    <cfRule type="expression" dxfId="2601" priority="2">
      <formula>IF(AND(NOT(L178=""),NOT(L178="-")),L178&gt;=1.1*L$5*BL$179,"-")</formula>
    </cfRule>
  </conditionalFormatting>
  <conditionalFormatting sqref="L183:M184">
    <cfRule type="expression" dxfId="2600" priority="1">
      <formula>IF(AND(NOT(L183=""),NOT(L183="-")),L183&gt;=1.1*L$5*BL$180,"-")</formula>
    </cfRule>
  </conditionalFormatting>
  <pageMargins left="0.7" right="0.7" top="0.75" bottom="0.75" header="0.3" footer="0.3"/>
  <pageSetup paperSize="9" scale="45" fitToHeight="0" orientation="landscape" r:id="rId1"/>
  <rowBreaks count="3" manualBreakCount="3">
    <brk id="71" max="19" man="1"/>
    <brk id="124" max="19" man="1"/>
    <brk id="151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Gasoline'!$BY$14:$BY$20</xm:f>
          </x14:formula1>
          <xm:sqref>E4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>
    <pageSetUpPr fitToPage="1"/>
  </sheetPr>
  <dimension ref="A1:BU187"/>
  <sheetViews>
    <sheetView showGridLines="0" topLeftCell="A25" zoomScale="90" zoomScaleNormal="90" workbookViewId="0">
      <selection activeCell="B40" sqref="B40:B44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customWidth="1"/>
    <col min="58" max="58" width="4.42578125" style="405" hidden="1" customWidth="1"/>
    <col min="59" max="59" width="4" style="405" customWidth="1"/>
    <col min="60" max="60" width="4.85546875" style="405" customWidth="1"/>
    <col min="61" max="61" width="4" style="405" customWidth="1"/>
    <col min="62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407" t="s">
        <v>292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">
        <v>284</v>
      </c>
      <c r="M4" s="410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61">
        <f>VLOOKUP(E4,'Daten Gasoline'!BN14:BV17,2,FALSE)</f>
        <v>0.05</v>
      </c>
      <c r="G5" s="361" t="str">
        <f>VLOOKUP(E4,'Daten Gasoline'!BN14:BV17,3,FALSE)</f>
        <v>-</v>
      </c>
      <c r="H5" s="361">
        <f>VLOOKUP(E4,'Daten Gasoline'!BN14:BV17,4,FALSE)</f>
        <v>1.1499999999999999</v>
      </c>
      <c r="I5" s="361">
        <f>VLOOKUP(E4,'Daten Gasoline'!BN14:BV17,5,FALSE)</f>
        <v>0.08</v>
      </c>
      <c r="J5" s="361">
        <f>VLOOKUP(E4,'Daten Gasoline'!BN14:BV17,6,FALSE)</f>
        <v>5.0000000000000001E-3</v>
      </c>
      <c r="K5" s="363" t="str">
        <f>VLOOKUP(E4,'Daten Gasoline'!BN14:BV17,7,FALSE)</f>
        <v>-</v>
      </c>
      <c r="L5" s="369" t="str">
        <f>VLOOKUP(E4,'Daten Gasoline'!BN14:BV17,8,FALSE)</f>
        <v>-</v>
      </c>
      <c r="M5" s="369" t="str">
        <f>VLOOKUP(E4,'Daten Gasoline'!BN14:BV17,9,FALSE)</f>
        <v>-</v>
      </c>
      <c r="N5" s="355" t="s">
        <v>5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412"/>
      <c r="G6" s="412"/>
      <c r="H6" s="412"/>
      <c r="I6" s="412"/>
      <c r="J6" s="412"/>
      <c r="K6" s="413"/>
      <c r="L6" s="413"/>
      <c r="M6" s="413"/>
      <c r="N6" s="412"/>
      <c r="O6" s="397"/>
      <c r="P6" s="397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159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417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420"/>
      <c r="C9" s="400"/>
      <c r="D9" s="400"/>
      <c r="E9" s="400"/>
      <c r="F9" s="400"/>
      <c r="G9" s="400"/>
      <c r="H9" s="400"/>
      <c r="I9" s="400"/>
      <c r="J9" s="400"/>
      <c r="K9" s="421"/>
      <c r="L9" s="421"/>
      <c r="M9" s="421"/>
      <c r="N9" s="400"/>
      <c r="O9" s="400"/>
      <c r="P9" s="400"/>
      <c r="Q9" s="400"/>
      <c r="R9" s="400"/>
      <c r="S9" s="400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428"/>
      <c r="X11" s="428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428"/>
      <c r="X12" s="428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Post New Long Term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428"/>
      <c r="X13" s="428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 t="str">
        <f t="shared" ref="BE13:BJ13" si="2">IF(AND(OR($C15="-",$C15="CET",$C15=""),OR(F12="-",F12="CET",F12="")),"-",IF(AND(OR(F13="-",F13=""),OR(F14="-",F14="")),"-",IF(NOT(OR(F13="-",F13="")),F13/F$5,F14/F$5)))</f>
        <v>-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ref="BK13:BL13" si="3">IF(AND(OR($C15="-",$C15="CET",$C15=""),OR(L12="-",L12="CET",L12="")),"-",IF(AND(OR(L13="-",L13=""),OR(L14="-",L14="")),"-",IF(NOT(OR(L13="-",L13="")),L13/L$5,L14/L$5)))</f>
        <v>-</v>
      </c>
      <c r="BL13" s="435" t="str">
        <f t="shared" si="3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J14" si="4">IF((OR($C20="-",$C20="CET",$C20="")),"-",IF(AND(OR(F18="-",F18=""),OR(F19="-",F19="")),"-",IF(NOT(OR(F18="-",F18="")),F18/F$5,F19/F$5)))</f>
        <v>-</v>
      </c>
      <c r="BF14" s="435" t="str">
        <f t="shared" si="4"/>
        <v>-</v>
      </c>
      <c r="BG14" s="435" t="str">
        <f t="shared" si="4"/>
        <v>-</v>
      </c>
      <c r="BH14" s="435" t="str">
        <f t="shared" si="4"/>
        <v>-</v>
      </c>
      <c r="BI14" s="435" t="str">
        <f t="shared" si="4"/>
        <v>-</v>
      </c>
      <c r="BJ14" s="435" t="str">
        <f t="shared" si="4"/>
        <v>-</v>
      </c>
      <c r="BK14" s="435" t="str">
        <f t="shared" ref="BK14:BL14" si="5">IF((OR($C20="-",$C20="CET",$C20="")),"-",IF(AND(OR(L18="-",L18=""),OR(L19="-",L19="")),"-",IF(NOT(OR(L18="-",L18="")),L18/L$5,L19/L$5)))</f>
        <v>-</v>
      </c>
      <c r="BL14" s="435" t="str">
        <f t="shared" si="5"/>
        <v>-</v>
      </c>
    </row>
    <row r="15" spans="1:64" ht="15" customHeight="1" outlineLevel="1" thickBot="1" x14ac:dyDescent="0.3">
      <c r="A15" s="396"/>
      <c r="B15" s="680"/>
      <c r="C15" s="686" t="s">
        <v>64</v>
      </c>
      <c r="D15" s="689" t="str">
        <f>IF(AND(F16="-",G16="-",H16="-",I16="-",J16="-",K16="-",L16="-",M16="-"),"-",MAX(F16,G16,H16,I16,J16,K16,L16,M16))</f>
        <v>-</v>
      </c>
      <c r="E15" s="444" t="s">
        <v>96</v>
      </c>
      <c r="F15" s="445" t="str">
        <f t="shared" ref="F15:K15" si="6">IF(OR(F14="-",F14=""),IF(OR(F13="-",F13=""),"-",F13),IF(OR(F13="-",F13=""),F14,(F13+F14)/2))</f>
        <v>-</v>
      </c>
      <c r="G15" s="445" t="str">
        <f t="shared" si="6"/>
        <v>-</v>
      </c>
      <c r="H15" s="445" t="str">
        <f t="shared" si="6"/>
        <v>-</v>
      </c>
      <c r="I15" s="445" t="str">
        <f t="shared" si="6"/>
        <v>-</v>
      </c>
      <c r="J15" s="445" t="str">
        <f t="shared" si="6"/>
        <v>-</v>
      </c>
      <c r="K15" s="446" t="str">
        <f t="shared" si="6"/>
        <v>-</v>
      </c>
      <c r="L15" s="446" t="str">
        <f t="shared" ref="L15:M15" si="7">IF(OR(L14="-",L14=""),IF(OR(L13="-",L13=""),"-",L13),IF(OR(L13="-",L13=""),L14,(L13+L14)/2))</f>
        <v>-</v>
      </c>
      <c r="M15" s="446" t="str">
        <f t="shared" si="7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428"/>
      <c r="X15" s="42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J15" si="8">IF((OR($C25="-",$C25="CET",$C25="")),"-",IF(AND(OR(F23="-",F23=""),OR(F24="-",F24="")),"-",IF(NOT(OR(F23="-",F23="")),F23/F$5,F24/F$5)))</f>
        <v>-</v>
      </c>
      <c r="BF15" s="435" t="str">
        <f t="shared" si="8"/>
        <v>-</v>
      </c>
      <c r="BG15" s="435" t="str">
        <f t="shared" si="8"/>
        <v>-</v>
      </c>
      <c r="BH15" s="435" t="str">
        <f t="shared" si="8"/>
        <v>-</v>
      </c>
      <c r="BI15" s="435" t="str">
        <f t="shared" si="8"/>
        <v>-</v>
      </c>
      <c r="BJ15" s="435" t="str">
        <f t="shared" si="8"/>
        <v>-</v>
      </c>
      <c r="BK15" s="435" t="str">
        <f t="shared" ref="BK15:BL15" si="9">IF((OR($C25="-",$C25="CET",$C25="")),"-",IF(AND(OR(L23="-",L23=""),OR(L24="-",L24="")),"-",IF(NOT(OR(L23="-",L23="")),L23/L$5,L24/L$5)))</f>
        <v>-</v>
      </c>
      <c r="BL15" s="435" t="str">
        <f t="shared" si="9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K16" si="10">IF(AND(OR($C15="-",$C15="CET",$C15=""),OR(F12="-",F12="CET",F12="")),"-",IF(AND(NOT(F15="-"),NOT(F$5="-"),NOT(F$5="")),F15/F$5,"-"))</f>
        <v>-</v>
      </c>
      <c r="G16" s="448" t="str">
        <f t="shared" si="10"/>
        <v>-</v>
      </c>
      <c r="H16" s="448" t="str">
        <f t="shared" si="10"/>
        <v>-</v>
      </c>
      <c r="I16" s="448" t="str">
        <f t="shared" si="10"/>
        <v>-</v>
      </c>
      <c r="J16" s="448" t="str">
        <f t="shared" si="10"/>
        <v>-</v>
      </c>
      <c r="K16" s="449" t="str">
        <f t="shared" si="10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11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428"/>
      <c r="X16" s="428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J16" si="12">IF((OR($C30="-",$C30="CET",$C30="")),"-",IF(AND(OR(F28="-",F28=""),OR(F29="-",F29="")),"-",IF(NOT(OR(F28="-",F28="")),F28/F$5,F29/F$5)))</f>
        <v>-</v>
      </c>
      <c r="BF16" s="435" t="str">
        <f t="shared" si="12"/>
        <v>-</v>
      </c>
      <c r="BG16" s="435" t="str">
        <f t="shared" si="12"/>
        <v>-</v>
      </c>
      <c r="BH16" s="435" t="str">
        <f t="shared" si="12"/>
        <v>-</v>
      </c>
      <c r="BI16" s="435" t="str">
        <f t="shared" si="12"/>
        <v>-</v>
      </c>
      <c r="BJ16" s="435" t="str">
        <f t="shared" si="12"/>
        <v>-</v>
      </c>
      <c r="BK16" s="435" t="str">
        <f t="shared" ref="BK16:BL16" si="13">IF((OR($C30="-",$C30="CET",$C30="")),"-",IF(AND(OR(L28="-",L28=""),OR(L29="-",L29="")),"-",IF(NOT(OR(L28="-",L28="")),L28/L$5,L29/L$5)))</f>
        <v>-</v>
      </c>
      <c r="BL16" s="435" t="str">
        <f t="shared" si="13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K17" si="14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14"/>
        <v>-</v>
      </c>
      <c r="H17" s="451" t="str">
        <f t="shared" si="14"/>
        <v>-</v>
      </c>
      <c r="I17" s="451" t="str">
        <f t="shared" si="14"/>
        <v>-</v>
      </c>
      <c r="J17" s="451" t="str">
        <f t="shared" si="14"/>
        <v>-</v>
      </c>
      <c r="K17" s="452" t="str">
        <f t="shared" si="14"/>
        <v>-</v>
      </c>
      <c r="L17" s="452" t="str">
        <f t="shared" ref="L17:M17" si="15">IF(AND(OR(L13="-",L13=""),OR(L14="-",L14="")),"-",IF(AND(OR(L12="CET",L12="-",L12=""),OR($C15="CET",$C15="-",$C15="")),"-",IF($R$8="not listed","-",IF(AND(NOT(L$5="-"),NOT(L$5="")),IF(AND(AND(NOT(L13=0),NOT(L13="-"),NOT(L13="")),AND(NOT(L14="-"),NOT(L14=0),NOT(L14=""))),IF(AND((L13+L14)/2&lt;1*L$5*IF(OR(L12="CET",L12="-",L12=""),IF(OR($C15="CET",$C15="-",$C15=""),"-",$C15),L12),L13&lt;1.1*L$5*IF(OR(L12="CET",L12="-",L12=""),IF(OR($C15="CET",$C15="-",$C15=""),"-",$C15),L12),L14&lt;1.1*L$5*IF(OR(L12="CET",L12="-",L12=""),IF($C15="CET","-",$C15),L12)),"passed","refused"),IF(IF(OR(L13="-",L13=""),L14,L13)&lt;0.7*L$5*IF(OR(L12="CET",L12="-",L12=""),IF($C15="CET","-",$C15),L12),"passed",IF(IF(OR(L13="-",L13=""),L14,L13)&lt;1.1*IF(OR(L12="CET",L12="-",L12=""),IF($C15="CET","-",$C15),L12)*L$5,"failed","refused"))),"-"))))</f>
        <v>-</v>
      </c>
      <c r="M17" s="452" t="str">
        <f t="shared" si="15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428"/>
      <c r="X17" s="428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J17" si="16">IF(AND(OR($C15="-",$C15="CET",$C15=""),OR(F12="-",F12="CET",F12="")),"-",0.7*IF(OR(F12="CET",F12="-",F12=""),IF(OR($C15="CET",$C15="-",$C15=""),"-",$C15),F12))</f>
        <v>-</v>
      </c>
      <c r="BF17" s="435" t="str">
        <f t="shared" si="16"/>
        <v>-</v>
      </c>
      <c r="BG17" s="435" t="str">
        <f t="shared" si="16"/>
        <v>-</v>
      </c>
      <c r="BH17" s="435" t="str">
        <f t="shared" si="16"/>
        <v>-</v>
      </c>
      <c r="BI17" s="435" t="str">
        <f t="shared" si="16"/>
        <v>-</v>
      </c>
      <c r="BJ17" s="435" t="str">
        <f t="shared" si="16"/>
        <v>-</v>
      </c>
      <c r="BK17" s="435" t="str">
        <f t="shared" ref="BK17:BL17" si="17">IF(AND(OR($C15="-",$C15="CET",$C15=""),OR(L12="-",L12="CET",L12="")),"-",0.7*IF(OR(L12="CET",L12="-",L12=""),IF(OR($C15="CET",$C15="-",$C15=""),"-",$C15),L12))</f>
        <v>-</v>
      </c>
      <c r="BL17" s="435" t="str">
        <f t="shared" si="17"/>
        <v>-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428"/>
      <c r="X18" s="428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81" si="18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J18" si="19">IF(OR($C20="-",$C20="CET",$C20=""),"-",0.7*$C20)</f>
        <v>0.7</v>
      </c>
      <c r="BF18" s="435">
        <f t="shared" si="19"/>
        <v>0.7</v>
      </c>
      <c r="BG18" s="435">
        <f t="shared" si="19"/>
        <v>0.7</v>
      </c>
      <c r="BH18" s="435">
        <f t="shared" si="19"/>
        <v>0.7</v>
      </c>
      <c r="BI18" s="435">
        <f t="shared" si="19"/>
        <v>0.7</v>
      </c>
      <c r="BJ18" s="435">
        <f t="shared" si="19"/>
        <v>0.7</v>
      </c>
      <c r="BK18" s="435">
        <f t="shared" ref="BK18:BL18" si="20">IF(OR($C20="-",$C20="CET",$C20=""),"-",0.7*$C20)</f>
        <v>0.7</v>
      </c>
      <c r="BL18" s="435">
        <f t="shared" si="20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8"/>
        <v>-</v>
      </c>
      <c r="BD19" s="429" t="str">
        <f>"0.7*IEF " &amp; B23</f>
        <v>0.7*IEF Hot 1</v>
      </c>
      <c r="BE19" s="435">
        <f t="shared" ref="BE19:BJ19" si="21">IF(OR($C25="-",$C25="CET",$C25=""),"-",0.7*$C25)</f>
        <v>0.7</v>
      </c>
      <c r="BF19" s="435">
        <f t="shared" si="21"/>
        <v>0.7</v>
      </c>
      <c r="BG19" s="435">
        <f t="shared" si="21"/>
        <v>0.7</v>
      </c>
      <c r="BH19" s="435">
        <f t="shared" si="21"/>
        <v>0.7</v>
      </c>
      <c r="BI19" s="435">
        <f t="shared" si="21"/>
        <v>0.7</v>
      </c>
      <c r="BJ19" s="435">
        <f t="shared" si="21"/>
        <v>0.7</v>
      </c>
      <c r="BK19" s="435">
        <f t="shared" ref="BK19:BL19" si="22">IF(OR($C25="-",$C25="CET",$C25=""),"-",0.7*$C25)</f>
        <v>0.7</v>
      </c>
      <c r="BL19" s="435">
        <f t="shared" si="22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K20" si="23">IF(OR(F19="-",F19=""),IF(OR(F18="-",F18=""),"-",F18),IF(OR(F18="-",F18=""),F19,(F18+F19)/2))</f>
        <v>-</v>
      </c>
      <c r="G20" s="445" t="str">
        <f t="shared" si="23"/>
        <v>-</v>
      </c>
      <c r="H20" s="445" t="str">
        <f t="shared" si="23"/>
        <v>-</v>
      </c>
      <c r="I20" s="445" t="str">
        <f t="shared" si="23"/>
        <v>-</v>
      </c>
      <c r="J20" s="445" t="str">
        <f t="shared" si="23"/>
        <v>-</v>
      </c>
      <c r="K20" s="446" t="str">
        <f t="shared" si="23"/>
        <v>-</v>
      </c>
      <c r="L20" s="446" t="str">
        <f t="shared" ref="L20:M20" si="24">IF(OR(L19="-",L19=""),IF(OR(L18="-",L18=""),"-",L18),IF(OR(L18="-",L18=""),L19,(L18+L19)/2))</f>
        <v>-</v>
      </c>
      <c r="M20" s="446" t="str">
        <f t="shared" si="2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428"/>
      <c r="X20" s="428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8"/>
        <v>-</v>
      </c>
      <c r="BD20" s="429" t="str">
        <f>"0.7*IEF " &amp; B28</f>
        <v>0.7*IEF Hot 2</v>
      </c>
      <c r="BE20" s="435">
        <f t="shared" ref="BE20:BJ20" si="25">IF(OR($C30="-",$C30="CET",$C30=""),"-",0.7*$C30)</f>
        <v>0.7</v>
      </c>
      <c r="BF20" s="435">
        <f t="shared" si="25"/>
        <v>0.7</v>
      </c>
      <c r="BG20" s="435">
        <f t="shared" si="25"/>
        <v>0.7</v>
      </c>
      <c r="BH20" s="435">
        <f t="shared" si="25"/>
        <v>0.7</v>
      </c>
      <c r="BI20" s="435">
        <f t="shared" si="25"/>
        <v>0.7</v>
      </c>
      <c r="BJ20" s="435">
        <f t="shared" si="25"/>
        <v>0.7</v>
      </c>
      <c r="BK20" s="435">
        <f t="shared" ref="BK20:BL20" si="26">IF(OR($C30="-",$C30="CET",$C30=""),"-",0.7*$C30)</f>
        <v>0.7</v>
      </c>
      <c r="BL20" s="435">
        <f t="shared" si="26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K21" si="27">IF(OR($C20="-",$C20="CET",$C20=""),"-",IF(AND(NOT(F20="-"),NOT(F$5="-"),NOT(F$5="")),F20/F$5,"-"))</f>
        <v>-</v>
      </c>
      <c r="G21" s="448" t="str">
        <f t="shared" si="27"/>
        <v>-</v>
      </c>
      <c r="H21" s="448" t="str">
        <f t="shared" si="27"/>
        <v>-</v>
      </c>
      <c r="I21" s="448" t="str">
        <f t="shared" si="27"/>
        <v>-</v>
      </c>
      <c r="J21" s="448" t="str">
        <f t="shared" si="27"/>
        <v>-</v>
      </c>
      <c r="K21" s="449" t="str">
        <f t="shared" si="27"/>
        <v>-</v>
      </c>
      <c r="L21" s="449" t="str">
        <f t="shared" ref="L21:M21" si="28">IF(OR($C20="-",$C20="CET",$C20=""),"-",IF(AND(NOT(L20="-"),NOT(L$5="-"),NOT(L$5="")),L20/L$5,"-"))</f>
        <v>-</v>
      </c>
      <c r="M21" s="449" t="str">
        <f t="shared" si="28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428"/>
      <c r="X21" s="42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8"/>
        <v>-</v>
      </c>
      <c r="BD21" s="429" t="str">
        <f>B12</f>
        <v>Cold</v>
      </c>
      <c r="BE21" s="435" t="str">
        <f t="shared" ref="BE21:BJ21" si="29">F16</f>
        <v>-</v>
      </c>
      <c r="BF21" s="435" t="str">
        <f t="shared" si="29"/>
        <v>-</v>
      </c>
      <c r="BG21" s="435" t="str">
        <f t="shared" si="29"/>
        <v>-</v>
      </c>
      <c r="BH21" s="435" t="str">
        <f t="shared" si="29"/>
        <v>-</v>
      </c>
      <c r="BI21" s="435" t="str">
        <f t="shared" si="29"/>
        <v>-</v>
      </c>
      <c r="BJ21" s="435" t="str">
        <f t="shared" si="29"/>
        <v>-</v>
      </c>
      <c r="BK21" s="435" t="str">
        <f t="shared" ref="BK21:BL21" si="30">L16</f>
        <v>-</v>
      </c>
      <c r="BL21" s="435" t="str">
        <f t="shared" si="30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K22" si="31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31"/>
        <v>-</v>
      </c>
      <c r="H22" s="451" t="str">
        <f t="shared" si="31"/>
        <v>-</v>
      </c>
      <c r="I22" s="451" t="str">
        <f t="shared" si="31"/>
        <v>-</v>
      </c>
      <c r="J22" s="451" t="str">
        <f t="shared" si="31"/>
        <v>-</v>
      </c>
      <c r="K22" s="452" t="str">
        <f t="shared" si="31"/>
        <v>-</v>
      </c>
      <c r="L22" s="452" t="str">
        <f t="shared" ref="L22:M22" si="32">IF(AND(OR(L18="-",L18=""),OR(L19="-",L19="")),"-",IF(OR($C20="-",$C20="",$C20="CET"),"-",IF($R$8="not listed","-",IF(NOT(L$5="-"),IF(AND(AND(NOT(L18=0),NOT(L18="-"),NOT(L18="")),AND(NOT(L19="-"),NOT(L19=0),NOT(L19=""))),IF(AND((L18+L19)/2&lt;1*L$5*IF(OR($C20="CET",$C20="-",$C20=""),"-",$C20),L18&lt;1.1*L$5*IF(OR($C20="CET",$C20="-",$C20=""),"-",$C20),L19&lt;1.1*L$5*IF(OR($C20="CET",$C20="-",$C20=""),"-",$C20)),"passed","refused"),IF(IF(OR(L18="-",L18=""),L19,L18)&lt;0.7*L$5*IF(OR($C20="CET",$C20="-",$C20=""),"-",$C20),"passed",IF(IF(OR(L18="-",L18=""),L19,L18)&lt;1.1*IF(OR($C20="CET",$C20="-",$C20=""),"-",$C20)*L$5,"failed","refused"))),"-"))))</f>
        <v>-</v>
      </c>
      <c r="M22" s="452" t="str">
        <f t="shared" si="32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428"/>
      <c r="X22" s="428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8"/>
        <v>-</v>
      </c>
      <c r="BD22" s="429" t="str">
        <f>B18</f>
        <v>Warm</v>
      </c>
      <c r="BE22" s="435" t="str">
        <f t="shared" ref="BE22:BJ22" si="33">F21</f>
        <v>-</v>
      </c>
      <c r="BF22" s="435" t="str">
        <f t="shared" si="33"/>
        <v>-</v>
      </c>
      <c r="BG22" s="435" t="str">
        <f t="shared" si="33"/>
        <v>-</v>
      </c>
      <c r="BH22" s="435" t="str">
        <f t="shared" si="33"/>
        <v>-</v>
      </c>
      <c r="BI22" s="435" t="str">
        <f t="shared" si="33"/>
        <v>-</v>
      </c>
      <c r="BJ22" s="435" t="str">
        <f t="shared" si="33"/>
        <v>-</v>
      </c>
      <c r="BK22" s="435" t="str">
        <f t="shared" ref="BK22:BL22" si="34">L21</f>
        <v>-</v>
      </c>
      <c r="BL22" s="435" t="str">
        <f t="shared" si="34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428"/>
      <c r="X23" s="428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8"/>
        <v>-</v>
      </c>
      <c r="BD23" s="429" t="str">
        <f>B23</f>
        <v>Hot 1</v>
      </c>
      <c r="BE23" s="435" t="str">
        <f t="shared" ref="BE23:BJ23" si="35">F26</f>
        <v>-</v>
      </c>
      <c r="BF23" s="435" t="str">
        <f t="shared" si="35"/>
        <v>-</v>
      </c>
      <c r="BG23" s="435" t="str">
        <f t="shared" si="35"/>
        <v>-</v>
      </c>
      <c r="BH23" s="435" t="str">
        <f t="shared" si="35"/>
        <v>-</v>
      </c>
      <c r="BI23" s="435" t="str">
        <f t="shared" si="35"/>
        <v>-</v>
      </c>
      <c r="BJ23" s="435" t="str">
        <f t="shared" si="35"/>
        <v>-</v>
      </c>
      <c r="BK23" s="435" t="str">
        <f t="shared" ref="BK23:BL23" si="36">L26</f>
        <v>-</v>
      </c>
      <c r="BL23" s="435" t="str">
        <f t="shared" si="36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8"/>
        <v>-</v>
      </c>
      <c r="BD24" s="429" t="str">
        <f>B28</f>
        <v>Hot 2</v>
      </c>
      <c r="BE24" s="435" t="str">
        <f t="shared" ref="BE24:BJ24" si="37">F31</f>
        <v>-</v>
      </c>
      <c r="BF24" s="435" t="str">
        <f t="shared" si="37"/>
        <v>-</v>
      </c>
      <c r="BG24" s="435" t="str">
        <f t="shared" si="37"/>
        <v>-</v>
      </c>
      <c r="BH24" s="435" t="str">
        <f t="shared" si="37"/>
        <v>-</v>
      </c>
      <c r="BI24" s="435" t="str">
        <f t="shared" si="37"/>
        <v>-</v>
      </c>
      <c r="BJ24" s="435" t="str">
        <f t="shared" si="37"/>
        <v>-</v>
      </c>
      <c r="BK24" s="435" t="str">
        <f t="shared" ref="BK24:BL24" si="38">L31</f>
        <v>-</v>
      </c>
      <c r="BL24" s="435" t="str">
        <f t="shared" si="38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K25" si="39">IF(OR(F24="-",F24=""),IF(OR(F23="-",F23=""),"-",F23),IF(OR(F23="-",F23=""),F24,(F23+F24)/2))</f>
        <v>-</v>
      </c>
      <c r="G25" s="445" t="str">
        <f t="shared" si="39"/>
        <v>-</v>
      </c>
      <c r="H25" s="445" t="str">
        <f t="shared" si="39"/>
        <v>-</v>
      </c>
      <c r="I25" s="445" t="str">
        <f t="shared" si="39"/>
        <v>-</v>
      </c>
      <c r="J25" s="445" t="str">
        <f t="shared" si="39"/>
        <v>-</v>
      </c>
      <c r="K25" s="446" t="str">
        <f t="shared" si="39"/>
        <v>-</v>
      </c>
      <c r="L25" s="446" t="str">
        <f t="shared" ref="L25:M25" si="40">IF(OR(L24="-",L24=""),IF(OR(L23="-",L23=""),"-",L23),IF(OR(L23="-",L23=""),L24,(L23+L24)/2))</f>
        <v>-</v>
      </c>
      <c r="M25" s="446" t="str">
        <f t="shared" si="40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428"/>
      <c r="X25" s="428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8"/>
        <v>-</v>
      </c>
      <c r="BD25" s="429" t="str">
        <f>"IEF " &amp;B12</f>
        <v>IEF Cold</v>
      </c>
      <c r="BE25" s="435" t="str">
        <f t="shared" ref="BE25:BJ25" si="41">IF(AND(OR($C15="-",$C15="CET",$C15=""),OR(F12="-",F12="CET",F12="")),"-",IF(OR(F12="CET",F12="-",F12=""),IF(OR($C15="CET",$C15="-",$C15=""),"-",$C15),F12))</f>
        <v>-</v>
      </c>
      <c r="BF25" s="435" t="str">
        <f t="shared" si="41"/>
        <v>-</v>
      </c>
      <c r="BG25" s="435" t="str">
        <f t="shared" si="41"/>
        <v>-</v>
      </c>
      <c r="BH25" s="435" t="str">
        <f t="shared" si="41"/>
        <v>-</v>
      </c>
      <c r="BI25" s="435" t="str">
        <f t="shared" si="41"/>
        <v>-</v>
      </c>
      <c r="BJ25" s="435" t="str">
        <f t="shared" si="41"/>
        <v>-</v>
      </c>
      <c r="BK25" s="435" t="str">
        <f t="shared" ref="BK25:BL25" si="42">IF(AND(OR($C15="-",$C15="CET",$C15=""),OR(L12="-",L12="CET",L12="")),"-",IF(OR(L12="CET",L12="-",L12=""),IF(OR($C15="CET",$C15="-",$C15=""),"-",$C15),L12))</f>
        <v>-</v>
      </c>
      <c r="BL25" s="435" t="str">
        <f t="shared" si="42"/>
        <v>-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K26" si="43">IF(OR($C25="-",$C25="CET",$C25=""),"-",IF(AND(NOT(F25="-"),NOT(F$5="-"),NOT(F$5="")),F25/F$5,"-"))</f>
        <v>-</v>
      </c>
      <c r="G26" s="448" t="str">
        <f t="shared" si="43"/>
        <v>-</v>
      </c>
      <c r="H26" s="448" t="str">
        <f t="shared" si="43"/>
        <v>-</v>
      </c>
      <c r="I26" s="448" t="str">
        <f t="shared" si="43"/>
        <v>-</v>
      </c>
      <c r="J26" s="448" t="str">
        <f t="shared" si="43"/>
        <v>-</v>
      </c>
      <c r="K26" s="449" t="str">
        <f t="shared" si="43"/>
        <v>-</v>
      </c>
      <c r="L26" s="449" t="str">
        <f t="shared" ref="L26:M26" si="44">IF(OR($C25="-",$C25="CET",$C25=""),"-",IF(AND(NOT(L25="-"),NOT(L$5="-"),NOT(L$5="")),L25/L$5,"-"))</f>
        <v>-</v>
      </c>
      <c r="M26" s="449" t="str">
        <f t="shared" si="4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428"/>
      <c r="X26" s="428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8"/>
        <v>-</v>
      </c>
      <c r="BD26" s="429" t="str">
        <f>"IEF " &amp; B18</f>
        <v>IEF Warm</v>
      </c>
      <c r="BE26" s="435">
        <f t="shared" ref="BE26:BJ26" si="45">IF(OR($C20="CET",$C20="-",$C20=""),"-",$C20)</f>
        <v>1</v>
      </c>
      <c r="BF26" s="435">
        <f t="shared" si="45"/>
        <v>1</v>
      </c>
      <c r="BG26" s="435">
        <f t="shared" si="45"/>
        <v>1</v>
      </c>
      <c r="BH26" s="435">
        <f t="shared" si="45"/>
        <v>1</v>
      </c>
      <c r="BI26" s="435">
        <f t="shared" si="45"/>
        <v>1</v>
      </c>
      <c r="BJ26" s="435">
        <f t="shared" si="45"/>
        <v>1</v>
      </c>
      <c r="BK26" s="435">
        <f t="shared" ref="BK26:BL26" si="46">IF(OR($C20="CET",$C20="-",$C20=""),"-",$C20)</f>
        <v>1</v>
      </c>
      <c r="BL26" s="435">
        <f t="shared" si="46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K27" si="47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47"/>
        <v>-</v>
      </c>
      <c r="H27" s="451" t="str">
        <f t="shared" si="47"/>
        <v>-</v>
      </c>
      <c r="I27" s="451" t="str">
        <f t="shared" si="47"/>
        <v>-</v>
      </c>
      <c r="J27" s="451" t="str">
        <f t="shared" si="47"/>
        <v>-</v>
      </c>
      <c r="K27" s="452" t="str">
        <f t="shared" si="47"/>
        <v>-</v>
      </c>
      <c r="L27" s="452" t="str">
        <f t="shared" ref="L27:M27" si="48">IF(AND(OR(L23="-",L23=""),OR(L24="-",L24="")),"-",IF(OR($C25="-",$C25="",$C25="CET"),"-",IF($R$8="not listed","-",IF(NOT(L$5="-"),IF(AND(AND(NOT(L23=0),NOT(L23="-"),NOT(L23="")),AND(NOT(L24="-"),NOT(L24=0),NOT(L24=""))),IF(AND((L23+L24)/2&lt;1*L$5*IF(OR($C25="CET",$C25="-",$C25=""),"-",$C25),L23&lt;1.1*L$5*IF(OR($C25="CET",$C25="-",$C25=""),"-",$C25),L24&lt;1.1*L$5*IF(OR($C25="CET",$C25="-",$C25=""),"-",$C25)),"passed","refused"),IF(IF(OR(L23="-",L23=""),L24,L23)&lt;0.7*L$5*IF(OR($C25="CET",$C25="-",$C25=""),"-",$C25),"passed",IF(IF(OR(L23="-",L23=""),L24,L23)&lt;1.1*IF(OR($C25="CET",$C25="-",$C25=""),"-",$C25)*L$5,"failed","refused"))),"-"))))</f>
        <v>-</v>
      </c>
      <c r="M27" s="452" t="str">
        <f t="shared" si="48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428"/>
      <c r="X27" s="42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8"/>
        <v>-</v>
      </c>
      <c r="BD27" s="429" t="str">
        <f>"IEF " &amp; B23</f>
        <v>IEF Hot 1</v>
      </c>
      <c r="BE27" s="435">
        <f t="shared" ref="BE27:BJ27" si="49">IF(OR($C25="CET",$C25="-",$C25=""),"-",$C25)</f>
        <v>1</v>
      </c>
      <c r="BF27" s="435">
        <f t="shared" si="49"/>
        <v>1</v>
      </c>
      <c r="BG27" s="435">
        <f t="shared" si="49"/>
        <v>1</v>
      </c>
      <c r="BH27" s="435">
        <f t="shared" si="49"/>
        <v>1</v>
      </c>
      <c r="BI27" s="435">
        <f t="shared" si="49"/>
        <v>1</v>
      </c>
      <c r="BJ27" s="435">
        <f t="shared" si="49"/>
        <v>1</v>
      </c>
      <c r="BK27" s="435">
        <f t="shared" ref="BK27:BL27" si="50">IF(OR($C25="CET",$C25="-",$C25=""),"-",$C25)</f>
        <v>1</v>
      </c>
      <c r="BL27" s="435">
        <f t="shared" si="50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428"/>
      <c r="X28" s="428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8"/>
        <v>-</v>
      </c>
      <c r="BD28" s="429" t="str">
        <f>"IEF " &amp; B28</f>
        <v>IEF Hot 2</v>
      </c>
      <c r="BE28" s="435">
        <f t="shared" ref="BE28:BJ28" si="51">IF(OR($C30="CET",$C30="-",$C30=""),"-",$C30)</f>
        <v>1</v>
      </c>
      <c r="BF28" s="435">
        <f t="shared" si="51"/>
        <v>1</v>
      </c>
      <c r="BG28" s="435">
        <f t="shared" si="51"/>
        <v>1</v>
      </c>
      <c r="BH28" s="435">
        <f t="shared" si="51"/>
        <v>1</v>
      </c>
      <c r="BI28" s="435">
        <f t="shared" si="51"/>
        <v>1</v>
      </c>
      <c r="BJ28" s="435">
        <f t="shared" si="51"/>
        <v>1</v>
      </c>
      <c r="BK28" s="435">
        <f t="shared" ref="BK28:BL28" si="52">IF(OR($C30="CET",$C30="-",$C30=""),"-",$C30)</f>
        <v>1</v>
      </c>
      <c r="BL28" s="435">
        <f t="shared" si="52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8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K30" si="53">IF(OR(F29="-",F29=""),IF(OR(F28="-",F28=""),"-",F28),IF(OR(F28="-",F28=""),F29,(F28+F29)/2))</f>
        <v>-</v>
      </c>
      <c r="G30" s="445" t="str">
        <f t="shared" si="53"/>
        <v>-</v>
      </c>
      <c r="H30" s="445" t="str">
        <f t="shared" si="53"/>
        <v>-</v>
      </c>
      <c r="I30" s="445" t="str">
        <f t="shared" si="53"/>
        <v>-</v>
      </c>
      <c r="J30" s="445" t="str">
        <f t="shared" si="53"/>
        <v>-</v>
      </c>
      <c r="K30" s="446" t="str">
        <f t="shared" si="53"/>
        <v>-</v>
      </c>
      <c r="L30" s="446" t="str">
        <f t="shared" ref="L30:M30" si="54">IF(OR(L29="-",L29=""),IF(OR(L28="-",L28=""),"-",L28),IF(OR(L28="-",L28=""),L29,(L28+L29)/2))</f>
        <v>-</v>
      </c>
      <c r="M30" s="446" t="str">
        <f t="shared" si="54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428"/>
      <c r="X30" s="428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8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K31" si="55">IF(OR($C30="-",$C30="CET",$C30=""),"-",IF(AND(NOT(F30="-"),NOT(F$5="-"),NOT(F$5="")),F30/F$5,"-"))</f>
        <v>-</v>
      </c>
      <c r="G31" s="448" t="str">
        <f t="shared" si="55"/>
        <v>-</v>
      </c>
      <c r="H31" s="448" t="str">
        <f t="shared" si="55"/>
        <v>-</v>
      </c>
      <c r="I31" s="448" t="str">
        <f t="shared" si="55"/>
        <v>-</v>
      </c>
      <c r="J31" s="448" t="str">
        <f t="shared" si="55"/>
        <v>-</v>
      </c>
      <c r="K31" s="449" t="str">
        <f t="shared" si="55"/>
        <v>-</v>
      </c>
      <c r="L31" s="449" t="str">
        <f t="shared" ref="L31:M31" si="56">IF(OR($C30="-",$C30="CET",$C30=""),"-",IF(AND(NOT(L30="-"),NOT(L$5="-"),NOT(L$5="")),L30/L$5,"-"))</f>
        <v>-</v>
      </c>
      <c r="M31" s="449" t="str">
        <f t="shared" si="56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428"/>
      <c r="X31" s="428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8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K32" si="57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57"/>
        <v>-</v>
      </c>
      <c r="H32" s="451" t="str">
        <f t="shared" si="57"/>
        <v>-</v>
      </c>
      <c r="I32" s="451" t="str">
        <f t="shared" si="57"/>
        <v>-</v>
      </c>
      <c r="J32" s="451" t="str">
        <f t="shared" si="57"/>
        <v>-</v>
      </c>
      <c r="K32" s="452" t="str">
        <f t="shared" si="57"/>
        <v>-</v>
      </c>
      <c r="L32" s="452" t="str">
        <f t="shared" ref="L32:M32" si="58">IF(AND(OR(L28="-",L28=""),OR(L29="-",L29="")),"-",IF(OR($C30="-",$C30="",$C30="CET"),"-",IF($R$8="not listed","-",IF(NOT(L$5="-"),IF(AND(AND(NOT(L28=0),NOT(L28="-"),NOT(L28="")),AND(NOT(L29="-"),NOT(L29=0),NOT(L29=""))),IF(AND((L28+L29)/2&lt;1*L$5*IF(OR($C30="CET",$C30="-",$C30=""),"-",$C30),L28&lt;1.1*L$5*IF(OR($C30="CET",$C30="-",$C30=""),"-",$C30),L29&lt;1.1*L$5*IF(OR($C30="CET",$C30="-",$C30=""),"-",$C30)),"passed","refused"),IF(IF(OR(L28="-",L28=""),L29,L28)&lt;0.7*L$5*IF(OR($C30="CET",$C30="-",$C30=""),"-",$C30),"passed",IF(IF(OR(L28="-",L28=""),L29,L28)&lt;1.1*IF(OR($C30="CET",$C30="-",$C30=""),"-",$C30)*L$5,"failed","refused"))),"-"))))</f>
        <v>-</v>
      </c>
      <c r="M32" s="452" t="str">
        <f t="shared" si="58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8"/>
        <v>-</v>
      </c>
    </row>
    <row r="33" spans="1:64" ht="15" customHeight="1" x14ac:dyDescent="0.25">
      <c r="BC33" s="401" t="str">
        <f t="shared" si="18"/>
        <v>-</v>
      </c>
    </row>
    <row r="34" spans="1:64" ht="15" customHeight="1" x14ac:dyDescent="0.25">
      <c r="BC34" s="401" t="str">
        <f t="shared" si="18"/>
        <v>-</v>
      </c>
    </row>
    <row r="35" spans="1:64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  <c r="BC35" s="401" t="str">
        <f t="shared" si="18"/>
        <v>-</v>
      </c>
    </row>
    <row r="36" spans="1:64" ht="24.95" customHeight="1" thickBot="1" x14ac:dyDescent="0.3">
      <c r="A36" s="396"/>
      <c r="B36" s="415">
        <v>2</v>
      </c>
      <c r="C36" s="706" t="s">
        <v>160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IF(COUNTIF(F44:N69,"refused")&gt;0,"refused",IF(COUNTIF(F44:N69,"failed")&gt;0,"failed",IF(COUNTIF(F44:N69,"passed")&gt;0,"passed","-")))</f>
        <v>-</v>
      </c>
      <c r="Q36" s="399" t="s">
        <v>80</v>
      </c>
      <c r="R36" s="399" t="str">
        <f>IF(COUNT(F40:M41,F45:M46,F50:M51,F55:M56,F60:M61,F65:M66)&gt;0,"listed","not listed")</f>
        <v>not listed</v>
      </c>
      <c r="S36" s="417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BC36" s="401" t="str">
        <f t="shared" si="18"/>
        <v>-</v>
      </c>
    </row>
    <row r="37" spans="1:64" ht="15" customHeight="1" outlineLevel="1" thickBot="1" x14ac:dyDescent="0.3">
      <c r="A37" s="396"/>
      <c r="B37" s="420"/>
      <c r="C37" s="400"/>
      <c r="D37" s="400"/>
      <c r="E37" s="400"/>
      <c r="F37" s="400"/>
      <c r="G37" s="400"/>
      <c r="H37" s="400"/>
      <c r="I37" s="400"/>
      <c r="J37" s="400"/>
      <c r="K37" s="421"/>
      <c r="L37" s="421"/>
      <c r="M37" s="421"/>
      <c r="N37" s="400"/>
      <c r="O37" s="400"/>
      <c r="P37" s="400"/>
      <c r="Q37" s="400"/>
      <c r="R37" s="400"/>
      <c r="S37" s="400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BC37" s="401" t="str">
        <f t="shared" si="18"/>
        <v>-</v>
      </c>
    </row>
    <row r="38" spans="1:64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428"/>
      <c r="X38" s="428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C38" s="401" t="str">
        <f t="shared" si="18"/>
        <v>-</v>
      </c>
      <c r="BD38" s="429" t="s">
        <v>85</v>
      </c>
      <c r="BE38" s="430" t="str">
        <f>F$4</f>
        <v>NMHC 
[g/km]</v>
      </c>
      <c r="BF38" s="430" t="str">
        <f t="shared" ref="BF38:BL38" si="59">G$4</f>
        <v>THC
[g/km]</v>
      </c>
      <c r="BG38" s="430" t="str">
        <f t="shared" si="59"/>
        <v>CO
[g/km]</v>
      </c>
      <c r="BH38" s="430" t="str">
        <f t="shared" si="59"/>
        <v>NOx
[g/km]</v>
      </c>
      <c r="BI38" s="430" t="str">
        <f t="shared" si="59"/>
        <v>PM
[mg/km]</v>
      </c>
      <c r="BJ38" s="430" t="str">
        <f t="shared" si="59"/>
        <v>PN
[#/km]</v>
      </c>
      <c r="BK38" s="430" t="str">
        <f t="shared" si="59"/>
        <v>Additional
component</v>
      </c>
      <c r="BL38" s="430" t="str">
        <f t="shared" si="59"/>
        <v>Additional
component 2</v>
      </c>
    </row>
    <row r="39" spans="1:64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tr">
        <f>F$4</f>
        <v>NMHC 
[g/km]</v>
      </c>
      <c r="G39" s="425" t="str">
        <f t="shared" ref="G39:M39" si="60">G$4</f>
        <v>THC
[g/km]</v>
      </c>
      <c r="H39" s="425" t="str">
        <f t="shared" si="60"/>
        <v>CO
[g/km]</v>
      </c>
      <c r="I39" s="425" t="str">
        <f t="shared" si="60"/>
        <v>NOx
[g/km]</v>
      </c>
      <c r="J39" s="425" t="str">
        <f t="shared" si="60"/>
        <v>PM
[mg/km]</v>
      </c>
      <c r="K39" s="425" t="str">
        <f t="shared" si="60"/>
        <v>PN
[#/km]</v>
      </c>
      <c r="L39" s="426" t="str">
        <f t="shared" si="60"/>
        <v>Additional
component</v>
      </c>
      <c r="M39" s="426" t="str">
        <f t="shared" si="60"/>
        <v>Additional
component 2</v>
      </c>
      <c r="N39" s="425" t="str">
        <f>N$4</f>
        <v>CO2
[g/km]</v>
      </c>
      <c r="O39" s="669"/>
      <c r="P39" s="670"/>
      <c r="Q39" s="670"/>
      <c r="R39" s="670"/>
      <c r="S39" s="669"/>
      <c r="T39" s="670"/>
      <c r="U39" s="670"/>
      <c r="V39" s="671"/>
      <c r="W39" s="428"/>
      <c r="X39" s="42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401" t="str">
        <f t="shared" si="18"/>
        <v>-</v>
      </c>
      <c r="BD39" s="429" t="str">
        <f>$E$4</f>
        <v>Post New Long Term</v>
      </c>
      <c r="BE39" s="435">
        <v>1</v>
      </c>
      <c r="BF39" s="435">
        <v>1</v>
      </c>
      <c r="BG39" s="435">
        <v>1</v>
      </c>
      <c r="BH39" s="435">
        <v>1</v>
      </c>
      <c r="BI39" s="435">
        <v>1</v>
      </c>
      <c r="BJ39" s="435">
        <v>1</v>
      </c>
      <c r="BK39" s="435">
        <v>1</v>
      </c>
      <c r="BL39" s="435">
        <v>1</v>
      </c>
    </row>
    <row r="40" spans="1:64" ht="15" customHeight="1" outlineLevel="1" x14ac:dyDescent="0.25">
      <c r="A40" s="396"/>
      <c r="B40" s="710" t="s">
        <v>125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3"/>
      <c r="S40" s="672"/>
      <c r="T40" s="673"/>
      <c r="U40" s="673"/>
      <c r="V40" s="674"/>
      <c r="W40" s="428"/>
      <c r="X40" s="42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401" t="str">
        <f t="shared" si="18"/>
        <v>-</v>
      </c>
      <c r="BD40" s="429" t="str">
        <f>"1st " &amp;  B40</f>
        <v>1st Drive Mode 1</v>
      </c>
      <c r="BE40" s="435" t="str">
        <f t="shared" ref="BE40:BJ40" si="61">IF((OR($C42="-",$C42="CET",$C42="")),"-",IF(AND(OR(F40="-",F40=""),OR(F41="-",F41="")),"-",IF(NOT(OR(F40="-",F40="")),F40/F$5,F41/F$5)))</f>
        <v>-</v>
      </c>
      <c r="BF40" s="435" t="str">
        <f t="shared" si="61"/>
        <v>-</v>
      </c>
      <c r="BG40" s="435" t="str">
        <f t="shared" si="61"/>
        <v>-</v>
      </c>
      <c r="BH40" s="435" t="str">
        <f t="shared" si="61"/>
        <v>-</v>
      </c>
      <c r="BI40" s="435" t="str">
        <f t="shared" si="61"/>
        <v>-</v>
      </c>
      <c r="BJ40" s="435" t="str">
        <f t="shared" si="61"/>
        <v>-</v>
      </c>
      <c r="BK40" s="435" t="str">
        <f t="shared" ref="BK40:BL40" si="62">IF((OR($C42="-",$C42="CET",$C42="")),"-",IF(AND(OR(L40="-",L40=""),OR(L41="-",L41="")),"-",IF(NOT(OR(L40="-",L40="")),L40/L$5,L41/L$5)))</f>
        <v>-</v>
      </c>
      <c r="BL40" s="435" t="str">
        <f t="shared" si="62"/>
        <v>-</v>
      </c>
    </row>
    <row r="41" spans="1:64" s="405" customFormat="1" ht="15" customHeight="1" outlineLevel="1" thickBot="1" x14ac:dyDescent="0.3">
      <c r="A41" s="439"/>
      <c r="B41" s="711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3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18"/>
        <v>-</v>
      </c>
      <c r="BD41" s="429" t="str">
        <f>"1st " &amp; B45</f>
        <v>1st Drive Mode 2</v>
      </c>
      <c r="BE41" s="435" t="str">
        <f t="shared" ref="BE41:BJ41" si="63">IF((OR($C47="-",$C47="CET",$C47="")),"-",IF(AND(OR(F45="-",F45=""),OR(F46="-",F46="")),"-",IF(NOT(OR(F45="-",F45="")),F45/F$5,F46/F$5)))</f>
        <v>-</v>
      </c>
      <c r="BF41" s="435" t="str">
        <f t="shared" si="63"/>
        <v>-</v>
      </c>
      <c r="BG41" s="435" t="str">
        <f t="shared" si="63"/>
        <v>-</v>
      </c>
      <c r="BH41" s="435" t="str">
        <f t="shared" si="63"/>
        <v>-</v>
      </c>
      <c r="BI41" s="435" t="str">
        <f t="shared" si="63"/>
        <v>-</v>
      </c>
      <c r="BJ41" s="435" t="str">
        <f t="shared" si="63"/>
        <v>-</v>
      </c>
      <c r="BK41" s="435" t="str">
        <f t="shared" ref="BK41:BL41" si="64">IF((OR($C47="-",$C47="CET",$C47="")),"-",IF(AND(OR(L45="-",L45=""),OR(L46="-",L46="")),"-",IF(NOT(OR(L45="-",L45="")),L45/L$5,L46/L$5)))</f>
        <v>-</v>
      </c>
      <c r="BL41" s="435" t="str">
        <f t="shared" si="64"/>
        <v>-</v>
      </c>
    </row>
    <row r="42" spans="1:64" ht="15" customHeight="1" outlineLevel="1" thickBot="1" x14ac:dyDescent="0.3">
      <c r="A42" s="396"/>
      <c r="B42" s="711"/>
      <c r="C42" s="686">
        <v>1</v>
      </c>
      <c r="D42" s="689" t="str">
        <f>IF(AND(F43="-",G43="-",H43="-",I43="-",J43="-",K43="-",L43="-",M43="-"),"-",MAX(F43,G43,H43,I43,J43,K43,L43,M43))</f>
        <v>-</v>
      </c>
      <c r="E42" s="444" t="s">
        <v>96</v>
      </c>
      <c r="F42" s="445" t="str">
        <f t="shared" ref="F42:K42" si="65">IF(OR(F41="-",F41=""),IF(OR(F40="-",F40=""),"-",F40),IF(OR(F40="-",F40=""),F41,(F40+F41)/2))</f>
        <v>-</v>
      </c>
      <c r="G42" s="445" t="str">
        <f t="shared" si="65"/>
        <v>-</v>
      </c>
      <c r="H42" s="445" t="str">
        <f t="shared" si="65"/>
        <v>-</v>
      </c>
      <c r="I42" s="445" t="str">
        <f t="shared" si="65"/>
        <v>-</v>
      </c>
      <c r="J42" s="445" t="str">
        <f t="shared" si="65"/>
        <v>-</v>
      </c>
      <c r="K42" s="446" t="str">
        <f t="shared" si="65"/>
        <v>-</v>
      </c>
      <c r="L42" s="446" t="str">
        <f t="shared" ref="L42:M42" si="66">IF(OR(L41="-",L41=""),IF(OR(L40="-",L40=""),"-",L40),IF(OR(L40="-",L40=""),L41,(L40+L41)/2))</f>
        <v>-</v>
      </c>
      <c r="M42" s="446" t="str">
        <f t="shared" si="66"/>
        <v>-</v>
      </c>
      <c r="N42" s="699"/>
      <c r="O42" s="672"/>
      <c r="P42" s="673"/>
      <c r="Q42" s="673"/>
      <c r="R42" s="673"/>
      <c r="S42" s="672"/>
      <c r="T42" s="673"/>
      <c r="U42" s="673"/>
      <c r="V42" s="674"/>
      <c r="W42" s="428"/>
      <c r="X42" s="428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401" t="str">
        <f t="shared" si="18"/>
        <v>-</v>
      </c>
      <c r="BD42" s="429" t="str">
        <f>"1st " &amp; B50</f>
        <v>1st Drive Mode 3</v>
      </c>
      <c r="BE42" s="435" t="str">
        <f t="shared" ref="BE42:BJ42" si="67">IF((OR($C52="-",$C52="CET",$C52="")),"-",IF(AND(OR(F50="-",F50=""),OR(F51="-",F51="")),"-",IF(NOT(OR(F50="-",F50="")),F50/F$5,F51/F$5)))</f>
        <v>-</v>
      </c>
      <c r="BF42" s="435" t="str">
        <f t="shared" si="67"/>
        <v>-</v>
      </c>
      <c r="BG42" s="435" t="str">
        <f t="shared" si="67"/>
        <v>-</v>
      </c>
      <c r="BH42" s="435" t="str">
        <f t="shared" si="67"/>
        <v>-</v>
      </c>
      <c r="BI42" s="435" t="str">
        <f t="shared" si="67"/>
        <v>-</v>
      </c>
      <c r="BJ42" s="435" t="str">
        <f t="shared" si="67"/>
        <v>-</v>
      </c>
      <c r="BK42" s="435" t="str">
        <f t="shared" ref="BK42:BL42" si="68">IF((OR($C52="-",$C52="CET",$C52="")),"-",IF(AND(OR(L50="-",L50=""),OR(L51="-",L51="")),"-",IF(NOT(OR(L50="-",L50="")),L50/L$5,L51/L$5)))</f>
        <v>-</v>
      </c>
      <c r="BL42" s="435" t="str">
        <f t="shared" si="68"/>
        <v>-</v>
      </c>
    </row>
    <row r="43" spans="1:64" ht="15" customHeight="1" outlineLevel="1" thickBot="1" x14ac:dyDescent="0.3">
      <c r="A43" s="396"/>
      <c r="B43" s="711"/>
      <c r="C43" s="687"/>
      <c r="D43" s="690"/>
      <c r="E43" s="447" t="s">
        <v>97</v>
      </c>
      <c r="F43" s="448" t="str">
        <f t="shared" ref="F43:K43" si="69">IF(OR($C42="-",$C42="CET",$C42=""),"-",IF(AND(NOT(F42="-"),NOT(F$5="-"),NOT(F$5="")),F42/F$5,"-"))</f>
        <v>-</v>
      </c>
      <c r="G43" s="448" t="str">
        <f t="shared" si="69"/>
        <v>-</v>
      </c>
      <c r="H43" s="448" t="str">
        <f t="shared" si="69"/>
        <v>-</v>
      </c>
      <c r="I43" s="448" t="str">
        <f t="shared" si="69"/>
        <v>-</v>
      </c>
      <c r="J43" s="448" t="str">
        <f t="shared" si="69"/>
        <v>-</v>
      </c>
      <c r="K43" s="449" t="str">
        <f t="shared" si="69"/>
        <v>-</v>
      </c>
      <c r="L43" s="449" t="str">
        <f t="shared" ref="L43:M43" si="70">IF(OR($C42="-",$C42="CET",$C42=""),"-",IF(AND(NOT(L42="-"),NOT(L$5="-"),NOT(L$5="")),L42/L$5,"-"))</f>
        <v>-</v>
      </c>
      <c r="M43" s="449" t="str">
        <f t="shared" si="70"/>
        <v>-</v>
      </c>
      <c r="N43" s="700"/>
      <c r="O43" s="672"/>
      <c r="P43" s="673"/>
      <c r="Q43" s="673"/>
      <c r="R43" s="673"/>
      <c r="S43" s="672"/>
      <c r="T43" s="673"/>
      <c r="U43" s="673"/>
      <c r="V43" s="674"/>
      <c r="W43" s="428"/>
      <c r="X43" s="428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401" t="str">
        <f t="shared" si="18"/>
        <v>-</v>
      </c>
      <c r="BD43" s="429" t="str">
        <f>"1st " &amp; B55</f>
        <v>1st Drive Mode 4</v>
      </c>
      <c r="BE43" s="435" t="str">
        <f t="shared" ref="BE43:BJ43" si="71">IF((OR($C57="-",$C57="CET",$C57="")),"-",IF(AND(OR(F55="-",F55=""),OR(F56="-",F56="")),"-",IF(NOT(OR(F55="-",F55="")),F55/F$5,F56/F$5)))</f>
        <v>-</v>
      </c>
      <c r="BF43" s="435" t="str">
        <f t="shared" si="71"/>
        <v>-</v>
      </c>
      <c r="BG43" s="435" t="str">
        <f t="shared" si="71"/>
        <v>-</v>
      </c>
      <c r="BH43" s="435" t="str">
        <f t="shared" si="71"/>
        <v>-</v>
      </c>
      <c r="BI43" s="435" t="str">
        <f t="shared" si="71"/>
        <v>-</v>
      </c>
      <c r="BJ43" s="435" t="str">
        <f t="shared" si="71"/>
        <v>-</v>
      </c>
      <c r="BK43" s="435" t="str">
        <f t="shared" ref="BK43:BL43" si="72">IF((OR($C57="-",$C57="CET",$C57="")),"-",IF(AND(OR(L55="-",L55=""),OR(L56="-",L56="")),"-",IF(NOT(OR(L55="-",L55="")),L55/L$5,L56/L$5)))</f>
        <v>-</v>
      </c>
      <c r="BL43" s="435" t="str">
        <f t="shared" si="72"/>
        <v>-</v>
      </c>
    </row>
    <row r="44" spans="1:64" ht="15" customHeight="1" outlineLevel="1" thickBot="1" x14ac:dyDescent="0.3">
      <c r="A44" s="396"/>
      <c r="B44" s="712"/>
      <c r="C44" s="688"/>
      <c r="D44" s="691"/>
      <c r="E44" s="450" t="s">
        <v>30</v>
      </c>
      <c r="F44" s="451" t="str">
        <f t="shared" ref="F44:K44" si="73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73"/>
        <v>-</v>
      </c>
      <c r="H44" s="451" t="str">
        <f t="shared" si="73"/>
        <v>-</v>
      </c>
      <c r="I44" s="451" t="str">
        <f t="shared" si="73"/>
        <v>-</v>
      </c>
      <c r="J44" s="451" t="str">
        <f t="shared" si="73"/>
        <v>-</v>
      </c>
      <c r="K44" s="452" t="str">
        <f t="shared" si="73"/>
        <v>-</v>
      </c>
      <c r="L44" s="452" t="str">
        <f t="shared" ref="L44:M44" si="74">IF(AND(OR(L40="-",L40=""),OR(L41="-",L41="")),"-",IF(OR($C42="-",$C42="",$C42="CET"),"-",IF($R$36="not listed","-",IF(NOT(L$5="-"),IF(AND(AND(NOT(L40=0),NOT(L40="-"),NOT(L40="")),AND(NOT(L41="-"),NOT(L41=0),NOT(L41=""))),IF(AND((L40+L41)/2&lt;1*L$5*IF(OR($C42="CET",$C42="-",$C42=""),"-",$C42),L40&lt;1.1*L$5*IF(OR($C42="CET",$C42="-",$C42=""),"-",$C42),L41&lt;1.1*L$5*IF(OR($C42="CET",$C42="-",$C42=""),"-",$C42)),"passed","refused"),IF(IF(OR(L40="-",L40=""),L41,L40)&lt;0.7*L$5*IF(OR($C42="CET",$C42="-",$C42=""),"-",$C42),"passed",IF(IF(OR(L40="-",L40=""),L41,L40)&lt;1.1*IF(OR($C42="CET",$C42="-",$C42=""),"-",$C42)*L$5,"failed","refused"))),"-"))))</f>
        <v>-</v>
      </c>
      <c r="M44" s="452" t="str">
        <f t="shared" si="74"/>
        <v>-</v>
      </c>
      <c r="N44" s="701"/>
      <c r="O44" s="672"/>
      <c r="P44" s="673"/>
      <c r="Q44" s="673"/>
      <c r="R44" s="673"/>
      <c r="S44" s="672"/>
      <c r="T44" s="673"/>
      <c r="U44" s="673"/>
      <c r="V44" s="674"/>
      <c r="W44" s="428"/>
      <c r="X44" s="428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401" t="str">
        <f t="shared" si="18"/>
        <v>-</v>
      </c>
      <c r="BD44" s="429" t="str">
        <f>"1st " &amp; B60</f>
        <v>1st Drive Mode 5</v>
      </c>
      <c r="BE44" s="435" t="str">
        <f t="shared" ref="BE44:BJ44" si="75">IF((OR($C62="-",$C62="CET",$C62="")),"-",IF(AND(OR(F60="-",F60=""),OR(F61="-",F61="")),"-",IF(NOT(OR(F60="-",F60="")),F60/F$5,F61/F$5)))</f>
        <v>-</v>
      </c>
      <c r="BF44" s="435" t="str">
        <f t="shared" si="75"/>
        <v>-</v>
      </c>
      <c r="BG44" s="435" t="str">
        <f t="shared" si="75"/>
        <v>-</v>
      </c>
      <c r="BH44" s="435" t="str">
        <f t="shared" si="75"/>
        <v>-</v>
      </c>
      <c r="BI44" s="435" t="str">
        <f t="shared" si="75"/>
        <v>-</v>
      </c>
      <c r="BJ44" s="435" t="str">
        <f t="shared" si="75"/>
        <v>-</v>
      </c>
      <c r="BK44" s="435" t="str">
        <f t="shared" ref="BK44:BL44" si="76">IF((OR($C62="-",$C62="CET",$C62="")),"-",IF(AND(OR(L60="-",L60=""),OR(L61="-",L61="")),"-",IF(NOT(OR(L60="-",L60="")),L60/L$5,L61/L$5)))</f>
        <v>-</v>
      </c>
      <c r="BL44" s="435" t="str">
        <f t="shared" si="76"/>
        <v>-</v>
      </c>
    </row>
    <row r="45" spans="1:64" ht="15" customHeight="1" outlineLevel="1" x14ac:dyDescent="0.25">
      <c r="A45" s="396"/>
      <c r="B45" s="710" t="s">
        <v>124</v>
      </c>
      <c r="C45" s="684" t="s">
        <v>114</v>
      </c>
      <c r="D45" s="684" t="s">
        <v>113</v>
      </c>
      <c r="E45" s="453" t="s">
        <v>94</v>
      </c>
      <c r="F45" s="437" t="s">
        <v>5</v>
      </c>
      <c r="G45" s="437" t="s">
        <v>5</v>
      </c>
      <c r="H45" s="437" t="s">
        <v>5</v>
      </c>
      <c r="I45" s="437" t="s">
        <v>5</v>
      </c>
      <c r="J45" s="437" t="s">
        <v>5</v>
      </c>
      <c r="K45" s="438" t="s">
        <v>5</v>
      </c>
      <c r="L45" s="438" t="s">
        <v>5</v>
      </c>
      <c r="M45" s="438" t="s">
        <v>5</v>
      </c>
      <c r="N45" s="437" t="s">
        <v>5</v>
      </c>
      <c r="O45" s="672"/>
      <c r="P45" s="673"/>
      <c r="Q45" s="673"/>
      <c r="R45" s="673"/>
      <c r="S45" s="672"/>
      <c r="T45" s="673"/>
      <c r="U45" s="673"/>
      <c r="V45" s="674"/>
      <c r="W45" s="428"/>
      <c r="X45" s="42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401" t="str">
        <f t="shared" si="18"/>
        <v>-</v>
      </c>
      <c r="BD45" s="429" t="str">
        <f>"1st " &amp; B65</f>
        <v>1st Drive Mode 6</v>
      </c>
      <c r="BE45" s="435" t="str">
        <f t="shared" ref="BE45:BJ45" si="77">IF((OR($C67="-",$C67="CET",$C67="")),"-",IF(AND(OR(F65="-",F65=""),OR(F66="-",F66="")),"-",IF(NOT(OR(F65="-",F65="")),F65/F$5,F66/F$5)))</f>
        <v>-</v>
      </c>
      <c r="BF45" s="435" t="str">
        <f t="shared" si="77"/>
        <v>-</v>
      </c>
      <c r="BG45" s="435" t="str">
        <f t="shared" si="77"/>
        <v>-</v>
      </c>
      <c r="BH45" s="435" t="str">
        <f t="shared" si="77"/>
        <v>-</v>
      </c>
      <c r="BI45" s="435" t="str">
        <f t="shared" si="77"/>
        <v>-</v>
      </c>
      <c r="BJ45" s="435" t="str">
        <f t="shared" si="77"/>
        <v>-</v>
      </c>
      <c r="BK45" s="435" t="str">
        <f t="shared" ref="BK45:BL45" si="78">IF((OR($C67="-",$C67="CET",$C67="")),"-",IF(AND(OR(L65="-",L65=""),OR(L66="-",L66="")),"-",IF(NOT(OR(L65="-",L65="")),L65/L$5,L66/L$5)))</f>
        <v>-</v>
      </c>
      <c r="BL45" s="435" t="str">
        <f t="shared" si="78"/>
        <v>-</v>
      </c>
    </row>
    <row r="46" spans="1:64" s="405" customFormat="1" ht="15" customHeight="1" outlineLevel="1" thickBot="1" x14ac:dyDescent="0.3">
      <c r="A46" s="439"/>
      <c r="B46" s="711"/>
      <c r="C46" s="702"/>
      <c r="D46" s="685"/>
      <c r="E46" s="440" t="s">
        <v>95</v>
      </c>
      <c r="F46" s="441" t="s">
        <v>5</v>
      </c>
      <c r="G46" s="441" t="s">
        <v>5</v>
      </c>
      <c r="H46" s="441" t="s">
        <v>5</v>
      </c>
      <c r="I46" s="441" t="s">
        <v>5</v>
      </c>
      <c r="J46" s="441" t="s">
        <v>5</v>
      </c>
      <c r="K46" s="442" t="s">
        <v>5</v>
      </c>
      <c r="L46" s="442" t="s">
        <v>5</v>
      </c>
      <c r="M46" s="442" t="s">
        <v>5</v>
      </c>
      <c r="N46" s="441" t="s">
        <v>5</v>
      </c>
      <c r="O46" s="672"/>
      <c r="P46" s="673"/>
      <c r="Q46" s="673"/>
      <c r="R46" s="673"/>
      <c r="S46" s="672"/>
      <c r="T46" s="673"/>
      <c r="U46" s="673"/>
      <c r="V46" s="674"/>
      <c r="W46" s="443"/>
      <c r="X46" s="443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401" t="str">
        <f t="shared" si="18"/>
        <v>-</v>
      </c>
      <c r="BD46" s="429" t="str">
        <f>"0.7*IEF " &amp; (B40)</f>
        <v>0.7*IEF Drive Mode 1</v>
      </c>
      <c r="BE46" s="435">
        <f t="shared" ref="BE46:BJ46" si="79">IF(OR($C42="-",$C42="CET",$C42=""),"-",0.7*$C42)</f>
        <v>0.7</v>
      </c>
      <c r="BF46" s="435">
        <f t="shared" si="79"/>
        <v>0.7</v>
      </c>
      <c r="BG46" s="435">
        <f t="shared" si="79"/>
        <v>0.7</v>
      </c>
      <c r="BH46" s="435">
        <f t="shared" si="79"/>
        <v>0.7</v>
      </c>
      <c r="BI46" s="435">
        <f t="shared" si="79"/>
        <v>0.7</v>
      </c>
      <c r="BJ46" s="435">
        <f t="shared" si="79"/>
        <v>0.7</v>
      </c>
      <c r="BK46" s="435">
        <f t="shared" ref="BK46:BL46" si="80">IF(OR($C42="-",$C42="CET",$C42=""),"-",0.7*$C42)</f>
        <v>0.7</v>
      </c>
      <c r="BL46" s="435">
        <f t="shared" si="80"/>
        <v>0.7</v>
      </c>
    </row>
    <row r="47" spans="1:64" ht="15" customHeight="1" outlineLevel="1" thickBot="1" x14ac:dyDescent="0.3">
      <c r="A47" s="396"/>
      <c r="B47" s="711"/>
      <c r="C47" s="686">
        <v>1</v>
      </c>
      <c r="D47" s="689" t="str">
        <f>IF(AND(F48="-",G48="-",H48="-",I48="-",J48="-",K48="-",L48="-",M48="-"),"-",MAX(F48,G48,H48,I48,J48,K48,L48,M48))</f>
        <v>-</v>
      </c>
      <c r="E47" s="444" t="s">
        <v>96</v>
      </c>
      <c r="F47" s="445" t="str">
        <f t="shared" ref="F47:K47" si="81">IF(OR(F46="-",F46=""),IF(OR(F45="-",F45=""),"-",F45),IF(OR(F45="-",F45=""),F46,(F45+F46)/2))</f>
        <v>-</v>
      </c>
      <c r="G47" s="445" t="str">
        <f t="shared" si="81"/>
        <v>-</v>
      </c>
      <c r="H47" s="445" t="str">
        <f t="shared" si="81"/>
        <v>-</v>
      </c>
      <c r="I47" s="445" t="str">
        <f t="shared" si="81"/>
        <v>-</v>
      </c>
      <c r="J47" s="445" t="str">
        <f t="shared" si="81"/>
        <v>-</v>
      </c>
      <c r="K47" s="446" t="str">
        <f t="shared" si="81"/>
        <v>-</v>
      </c>
      <c r="L47" s="446" t="str">
        <f t="shared" ref="L47:M47" si="82">IF(OR(L46="-",L46=""),IF(OR(L45="-",L45=""),"-",L45),IF(OR(L45="-",L45=""),L46,(L45+L46)/2))</f>
        <v>-</v>
      </c>
      <c r="M47" s="446" t="str">
        <f t="shared" si="82"/>
        <v>-</v>
      </c>
      <c r="N47" s="699"/>
      <c r="O47" s="672"/>
      <c r="P47" s="673"/>
      <c r="Q47" s="673"/>
      <c r="R47" s="673"/>
      <c r="S47" s="672"/>
      <c r="T47" s="673"/>
      <c r="U47" s="673"/>
      <c r="V47" s="674"/>
      <c r="W47" s="428"/>
      <c r="X47" s="428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401" t="str">
        <f t="shared" si="18"/>
        <v>-</v>
      </c>
      <c r="BD47" s="429" t="str">
        <f>"0.7*IEF " &amp; B45</f>
        <v>0.7*IEF Drive Mode 2</v>
      </c>
      <c r="BE47" s="435">
        <f t="shared" ref="BE47:BL47" si="83">IF(OR($C47="-",$C47="CET",$C47=""),"-",0.7*$C47)</f>
        <v>0.7</v>
      </c>
      <c r="BF47" s="435">
        <f t="shared" si="83"/>
        <v>0.7</v>
      </c>
      <c r="BG47" s="435">
        <f t="shared" si="83"/>
        <v>0.7</v>
      </c>
      <c r="BH47" s="435">
        <f t="shared" si="83"/>
        <v>0.7</v>
      </c>
      <c r="BI47" s="435">
        <f t="shared" si="83"/>
        <v>0.7</v>
      </c>
      <c r="BJ47" s="435">
        <f t="shared" si="83"/>
        <v>0.7</v>
      </c>
      <c r="BK47" s="435">
        <f t="shared" si="83"/>
        <v>0.7</v>
      </c>
      <c r="BL47" s="435">
        <f t="shared" si="83"/>
        <v>0.7</v>
      </c>
    </row>
    <row r="48" spans="1:64" ht="15" customHeight="1" outlineLevel="1" thickBot="1" x14ac:dyDescent="0.3">
      <c r="A48" s="396"/>
      <c r="B48" s="711"/>
      <c r="C48" s="687"/>
      <c r="D48" s="690"/>
      <c r="E48" s="447" t="s">
        <v>97</v>
      </c>
      <c r="F48" s="448" t="str">
        <f t="shared" ref="F48:K48" si="84">IF(OR($C47="-",$C47="CET",$C47=""),"-",IF(AND(NOT(F47="-"),NOT(F$5="-"),NOT(F$5="")),F47/F$5,"-"))</f>
        <v>-</v>
      </c>
      <c r="G48" s="448" t="str">
        <f t="shared" si="84"/>
        <v>-</v>
      </c>
      <c r="H48" s="448" t="str">
        <f t="shared" si="84"/>
        <v>-</v>
      </c>
      <c r="I48" s="448" t="str">
        <f t="shared" si="84"/>
        <v>-</v>
      </c>
      <c r="J48" s="448" t="str">
        <f t="shared" si="84"/>
        <v>-</v>
      </c>
      <c r="K48" s="449" t="str">
        <f t="shared" si="84"/>
        <v>-</v>
      </c>
      <c r="L48" s="449" t="str">
        <f t="shared" ref="L48:M48" si="85">IF(OR($C47="-",$C47="CET",$C47=""),"-",IF(AND(NOT(L47="-"),NOT(L$5="-"),NOT(L$5="")),L47/L$5,"-"))</f>
        <v>-</v>
      </c>
      <c r="M48" s="449" t="str">
        <f t="shared" si="85"/>
        <v>-</v>
      </c>
      <c r="N48" s="700"/>
      <c r="O48" s="672"/>
      <c r="P48" s="673"/>
      <c r="Q48" s="673"/>
      <c r="R48" s="673"/>
      <c r="S48" s="672"/>
      <c r="T48" s="673"/>
      <c r="U48" s="673"/>
      <c r="V48" s="674"/>
      <c r="W48" s="428"/>
      <c r="X48" s="428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401" t="str">
        <f t="shared" si="18"/>
        <v>-</v>
      </c>
      <c r="BD48" s="429" t="str">
        <f>"0.7*IEF " &amp; B50</f>
        <v>0.7*IEF Drive Mode 3</v>
      </c>
      <c r="BE48" s="435">
        <f t="shared" ref="BE48:BJ48" si="86">IF(OR($C52="-",$C52="CET",$C52=""),"-",0.7*$C52)</f>
        <v>0.7</v>
      </c>
      <c r="BF48" s="435">
        <f t="shared" si="86"/>
        <v>0.7</v>
      </c>
      <c r="BG48" s="435">
        <f t="shared" si="86"/>
        <v>0.7</v>
      </c>
      <c r="BH48" s="435">
        <f t="shared" si="86"/>
        <v>0.7</v>
      </c>
      <c r="BI48" s="435">
        <f t="shared" si="86"/>
        <v>0.7</v>
      </c>
      <c r="BJ48" s="435">
        <f t="shared" si="86"/>
        <v>0.7</v>
      </c>
      <c r="BK48" s="435">
        <f t="shared" ref="BK48:BL48" si="87">IF(OR($C52="-",$C52="CET",$C52=""),"-",0.7*$C52)</f>
        <v>0.7</v>
      </c>
      <c r="BL48" s="435">
        <f t="shared" si="87"/>
        <v>0.7</v>
      </c>
    </row>
    <row r="49" spans="1:64" ht="15" customHeight="1" outlineLevel="1" thickBot="1" x14ac:dyDescent="0.3">
      <c r="A49" s="404"/>
      <c r="B49" s="712"/>
      <c r="C49" s="688"/>
      <c r="D49" s="691"/>
      <c r="E49" s="451" t="s">
        <v>30</v>
      </c>
      <c r="F49" s="451" t="str">
        <f t="shared" ref="F49:K49" si="88">IF(AND(OR(F45="-",F45=""),OR(F46="-",F46="")),"-",IF(OR($C47="-",$C47="",$C47="CET"),"-",IF($R$36="not listed","-",IF(NOT(F$5="-"),IF(AND(AND(NOT(F45=0),NOT(F45="-"),NOT(F45="")),AND(NOT(F46="-"),NOT(F46=0),NOT(F46=""))),IF(AND((F45+F46)/2&lt;1*F$5*IF(OR($C47="CET",$C47="-",$C47=""),"-",$C47),F45&lt;1.1*F$5*IF(OR($C47="CET",$C47="-",$C47=""),"-",$C47),F46&lt;1.1*F$5*IF(OR($C47="CET",$C47="-",$C47=""),"-",$C47)),"passed","refused"),IF(IF(OR(F45="-",F45=""),F46,F45)&lt;0.7*F$5*IF(OR($C47="CET",$C47="-",$C47=""),"-",$C47),"passed",IF(IF(OR(F45="-",F45=""),F46,F45)&lt;1.1*IF(OR($C47="CET",$C47="-",$C47=""),"-",$C47)*F$5,"failed","refused"))),"-"))))</f>
        <v>-</v>
      </c>
      <c r="G49" s="451" t="str">
        <f t="shared" si="88"/>
        <v>-</v>
      </c>
      <c r="H49" s="451" t="str">
        <f t="shared" si="88"/>
        <v>-</v>
      </c>
      <c r="I49" s="451" t="str">
        <f t="shared" si="88"/>
        <v>-</v>
      </c>
      <c r="J49" s="451" t="str">
        <f t="shared" si="88"/>
        <v>-</v>
      </c>
      <c r="K49" s="452" t="str">
        <f t="shared" si="88"/>
        <v>-</v>
      </c>
      <c r="L49" s="452" t="str">
        <f t="shared" ref="L49:M49" si="89">IF(AND(OR(L45="-",L45=""),OR(L46="-",L46="")),"-",IF(OR($C47="-",$C47="",$C47="CET"),"-",IF($R$36="not listed","-",IF(NOT(L$5="-"),IF(AND(AND(NOT(L45=0),NOT(L45="-"),NOT(L45="")),AND(NOT(L46="-"),NOT(L46=0),NOT(L46=""))),IF(AND((L45+L46)/2&lt;1*L$5*IF(OR($C47="CET",$C47="-",$C47=""),"-",$C47),L45&lt;1.1*L$5*IF(OR($C47="CET",$C47="-",$C47=""),"-",$C47),L46&lt;1.1*L$5*IF(OR($C47="CET",$C47="-",$C47=""),"-",$C47)),"passed","refused"),IF(IF(OR(L45="-",L45=""),L46,L45)&lt;0.7*L$5*IF(OR($C47="CET",$C47="-",$C47=""),"-",$C47),"passed",IF(IF(OR(L45="-",L45=""),L46,L45)&lt;1.1*IF(OR($C47="CET",$C47="-",$C47=""),"-",$C47)*L$5,"failed","refused"))),"-"))))</f>
        <v>-</v>
      </c>
      <c r="M49" s="452" t="str">
        <f t="shared" si="89"/>
        <v>-</v>
      </c>
      <c r="N49" s="701"/>
      <c r="O49" s="672"/>
      <c r="P49" s="673"/>
      <c r="Q49" s="673"/>
      <c r="R49" s="673"/>
      <c r="S49" s="672"/>
      <c r="T49" s="673"/>
      <c r="U49" s="673"/>
      <c r="V49" s="674"/>
      <c r="W49" s="428"/>
      <c r="X49" s="428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401" t="str">
        <f t="shared" si="18"/>
        <v>-</v>
      </c>
      <c r="BD49" s="429" t="str">
        <f>"0.7*IEF " &amp; B55</f>
        <v>0.7*IEF Drive Mode 4</v>
      </c>
      <c r="BE49" s="435">
        <f t="shared" ref="BE49:BJ49" si="90">IF(OR($C57="-",$C57="CET",$C57=""),"-",0.7*$C57)</f>
        <v>0.7</v>
      </c>
      <c r="BF49" s="435">
        <f t="shared" si="90"/>
        <v>0.7</v>
      </c>
      <c r="BG49" s="435">
        <f t="shared" si="90"/>
        <v>0.7</v>
      </c>
      <c r="BH49" s="435">
        <f t="shared" si="90"/>
        <v>0.7</v>
      </c>
      <c r="BI49" s="435">
        <f t="shared" si="90"/>
        <v>0.7</v>
      </c>
      <c r="BJ49" s="435">
        <f t="shared" si="90"/>
        <v>0.7</v>
      </c>
      <c r="BK49" s="435">
        <f t="shared" ref="BK49:BL49" si="91">IF(OR($C57="-",$C57="CET",$C57=""),"-",0.7*$C57)</f>
        <v>0.7</v>
      </c>
      <c r="BL49" s="435">
        <f t="shared" si="91"/>
        <v>0.7</v>
      </c>
    </row>
    <row r="50" spans="1:64" ht="15" customHeight="1" outlineLevel="1" x14ac:dyDescent="0.25">
      <c r="A50" s="404"/>
      <c r="B50" s="710" t="s">
        <v>123</v>
      </c>
      <c r="C50" s="684" t="s">
        <v>114</v>
      </c>
      <c r="D50" s="684" t="s">
        <v>113</v>
      </c>
      <c r="E50" s="453" t="s">
        <v>94</v>
      </c>
      <c r="F50" s="437" t="s">
        <v>5</v>
      </c>
      <c r="G50" s="437" t="s">
        <v>5</v>
      </c>
      <c r="H50" s="437" t="s">
        <v>5</v>
      </c>
      <c r="I50" s="437" t="s">
        <v>5</v>
      </c>
      <c r="J50" s="437" t="s">
        <v>5</v>
      </c>
      <c r="K50" s="438" t="s">
        <v>5</v>
      </c>
      <c r="L50" s="438" t="s">
        <v>5</v>
      </c>
      <c r="M50" s="438" t="s">
        <v>5</v>
      </c>
      <c r="N50" s="437" t="s">
        <v>5</v>
      </c>
      <c r="O50" s="672"/>
      <c r="P50" s="673"/>
      <c r="Q50" s="673"/>
      <c r="R50" s="673"/>
      <c r="S50" s="672"/>
      <c r="T50" s="673"/>
      <c r="U50" s="673"/>
      <c r="V50" s="674"/>
      <c r="W50" s="428"/>
      <c r="X50" s="428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401" t="str">
        <f t="shared" si="18"/>
        <v>-</v>
      </c>
      <c r="BD50" s="429" t="str">
        <f>"0.7*IEF " &amp; B60</f>
        <v>0.7*IEF Drive Mode 5</v>
      </c>
      <c r="BE50" s="435">
        <f t="shared" ref="BE50:BJ50" si="92">IF(OR($C62="-",$C62="CET",$C62=""),"-",0.7*$C62)</f>
        <v>0.7</v>
      </c>
      <c r="BF50" s="435">
        <f t="shared" si="92"/>
        <v>0.7</v>
      </c>
      <c r="BG50" s="435">
        <f t="shared" si="92"/>
        <v>0.7</v>
      </c>
      <c r="BH50" s="435">
        <f t="shared" si="92"/>
        <v>0.7</v>
      </c>
      <c r="BI50" s="435">
        <f t="shared" si="92"/>
        <v>0.7</v>
      </c>
      <c r="BJ50" s="435">
        <f t="shared" si="92"/>
        <v>0.7</v>
      </c>
      <c r="BK50" s="435">
        <f t="shared" ref="BK50:BL50" si="93">IF(OR($C62="-",$C62="CET",$C62=""),"-",0.7*$C62)</f>
        <v>0.7</v>
      </c>
      <c r="BL50" s="435">
        <f t="shared" si="93"/>
        <v>0.7</v>
      </c>
    </row>
    <row r="51" spans="1:64" s="405" customFormat="1" ht="15" customHeight="1" outlineLevel="1" thickBot="1" x14ac:dyDescent="0.3">
      <c r="A51" s="454"/>
      <c r="B51" s="711"/>
      <c r="C51" s="702"/>
      <c r="D51" s="685"/>
      <c r="E51" s="440" t="s">
        <v>95</v>
      </c>
      <c r="F51" s="441" t="s">
        <v>5</v>
      </c>
      <c r="G51" s="441" t="s">
        <v>5</v>
      </c>
      <c r="H51" s="441" t="s">
        <v>5</v>
      </c>
      <c r="I51" s="441" t="s">
        <v>5</v>
      </c>
      <c r="J51" s="441" t="s">
        <v>5</v>
      </c>
      <c r="K51" s="442" t="s">
        <v>5</v>
      </c>
      <c r="L51" s="442" t="s">
        <v>5</v>
      </c>
      <c r="M51" s="442" t="s">
        <v>5</v>
      </c>
      <c r="N51" s="441" t="s">
        <v>5</v>
      </c>
      <c r="O51" s="672"/>
      <c r="P51" s="673"/>
      <c r="Q51" s="673"/>
      <c r="R51" s="673"/>
      <c r="S51" s="672"/>
      <c r="T51" s="673"/>
      <c r="U51" s="673"/>
      <c r="V51" s="674"/>
      <c r="W51" s="443"/>
      <c r="X51" s="443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401" t="str">
        <f t="shared" si="18"/>
        <v>-</v>
      </c>
      <c r="BD51" s="429" t="str">
        <f>"0.7*IEF " &amp; B65</f>
        <v>0.7*IEF Drive Mode 6</v>
      </c>
      <c r="BE51" s="435">
        <f t="shared" ref="BE51:BJ51" si="94">IF(OR($C67="-",$C67="CET",$C67=""),"-",0.7*$C67)</f>
        <v>0.7</v>
      </c>
      <c r="BF51" s="435">
        <f t="shared" si="94"/>
        <v>0.7</v>
      </c>
      <c r="BG51" s="435">
        <f t="shared" si="94"/>
        <v>0.7</v>
      </c>
      <c r="BH51" s="435">
        <f t="shared" si="94"/>
        <v>0.7</v>
      </c>
      <c r="BI51" s="435">
        <f t="shared" si="94"/>
        <v>0.7</v>
      </c>
      <c r="BJ51" s="435">
        <f t="shared" si="94"/>
        <v>0.7</v>
      </c>
      <c r="BK51" s="435">
        <f t="shared" ref="BK51:BL51" si="95">IF(OR($C67="-",$C67="CET",$C67=""),"-",0.7*$C67)</f>
        <v>0.7</v>
      </c>
      <c r="BL51" s="435">
        <f t="shared" si="95"/>
        <v>0.7</v>
      </c>
    </row>
    <row r="52" spans="1:64" ht="15" customHeight="1" outlineLevel="1" thickBot="1" x14ac:dyDescent="0.3">
      <c r="A52" s="404"/>
      <c r="B52" s="711"/>
      <c r="C52" s="686">
        <v>1</v>
      </c>
      <c r="D52" s="689" t="str">
        <f>IF(AND(F53="-",G53="-",H53="-",I53="-",J53="-",K53="-",L53="-",M53="-"),"-",MAX(F53,G53,H53,I53,J53,K53,L53,M53))</f>
        <v>-</v>
      </c>
      <c r="E52" s="444" t="s">
        <v>96</v>
      </c>
      <c r="F52" s="445" t="str">
        <f t="shared" ref="F52:K52" si="96">IF(OR(F51="-",F51=""),IF(OR(F50="-",F50=""),"-",F50),IF(OR(F50="-",F50=""),F51,(F50+F51)/2))</f>
        <v>-</v>
      </c>
      <c r="G52" s="445" t="str">
        <f t="shared" si="96"/>
        <v>-</v>
      </c>
      <c r="H52" s="445" t="str">
        <f t="shared" si="96"/>
        <v>-</v>
      </c>
      <c r="I52" s="445" t="str">
        <f t="shared" si="96"/>
        <v>-</v>
      </c>
      <c r="J52" s="445" t="str">
        <f t="shared" si="96"/>
        <v>-</v>
      </c>
      <c r="K52" s="446" t="str">
        <f t="shared" si="96"/>
        <v>-</v>
      </c>
      <c r="L52" s="446" t="str">
        <f t="shared" ref="L52:M52" si="97">IF(OR(L51="-",L51=""),IF(OR(L50="-",L50=""),"-",L50),IF(OR(L50="-",L50=""),L51,(L50+L51)/2))</f>
        <v>-</v>
      </c>
      <c r="M52" s="446" t="str">
        <f t="shared" si="97"/>
        <v>-</v>
      </c>
      <c r="N52" s="699"/>
      <c r="O52" s="672"/>
      <c r="P52" s="673"/>
      <c r="Q52" s="673"/>
      <c r="R52" s="673"/>
      <c r="S52" s="672"/>
      <c r="T52" s="673"/>
      <c r="U52" s="673"/>
      <c r="V52" s="674"/>
      <c r="W52" s="428"/>
      <c r="X52" s="42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401" t="str">
        <f t="shared" si="18"/>
        <v>-</v>
      </c>
      <c r="BD52" s="429" t="str">
        <f>$B40</f>
        <v>Drive Mode 1</v>
      </c>
      <c r="BE52" s="435" t="str">
        <f t="shared" ref="BE52:BJ52" si="98">F43</f>
        <v>-</v>
      </c>
      <c r="BF52" s="435" t="str">
        <f t="shared" si="98"/>
        <v>-</v>
      </c>
      <c r="BG52" s="435" t="str">
        <f t="shared" si="98"/>
        <v>-</v>
      </c>
      <c r="BH52" s="435" t="str">
        <f t="shared" si="98"/>
        <v>-</v>
      </c>
      <c r="BI52" s="435" t="str">
        <f t="shared" si="98"/>
        <v>-</v>
      </c>
      <c r="BJ52" s="435" t="str">
        <f t="shared" si="98"/>
        <v>-</v>
      </c>
      <c r="BK52" s="435" t="str">
        <f t="shared" ref="BK52:BL52" si="99">L43</f>
        <v>-</v>
      </c>
      <c r="BL52" s="435" t="str">
        <f t="shared" si="99"/>
        <v>-</v>
      </c>
    </row>
    <row r="53" spans="1:64" ht="15" customHeight="1" outlineLevel="1" thickBot="1" x14ac:dyDescent="0.3">
      <c r="A53" s="404"/>
      <c r="B53" s="711"/>
      <c r="C53" s="687"/>
      <c r="D53" s="690"/>
      <c r="E53" s="447" t="s">
        <v>97</v>
      </c>
      <c r="F53" s="448" t="str">
        <f t="shared" ref="F53:K53" si="100">IF(OR($C52="-",$C52="CET",$C52=""),"-",IF(AND(NOT(F52="-"),NOT(F$5="-"),NOT(F$5="")),F52/F$5,"-"))</f>
        <v>-</v>
      </c>
      <c r="G53" s="448" t="str">
        <f t="shared" si="100"/>
        <v>-</v>
      </c>
      <c r="H53" s="448" t="str">
        <f t="shared" si="100"/>
        <v>-</v>
      </c>
      <c r="I53" s="448" t="str">
        <f t="shared" si="100"/>
        <v>-</v>
      </c>
      <c r="J53" s="448" t="str">
        <f t="shared" si="100"/>
        <v>-</v>
      </c>
      <c r="K53" s="449" t="str">
        <f t="shared" si="100"/>
        <v>-</v>
      </c>
      <c r="L53" s="449" t="str">
        <f t="shared" ref="L53:M53" si="101">IF(OR($C52="-",$C52="CET",$C52=""),"-",IF(AND(NOT(L52="-"),NOT(L$5="-"),NOT(L$5="")),L52/L$5,"-"))</f>
        <v>-</v>
      </c>
      <c r="M53" s="449" t="str">
        <f t="shared" si="101"/>
        <v>-</v>
      </c>
      <c r="N53" s="700"/>
      <c r="O53" s="672"/>
      <c r="P53" s="673"/>
      <c r="Q53" s="673"/>
      <c r="R53" s="673"/>
      <c r="S53" s="672"/>
      <c r="T53" s="673"/>
      <c r="U53" s="673"/>
      <c r="V53" s="674"/>
      <c r="W53" s="428"/>
      <c r="X53" s="428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401" t="str">
        <f t="shared" si="18"/>
        <v>-</v>
      </c>
      <c r="BD53" s="429" t="str">
        <f>$B45</f>
        <v>Drive Mode 2</v>
      </c>
      <c r="BE53" s="435" t="str">
        <f t="shared" ref="BE53:BJ53" si="102">F48</f>
        <v>-</v>
      </c>
      <c r="BF53" s="435" t="str">
        <f t="shared" si="102"/>
        <v>-</v>
      </c>
      <c r="BG53" s="435" t="str">
        <f t="shared" si="102"/>
        <v>-</v>
      </c>
      <c r="BH53" s="435" t="str">
        <f t="shared" si="102"/>
        <v>-</v>
      </c>
      <c r="BI53" s="435" t="str">
        <f t="shared" si="102"/>
        <v>-</v>
      </c>
      <c r="BJ53" s="435" t="str">
        <f t="shared" si="102"/>
        <v>-</v>
      </c>
      <c r="BK53" s="435" t="str">
        <f t="shared" ref="BK53:BL53" si="103">L48</f>
        <v>-</v>
      </c>
      <c r="BL53" s="435" t="str">
        <f t="shared" si="103"/>
        <v>-</v>
      </c>
    </row>
    <row r="54" spans="1:64" ht="15" customHeight="1" outlineLevel="1" thickBot="1" x14ac:dyDescent="0.3">
      <c r="A54" s="404"/>
      <c r="B54" s="712"/>
      <c r="C54" s="688"/>
      <c r="D54" s="691"/>
      <c r="E54" s="451" t="s">
        <v>30</v>
      </c>
      <c r="F54" s="451" t="str">
        <f t="shared" ref="F54:K54" si="104">IF(AND(OR(F50="-",F50=""),OR(F51="-",F51="")),"-",IF(OR($C52="-",$C52="",$C52="CET"),"-",IF($R$36="not listed","-",IF(NOT(F$5="-"),IF(AND(AND(NOT(F50=0),NOT(F50="-"),NOT(F50="")),AND(NOT(F51="-"),NOT(F51=0),NOT(F51=""))),IF(AND((F50+F51)/2&lt;1*F$5*IF(OR($C52="CET",$C52="-",$C52=""),"-",$C52),F50&lt;1.1*F$5*IF(OR($C52="CET",$C52="-",$C52=""),"-",$C52),F51&lt;1.1*F$5*IF(OR($C52="CET",$C52="-",$C52=""),"-",$C52)),"passed","refused"),IF(IF(OR(F50="-",F50=""),F51,F50)&lt;0.7*F$5*IF(OR($C52="CET",$C52="-",$C52=""),"-",$C52),"passed",IF(IF(OR(F50="-",F50=""),F51,F50)&lt;1.1*IF(OR($C52="CET",$C52="-",$C52=""),"-",$C52)*F$5,"failed","refused"))),"-"))))</f>
        <v>-</v>
      </c>
      <c r="G54" s="451" t="str">
        <f t="shared" si="104"/>
        <v>-</v>
      </c>
      <c r="H54" s="451" t="str">
        <f t="shared" si="104"/>
        <v>-</v>
      </c>
      <c r="I54" s="451" t="str">
        <f t="shared" si="104"/>
        <v>-</v>
      </c>
      <c r="J54" s="451" t="str">
        <f t="shared" si="104"/>
        <v>-</v>
      </c>
      <c r="K54" s="452" t="str">
        <f t="shared" si="104"/>
        <v>-</v>
      </c>
      <c r="L54" s="452" t="str">
        <f t="shared" ref="L54:M54" si="105">IF(AND(OR(L50="-",L50=""),OR(L51="-",L51="")),"-",IF(OR($C52="-",$C52="",$C52="CET"),"-",IF($R$36="not listed","-",IF(NOT(L$5="-"),IF(AND(AND(NOT(L50=0),NOT(L50="-"),NOT(L50="")),AND(NOT(L51="-"),NOT(L51=0),NOT(L51=""))),IF(AND((L50+L51)/2&lt;1*L$5*IF(OR($C52="CET",$C52="-",$C52=""),"-",$C52),L50&lt;1.1*L$5*IF(OR($C52="CET",$C52="-",$C52=""),"-",$C52),L51&lt;1.1*L$5*IF(OR($C52="CET",$C52="-",$C52=""),"-",$C52)),"passed","refused"),IF(IF(OR(L50="-",L50=""),L51,L50)&lt;0.7*L$5*IF(OR($C52="CET",$C52="-",$C52=""),"-",$C52),"passed",IF(IF(OR(L50="-",L50=""),L51,L50)&lt;1.1*IF(OR($C52="CET",$C52="-",$C52=""),"-",$C52)*L$5,"failed","refused"))),"-"))))</f>
        <v>-</v>
      </c>
      <c r="M54" s="452" t="str">
        <f t="shared" si="105"/>
        <v>-</v>
      </c>
      <c r="N54" s="701"/>
      <c r="O54" s="672"/>
      <c r="P54" s="673"/>
      <c r="Q54" s="673"/>
      <c r="R54" s="673"/>
      <c r="S54" s="672"/>
      <c r="T54" s="673"/>
      <c r="U54" s="673"/>
      <c r="V54" s="674"/>
      <c r="W54" s="428"/>
      <c r="X54" s="428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401" t="str">
        <f t="shared" si="18"/>
        <v>-</v>
      </c>
      <c r="BD54" s="429" t="str">
        <f>$B50</f>
        <v>Drive Mode 3</v>
      </c>
      <c r="BE54" s="435" t="str">
        <f t="shared" ref="BE54:BJ54" si="106">F53</f>
        <v>-</v>
      </c>
      <c r="BF54" s="435" t="str">
        <f t="shared" si="106"/>
        <v>-</v>
      </c>
      <c r="BG54" s="435" t="str">
        <f t="shared" si="106"/>
        <v>-</v>
      </c>
      <c r="BH54" s="435" t="str">
        <f t="shared" si="106"/>
        <v>-</v>
      </c>
      <c r="BI54" s="435" t="str">
        <f t="shared" si="106"/>
        <v>-</v>
      </c>
      <c r="BJ54" s="435" t="str">
        <f t="shared" si="106"/>
        <v>-</v>
      </c>
      <c r="BK54" s="435" t="str">
        <f t="shared" ref="BK54:BL54" si="107">L53</f>
        <v>-</v>
      </c>
      <c r="BL54" s="435" t="str">
        <f t="shared" si="107"/>
        <v>-</v>
      </c>
    </row>
    <row r="55" spans="1:64" ht="15" customHeight="1" outlineLevel="1" x14ac:dyDescent="0.25">
      <c r="A55" s="404"/>
      <c r="B55" s="710" t="s">
        <v>122</v>
      </c>
      <c r="C55" s="684" t="s">
        <v>114</v>
      </c>
      <c r="D55" s="684" t="s">
        <v>113</v>
      </c>
      <c r="E55" s="453" t="s">
        <v>94</v>
      </c>
      <c r="F55" s="437" t="s">
        <v>5</v>
      </c>
      <c r="G55" s="437" t="s">
        <v>5</v>
      </c>
      <c r="H55" s="437" t="s">
        <v>5</v>
      </c>
      <c r="I55" s="437" t="s">
        <v>5</v>
      </c>
      <c r="J55" s="437" t="s">
        <v>5</v>
      </c>
      <c r="K55" s="438" t="s">
        <v>5</v>
      </c>
      <c r="L55" s="438" t="s">
        <v>5</v>
      </c>
      <c r="M55" s="438" t="s">
        <v>5</v>
      </c>
      <c r="N55" s="437" t="s">
        <v>5</v>
      </c>
      <c r="O55" s="672"/>
      <c r="P55" s="673"/>
      <c r="Q55" s="673"/>
      <c r="R55" s="673"/>
      <c r="S55" s="672"/>
      <c r="T55" s="673"/>
      <c r="U55" s="673"/>
      <c r="V55" s="674"/>
      <c r="W55" s="428"/>
      <c r="X55" s="428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401" t="str">
        <f t="shared" si="18"/>
        <v>-</v>
      </c>
      <c r="BD55" s="429" t="str">
        <f>$B55</f>
        <v>Drive Mode 4</v>
      </c>
      <c r="BE55" s="435" t="str">
        <f t="shared" ref="BE55:BJ55" si="108">F58</f>
        <v>-</v>
      </c>
      <c r="BF55" s="435" t="str">
        <f t="shared" si="108"/>
        <v>-</v>
      </c>
      <c r="BG55" s="435" t="str">
        <f t="shared" si="108"/>
        <v>-</v>
      </c>
      <c r="BH55" s="435" t="str">
        <f t="shared" si="108"/>
        <v>-</v>
      </c>
      <c r="BI55" s="435" t="str">
        <f t="shared" si="108"/>
        <v>-</v>
      </c>
      <c r="BJ55" s="435" t="str">
        <f t="shared" si="108"/>
        <v>-</v>
      </c>
      <c r="BK55" s="435" t="str">
        <f t="shared" ref="BK55:BL55" si="109">L58</f>
        <v>-</v>
      </c>
      <c r="BL55" s="435" t="str">
        <f t="shared" si="109"/>
        <v>-</v>
      </c>
    </row>
    <row r="56" spans="1:64" s="405" customFormat="1" ht="15" customHeight="1" outlineLevel="1" thickBot="1" x14ac:dyDescent="0.3">
      <c r="A56" s="454"/>
      <c r="B56" s="711"/>
      <c r="C56" s="702"/>
      <c r="D56" s="685"/>
      <c r="E56" s="440" t="s">
        <v>95</v>
      </c>
      <c r="F56" s="441" t="s">
        <v>5</v>
      </c>
      <c r="G56" s="441" t="s">
        <v>5</v>
      </c>
      <c r="H56" s="441" t="s">
        <v>5</v>
      </c>
      <c r="I56" s="441" t="s">
        <v>5</v>
      </c>
      <c r="J56" s="441" t="s">
        <v>5</v>
      </c>
      <c r="K56" s="442" t="s">
        <v>5</v>
      </c>
      <c r="L56" s="442" t="s">
        <v>5</v>
      </c>
      <c r="M56" s="442" t="s">
        <v>5</v>
      </c>
      <c r="N56" s="441" t="s">
        <v>5</v>
      </c>
      <c r="O56" s="672"/>
      <c r="P56" s="673"/>
      <c r="Q56" s="673"/>
      <c r="R56" s="673"/>
      <c r="S56" s="672"/>
      <c r="T56" s="673"/>
      <c r="U56" s="673"/>
      <c r="V56" s="674"/>
      <c r="W56" s="443"/>
      <c r="X56" s="443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401" t="str">
        <f t="shared" si="18"/>
        <v>-</v>
      </c>
      <c r="BD56" s="429" t="str">
        <f>$B60</f>
        <v>Drive Mode 5</v>
      </c>
      <c r="BE56" s="435" t="str">
        <f t="shared" ref="BE56:BJ56" si="110">F63</f>
        <v>-</v>
      </c>
      <c r="BF56" s="435" t="str">
        <f t="shared" si="110"/>
        <v>-</v>
      </c>
      <c r="BG56" s="435" t="str">
        <f t="shared" si="110"/>
        <v>-</v>
      </c>
      <c r="BH56" s="435" t="str">
        <f t="shared" si="110"/>
        <v>-</v>
      </c>
      <c r="BI56" s="435" t="str">
        <f t="shared" si="110"/>
        <v>-</v>
      </c>
      <c r="BJ56" s="435" t="str">
        <f t="shared" si="110"/>
        <v>-</v>
      </c>
      <c r="BK56" s="435" t="str">
        <f t="shared" ref="BK56:BL56" si="111">L63</f>
        <v>-</v>
      </c>
      <c r="BL56" s="435" t="str">
        <f t="shared" si="111"/>
        <v>-</v>
      </c>
    </row>
    <row r="57" spans="1:64" ht="15" customHeight="1" outlineLevel="1" thickBot="1" x14ac:dyDescent="0.3">
      <c r="A57" s="404"/>
      <c r="B57" s="711"/>
      <c r="C57" s="686">
        <v>1</v>
      </c>
      <c r="D57" s="689" t="str">
        <f>IF(AND(F58="-",G58="-",H58="-",I58="-",J58="-",K58="-",L58="-",M58="-"),"-",MAX(F58,G58,H58,I58,J58,K58,L58,M58))</f>
        <v>-</v>
      </c>
      <c r="E57" s="444" t="s">
        <v>96</v>
      </c>
      <c r="F57" s="445" t="str">
        <f t="shared" ref="F57:N57" si="112">IF(OR(F56="-",F56=""),IF(OR(F55="-",F55=""),"-",F55),IF(OR(F55="-",F55=""),F56,(F55+F56)/2))</f>
        <v>-</v>
      </c>
      <c r="G57" s="445" t="str">
        <f t="shared" si="112"/>
        <v>-</v>
      </c>
      <c r="H57" s="445" t="str">
        <f t="shared" si="112"/>
        <v>-</v>
      </c>
      <c r="I57" s="445" t="str">
        <f t="shared" si="112"/>
        <v>-</v>
      </c>
      <c r="J57" s="445" t="str">
        <f t="shared" si="112"/>
        <v>-</v>
      </c>
      <c r="K57" s="446" t="str">
        <f t="shared" si="112"/>
        <v>-</v>
      </c>
      <c r="L57" s="446" t="str">
        <f t="shared" ref="L57:M57" si="113">IF(OR(L56="-",L56=""),IF(OR(L55="-",L55=""),"-",L55),IF(OR(L55="-",L55=""),L56,(L55+L56)/2))</f>
        <v>-</v>
      </c>
      <c r="M57" s="446" t="str">
        <f t="shared" si="113"/>
        <v>-</v>
      </c>
      <c r="N57" s="445" t="str">
        <f t="shared" si="112"/>
        <v>-</v>
      </c>
      <c r="O57" s="672"/>
      <c r="P57" s="673"/>
      <c r="Q57" s="673"/>
      <c r="R57" s="673"/>
      <c r="S57" s="672"/>
      <c r="T57" s="673"/>
      <c r="U57" s="673"/>
      <c r="V57" s="674"/>
      <c r="W57" s="428"/>
      <c r="X57" s="42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401" t="str">
        <f t="shared" si="18"/>
        <v>-</v>
      </c>
      <c r="BD57" s="429" t="str">
        <f>$B65</f>
        <v>Drive Mode 6</v>
      </c>
      <c r="BE57" s="435" t="str">
        <f t="shared" ref="BE57:BJ57" si="114">F68</f>
        <v>-</v>
      </c>
      <c r="BF57" s="435" t="str">
        <f t="shared" si="114"/>
        <v>-</v>
      </c>
      <c r="BG57" s="435" t="str">
        <f t="shared" si="114"/>
        <v>-</v>
      </c>
      <c r="BH57" s="435" t="str">
        <f t="shared" si="114"/>
        <v>-</v>
      </c>
      <c r="BI57" s="435" t="str">
        <f t="shared" si="114"/>
        <v>-</v>
      </c>
      <c r="BJ57" s="435" t="str">
        <f t="shared" si="114"/>
        <v>-</v>
      </c>
      <c r="BK57" s="435" t="str">
        <f t="shared" ref="BK57:BL57" si="115">L68</f>
        <v>-</v>
      </c>
      <c r="BL57" s="435" t="str">
        <f t="shared" si="115"/>
        <v>-</v>
      </c>
    </row>
    <row r="58" spans="1:64" ht="15" customHeight="1" outlineLevel="1" thickBot="1" x14ac:dyDescent="0.3">
      <c r="A58" s="404"/>
      <c r="B58" s="711"/>
      <c r="C58" s="687"/>
      <c r="D58" s="690"/>
      <c r="E58" s="447" t="s">
        <v>97</v>
      </c>
      <c r="F58" s="448" t="str">
        <f t="shared" ref="F58:N58" si="116">IF(OR($C57="-",$C57="CET",$C57=""),"-",IF(AND(NOT(F57="-"),NOT(F$5="-"),NOT(F$5="")),F57/F$5,"-"))</f>
        <v>-</v>
      </c>
      <c r="G58" s="448" t="str">
        <f t="shared" si="116"/>
        <v>-</v>
      </c>
      <c r="H58" s="448" t="str">
        <f t="shared" si="116"/>
        <v>-</v>
      </c>
      <c r="I58" s="448" t="str">
        <f t="shared" si="116"/>
        <v>-</v>
      </c>
      <c r="J58" s="448" t="str">
        <f t="shared" si="116"/>
        <v>-</v>
      </c>
      <c r="K58" s="449" t="str">
        <f t="shared" si="116"/>
        <v>-</v>
      </c>
      <c r="L58" s="449" t="str">
        <f t="shared" ref="L58:M58" si="117">IF(OR($C57="-",$C57="CET",$C57=""),"-",IF(AND(NOT(L57="-"),NOT(L$5="-"),NOT(L$5="")),L57/L$5,"-"))</f>
        <v>-</v>
      </c>
      <c r="M58" s="449" t="str">
        <f t="shared" si="117"/>
        <v>-</v>
      </c>
      <c r="N58" s="448" t="str">
        <f t="shared" si="116"/>
        <v>-</v>
      </c>
      <c r="O58" s="672"/>
      <c r="P58" s="673"/>
      <c r="Q58" s="673"/>
      <c r="R58" s="673"/>
      <c r="S58" s="672"/>
      <c r="T58" s="673"/>
      <c r="U58" s="673"/>
      <c r="V58" s="674"/>
      <c r="W58" s="428"/>
      <c r="X58" s="428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401" t="str">
        <f t="shared" si="18"/>
        <v>-</v>
      </c>
      <c r="BD58" s="429" t="str">
        <f>"IEF " &amp;B40</f>
        <v>IEF Drive Mode 1</v>
      </c>
      <c r="BE58" s="435">
        <f t="shared" ref="BE58:BJ58" si="118">IF(OR($C42="CET",$C42="-",$C42=""),"-",$C42)</f>
        <v>1</v>
      </c>
      <c r="BF58" s="435">
        <f t="shared" si="118"/>
        <v>1</v>
      </c>
      <c r="BG58" s="435">
        <f t="shared" si="118"/>
        <v>1</v>
      </c>
      <c r="BH58" s="435">
        <f t="shared" si="118"/>
        <v>1</v>
      </c>
      <c r="BI58" s="435">
        <f t="shared" si="118"/>
        <v>1</v>
      </c>
      <c r="BJ58" s="435">
        <f t="shared" si="118"/>
        <v>1</v>
      </c>
      <c r="BK58" s="435">
        <f t="shared" ref="BK58:BL58" si="119">IF(OR($C42="CET",$C42="-",$C42=""),"-",$C42)</f>
        <v>1</v>
      </c>
      <c r="BL58" s="435">
        <f t="shared" si="119"/>
        <v>1</v>
      </c>
    </row>
    <row r="59" spans="1:64" ht="15" customHeight="1" outlineLevel="1" thickBot="1" x14ac:dyDescent="0.3">
      <c r="A59" s="404"/>
      <c r="B59" s="712"/>
      <c r="C59" s="688"/>
      <c r="D59" s="691"/>
      <c r="E59" s="451" t="s">
        <v>30</v>
      </c>
      <c r="F59" s="451" t="str">
        <f t="shared" ref="F59:K59" si="120">IF(AND(OR(F55="-",F55=""),OR(F56="-",F56="")),"-",IF(OR($C57="-",$C57="",$C57="CET"),"-",IF($R$36="not listed","-",IF(NOT(F$5="-"),IF(AND(AND(NOT(F55=0),NOT(F55="-"),NOT(F55="")),AND(NOT(F56="-"),NOT(F56=0),NOT(F56=""))),IF(AND((F55+F56)/2&lt;1*F$5*IF(OR($C57="CET",$C57="-",$C57=""),"-",$C57),F55&lt;1.1*F$5*IF(OR($C57="CET",$C57="-",$C57=""),"-",$C57),F56&lt;1.1*F$5*IF(OR($C57="CET",$C57="-",$C57=""),"-",$C57)),"passed","refused"),IF(IF(OR(F55="-",F55=""),F56,F55)&lt;0.7*F$5*IF(OR($C57="CET",$C57="-",$C57=""),"-",$C57),"passed",IF(IF(OR(F55="-",F55=""),F56,F55)&lt;1.1*IF(OR($C57="CET",$C57="-",$C57=""),"-",$C57)*F$5,"failed","refused"))),"-"))))</f>
        <v>-</v>
      </c>
      <c r="G59" s="451" t="str">
        <f t="shared" si="120"/>
        <v>-</v>
      </c>
      <c r="H59" s="451" t="str">
        <f t="shared" si="120"/>
        <v>-</v>
      </c>
      <c r="I59" s="451" t="str">
        <f t="shared" si="120"/>
        <v>-</v>
      </c>
      <c r="J59" s="451" t="str">
        <f t="shared" si="120"/>
        <v>-</v>
      </c>
      <c r="K59" s="452" t="str">
        <f t="shared" si="120"/>
        <v>-</v>
      </c>
      <c r="L59" s="452" t="str">
        <f t="shared" ref="L59:M59" si="121">IF(AND(OR(L55="-",L55=""),OR(L56="-",L56="")),"-",IF(OR($C57="-",$C57="",$C57="CET"),"-",IF($R$36="not listed","-",IF(NOT(L$5="-"),IF(AND(AND(NOT(L55=0),NOT(L55="-"),NOT(L55="")),AND(NOT(L56="-"),NOT(L56=0),NOT(L56=""))),IF(AND((L55+L56)/2&lt;1*L$5*IF(OR($C57="CET",$C57="-",$C57=""),"-",$C57),L55&lt;1.1*L$5*IF(OR($C57="CET",$C57="-",$C57=""),"-",$C57),L56&lt;1.1*L$5*IF(OR($C57="CET",$C57="-",$C57=""),"-",$C57)),"passed","refused"),IF(IF(OR(L55="-",L55=""),L56,L55)&lt;0.7*L$5*IF(OR($C57="CET",$C57="-",$C57=""),"-",$C57),"passed",IF(IF(OR(L55="-",L55=""),L56,L55)&lt;1.1*IF(OR($C57="CET",$C57="-",$C57=""),"-",$C57)*L$5,"failed","refused"))),"-"))))</f>
        <v>-</v>
      </c>
      <c r="M59" s="452" t="str">
        <f t="shared" si="121"/>
        <v>-</v>
      </c>
      <c r="N59" s="451" t="str">
        <f>IF(AND(OR(N55="-",N55=""),OR(N56="-",N56="")),"-",IF(OR($C57="-",$C57="",$C57="CET"),"-",IF($R$36="not listed","-",IF(NOT(N$5="-"),IF(AND(AND(NOT(N55=0),NOT(N55="-"),NOT(N55="")),AND(NOT(N56="-"),NOT(N56=0),NOT(N56=""))),IF(AND((N55+N56)/2&lt;1*N$5*IF(OR($C57="CET",$C57="-",$C57=""),"-",$C57),N55&lt;1.1*N$5*IF(OR($C57="CET",$C57="-",$C57=""),"-",$C57),N56&lt;1.1*N$5*IF(OR($C57="CET",$C57="-",$C57=""),"-",$C57)),"passed","refused"),IF(IF(OR(N55="-",N55=""),N56,N55)&lt;0.7*N$5*IF(OR($C57="CET",$C57="-",$C57=""),"-",$C57),"passed",IF(IF(OR(N55="-",N55=""),N56,N55)&lt;1.1*IF(OR($C57="CET",$C57="-",$C57=""),"-",$C57)*N$5,"failed","refused"))),"-"))))</f>
        <v>-</v>
      </c>
      <c r="O59" s="672"/>
      <c r="P59" s="673"/>
      <c r="Q59" s="673"/>
      <c r="R59" s="673"/>
      <c r="S59" s="672"/>
      <c r="T59" s="673"/>
      <c r="U59" s="673"/>
      <c r="V59" s="674"/>
      <c r="W59" s="428"/>
      <c r="X59" s="428"/>
      <c r="Y59" s="678"/>
      <c r="Z59" s="678"/>
      <c r="AA59" s="678"/>
      <c r="AB59" s="678"/>
      <c r="AC59" s="678"/>
      <c r="AD59" s="678"/>
      <c r="AE59" s="678"/>
      <c r="AF59" s="678"/>
      <c r="AG59" s="678"/>
      <c r="AH59" s="678"/>
      <c r="BC59" s="401" t="str">
        <f t="shared" si="18"/>
        <v>-</v>
      </c>
      <c r="BD59" s="429" t="str">
        <f>"IEF " &amp; B45</f>
        <v>IEF Drive Mode 2</v>
      </c>
      <c r="BE59" s="435">
        <f t="shared" ref="BE59:BJ59" si="122">IF(OR($C47="CET",$C47="-",$C47=""),"-",$C47)</f>
        <v>1</v>
      </c>
      <c r="BF59" s="435">
        <f t="shared" si="122"/>
        <v>1</v>
      </c>
      <c r="BG59" s="435">
        <f t="shared" si="122"/>
        <v>1</v>
      </c>
      <c r="BH59" s="435">
        <f t="shared" si="122"/>
        <v>1</v>
      </c>
      <c r="BI59" s="435">
        <f t="shared" si="122"/>
        <v>1</v>
      </c>
      <c r="BJ59" s="435">
        <f t="shared" si="122"/>
        <v>1</v>
      </c>
      <c r="BK59" s="435">
        <f t="shared" ref="BK59:BL59" si="123">IF(OR($C47="CET",$C47="-",$C47=""),"-",$C47)</f>
        <v>1</v>
      </c>
      <c r="BL59" s="435">
        <f t="shared" si="123"/>
        <v>1</v>
      </c>
    </row>
    <row r="60" spans="1:64" ht="15" customHeight="1" outlineLevel="1" x14ac:dyDescent="0.25">
      <c r="A60" s="404"/>
      <c r="B60" s="710" t="s">
        <v>121</v>
      </c>
      <c r="C60" s="684" t="s">
        <v>114</v>
      </c>
      <c r="D60" s="684" t="s">
        <v>113</v>
      </c>
      <c r="E60" s="453" t="s">
        <v>94</v>
      </c>
      <c r="F60" s="437" t="s">
        <v>5</v>
      </c>
      <c r="G60" s="437" t="s">
        <v>5</v>
      </c>
      <c r="H60" s="437" t="s">
        <v>5</v>
      </c>
      <c r="I60" s="437" t="s">
        <v>5</v>
      </c>
      <c r="J60" s="437" t="s">
        <v>5</v>
      </c>
      <c r="K60" s="438" t="s">
        <v>5</v>
      </c>
      <c r="L60" s="438" t="s">
        <v>5</v>
      </c>
      <c r="M60" s="438" t="s">
        <v>5</v>
      </c>
      <c r="N60" s="437" t="s">
        <v>5</v>
      </c>
      <c r="O60" s="672"/>
      <c r="P60" s="673"/>
      <c r="Q60" s="673"/>
      <c r="R60" s="673"/>
      <c r="S60" s="672"/>
      <c r="T60" s="673"/>
      <c r="U60" s="673"/>
      <c r="V60" s="674"/>
      <c r="W60" s="428"/>
      <c r="X60" s="428"/>
      <c r="Y60" s="678"/>
      <c r="Z60" s="678"/>
      <c r="AA60" s="678"/>
      <c r="AB60" s="678"/>
      <c r="AC60" s="678"/>
      <c r="AD60" s="678"/>
      <c r="AE60" s="678"/>
      <c r="AF60" s="678"/>
      <c r="AG60" s="678"/>
      <c r="AH60" s="678"/>
      <c r="BC60" s="401" t="str">
        <f t="shared" si="18"/>
        <v>-</v>
      </c>
      <c r="BD60" s="429" t="str">
        <f>"IEF " &amp; B50</f>
        <v>IEF Drive Mode 3</v>
      </c>
      <c r="BE60" s="435">
        <f t="shared" ref="BE60:BJ60" si="124">IF(OR($C52="CET",$C52="-",$C52=""),"-",$C52)</f>
        <v>1</v>
      </c>
      <c r="BF60" s="435">
        <f t="shared" si="124"/>
        <v>1</v>
      </c>
      <c r="BG60" s="435">
        <f t="shared" si="124"/>
        <v>1</v>
      </c>
      <c r="BH60" s="435">
        <f t="shared" si="124"/>
        <v>1</v>
      </c>
      <c r="BI60" s="435">
        <f t="shared" si="124"/>
        <v>1</v>
      </c>
      <c r="BJ60" s="435">
        <f t="shared" si="124"/>
        <v>1</v>
      </c>
      <c r="BK60" s="435">
        <f t="shared" ref="BK60:BL60" si="125">IF(OR($C52="CET",$C52="-",$C52=""),"-",$C52)</f>
        <v>1</v>
      </c>
      <c r="BL60" s="435">
        <f t="shared" si="125"/>
        <v>1</v>
      </c>
    </row>
    <row r="61" spans="1:64" s="405" customFormat="1" ht="15" customHeight="1" outlineLevel="1" thickBot="1" x14ac:dyDescent="0.3">
      <c r="A61" s="454"/>
      <c r="B61" s="711"/>
      <c r="C61" s="702"/>
      <c r="D61" s="685"/>
      <c r="E61" s="440" t="s">
        <v>95</v>
      </c>
      <c r="F61" s="441" t="s">
        <v>5</v>
      </c>
      <c r="G61" s="441" t="s">
        <v>5</v>
      </c>
      <c r="H61" s="441" t="s">
        <v>5</v>
      </c>
      <c r="I61" s="441" t="s">
        <v>5</v>
      </c>
      <c r="J61" s="441" t="s">
        <v>5</v>
      </c>
      <c r="K61" s="442" t="s">
        <v>5</v>
      </c>
      <c r="L61" s="442" t="s">
        <v>5</v>
      </c>
      <c r="M61" s="442" t="s">
        <v>5</v>
      </c>
      <c r="N61" s="441" t="s">
        <v>5</v>
      </c>
      <c r="O61" s="672"/>
      <c r="P61" s="673"/>
      <c r="Q61" s="673"/>
      <c r="R61" s="673"/>
      <c r="S61" s="672"/>
      <c r="T61" s="673"/>
      <c r="U61" s="673"/>
      <c r="V61" s="674"/>
      <c r="W61" s="443"/>
      <c r="X61" s="443"/>
      <c r="Y61" s="678"/>
      <c r="Z61" s="678"/>
      <c r="AA61" s="678"/>
      <c r="AB61" s="678"/>
      <c r="AC61" s="678"/>
      <c r="AD61" s="678"/>
      <c r="AE61" s="678"/>
      <c r="AF61" s="678"/>
      <c r="AG61" s="678"/>
      <c r="AH61" s="678"/>
      <c r="BC61" s="401" t="str">
        <f t="shared" si="18"/>
        <v>-</v>
      </c>
      <c r="BD61" s="429" t="str">
        <f>"IEF " &amp; B55</f>
        <v>IEF Drive Mode 4</v>
      </c>
      <c r="BE61" s="435">
        <f t="shared" ref="BE61:BJ61" si="126">IF(OR($C57="CET",$C57="-",$C57=""),"-",$C57)</f>
        <v>1</v>
      </c>
      <c r="BF61" s="435">
        <f t="shared" si="126"/>
        <v>1</v>
      </c>
      <c r="BG61" s="435">
        <f t="shared" si="126"/>
        <v>1</v>
      </c>
      <c r="BH61" s="435">
        <f t="shared" si="126"/>
        <v>1</v>
      </c>
      <c r="BI61" s="435">
        <f t="shared" si="126"/>
        <v>1</v>
      </c>
      <c r="BJ61" s="435">
        <f t="shared" si="126"/>
        <v>1</v>
      </c>
      <c r="BK61" s="435">
        <f t="shared" ref="BK61:BL61" si="127">IF(OR($C57="CET",$C57="-",$C57=""),"-",$C57)</f>
        <v>1</v>
      </c>
      <c r="BL61" s="435">
        <f t="shared" si="127"/>
        <v>1</v>
      </c>
    </row>
    <row r="62" spans="1:64" ht="15" customHeight="1" outlineLevel="1" thickBot="1" x14ac:dyDescent="0.3">
      <c r="A62" s="404"/>
      <c r="B62" s="711"/>
      <c r="C62" s="686">
        <v>1</v>
      </c>
      <c r="D62" s="689" t="str">
        <f>IF(AND(F63="-",G63="-",H63="-",I63="-",J63="-",K63="-",L63="-",M63="-"),"-",MAX(F63,G63,H63,I63,J63,K63,L63,M63))</f>
        <v>-</v>
      </c>
      <c r="E62" s="444" t="s">
        <v>96</v>
      </c>
      <c r="F62" s="445" t="str">
        <f t="shared" ref="F62:N62" si="128">IF(OR(F61="-",F61=""),IF(OR(F60="-",F60=""),"-",F60),IF(OR(F60="-",F60=""),F61,(F60+F61)/2))</f>
        <v>-</v>
      </c>
      <c r="G62" s="445" t="str">
        <f t="shared" si="128"/>
        <v>-</v>
      </c>
      <c r="H62" s="445" t="str">
        <f t="shared" si="128"/>
        <v>-</v>
      </c>
      <c r="I62" s="445" t="str">
        <f t="shared" si="128"/>
        <v>-</v>
      </c>
      <c r="J62" s="445" t="str">
        <f t="shared" si="128"/>
        <v>-</v>
      </c>
      <c r="K62" s="446" t="str">
        <f t="shared" si="128"/>
        <v>-</v>
      </c>
      <c r="L62" s="446" t="str">
        <f t="shared" ref="L62:M62" si="129">IF(OR(L61="-",L61=""),IF(OR(L60="-",L60=""),"-",L60),IF(OR(L60="-",L60=""),L61,(L60+L61)/2))</f>
        <v>-</v>
      </c>
      <c r="M62" s="446" t="str">
        <f t="shared" si="129"/>
        <v>-</v>
      </c>
      <c r="N62" s="445" t="str">
        <f t="shared" si="128"/>
        <v>-</v>
      </c>
      <c r="O62" s="672"/>
      <c r="P62" s="673"/>
      <c r="Q62" s="673"/>
      <c r="R62" s="673"/>
      <c r="S62" s="672"/>
      <c r="T62" s="673"/>
      <c r="U62" s="673"/>
      <c r="V62" s="674"/>
      <c r="W62" s="428"/>
      <c r="X62" s="428"/>
      <c r="Y62" s="678"/>
      <c r="Z62" s="678"/>
      <c r="AA62" s="678"/>
      <c r="AB62" s="678"/>
      <c r="AC62" s="678"/>
      <c r="AD62" s="678"/>
      <c r="AE62" s="678"/>
      <c r="AF62" s="678"/>
      <c r="AG62" s="678"/>
      <c r="AH62" s="678"/>
      <c r="BC62" s="401" t="str">
        <f t="shared" si="18"/>
        <v>-</v>
      </c>
      <c r="BD62" s="429" t="str">
        <f>"IEF " &amp; B60</f>
        <v>IEF Drive Mode 5</v>
      </c>
      <c r="BE62" s="435">
        <f t="shared" ref="BE62:BL62" si="130">IF(OR($C62="CET",$C62="-",$C62=""),"-",$C62)</f>
        <v>1</v>
      </c>
      <c r="BF62" s="435">
        <f t="shared" si="130"/>
        <v>1</v>
      </c>
      <c r="BG62" s="435">
        <f t="shared" si="130"/>
        <v>1</v>
      </c>
      <c r="BH62" s="435">
        <f t="shared" si="130"/>
        <v>1</v>
      </c>
      <c r="BI62" s="435">
        <f t="shared" si="130"/>
        <v>1</v>
      </c>
      <c r="BJ62" s="435">
        <f t="shared" si="130"/>
        <v>1</v>
      </c>
      <c r="BK62" s="435">
        <f t="shared" si="130"/>
        <v>1</v>
      </c>
      <c r="BL62" s="435">
        <f t="shared" si="130"/>
        <v>1</v>
      </c>
    </row>
    <row r="63" spans="1:64" ht="15" customHeight="1" outlineLevel="1" thickBot="1" x14ac:dyDescent="0.3">
      <c r="A63" s="404"/>
      <c r="B63" s="711"/>
      <c r="C63" s="687"/>
      <c r="D63" s="690"/>
      <c r="E63" s="447" t="s">
        <v>97</v>
      </c>
      <c r="F63" s="448" t="str">
        <f t="shared" ref="F63:N63" si="131">IF(OR($C62="-",$C62="CET",$C62=""),"-",IF(AND(NOT(F62="-"),NOT(F$5="-"),NOT(F$5="")),F62/F$5,"-"))</f>
        <v>-</v>
      </c>
      <c r="G63" s="448" t="str">
        <f t="shared" si="131"/>
        <v>-</v>
      </c>
      <c r="H63" s="448" t="str">
        <f t="shared" si="131"/>
        <v>-</v>
      </c>
      <c r="I63" s="448" t="str">
        <f t="shared" si="131"/>
        <v>-</v>
      </c>
      <c r="J63" s="448" t="str">
        <f t="shared" si="131"/>
        <v>-</v>
      </c>
      <c r="K63" s="449" t="str">
        <f t="shared" si="131"/>
        <v>-</v>
      </c>
      <c r="L63" s="449" t="str">
        <f t="shared" ref="L63:M63" si="132">IF(OR($C62="-",$C62="CET",$C62=""),"-",IF(AND(NOT(L62="-"),NOT(L$5="-"),NOT(L$5="")),L62/L$5,"-"))</f>
        <v>-</v>
      </c>
      <c r="M63" s="449" t="str">
        <f t="shared" si="132"/>
        <v>-</v>
      </c>
      <c r="N63" s="448" t="str">
        <f t="shared" si="131"/>
        <v>-</v>
      </c>
      <c r="O63" s="672"/>
      <c r="P63" s="673"/>
      <c r="Q63" s="673"/>
      <c r="R63" s="673"/>
      <c r="S63" s="672"/>
      <c r="T63" s="673"/>
      <c r="U63" s="673"/>
      <c r="V63" s="674"/>
      <c r="W63" s="428"/>
      <c r="X63" s="428"/>
      <c r="Y63" s="678"/>
      <c r="Z63" s="678"/>
      <c r="AA63" s="678"/>
      <c r="AB63" s="678"/>
      <c r="AC63" s="678"/>
      <c r="AD63" s="678"/>
      <c r="AE63" s="678"/>
      <c r="AF63" s="678"/>
      <c r="AG63" s="678"/>
      <c r="AH63" s="678"/>
      <c r="BC63" s="401" t="str">
        <f t="shared" si="18"/>
        <v>-</v>
      </c>
      <c r="BD63" s="429" t="str">
        <f>"IEF " &amp; B65</f>
        <v>IEF Drive Mode 6</v>
      </c>
      <c r="BE63" s="435">
        <f t="shared" ref="BE63:BJ63" si="133">IF(OR($C67="CET",$C67="-",$C67=""),"-",$C67)</f>
        <v>1</v>
      </c>
      <c r="BF63" s="435">
        <f t="shared" si="133"/>
        <v>1</v>
      </c>
      <c r="BG63" s="435">
        <f t="shared" si="133"/>
        <v>1</v>
      </c>
      <c r="BH63" s="435">
        <f t="shared" si="133"/>
        <v>1</v>
      </c>
      <c r="BI63" s="435">
        <f t="shared" si="133"/>
        <v>1</v>
      </c>
      <c r="BJ63" s="435">
        <f t="shared" si="133"/>
        <v>1</v>
      </c>
      <c r="BK63" s="435">
        <f t="shared" ref="BK63:BL63" si="134">IF(OR($C67="CET",$C67="-",$C67=""),"-",$C67)</f>
        <v>1</v>
      </c>
      <c r="BL63" s="435">
        <f t="shared" si="134"/>
        <v>1</v>
      </c>
    </row>
    <row r="64" spans="1:64" ht="15" customHeight="1" outlineLevel="1" thickBot="1" x14ac:dyDescent="0.3">
      <c r="A64" s="404"/>
      <c r="B64" s="712"/>
      <c r="C64" s="688"/>
      <c r="D64" s="691"/>
      <c r="E64" s="451" t="s">
        <v>30</v>
      </c>
      <c r="F64" s="451" t="str">
        <f t="shared" ref="F64:K64" si="135">IF(AND(OR(F60="-",F60=""),OR(F61="-",F61="")),"-",IF(OR($C62="-",$C62="",$C62="CET"),"-",IF($R$36="not listed","-",IF(NOT(F$5="-"),IF(AND(AND(NOT(F60=0),NOT(F60="-"),NOT(F60="")),AND(NOT(F61="-"),NOT(F61=0),NOT(F61=""))),IF(AND((F60+F61)/2&lt;1*F$5*IF(OR($C62="CET",$C62="-",$C62=""),"-",$C62),F60&lt;1.1*F$5*IF(OR($C62="CET",$C62="-",$C62=""),"-",$C62),F61&lt;1.1*F$5*IF(OR($C62="CET",$C62="-",$C62=""),"-",$C62)),"passed","refused"),IF(IF(OR(F60="-",F60=""),F61,F60)&lt;0.7*F$5*IF(OR($C62="CET",$C62="-",$C62=""),"-",$C62),"passed",IF(IF(OR(F60="-",F60=""),F61,F60)&lt;1.1*IF(OR($C62="CET",$C62="-",$C62=""),"-",$C62)*F$5,"failed","refused"))),"-"))))</f>
        <v>-</v>
      </c>
      <c r="G64" s="451" t="str">
        <f t="shared" si="135"/>
        <v>-</v>
      </c>
      <c r="H64" s="451" t="str">
        <f t="shared" si="135"/>
        <v>-</v>
      </c>
      <c r="I64" s="451" t="str">
        <f t="shared" si="135"/>
        <v>-</v>
      </c>
      <c r="J64" s="451" t="str">
        <f t="shared" si="135"/>
        <v>-</v>
      </c>
      <c r="K64" s="452" t="str">
        <f t="shared" si="135"/>
        <v>-</v>
      </c>
      <c r="L64" s="452" t="str">
        <f t="shared" ref="L64:M64" si="136">IF(AND(OR(L60="-",L60=""),OR(L61="-",L61="")),"-",IF(OR($C62="-",$C62="",$C62="CET"),"-",IF($R$36="not listed","-",IF(NOT(L$5="-"),IF(AND(AND(NOT(L60=0),NOT(L60="-"),NOT(L60="")),AND(NOT(L61="-"),NOT(L61=0),NOT(L61=""))),IF(AND((L60+L61)/2&lt;1*L$5*IF(OR($C62="CET",$C62="-",$C62=""),"-",$C62),L60&lt;1.1*L$5*IF(OR($C62="CET",$C62="-",$C62=""),"-",$C62),L61&lt;1.1*L$5*IF(OR($C62="CET",$C62="-",$C62=""),"-",$C62)),"passed","refused"),IF(IF(OR(L60="-",L60=""),L61,L60)&lt;0.7*L$5*IF(OR($C62="CET",$C62="-",$C62=""),"-",$C62),"passed",IF(IF(OR(L60="-",L60=""),L61,L60)&lt;1.1*IF(OR($C62="CET",$C62="-",$C62=""),"-",$C62)*L$5,"failed","refused"))),"-"))))</f>
        <v>-</v>
      </c>
      <c r="M64" s="452" t="str">
        <f t="shared" si="136"/>
        <v>-</v>
      </c>
      <c r="N64" s="451" t="str">
        <f>IF(AND(OR(N60="-",N60=""),OR(N61="-",N61="")),"-",IF(OR($C62="-",$C62="",$C62="CET"),"-",IF($R$36="not listed","-",IF(NOT(N$5="-"),IF(AND(AND(NOT(N60=0),NOT(N60="-"),NOT(N60="")),AND(NOT(N61="-"),NOT(N61=0),NOT(N61=""))),IF(AND((N60+N61)/2&lt;1*N$5*IF(OR($C62="CET",$C62="-",$C62=""),"-",$C62),N60&lt;1.1*N$5*IF(OR($C62="CET",$C62="-",$C62=""),"-",$C62),N61&lt;1.1*N$5*IF(OR($C62="CET",$C62="-",$C62=""),"-",$C62)),"passed","refused"),IF(IF(OR(N60="-",N60=""),N61,N60)&lt;0.7*N$5*IF(OR($C62="CET",$C62="-",$C62=""),"-",$C62),"passed",IF(IF(OR(N60="-",N60=""),N61,N60)&lt;1.1*IF(OR($C62="CET",$C62="-",$C62=""),"-",$C62)*N$5,"failed","refused"))),"-"))))</f>
        <v>-</v>
      </c>
      <c r="O64" s="672"/>
      <c r="P64" s="673"/>
      <c r="Q64" s="673"/>
      <c r="R64" s="673"/>
      <c r="S64" s="672"/>
      <c r="T64" s="673"/>
      <c r="U64" s="673"/>
      <c r="V64" s="674"/>
      <c r="W64" s="428"/>
      <c r="X64" s="428"/>
      <c r="Y64" s="678"/>
      <c r="Z64" s="678"/>
      <c r="AA64" s="678"/>
      <c r="AB64" s="678"/>
      <c r="AC64" s="678"/>
      <c r="AD64" s="678"/>
      <c r="AE64" s="678"/>
      <c r="AF64" s="678"/>
      <c r="AG64" s="678"/>
      <c r="AH64" s="678"/>
      <c r="BC64" s="401" t="str">
        <f t="shared" si="18"/>
        <v>-</v>
      </c>
    </row>
    <row r="65" spans="1:64" ht="15" customHeight="1" outlineLevel="1" x14ac:dyDescent="0.25">
      <c r="A65" s="404"/>
      <c r="B65" s="710" t="s">
        <v>120</v>
      </c>
      <c r="C65" s="713" t="s">
        <v>114</v>
      </c>
      <c r="D65" s="684" t="s">
        <v>113</v>
      </c>
      <c r="E65" s="453" t="s">
        <v>94</v>
      </c>
      <c r="F65" s="437" t="s">
        <v>5</v>
      </c>
      <c r="G65" s="437" t="s">
        <v>5</v>
      </c>
      <c r="H65" s="437" t="s">
        <v>5</v>
      </c>
      <c r="I65" s="437" t="s">
        <v>5</v>
      </c>
      <c r="J65" s="437" t="s">
        <v>5</v>
      </c>
      <c r="K65" s="438" t="s">
        <v>5</v>
      </c>
      <c r="L65" s="438" t="s">
        <v>5</v>
      </c>
      <c r="M65" s="438" t="s">
        <v>5</v>
      </c>
      <c r="N65" s="437" t="s">
        <v>5</v>
      </c>
      <c r="O65" s="672"/>
      <c r="P65" s="673"/>
      <c r="Q65" s="673"/>
      <c r="R65" s="673"/>
      <c r="S65" s="672"/>
      <c r="T65" s="673"/>
      <c r="U65" s="673"/>
      <c r="V65" s="674"/>
      <c r="W65" s="428"/>
      <c r="X65" s="428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BC65" s="401" t="str">
        <f t="shared" si="18"/>
        <v>-</v>
      </c>
      <c r="BD65" s="459"/>
      <c r="BE65" s="459"/>
      <c r="BF65" s="459"/>
      <c r="BG65" s="459"/>
      <c r="BH65" s="459"/>
      <c r="BI65" s="459"/>
      <c r="BJ65" s="459"/>
      <c r="BK65" s="459"/>
      <c r="BL65" s="459"/>
    </row>
    <row r="66" spans="1:64" s="405" customFormat="1" ht="15" customHeight="1" outlineLevel="1" thickBot="1" x14ac:dyDescent="0.3">
      <c r="A66" s="454"/>
      <c r="B66" s="711"/>
      <c r="C66" s="714"/>
      <c r="D66" s="685"/>
      <c r="E66" s="440" t="s">
        <v>95</v>
      </c>
      <c r="F66" s="441" t="s">
        <v>5</v>
      </c>
      <c r="G66" s="441" t="s">
        <v>5</v>
      </c>
      <c r="H66" s="441" t="s">
        <v>5</v>
      </c>
      <c r="I66" s="441" t="s">
        <v>5</v>
      </c>
      <c r="J66" s="441" t="s">
        <v>5</v>
      </c>
      <c r="K66" s="442" t="s">
        <v>5</v>
      </c>
      <c r="L66" s="442" t="s">
        <v>5</v>
      </c>
      <c r="M66" s="442" t="s">
        <v>5</v>
      </c>
      <c r="N66" s="441" t="s">
        <v>5</v>
      </c>
      <c r="O66" s="672"/>
      <c r="P66" s="673"/>
      <c r="Q66" s="673"/>
      <c r="R66" s="673"/>
      <c r="S66" s="672"/>
      <c r="T66" s="673"/>
      <c r="U66" s="673"/>
      <c r="V66" s="674"/>
      <c r="W66" s="443"/>
      <c r="X66" s="443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BC66" s="401" t="str">
        <f t="shared" si="18"/>
        <v>-</v>
      </c>
      <c r="BD66" s="459"/>
      <c r="BE66" s="459"/>
      <c r="BF66" s="459"/>
      <c r="BG66" s="459"/>
      <c r="BH66" s="459"/>
      <c r="BI66" s="459"/>
      <c r="BJ66" s="459"/>
      <c r="BK66" s="459"/>
      <c r="BL66" s="459"/>
    </row>
    <row r="67" spans="1:64" ht="15" customHeight="1" outlineLevel="1" thickBot="1" x14ac:dyDescent="0.3">
      <c r="A67" s="404"/>
      <c r="B67" s="711"/>
      <c r="C67" s="715">
        <v>1</v>
      </c>
      <c r="D67" s="689" t="str">
        <f>IF(AND(F68="-",G68="-",H68="-",I68="-",J68="-",K68="-",L68="-",M68="-"),"-",MAX(F68,G68,H68,I68,J68,K68,L68,M68))</f>
        <v>-</v>
      </c>
      <c r="E67" s="444" t="s">
        <v>96</v>
      </c>
      <c r="F67" s="445" t="str">
        <f t="shared" ref="F67:N67" si="137">IF(OR(F66="-",F66=""),IF(OR(F65="-",F65=""),"-",F65),IF(OR(F65="-",F65=""),F66,(F65+F66)/2))</f>
        <v>-</v>
      </c>
      <c r="G67" s="445" t="str">
        <f t="shared" si="137"/>
        <v>-</v>
      </c>
      <c r="H67" s="445" t="str">
        <f t="shared" si="137"/>
        <v>-</v>
      </c>
      <c r="I67" s="445" t="str">
        <f t="shared" si="137"/>
        <v>-</v>
      </c>
      <c r="J67" s="445" t="str">
        <f t="shared" si="137"/>
        <v>-</v>
      </c>
      <c r="K67" s="446" t="str">
        <f t="shared" si="137"/>
        <v>-</v>
      </c>
      <c r="L67" s="446" t="str">
        <f t="shared" ref="L67:M67" si="138">IF(OR(L66="-",L66=""),IF(OR(L65="-",L65=""),"-",L65),IF(OR(L65="-",L65=""),L66,(L65+L66)/2))</f>
        <v>-</v>
      </c>
      <c r="M67" s="446" t="str">
        <f t="shared" si="138"/>
        <v>-</v>
      </c>
      <c r="N67" s="445" t="str">
        <f t="shared" si="137"/>
        <v>-</v>
      </c>
      <c r="O67" s="672"/>
      <c r="P67" s="673"/>
      <c r="Q67" s="673"/>
      <c r="R67" s="673"/>
      <c r="S67" s="672"/>
      <c r="T67" s="673"/>
      <c r="U67" s="673"/>
      <c r="V67" s="674"/>
      <c r="W67" s="428"/>
      <c r="X67" s="42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BC67" s="401" t="str">
        <f t="shared" si="18"/>
        <v>-</v>
      </c>
      <c r="BD67" s="460"/>
      <c r="BE67" s="460"/>
      <c r="BF67" s="460"/>
      <c r="BG67" s="460"/>
      <c r="BH67" s="460"/>
      <c r="BI67" s="460"/>
      <c r="BJ67" s="460"/>
      <c r="BK67" s="460"/>
      <c r="BL67" s="460"/>
    </row>
    <row r="68" spans="1:64" ht="15" customHeight="1" outlineLevel="1" thickBot="1" x14ac:dyDescent="0.3">
      <c r="A68" s="404"/>
      <c r="B68" s="711"/>
      <c r="C68" s="716"/>
      <c r="D68" s="690"/>
      <c r="E68" s="447" t="s">
        <v>97</v>
      </c>
      <c r="F68" s="448" t="str">
        <f t="shared" ref="F68:N68" si="139">IF(OR($C67="-",$C67="CET",$C67=""),"-",IF(AND(NOT(F67="-"),NOT(F$5="-"),NOT(F$5="")),F67/F$5,"-"))</f>
        <v>-</v>
      </c>
      <c r="G68" s="448" t="str">
        <f t="shared" si="139"/>
        <v>-</v>
      </c>
      <c r="H68" s="448" t="str">
        <f t="shared" si="139"/>
        <v>-</v>
      </c>
      <c r="I68" s="448" t="str">
        <f t="shared" si="139"/>
        <v>-</v>
      </c>
      <c r="J68" s="448" t="str">
        <f t="shared" si="139"/>
        <v>-</v>
      </c>
      <c r="K68" s="449" t="str">
        <f t="shared" si="139"/>
        <v>-</v>
      </c>
      <c r="L68" s="449" t="str">
        <f t="shared" ref="L68:M68" si="140">IF(OR($C67="-",$C67="CET",$C67=""),"-",IF(AND(NOT(L67="-"),NOT(L$5="-"),NOT(L$5="")),L67/L$5,"-"))</f>
        <v>-</v>
      </c>
      <c r="M68" s="449" t="str">
        <f t="shared" si="140"/>
        <v>-</v>
      </c>
      <c r="N68" s="448" t="str">
        <f t="shared" si="139"/>
        <v>-</v>
      </c>
      <c r="O68" s="672"/>
      <c r="P68" s="673"/>
      <c r="Q68" s="673"/>
      <c r="R68" s="673"/>
      <c r="S68" s="672"/>
      <c r="T68" s="673"/>
      <c r="U68" s="673"/>
      <c r="V68" s="674"/>
      <c r="W68" s="428"/>
      <c r="X68" s="428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8"/>
        <v>-</v>
      </c>
      <c r="BD68" s="460"/>
      <c r="BE68" s="460"/>
      <c r="BF68" s="460"/>
      <c r="BG68" s="460"/>
      <c r="BH68" s="460"/>
      <c r="BI68" s="460"/>
      <c r="BJ68" s="460"/>
      <c r="BK68" s="460"/>
      <c r="BL68" s="460"/>
    </row>
    <row r="69" spans="1:64" ht="15.75" outlineLevel="1" thickBot="1" x14ac:dyDescent="0.3">
      <c r="B69" s="712"/>
      <c r="C69" s="717"/>
      <c r="D69" s="691"/>
      <c r="E69" s="451" t="s">
        <v>30</v>
      </c>
      <c r="F69" s="451" t="str">
        <f t="shared" ref="F69:K69" si="141">IF(AND(OR(F65="-",F65=""),OR(F66="-",F66="")),"-",IF(OR($C67="-",$C67="",$C67="CET"),"-",IF($R$36="not listed","-",IF(NOT(F$5="-"),IF(AND(AND(NOT(F65=0),NOT(F65="-"),NOT(F65="")),AND(NOT(F66="-"),NOT(F66=0),NOT(F66=""))),IF(AND((F65+F66)/2&lt;1*F$5*IF(OR($C67="CET",$C67="-",$C67=""),"-",$C67),F65&lt;1.1*F$5*IF(OR($C67="CET",$C67="-",$C67=""),"-",$C67),F66&lt;1.1*F$5*IF(OR($C67="CET",$C67="-",$C67=""),"-",$C67)),"passed","refused"),IF(IF(OR(F65="-",F65=""),F66,F65)&lt;0.7*F$5*IF(OR($C67="CET",$C67="-",$C67=""),"-",$C67),"passed",IF(IF(OR(F65="-",F65=""),F66,F65)&lt;1.1*IF(OR($C67="CET",$C67="-",$C67=""),"-",$C67)*F$5,"failed","refused"))),"-"))))</f>
        <v>-</v>
      </c>
      <c r="G69" s="451" t="str">
        <f t="shared" si="141"/>
        <v>-</v>
      </c>
      <c r="H69" s="451" t="str">
        <f t="shared" si="141"/>
        <v>-</v>
      </c>
      <c r="I69" s="451" t="str">
        <f t="shared" si="141"/>
        <v>-</v>
      </c>
      <c r="J69" s="451" t="str">
        <f t="shared" si="141"/>
        <v>-</v>
      </c>
      <c r="K69" s="452" t="str">
        <f t="shared" si="141"/>
        <v>-</v>
      </c>
      <c r="L69" s="452" t="str">
        <f t="shared" ref="L69:M69" si="142">IF(AND(OR(L65="-",L65=""),OR(L66="-",L66="")),"-",IF(OR($C67="-",$C67="",$C67="CET"),"-",IF($R$36="not listed","-",IF(NOT(L$5="-"),IF(AND(AND(NOT(L65=0),NOT(L65="-"),NOT(L65="")),AND(NOT(L66="-"),NOT(L66=0),NOT(L66=""))),IF(AND((L65+L66)/2&lt;1*L$5*IF(OR($C67="CET",$C67="-",$C67=""),"-",$C67),L65&lt;1.1*L$5*IF(OR($C67="CET",$C67="-",$C67=""),"-",$C67),L66&lt;1.1*L$5*IF(OR($C67="CET",$C67="-",$C67=""),"-",$C67)),"passed","refused"),IF(IF(OR(L65="-",L65=""),L66,L65)&lt;0.7*L$5*IF(OR($C67="CET",$C67="-",$C67=""),"-",$C67),"passed",IF(IF(OR(L65="-",L65=""),L66,L65)&lt;1.1*IF(OR($C67="CET",$C67="-",$C67=""),"-",$C67)*L$5,"failed","refused"))),"-"))))</f>
        <v>-</v>
      </c>
      <c r="M69" s="452" t="str">
        <f t="shared" si="142"/>
        <v>-</v>
      </c>
      <c r="N69" s="451" t="str">
        <f>IF(AND(OR(N65="-",N65=""),OR(N66="-",N66="")),"-",IF(OR($C67="-",$C67="",$C67="CET"),"-",IF($R$36="not listed","-",IF(NOT(N$5="-"),IF(AND(AND(NOT(N65=0),NOT(N65="-"),NOT(N65="")),AND(NOT(N66="-"),NOT(N66=0),NOT(N66=""))),IF(AND((N65+N66)/2&lt;1*N$5*IF(OR($C67="CET",$C67="-",$C67=""),"-",$C67),N65&lt;1.1*N$5*IF(OR($C67="CET",$C67="-",$C67=""),"-",$C67),N66&lt;1.1*N$5*IF(OR($C67="CET",$C67="-",$C67=""),"-",$C67)),"passed","refused"),IF(IF(OR(N65="-",N65=""),N66,N65)&lt;0.7*N$5*IF(OR($C67="CET",$C67="-",$C67=""),"-",$C67),"passed",IF(IF(OR(N65="-",N65=""),N66,N65)&lt;1.1*IF(OR($C67="CET",$C67="-",$C67=""),"-",$C67)*N$5,"failed","refused"))),"-"))))</f>
        <v>-</v>
      </c>
      <c r="O69" s="675"/>
      <c r="P69" s="676"/>
      <c r="Q69" s="676"/>
      <c r="R69" s="676"/>
      <c r="S69" s="675"/>
      <c r="T69" s="676"/>
      <c r="U69" s="676"/>
      <c r="V69" s="677"/>
      <c r="BC69" s="401" t="str">
        <f t="shared" si="18"/>
        <v>-</v>
      </c>
      <c r="BD69" s="460"/>
      <c r="BE69" s="460"/>
      <c r="BF69" s="460"/>
      <c r="BG69" s="460"/>
      <c r="BH69" s="460"/>
      <c r="BI69" s="460"/>
      <c r="BJ69" s="460"/>
      <c r="BK69" s="460"/>
      <c r="BL69" s="460"/>
    </row>
    <row r="70" spans="1:64" ht="15" customHeight="1" x14ac:dyDescent="0.25">
      <c r="BC70" s="401" t="str">
        <f t="shared" si="18"/>
        <v>-</v>
      </c>
      <c r="BD70" s="459"/>
      <c r="BE70" s="459"/>
      <c r="BF70" s="459"/>
      <c r="BG70" s="459"/>
      <c r="BH70" s="459"/>
      <c r="BI70" s="459"/>
      <c r="BJ70" s="459"/>
      <c r="BK70" s="459"/>
      <c r="BL70" s="459"/>
    </row>
    <row r="71" spans="1:64" ht="15" customHeight="1" x14ac:dyDescent="0.25">
      <c r="BC71" s="401" t="str">
        <f t="shared" si="18"/>
        <v>-</v>
      </c>
      <c r="BD71" s="459"/>
      <c r="BE71" s="459"/>
      <c r="BF71" s="459"/>
      <c r="BG71" s="459"/>
      <c r="BH71" s="459"/>
      <c r="BI71" s="459"/>
      <c r="BJ71" s="459"/>
      <c r="BK71" s="459"/>
      <c r="BL71" s="459"/>
    </row>
    <row r="72" spans="1:64" ht="15" customHeight="1" thickBot="1" x14ac:dyDescent="0.3">
      <c r="A72" s="396"/>
      <c r="W72" s="414"/>
      <c r="X72" s="414"/>
      <c r="Y72" s="414"/>
      <c r="Z72" s="414"/>
      <c r="AA72" s="414"/>
      <c r="AB72" s="414"/>
      <c r="AC72" s="414"/>
      <c r="AD72" s="414"/>
      <c r="AE72" s="414"/>
      <c r="AF72" s="414"/>
      <c r="AG72" s="414"/>
      <c r="AH72" s="414"/>
      <c r="BC72" s="401" t="str">
        <f t="shared" si="18"/>
        <v>-</v>
      </c>
      <c r="BD72" s="459"/>
      <c r="BE72" s="459"/>
      <c r="BF72" s="459"/>
      <c r="BG72" s="459"/>
      <c r="BH72" s="459"/>
      <c r="BI72" s="459"/>
      <c r="BJ72" s="459"/>
      <c r="BK72" s="459"/>
      <c r="BL72" s="459"/>
    </row>
    <row r="73" spans="1:64" ht="24.95" customHeight="1" thickBot="1" x14ac:dyDescent="0.3">
      <c r="A73" s="396"/>
      <c r="B73" s="415">
        <v>3</v>
      </c>
      <c r="C73" s="706" t="s">
        <v>161</v>
      </c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8"/>
      <c r="O73" s="416" t="s">
        <v>117</v>
      </c>
      <c r="P73" s="398" t="str">
        <f>IF(COUNTIF(F81:N96,"refused")&gt;0,"refused",IF(COUNTIF(F81:N96,"failed")&gt;0,"failed",IF(COUNTIF(F81:N96,"passed")&gt;0,"passed","-")))</f>
        <v>-</v>
      </c>
      <c r="Q73" s="399" t="s">
        <v>80</v>
      </c>
      <c r="R73" s="399" t="str">
        <f>IF(COUNT(F77:M78)&gt;0,"listed","not listed")</f>
        <v>not listed</v>
      </c>
      <c r="S73" s="417"/>
      <c r="T73" s="418"/>
      <c r="U73" s="418"/>
      <c r="V73" s="419"/>
      <c r="W73" s="414"/>
      <c r="X73" s="414"/>
      <c r="Y73" s="414"/>
      <c r="Z73" s="414"/>
      <c r="AA73" s="414"/>
      <c r="AB73" s="414"/>
      <c r="AC73" s="414"/>
      <c r="AD73" s="414"/>
      <c r="AE73" s="414"/>
      <c r="AF73" s="414"/>
      <c r="AG73" s="414"/>
      <c r="AH73" s="414"/>
      <c r="BC73" s="401" t="str">
        <f t="shared" si="18"/>
        <v>-</v>
      </c>
    </row>
    <row r="74" spans="1:64" ht="15" customHeight="1" outlineLevel="1" thickBot="1" x14ac:dyDescent="0.3">
      <c r="A74" s="396"/>
      <c r="B74" s="420"/>
      <c r="C74" s="400"/>
      <c r="D74" s="400"/>
      <c r="E74" s="400"/>
      <c r="F74" s="400"/>
      <c r="G74" s="400"/>
      <c r="H74" s="400"/>
      <c r="I74" s="400"/>
      <c r="J74" s="400"/>
      <c r="K74" s="421"/>
      <c r="L74" s="421"/>
      <c r="M74" s="421"/>
      <c r="N74" s="400"/>
      <c r="O74" s="400"/>
      <c r="P74" s="400"/>
      <c r="Q74" s="400"/>
      <c r="R74" s="400"/>
      <c r="S74" s="400"/>
      <c r="T74" s="422"/>
      <c r="U74" s="422"/>
      <c r="V74" s="423"/>
      <c r="W74" s="424"/>
      <c r="X74" s="424"/>
      <c r="Y74" s="698"/>
      <c r="Z74" s="698"/>
      <c r="AA74" s="698"/>
      <c r="AB74" s="698"/>
      <c r="AC74" s="698"/>
      <c r="AD74" s="698"/>
      <c r="AE74" s="698"/>
      <c r="AF74" s="698"/>
      <c r="AG74" s="698"/>
      <c r="AH74" s="698"/>
      <c r="BC74" s="401" t="str">
        <f t="shared" si="18"/>
        <v>-</v>
      </c>
    </row>
    <row r="75" spans="1:64" ht="15" customHeight="1" outlineLevel="1" thickBot="1" x14ac:dyDescent="0.3">
      <c r="A75" s="396"/>
      <c r="B75" s="695" t="s">
        <v>81</v>
      </c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7"/>
      <c r="O75" s="695" t="s">
        <v>82</v>
      </c>
      <c r="P75" s="696"/>
      <c r="Q75" s="696"/>
      <c r="R75" s="697"/>
      <c r="S75" s="695" t="s">
        <v>83</v>
      </c>
      <c r="T75" s="696"/>
      <c r="U75" s="696"/>
      <c r="V75" s="697"/>
      <c r="W75" s="428"/>
      <c r="X75" s="428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BC75" s="401" t="str">
        <f t="shared" si="18"/>
        <v>-</v>
      </c>
    </row>
    <row r="76" spans="1:64" ht="35.1" customHeight="1" outlineLevel="1" thickBot="1" x14ac:dyDescent="0.3">
      <c r="A76" s="396"/>
      <c r="B76" s="731" t="s">
        <v>84</v>
      </c>
      <c r="C76" s="732"/>
      <c r="D76" s="732"/>
      <c r="E76" s="733"/>
      <c r="F76" s="425" t="str">
        <f>F$4</f>
        <v>NMHC 
[g/km]</v>
      </c>
      <c r="G76" s="425" t="str">
        <f t="shared" ref="G76:N76" si="143">G$4</f>
        <v>THC
[g/km]</v>
      </c>
      <c r="H76" s="425" t="str">
        <f t="shared" si="143"/>
        <v>CO
[g/km]</v>
      </c>
      <c r="I76" s="425" t="str">
        <f t="shared" si="143"/>
        <v>NOx
[g/km]</v>
      </c>
      <c r="J76" s="425" t="str">
        <f t="shared" si="143"/>
        <v>PM
[mg/km]</v>
      </c>
      <c r="K76" s="425" t="str">
        <f t="shared" si="143"/>
        <v>PN
[#/km]</v>
      </c>
      <c r="L76" s="426" t="str">
        <f t="shared" si="143"/>
        <v>Additional
component</v>
      </c>
      <c r="M76" s="426" t="str">
        <f t="shared" si="143"/>
        <v>Additional
component 2</v>
      </c>
      <c r="N76" s="425" t="str">
        <f t="shared" si="143"/>
        <v>CO2
[g/km]</v>
      </c>
      <c r="O76" s="669"/>
      <c r="P76" s="670"/>
      <c r="Q76" s="670"/>
      <c r="R76" s="671"/>
      <c r="S76" s="669"/>
      <c r="T76" s="670"/>
      <c r="U76" s="670"/>
      <c r="V76" s="671"/>
      <c r="W76" s="428"/>
      <c r="X76" s="428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BC76" s="401" t="str">
        <f t="shared" si="18"/>
        <v>-</v>
      </c>
    </row>
    <row r="77" spans="1:64" ht="15" customHeight="1" outlineLevel="1" x14ac:dyDescent="0.25">
      <c r="A77" s="396"/>
      <c r="B77" s="724" t="s">
        <v>162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4"/>
      <c r="S77" s="672"/>
      <c r="T77" s="673"/>
      <c r="U77" s="673"/>
      <c r="V77" s="674"/>
      <c r="W77" s="428"/>
      <c r="X77" s="428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BC77" s="401" t="str">
        <f t="shared" si="18"/>
        <v>-</v>
      </c>
    </row>
    <row r="78" spans="1:64" s="405" customFormat="1" ht="15" customHeight="1" outlineLevel="1" thickBot="1" x14ac:dyDescent="0.3">
      <c r="A78" s="439"/>
      <c r="B78" s="725"/>
      <c r="C78" s="702"/>
      <c r="D78" s="685"/>
      <c r="E78" s="461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4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8"/>
        <v>-</v>
      </c>
    </row>
    <row r="79" spans="1:64" ht="15" customHeight="1" outlineLevel="1" thickBot="1" x14ac:dyDescent="0.3">
      <c r="A79" s="396"/>
      <c r="B79" s="725"/>
      <c r="C79" s="686">
        <v>1</v>
      </c>
      <c r="D79" s="689" t="str">
        <f>IF(AND(F80="-",G80="-",H80="-",I80="-",J80="-",K80="-",L80="-",M80="-"),"-",MAX(F80,G80,H80,I80,J80,K80,L80,M80))</f>
        <v>-</v>
      </c>
      <c r="E79" s="462" t="s">
        <v>96</v>
      </c>
      <c r="F79" s="445" t="str">
        <f t="shared" ref="F79:N79" si="144">IF(OR(F78="-",F78=""),IF(OR(F77="-",F77=""),"-",F77),IF(OR(F77="-",F77=""),F78,(F77+F78)/2))</f>
        <v>-</v>
      </c>
      <c r="G79" s="445" t="str">
        <f t="shared" si="144"/>
        <v>-</v>
      </c>
      <c r="H79" s="445" t="str">
        <f t="shared" si="144"/>
        <v>-</v>
      </c>
      <c r="I79" s="445" t="str">
        <f t="shared" si="144"/>
        <v>-</v>
      </c>
      <c r="J79" s="445" t="str">
        <f t="shared" si="144"/>
        <v>-</v>
      </c>
      <c r="K79" s="446" t="str">
        <f t="shared" si="144"/>
        <v>-</v>
      </c>
      <c r="L79" s="446" t="str">
        <f t="shared" ref="L79:M79" si="145">IF(OR(L78="-",L78=""),IF(OR(L77="-",L77=""),"-",L77),IF(OR(L77="-",L77=""),L78,(L77+L78)/2))</f>
        <v>-</v>
      </c>
      <c r="M79" s="446" t="str">
        <f t="shared" si="145"/>
        <v>-</v>
      </c>
      <c r="N79" s="445" t="str">
        <f t="shared" si="144"/>
        <v>-</v>
      </c>
      <c r="O79" s="672"/>
      <c r="P79" s="673"/>
      <c r="Q79" s="673"/>
      <c r="R79" s="674"/>
      <c r="S79" s="672"/>
      <c r="T79" s="673"/>
      <c r="U79" s="673"/>
      <c r="V79" s="674"/>
      <c r="W79" s="428"/>
      <c r="X79" s="42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BC79" s="401" t="str">
        <f t="shared" si="18"/>
        <v>-</v>
      </c>
    </row>
    <row r="80" spans="1:64" ht="15" customHeight="1" outlineLevel="1" thickBot="1" x14ac:dyDescent="0.3">
      <c r="A80" s="396"/>
      <c r="B80" s="725"/>
      <c r="C80" s="687"/>
      <c r="D80" s="690"/>
      <c r="E80" s="447" t="s">
        <v>97</v>
      </c>
      <c r="F80" s="448" t="str">
        <f t="shared" ref="F80:N80" si="146">IF(OR($C79="-",$C79="CET",$C79=""),"-",IF(AND(NOT(F79="-"),NOT(F$5="-"),NOT(F$5="")),F79/F$5,"-"))</f>
        <v>-</v>
      </c>
      <c r="G80" s="448" t="str">
        <f t="shared" si="146"/>
        <v>-</v>
      </c>
      <c r="H80" s="448" t="str">
        <f t="shared" si="146"/>
        <v>-</v>
      </c>
      <c r="I80" s="448" t="str">
        <f t="shared" si="146"/>
        <v>-</v>
      </c>
      <c r="J80" s="448" t="str">
        <f t="shared" si="146"/>
        <v>-</v>
      </c>
      <c r="K80" s="449" t="str">
        <f t="shared" si="146"/>
        <v>-</v>
      </c>
      <c r="L80" s="449" t="str">
        <f t="shared" ref="L80:M80" si="147">IF(OR($C79="-",$C79="CET",$C79=""),"-",IF(AND(NOT(L79="-"),NOT(L$5="-"),NOT(L$5="")),L79/L$5,"-"))</f>
        <v>-</v>
      </c>
      <c r="M80" s="449" t="str">
        <f t="shared" si="147"/>
        <v>-</v>
      </c>
      <c r="N80" s="448" t="str">
        <f t="shared" si="146"/>
        <v>-</v>
      </c>
      <c r="O80" s="672"/>
      <c r="P80" s="673"/>
      <c r="Q80" s="673"/>
      <c r="R80" s="674"/>
      <c r="S80" s="672"/>
      <c r="T80" s="673"/>
      <c r="U80" s="673"/>
      <c r="V80" s="674"/>
      <c r="W80" s="428"/>
      <c r="X80" s="428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BC80" s="401" t="str">
        <f t="shared" si="18"/>
        <v>-</v>
      </c>
    </row>
    <row r="81" spans="1:64" ht="15" customHeight="1" outlineLevel="1" thickBot="1" x14ac:dyDescent="0.3">
      <c r="A81" s="396"/>
      <c r="B81" s="726"/>
      <c r="C81" s="688"/>
      <c r="D81" s="691"/>
      <c r="E81" s="451" t="s">
        <v>30</v>
      </c>
      <c r="F81" s="451" t="str">
        <f t="shared" ref="F81:K81" si="148">IF(AND(OR(F77="-",F77=""),OR(F78="-",F78="")),"-",IF(OR($C79="-",$C79="",$C79="CET"),"-",IF($R$73="not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148"/>
        <v>-</v>
      </c>
      <c r="H81" s="451" t="str">
        <f t="shared" si="148"/>
        <v>-</v>
      </c>
      <c r="I81" s="451" t="str">
        <f t="shared" si="148"/>
        <v>-</v>
      </c>
      <c r="J81" s="451" t="str">
        <f t="shared" si="148"/>
        <v>-</v>
      </c>
      <c r="K81" s="452" t="str">
        <f t="shared" si="148"/>
        <v>-</v>
      </c>
      <c r="L81" s="452" t="str">
        <f t="shared" ref="L81:M81" si="149">IF(AND(OR(L77="-",L77=""),OR(L78="-",L78="")),"-",IF(OR($C79="-",$C79="",$C79="CET"),"-",IF($R$73="not listed","-",IF(NOT(L$5="-"),IF(AND(AND(NOT(L77=0),NOT(L77="-"),NOT(L77="")),AND(NOT(L78="-"),NOT(L78=0),NOT(L78=""))),IF(AND((L77+L78)/2&lt;1*L$5*IF(OR($C79="CET",$C79="-",$C79=""),"-",$C79),L77&lt;1.1*L$5*IF(OR($C79="CET",$C79="-",$C79=""),"-",$C79),L78&lt;1.1*L$5*IF(OR($C79="CET",$C79="-",$C79=""),"-",$C79)),"passed","refused"),IF(IF(OR(L77="-",L77=""),L78,L77)&lt;0.7*L$5*IF(OR($C79="CET",$C79="-",$C79=""),"-",$C79),"passed",IF(IF(OR(L77="-",L77=""),L78,L77)&lt;1.1*IF(OR($C79="CET",$C79="-",$C79=""),"-",$C79)*L$5,"failed","refused"))),"-"))))</f>
        <v>-</v>
      </c>
      <c r="M81" s="452" t="str">
        <f t="shared" si="149"/>
        <v>-</v>
      </c>
      <c r="N81" s="451" t="str">
        <f>IF(AND(OR(N77="-",N77=""),OR(N78="-",N78="")),"-",IF(OR($C79="-",$C79="",$C79="CET"),"-",IF($R$73="not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672"/>
      <c r="P81" s="673"/>
      <c r="Q81" s="673"/>
      <c r="R81" s="674"/>
      <c r="S81" s="672"/>
      <c r="T81" s="673"/>
      <c r="U81" s="673"/>
      <c r="V81" s="674"/>
      <c r="W81" s="428"/>
      <c r="X81" s="428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BC81" s="401" t="str">
        <f t="shared" si="18"/>
        <v>-</v>
      </c>
      <c r="BD81" s="429" t="s">
        <v>85</v>
      </c>
      <c r="BE81" s="430" t="str">
        <f>F$4</f>
        <v>NMHC 
[g/km]</v>
      </c>
      <c r="BF81" s="430" t="str">
        <f t="shared" ref="BF81" si="150">G$4</f>
        <v>THC
[g/km]</v>
      </c>
      <c r="BG81" s="430" t="str">
        <f t="shared" ref="BG81" si="151">H$4</f>
        <v>CO
[g/km]</v>
      </c>
      <c r="BH81" s="430" t="str">
        <f t="shared" ref="BH81" si="152">I$4</f>
        <v>NOx
[g/km]</v>
      </c>
      <c r="BI81" s="430" t="str">
        <f t="shared" ref="BI81" si="153">J$4</f>
        <v>PM
[mg/km]</v>
      </c>
      <c r="BJ81" s="430" t="str">
        <f t="shared" ref="BJ81" si="154">K$4</f>
        <v>PN
[#/km]</v>
      </c>
      <c r="BK81" s="430" t="str">
        <f t="shared" ref="BK81" si="155">L$4</f>
        <v>Additional
component</v>
      </c>
      <c r="BL81" s="430" t="str">
        <f t="shared" ref="BL81" si="156">M$4</f>
        <v>Additional
component 2</v>
      </c>
    </row>
    <row r="82" spans="1:64" ht="15" customHeight="1" outlineLevel="1" x14ac:dyDescent="0.25">
      <c r="A82" s="396"/>
      <c r="B82" s="721"/>
      <c r="C82" s="668"/>
      <c r="D82" s="397"/>
      <c r="E82" s="397"/>
      <c r="F82" s="463"/>
      <c r="G82" s="463"/>
      <c r="H82" s="463"/>
      <c r="I82" s="463"/>
      <c r="J82" s="463"/>
      <c r="K82" s="464"/>
      <c r="L82" s="464"/>
      <c r="M82" s="464"/>
      <c r="N82" s="465"/>
      <c r="O82" s="672"/>
      <c r="P82" s="673"/>
      <c r="Q82" s="673"/>
      <c r="R82" s="674"/>
      <c r="S82" s="672"/>
      <c r="T82" s="673"/>
      <c r="U82" s="673"/>
      <c r="V82" s="674"/>
      <c r="W82" s="428"/>
      <c r="X82" s="428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BC82" s="401" t="str">
        <f t="shared" ref="BC82:BC145" si="157">IF(COUNTIF(F82:M82,"refused")&gt;0,"refused",IF(COUNTIF(F82:M82,"failed")&gt;0,"failed",IF(COUNTIF(F82:M82,"passed")&gt;0,"passed","-")))</f>
        <v>-</v>
      </c>
      <c r="BD82" s="429" t="str">
        <f>$E$4</f>
        <v>Post New Long Term</v>
      </c>
      <c r="BE82" s="435">
        <v>1</v>
      </c>
      <c r="BF82" s="435">
        <v>1</v>
      </c>
      <c r="BG82" s="435">
        <v>1</v>
      </c>
      <c r="BH82" s="435">
        <v>1</v>
      </c>
      <c r="BI82" s="435">
        <v>1</v>
      </c>
      <c r="BJ82" s="435">
        <v>1</v>
      </c>
      <c r="BK82" s="435">
        <v>1</v>
      </c>
      <c r="BL82" s="435">
        <v>1</v>
      </c>
    </row>
    <row r="83" spans="1:64" ht="15" customHeight="1" outlineLevel="1" x14ac:dyDescent="0.25">
      <c r="A83" s="396"/>
      <c r="B83" s="721"/>
      <c r="C83" s="668"/>
      <c r="D83" s="397"/>
      <c r="E83" s="397"/>
      <c r="F83" s="463"/>
      <c r="G83" s="463"/>
      <c r="H83" s="463"/>
      <c r="I83" s="463"/>
      <c r="J83" s="463"/>
      <c r="K83" s="464"/>
      <c r="L83" s="464"/>
      <c r="M83" s="464"/>
      <c r="N83" s="465"/>
      <c r="O83" s="672"/>
      <c r="P83" s="673"/>
      <c r="Q83" s="673"/>
      <c r="R83" s="674"/>
      <c r="S83" s="672"/>
      <c r="T83" s="673"/>
      <c r="U83" s="673"/>
      <c r="V83" s="674"/>
      <c r="W83" s="428"/>
      <c r="X83" s="428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157"/>
        <v>-</v>
      </c>
      <c r="BD83" s="429" t="str">
        <f>"1st " &amp;  B77</f>
        <v>1st WLTC 20°C
(3 Phases)</v>
      </c>
      <c r="BE83" s="435" t="str">
        <f t="shared" ref="BE83:BJ83" si="158">IF((OR($C79="-",$C79="CET",$C79="")),"-",IF(AND(OR(F77="-",F77=""),OR(F78="-",F78="")),"-",IF(NOT(OR(F77="-",F77="")),F77/F$5,F78/F$5)))</f>
        <v>-</v>
      </c>
      <c r="BF83" s="435" t="str">
        <f t="shared" si="158"/>
        <v>-</v>
      </c>
      <c r="BG83" s="435" t="str">
        <f t="shared" si="158"/>
        <v>-</v>
      </c>
      <c r="BH83" s="435" t="str">
        <f t="shared" si="158"/>
        <v>-</v>
      </c>
      <c r="BI83" s="435" t="str">
        <f t="shared" si="158"/>
        <v>-</v>
      </c>
      <c r="BJ83" s="435" t="str">
        <f t="shared" si="158"/>
        <v>-</v>
      </c>
      <c r="BK83" s="435" t="str">
        <f t="shared" ref="BK83:BL83" si="159">IF((OR($C79="-",$C79="CET",$C79="")),"-",IF(AND(OR(L77="-",L77=""),OR(L78="-",L78="")),"-",IF(NOT(OR(L77="-",L77="")),L77/L$5,L78/L$5)))</f>
        <v>-</v>
      </c>
      <c r="BL83" s="435" t="str">
        <f t="shared" si="159"/>
        <v>-</v>
      </c>
    </row>
    <row r="84" spans="1:64" ht="15" customHeight="1" outlineLevel="1" x14ac:dyDescent="0.25">
      <c r="A84" s="396"/>
      <c r="B84" s="721"/>
      <c r="C84" s="668"/>
      <c r="D84" s="397"/>
      <c r="E84" s="397"/>
      <c r="F84" s="466"/>
      <c r="G84" s="466"/>
      <c r="H84" s="466"/>
      <c r="I84" s="466"/>
      <c r="J84" s="466"/>
      <c r="K84" s="464"/>
      <c r="L84" s="464"/>
      <c r="M84" s="464"/>
      <c r="N84" s="467"/>
      <c r="O84" s="672"/>
      <c r="P84" s="673"/>
      <c r="Q84" s="673"/>
      <c r="R84" s="674"/>
      <c r="S84" s="672"/>
      <c r="T84" s="673"/>
      <c r="U84" s="673"/>
      <c r="V84" s="674"/>
      <c r="W84" s="428"/>
      <c r="X84" s="42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BC84" s="401" t="str">
        <f t="shared" si="157"/>
        <v>-</v>
      </c>
      <c r="BD84" s="429"/>
      <c r="BE84" s="435"/>
      <c r="BF84" s="435"/>
      <c r="BG84" s="435"/>
      <c r="BH84" s="435"/>
      <c r="BI84" s="435"/>
      <c r="BJ84" s="435"/>
      <c r="BK84" s="435"/>
      <c r="BL84" s="435"/>
    </row>
    <row r="85" spans="1:64" ht="15" customHeight="1" outlineLevel="1" x14ac:dyDescent="0.25">
      <c r="A85" s="396"/>
      <c r="B85" s="721"/>
      <c r="C85" s="668"/>
      <c r="D85" s="397"/>
      <c r="E85" s="397"/>
      <c r="F85" s="466"/>
      <c r="G85" s="466"/>
      <c r="H85" s="466"/>
      <c r="I85" s="466"/>
      <c r="J85" s="466"/>
      <c r="K85" s="464"/>
      <c r="L85" s="464"/>
      <c r="M85" s="464"/>
      <c r="N85" s="467"/>
      <c r="O85" s="672"/>
      <c r="P85" s="673"/>
      <c r="Q85" s="673"/>
      <c r="R85" s="674"/>
      <c r="S85" s="672"/>
      <c r="T85" s="673"/>
      <c r="U85" s="673"/>
      <c r="V85" s="674"/>
      <c r="W85" s="428"/>
      <c r="X85" s="42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BC85" s="401" t="str">
        <f t="shared" si="157"/>
        <v>-</v>
      </c>
      <c r="BD85" s="429"/>
      <c r="BE85" s="435"/>
      <c r="BF85" s="435"/>
      <c r="BG85" s="435"/>
      <c r="BH85" s="435"/>
      <c r="BI85" s="435"/>
      <c r="BJ85" s="435"/>
      <c r="BK85" s="435"/>
      <c r="BL85" s="435"/>
    </row>
    <row r="86" spans="1:64" ht="15" customHeight="1" outlineLevel="1" x14ac:dyDescent="0.25">
      <c r="A86" s="404"/>
      <c r="B86" s="721"/>
      <c r="C86" s="668"/>
      <c r="D86" s="397"/>
      <c r="E86" s="397"/>
      <c r="F86" s="397"/>
      <c r="G86" s="397"/>
      <c r="H86" s="397"/>
      <c r="I86" s="397"/>
      <c r="J86" s="397"/>
      <c r="K86" s="464"/>
      <c r="L86" s="464"/>
      <c r="M86" s="464"/>
      <c r="N86" s="468"/>
      <c r="O86" s="672"/>
      <c r="P86" s="673"/>
      <c r="Q86" s="673"/>
      <c r="R86" s="674"/>
      <c r="S86" s="672"/>
      <c r="T86" s="673"/>
      <c r="U86" s="673"/>
      <c r="V86" s="674"/>
      <c r="W86" s="428"/>
      <c r="X86" s="428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BC86" s="401" t="str">
        <f t="shared" si="157"/>
        <v>-</v>
      </c>
      <c r="BD86" s="429"/>
      <c r="BE86" s="435"/>
      <c r="BF86" s="435"/>
      <c r="BG86" s="435"/>
      <c r="BH86" s="435"/>
      <c r="BI86" s="435"/>
      <c r="BJ86" s="435"/>
      <c r="BK86" s="435"/>
      <c r="BL86" s="435"/>
    </row>
    <row r="87" spans="1:64" ht="15" customHeight="1" outlineLevel="1" x14ac:dyDescent="0.25">
      <c r="A87" s="404"/>
      <c r="B87" s="721"/>
      <c r="C87" s="668"/>
      <c r="D87" s="397"/>
      <c r="E87" s="397"/>
      <c r="F87" s="463"/>
      <c r="G87" s="463"/>
      <c r="H87" s="463"/>
      <c r="I87" s="463"/>
      <c r="J87" s="463"/>
      <c r="K87" s="464"/>
      <c r="L87" s="464"/>
      <c r="M87" s="464"/>
      <c r="N87" s="465"/>
      <c r="O87" s="672"/>
      <c r="P87" s="673"/>
      <c r="Q87" s="673"/>
      <c r="R87" s="674"/>
      <c r="S87" s="672"/>
      <c r="T87" s="673"/>
      <c r="U87" s="673"/>
      <c r="V87" s="674"/>
      <c r="W87" s="428"/>
      <c r="X87" s="428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BC87" s="401" t="str">
        <f t="shared" si="157"/>
        <v>-</v>
      </c>
      <c r="BD87" s="429" t="str">
        <f>"0.7*IEF " &amp; (B77)</f>
        <v>0.7*IEF WLTC 20°C
(3 Phases)</v>
      </c>
      <c r="BE87" s="435">
        <f t="shared" ref="BE87:BJ87" si="160">IF(OR($C79="-",$C79="CET",$C79=""),"-",0.7*$C79)</f>
        <v>0.7</v>
      </c>
      <c r="BF87" s="435">
        <f t="shared" si="160"/>
        <v>0.7</v>
      </c>
      <c r="BG87" s="435">
        <f t="shared" si="160"/>
        <v>0.7</v>
      </c>
      <c r="BH87" s="435">
        <f t="shared" si="160"/>
        <v>0.7</v>
      </c>
      <c r="BI87" s="435">
        <f t="shared" si="160"/>
        <v>0.7</v>
      </c>
      <c r="BJ87" s="435">
        <f t="shared" si="160"/>
        <v>0.7</v>
      </c>
      <c r="BK87" s="435">
        <f t="shared" ref="BK87:BL87" si="161">IF(OR($C79="-",$C79="CET",$C79=""),"-",0.7*$C79)</f>
        <v>0.7</v>
      </c>
      <c r="BL87" s="435">
        <f t="shared" si="161"/>
        <v>0.7</v>
      </c>
    </row>
    <row r="88" spans="1:64" ht="15" customHeight="1" outlineLevel="1" x14ac:dyDescent="0.25">
      <c r="A88" s="404"/>
      <c r="B88" s="721"/>
      <c r="C88" s="668"/>
      <c r="D88" s="397"/>
      <c r="E88" s="397"/>
      <c r="F88" s="463"/>
      <c r="G88" s="463"/>
      <c r="H88" s="463"/>
      <c r="I88" s="463"/>
      <c r="J88" s="463"/>
      <c r="K88" s="464"/>
      <c r="L88" s="464"/>
      <c r="M88" s="464"/>
      <c r="N88" s="465"/>
      <c r="O88" s="672"/>
      <c r="P88" s="673"/>
      <c r="Q88" s="673"/>
      <c r="R88" s="674"/>
      <c r="S88" s="672"/>
      <c r="T88" s="673"/>
      <c r="U88" s="673"/>
      <c r="V88" s="674"/>
      <c r="W88" s="428"/>
      <c r="X88" s="428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157"/>
        <v>-</v>
      </c>
      <c r="BD88" s="429"/>
      <c r="BE88" s="435"/>
      <c r="BF88" s="435"/>
      <c r="BG88" s="435"/>
      <c r="BH88" s="435"/>
      <c r="BI88" s="435"/>
      <c r="BJ88" s="435"/>
      <c r="BK88" s="435"/>
      <c r="BL88" s="435"/>
    </row>
    <row r="89" spans="1:64" ht="15" customHeight="1" outlineLevel="1" x14ac:dyDescent="0.25">
      <c r="A89" s="404"/>
      <c r="B89" s="721"/>
      <c r="C89" s="668"/>
      <c r="D89" s="397"/>
      <c r="E89" s="397"/>
      <c r="F89" s="466"/>
      <c r="G89" s="466"/>
      <c r="H89" s="466"/>
      <c r="I89" s="466"/>
      <c r="J89" s="466"/>
      <c r="K89" s="464"/>
      <c r="L89" s="464"/>
      <c r="M89" s="464"/>
      <c r="N89" s="467"/>
      <c r="O89" s="672"/>
      <c r="P89" s="673"/>
      <c r="Q89" s="673"/>
      <c r="R89" s="674"/>
      <c r="S89" s="672"/>
      <c r="T89" s="673"/>
      <c r="U89" s="673"/>
      <c r="V89" s="674"/>
      <c r="W89" s="428"/>
      <c r="X89" s="428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BC89" s="401" t="str">
        <f t="shared" si="157"/>
        <v>-</v>
      </c>
      <c r="BD89" s="429"/>
      <c r="BE89" s="435"/>
      <c r="BF89" s="435"/>
      <c r="BG89" s="435"/>
      <c r="BH89" s="435"/>
      <c r="BI89" s="435"/>
      <c r="BJ89" s="435"/>
      <c r="BK89" s="435"/>
      <c r="BL89" s="435"/>
    </row>
    <row r="90" spans="1:64" ht="15" customHeight="1" outlineLevel="1" x14ac:dyDescent="0.25">
      <c r="A90" s="404"/>
      <c r="B90" s="721"/>
      <c r="C90" s="668"/>
      <c r="D90" s="397"/>
      <c r="E90" s="397"/>
      <c r="F90" s="466"/>
      <c r="G90" s="466"/>
      <c r="H90" s="466"/>
      <c r="I90" s="466"/>
      <c r="J90" s="466"/>
      <c r="K90" s="464"/>
      <c r="L90" s="464"/>
      <c r="M90" s="464"/>
      <c r="N90" s="467"/>
      <c r="O90" s="672"/>
      <c r="P90" s="673"/>
      <c r="Q90" s="673"/>
      <c r="R90" s="674"/>
      <c r="S90" s="672"/>
      <c r="T90" s="673"/>
      <c r="U90" s="673"/>
      <c r="V90" s="674"/>
      <c r="W90" s="428"/>
      <c r="X90" s="42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BC90" s="401" t="str">
        <f t="shared" si="157"/>
        <v>-</v>
      </c>
      <c r="BD90" s="429"/>
      <c r="BE90" s="435"/>
      <c r="BF90" s="435"/>
      <c r="BG90" s="435"/>
      <c r="BH90" s="435"/>
      <c r="BI90" s="435"/>
      <c r="BJ90" s="435"/>
      <c r="BK90" s="435"/>
      <c r="BL90" s="435"/>
    </row>
    <row r="91" spans="1:64" ht="15" customHeight="1" outlineLevel="1" x14ac:dyDescent="0.25">
      <c r="A91" s="404"/>
      <c r="B91" s="721"/>
      <c r="C91" s="668"/>
      <c r="D91" s="397"/>
      <c r="E91" s="397"/>
      <c r="F91" s="397"/>
      <c r="G91" s="397"/>
      <c r="H91" s="397"/>
      <c r="I91" s="397"/>
      <c r="J91" s="397"/>
      <c r="K91" s="464"/>
      <c r="L91" s="464"/>
      <c r="M91" s="464"/>
      <c r="N91" s="468"/>
      <c r="O91" s="672"/>
      <c r="P91" s="673"/>
      <c r="Q91" s="673"/>
      <c r="R91" s="674"/>
      <c r="S91" s="672"/>
      <c r="T91" s="673"/>
      <c r="U91" s="673"/>
      <c r="V91" s="674"/>
      <c r="W91" s="428"/>
      <c r="X91" s="42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BC91" s="401" t="str">
        <f t="shared" si="157"/>
        <v>-</v>
      </c>
      <c r="BD91" s="429" t="str">
        <f>B77</f>
        <v>WLTC 20°C
(3 Phases)</v>
      </c>
      <c r="BE91" s="435" t="str">
        <f t="shared" ref="BE91:BJ91" si="162">F80</f>
        <v>-</v>
      </c>
      <c r="BF91" s="435" t="str">
        <f t="shared" si="162"/>
        <v>-</v>
      </c>
      <c r="BG91" s="435" t="str">
        <f t="shared" si="162"/>
        <v>-</v>
      </c>
      <c r="BH91" s="435" t="str">
        <f t="shared" si="162"/>
        <v>-</v>
      </c>
      <c r="BI91" s="435" t="str">
        <f t="shared" si="162"/>
        <v>-</v>
      </c>
      <c r="BJ91" s="435" t="str">
        <f t="shared" si="162"/>
        <v>-</v>
      </c>
      <c r="BK91" s="435" t="str">
        <f t="shared" ref="BK91:BL91" si="163">L80</f>
        <v>-</v>
      </c>
      <c r="BL91" s="435" t="str">
        <f t="shared" si="163"/>
        <v>-</v>
      </c>
    </row>
    <row r="92" spans="1:64" ht="15" customHeight="1" outlineLevel="1" x14ac:dyDescent="0.25">
      <c r="A92" s="404"/>
      <c r="B92" s="721"/>
      <c r="C92" s="668"/>
      <c r="D92" s="397"/>
      <c r="E92" s="397"/>
      <c r="F92" s="463"/>
      <c r="G92" s="463"/>
      <c r="H92" s="463"/>
      <c r="I92" s="463"/>
      <c r="J92" s="463"/>
      <c r="K92" s="464"/>
      <c r="L92" s="464"/>
      <c r="M92" s="464"/>
      <c r="N92" s="465"/>
      <c r="O92" s="672"/>
      <c r="P92" s="673"/>
      <c r="Q92" s="673"/>
      <c r="R92" s="674"/>
      <c r="S92" s="672"/>
      <c r="T92" s="673"/>
      <c r="U92" s="673"/>
      <c r="V92" s="674"/>
      <c r="W92" s="428"/>
      <c r="X92" s="428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BC92" s="401" t="str">
        <f t="shared" si="157"/>
        <v>-</v>
      </c>
      <c r="BD92" s="429"/>
      <c r="BE92" s="435"/>
      <c r="BF92" s="435"/>
      <c r="BG92" s="435"/>
      <c r="BH92" s="435"/>
      <c r="BI92" s="435"/>
      <c r="BJ92" s="435"/>
      <c r="BK92" s="435"/>
      <c r="BL92" s="435"/>
    </row>
    <row r="93" spans="1:64" ht="15" customHeight="1" outlineLevel="1" x14ac:dyDescent="0.25">
      <c r="A93" s="404"/>
      <c r="B93" s="721"/>
      <c r="C93" s="668"/>
      <c r="D93" s="397"/>
      <c r="E93" s="397"/>
      <c r="F93" s="463"/>
      <c r="G93" s="463"/>
      <c r="H93" s="463"/>
      <c r="I93" s="463"/>
      <c r="J93" s="463"/>
      <c r="K93" s="464"/>
      <c r="L93" s="464"/>
      <c r="M93" s="464"/>
      <c r="N93" s="465"/>
      <c r="O93" s="672"/>
      <c r="P93" s="673"/>
      <c r="Q93" s="673"/>
      <c r="R93" s="674"/>
      <c r="S93" s="672"/>
      <c r="T93" s="673"/>
      <c r="U93" s="673"/>
      <c r="V93" s="674"/>
      <c r="W93" s="428"/>
      <c r="X93" s="428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157"/>
        <v>-</v>
      </c>
      <c r="BD93" s="429"/>
      <c r="BE93" s="435"/>
      <c r="BF93" s="435"/>
      <c r="BG93" s="435"/>
      <c r="BH93" s="435"/>
      <c r="BI93" s="435"/>
      <c r="BJ93" s="435"/>
      <c r="BK93" s="435"/>
      <c r="BL93" s="435"/>
    </row>
    <row r="94" spans="1:64" ht="15" customHeight="1" outlineLevel="1" x14ac:dyDescent="0.25">
      <c r="A94" s="404"/>
      <c r="B94" s="721"/>
      <c r="C94" s="668"/>
      <c r="D94" s="397"/>
      <c r="E94" s="397"/>
      <c r="F94" s="466"/>
      <c r="G94" s="466"/>
      <c r="H94" s="466"/>
      <c r="I94" s="466"/>
      <c r="J94" s="466"/>
      <c r="K94" s="464"/>
      <c r="L94" s="464"/>
      <c r="M94" s="464"/>
      <c r="N94" s="467"/>
      <c r="O94" s="672"/>
      <c r="P94" s="673"/>
      <c r="Q94" s="673"/>
      <c r="R94" s="674"/>
      <c r="S94" s="672"/>
      <c r="T94" s="673"/>
      <c r="U94" s="673"/>
      <c r="V94" s="674"/>
      <c r="W94" s="428"/>
      <c r="X94" s="428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BC94" s="401" t="str">
        <f t="shared" si="157"/>
        <v>-</v>
      </c>
      <c r="BD94" s="429"/>
      <c r="BE94" s="435"/>
      <c r="BF94" s="435"/>
      <c r="BG94" s="435"/>
      <c r="BH94" s="435"/>
      <c r="BI94" s="435"/>
      <c r="BJ94" s="435"/>
      <c r="BK94" s="435"/>
      <c r="BL94" s="435"/>
    </row>
    <row r="95" spans="1:64" ht="15" customHeight="1" outlineLevel="1" x14ac:dyDescent="0.25">
      <c r="A95" s="404"/>
      <c r="B95" s="721"/>
      <c r="C95" s="668"/>
      <c r="D95" s="397"/>
      <c r="E95" s="397"/>
      <c r="F95" s="466"/>
      <c r="G95" s="466"/>
      <c r="H95" s="466"/>
      <c r="I95" s="466"/>
      <c r="J95" s="466"/>
      <c r="K95" s="464"/>
      <c r="L95" s="464"/>
      <c r="M95" s="464"/>
      <c r="N95" s="467"/>
      <c r="O95" s="672"/>
      <c r="P95" s="673"/>
      <c r="Q95" s="673"/>
      <c r="R95" s="674"/>
      <c r="S95" s="672"/>
      <c r="T95" s="673"/>
      <c r="U95" s="673"/>
      <c r="V95" s="674"/>
      <c r="W95" s="428"/>
      <c r="X95" s="428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BC95" s="401" t="str">
        <f t="shared" si="157"/>
        <v>-</v>
      </c>
      <c r="BD95" s="429" t="str">
        <f>"IEF " &amp;B77</f>
        <v>IEF WLTC 20°C
(3 Phases)</v>
      </c>
      <c r="BE95" s="435">
        <f t="shared" ref="BE95:BJ95" si="164">IF(OR($C79="CET",$C79="-",$C79=""),"-",$C79)</f>
        <v>1</v>
      </c>
      <c r="BF95" s="435">
        <f t="shared" si="164"/>
        <v>1</v>
      </c>
      <c r="BG95" s="435">
        <f t="shared" si="164"/>
        <v>1</v>
      </c>
      <c r="BH95" s="435">
        <f t="shared" si="164"/>
        <v>1</v>
      </c>
      <c r="BI95" s="435">
        <f t="shared" si="164"/>
        <v>1</v>
      </c>
      <c r="BJ95" s="435">
        <f t="shared" si="164"/>
        <v>1</v>
      </c>
      <c r="BK95" s="435">
        <f t="shared" ref="BK95:BL95" si="165">IF(OR($C79="CET",$C79="-",$C79=""),"-",$C79)</f>
        <v>1</v>
      </c>
      <c r="BL95" s="435">
        <f t="shared" si="165"/>
        <v>1</v>
      </c>
    </row>
    <row r="96" spans="1:64" ht="15.75" outlineLevel="1" thickBot="1" x14ac:dyDescent="0.3">
      <c r="B96" s="722"/>
      <c r="C96" s="723"/>
      <c r="D96" s="469"/>
      <c r="E96" s="469"/>
      <c r="F96" s="469"/>
      <c r="G96" s="469"/>
      <c r="H96" s="469"/>
      <c r="I96" s="469"/>
      <c r="J96" s="469"/>
      <c r="K96" s="470"/>
      <c r="L96" s="470"/>
      <c r="M96" s="470"/>
      <c r="N96" s="471"/>
      <c r="O96" s="675"/>
      <c r="P96" s="676"/>
      <c r="Q96" s="676"/>
      <c r="R96" s="677"/>
      <c r="S96" s="675"/>
      <c r="T96" s="676"/>
      <c r="U96" s="676"/>
      <c r="V96" s="677"/>
      <c r="BC96" s="401" t="str">
        <f t="shared" si="157"/>
        <v>-</v>
      </c>
      <c r="BD96" s="459"/>
      <c r="BE96" s="459"/>
      <c r="BF96" s="459"/>
      <c r="BG96" s="459"/>
      <c r="BH96" s="459"/>
      <c r="BI96" s="459"/>
      <c r="BJ96" s="459"/>
      <c r="BK96" s="459"/>
      <c r="BL96" s="459"/>
    </row>
    <row r="97" spans="1:64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BC97" s="401" t="str">
        <f t="shared" si="157"/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BC98" s="401" t="str">
        <f t="shared" si="157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BC99" s="401" t="str">
        <f t="shared" si="157"/>
        <v>-</v>
      </c>
    </row>
    <row r="100" spans="1:64" ht="24.95" customHeight="1" thickBot="1" x14ac:dyDescent="0.3">
      <c r="A100" s="396"/>
      <c r="B100" s="415">
        <v>5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417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BC100" s="401" t="str">
        <f t="shared" si="157"/>
        <v>-</v>
      </c>
    </row>
    <row r="101" spans="1:64" ht="15" customHeight="1" outlineLevel="1" thickBot="1" x14ac:dyDescent="0.3">
      <c r="A101" s="396"/>
      <c r="B101" s="420"/>
      <c r="C101" s="400"/>
      <c r="D101" s="400"/>
      <c r="E101" s="400"/>
      <c r="F101" s="400"/>
      <c r="G101" s="400"/>
      <c r="H101" s="400"/>
      <c r="I101" s="400"/>
      <c r="J101" s="400"/>
      <c r="K101" s="421"/>
      <c r="L101" s="421"/>
      <c r="M101" s="421"/>
      <c r="N101" s="400"/>
      <c r="O101" s="400"/>
      <c r="P101" s="400"/>
      <c r="Q101" s="400"/>
      <c r="R101" s="400"/>
      <c r="S101" s="400"/>
      <c r="T101" s="422"/>
      <c r="U101" s="422"/>
      <c r="V101" s="423"/>
      <c r="W101" s="428"/>
      <c r="X101" s="428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BC101" s="401" t="str">
        <f t="shared" si="157"/>
        <v>-</v>
      </c>
    </row>
    <row r="102" spans="1:64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428"/>
      <c r="X102" s="42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BC102" s="401" t="str">
        <f t="shared" si="157"/>
        <v>-</v>
      </c>
    </row>
    <row r="103" spans="1:64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166">G$4</f>
        <v>THC
[g/km]</v>
      </c>
      <c r="H103" s="425" t="str">
        <f t="shared" si="166"/>
        <v>CO
[g/km]</v>
      </c>
      <c r="I103" s="425" t="str">
        <f t="shared" si="166"/>
        <v>NOx
[g/km]</v>
      </c>
      <c r="J103" s="425" t="str">
        <f t="shared" si="166"/>
        <v>PM
[mg/km]</v>
      </c>
      <c r="K103" s="425" t="str">
        <f t="shared" si="166"/>
        <v>PN
[#/km]</v>
      </c>
      <c r="L103" s="426" t="str">
        <f t="shared" si="166"/>
        <v>Additional
component</v>
      </c>
      <c r="M103" s="426" t="str">
        <f t="shared" si="166"/>
        <v>Additional
component 2</v>
      </c>
      <c r="N103" s="425" t="str">
        <f t="shared" si="16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428"/>
      <c r="X103" s="42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BC103" s="401" t="str">
        <f t="shared" si="157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157"/>
        <v>-</v>
      </c>
    </row>
    <row r="105" spans="1:64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428"/>
      <c r="X105" s="428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401" t="str">
        <f t="shared" si="157"/>
        <v>-</v>
      </c>
    </row>
    <row r="106" spans="1:64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167">IF(OR(F105="-",F105=""),IF(OR(F104="-",F104=""),"-",F104),IF(OR(F104="-",F104=""),F105,(F104+F105)/2))</f>
        <v>-</v>
      </c>
      <c r="G106" s="445" t="str">
        <f t="shared" si="167"/>
        <v>-</v>
      </c>
      <c r="H106" s="445" t="str">
        <f t="shared" si="167"/>
        <v>-</v>
      </c>
      <c r="I106" s="445" t="str">
        <f t="shared" si="167"/>
        <v>-</v>
      </c>
      <c r="J106" s="445" t="str">
        <f t="shared" si="167"/>
        <v>-</v>
      </c>
      <c r="K106" s="446" t="str">
        <f t="shared" si="167"/>
        <v>-</v>
      </c>
      <c r="L106" s="446" t="str">
        <f t="shared" ref="L106:M106" si="168">IF(OR(L105="-",L105=""),IF(OR(L104="-",L104=""),"-",L104),IF(OR(L104="-",L104=""),L105,(L104+L105)/2))</f>
        <v>-</v>
      </c>
      <c r="M106" s="446" t="str">
        <f t="shared" si="168"/>
        <v>-</v>
      </c>
      <c r="N106" s="445" t="str">
        <f t="shared" si="167"/>
        <v>-</v>
      </c>
      <c r="O106" s="672"/>
      <c r="P106" s="673"/>
      <c r="Q106" s="673"/>
      <c r="R106" s="674"/>
      <c r="S106" s="672"/>
      <c r="T106" s="673"/>
      <c r="U106" s="673"/>
      <c r="V106" s="674"/>
      <c r="W106" s="428"/>
      <c r="X106" s="428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BC106" s="401" t="str">
        <f t="shared" si="157"/>
        <v>-</v>
      </c>
    </row>
    <row r="107" spans="1:64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169">IF(OR($C106="-",$C106="CET",$C106=""),"-",IF(AND(NOT(F106="-"),NOT(F$5="-"),NOT(F$5="")),F106/F$5,"-"))</f>
        <v>-</v>
      </c>
      <c r="G107" s="448" t="str">
        <f t="shared" si="169"/>
        <v>-</v>
      </c>
      <c r="H107" s="448" t="str">
        <f t="shared" si="169"/>
        <v>-</v>
      </c>
      <c r="I107" s="448" t="str">
        <f t="shared" si="169"/>
        <v>-</v>
      </c>
      <c r="J107" s="448" t="str">
        <f t="shared" si="169"/>
        <v>-</v>
      </c>
      <c r="K107" s="449" t="str">
        <f t="shared" si="169"/>
        <v>-</v>
      </c>
      <c r="L107" s="449" t="str">
        <f t="shared" ref="L107:M107" si="170">IF(OR($C106="-",$C106="CET",$C106=""),"-",IF(AND(NOT(L106="-"),NOT(L$5="-"),NOT(L$5="")),L106/L$5,"-"))</f>
        <v>-</v>
      </c>
      <c r="M107" s="449" t="str">
        <f t="shared" si="170"/>
        <v>-</v>
      </c>
      <c r="N107" s="448" t="str">
        <f t="shared" si="169"/>
        <v>-</v>
      </c>
      <c r="O107" s="672"/>
      <c r="P107" s="673"/>
      <c r="Q107" s="673"/>
      <c r="R107" s="674"/>
      <c r="S107" s="672"/>
      <c r="T107" s="673"/>
      <c r="U107" s="673"/>
      <c r="V107" s="674"/>
      <c r="W107" s="428"/>
      <c r="X107" s="428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BC107" s="401" t="str">
        <f t="shared" si="157"/>
        <v>-</v>
      </c>
      <c r="BD107" s="429" t="s">
        <v>85</v>
      </c>
      <c r="BE107" s="430" t="str">
        <f>F$4</f>
        <v>NMHC 
[g/km]</v>
      </c>
      <c r="BF107" s="430" t="str">
        <f t="shared" ref="BF107" si="171">G$4</f>
        <v>THC
[g/km]</v>
      </c>
      <c r="BG107" s="430" t="str">
        <f t="shared" ref="BG107" si="172">H$4</f>
        <v>CO
[g/km]</v>
      </c>
      <c r="BH107" s="430" t="str">
        <f t="shared" ref="BH107" si="173">I$4</f>
        <v>NOx
[g/km]</v>
      </c>
      <c r="BI107" s="430" t="str">
        <f t="shared" ref="BI107" si="174">J$4</f>
        <v>PM
[mg/km]</v>
      </c>
      <c r="BJ107" s="430" t="str">
        <f t="shared" ref="BJ107" si="175">K$4</f>
        <v>PN
[#/km]</v>
      </c>
      <c r="BK107" s="430" t="str">
        <f t="shared" ref="BK107" si="176">L$4</f>
        <v>Additional
component</v>
      </c>
      <c r="BL107" s="430" t="str">
        <f t="shared" ref="BL107" si="177">M$4</f>
        <v>Additional
component 2</v>
      </c>
    </row>
    <row r="108" spans="1:64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178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178"/>
        <v>-</v>
      </c>
      <c r="H108" s="451" t="str">
        <f t="shared" si="178"/>
        <v>-</v>
      </c>
      <c r="I108" s="451" t="str">
        <f t="shared" si="178"/>
        <v>-</v>
      </c>
      <c r="J108" s="451" t="str">
        <f t="shared" si="178"/>
        <v>-</v>
      </c>
      <c r="K108" s="452" t="str">
        <f t="shared" si="178"/>
        <v>-</v>
      </c>
      <c r="L108" s="452" t="str">
        <f t="shared" si="178"/>
        <v>-</v>
      </c>
      <c r="M108" s="452" t="str">
        <f t="shared" si="178"/>
        <v>-</v>
      </c>
      <c r="N108" s="451" t="str">
        <f t="shared" si="178"/>
        <v>-</v>
      </c>
      <c r="O108" s="672"/>
      <c r="P108" s="673"/>
      <c r="Q108" s="673"/>
      <c r="R108" s="674"/>
      <c r="S108" s="672"/>
      <c r="T108" s="673"/>
      <c r="U108" s="673"/>
      <c r="V108" s="674"/>
      <c r="W108" s="428"/>
      <c r="X108" s="42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BC108" s="401" t="str">
        <f t="shared" si="157"/>
        <v>-</v>
      </c>
      <c r="BD108" s="429" t="str">
        <f>$E$4</f>
        <v>Post New Long Term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ht="15" customHeight="1" outlineLevel="1" x14ac:dyDescent="0.25">
      <c r="A109" s="396"/>
      <c r="B109" s="721"/>
      <c r="C109" s="668"/>
      <c r="D109" s="397"/>
      <c r="E109" s="397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428"/>
      <c r="X109" s="42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BC109" s="401" t="str">
        <f t="shared" si="157"/>
        <v>-</v>
      </c>
      <c r="BD109" s="429" t="str">
        <f>"1st " &amp;  B104</f>
        <v>1st s.s.e.t.</v>
      </c>
      <c r="BE109" s="435" t="str">
        <f t="shared" ref="BE109:BJ109" si="179">IF((OR($C106="-",$C106="CET",$C106="")),"-",IF(AND(OR(F104="-",F104=""),OR(F105="-",F105="")),"-",IF(NOT(OR(F104="-",F104="")),F104/F$5,F105/F$5)))</f>
        <v>-</v>
      </c>
      <c r="BF109" s="435" t="str">
        <f t="shared" si="179"/>
        <v>-</v>
      </c>
      <c r="BG109" s="435" t="str">
        <f t="shared" si="179"/>
        <v>-</v>
      </c>
      <c r="BH109" s="435" t="str">
        <f t="shared" si="179"/>
        <v>-</v>
      </c>
      <c r="BI109" s="435" t="str">
        <f t="shared" si="179"/>
        <v>-</v>
      </c>
      <c r="BJ109" s="435" t="str">
        <f t="shared" si="179"/>
        <v>-</v>
      </c>
      <c r="BK109" s="435" t="str">
        <f t="shared" ref="BK109:BL109" si="180">IF((OR($C106="-",$C106="CET",$C106="")),"-",IF(AND(OR(L104="-",L104=""),OR(L105="-",L105="")),"-",IF(NOT(OR(L104="-",L104="")),L104/L$5,L105/L$5)))</f>
        <v>-</v>
      </c>
      <c r="BL109" s="435" t="str">
        <f t="shared" si="180"/>
        <v>-</v>
      </c>
    </row>
    <row r="110" spans="1:64" ht="15" customHeight="1" outlineLevel="1" x14ac:dyDescent="0.25">
      <c r="A110" s="396"/>
      <c r="B110" s="721"/>
      <c r="C110" s="668"/>
      <c r="D110" s="397"/>
      <c r="E110" s="397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428"/>
      <c r="X110" s="428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BC110" s="401" t="str">
        <f t="shared" si="157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ht="15" customHeight="1" outlineLevel="1" x14ac:dyDescent="0.25">
      <c r="A111" s="396"/>
      <c r="B111" s="721"/>
      <c r="C111" s="668"/>
      <c r="D111" s="397"/>
      <c r="E111" s="397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428"/>
      <c r="X111" s="428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BC111" s="401" t="str">
        <f t="shared" si="157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ht="15" customHeight="1" outlineLevel="1" x14ac:dyDescent="0.25">
      <c r="A112" s="404"/>
      <c r="B112" s="721"/>
      <c r="C112" s="668"/>
      <c r="D112" s="397"/>
      <c r="E112" s="397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428"/>
      <c r="X112" s="428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BC112" s="401" t="str">
        <f t="shared" si="157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ht="15" customHeight="1" outlineLevel="1" x14ac:dyDescent="0.25">
      <c r="A113" s="404"/>
      <c r="B113" s="721"/>
      <c r="C113" s="668"/>
      <c r="D113" s="397"/>
      <c r="E113" s="397"/>
      <c r="F113" s="397"/>
      <c r="G113" s="397"/>
      <c r="H113" s="397"/>
      <c r="I113" s="397"/>
      <c r="J113" s="397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428"/>
      <c r="X113" s="428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BC113" s="401" t="str">
        <f t="shared" si="157"/>
        <v>-</v>
      </c>
      <c r="BD113" s="429" t="str">
        <f>"0.7*IEF " &amp; (B104)</f>
        <v>0.7*IEF s.s.e.t.</v>
      </c>
      <c r="BE113" s="435" t="str">
        <f t="shared" ref="BE113:BJ113" si="181">IF(OR($C106="-",$C106="CET",$C106=""),"-",0.7*$C106)</f>
        <v>-</v>
      </c>
      <c r="BF113" s="435" t="str">
        <f t="shared" si="181"/>
        <v>-</v>
      </c>
      <c r="BG113" s="435" t="str">
        <f t="shared" si="181"/>
        <v>-</v>
      </c>
      <c r="BH113" s="435" t="str">
        <f t="shared" si="181"/>
        <v>-</v>
      </c>
      <c r="BI113" s="435" t="str">
        <f t="shared" si="181"/>
        <v>-</v>
      </c>
      <c r="BJ113" s="435" t="str">
        <f t="shared" si="181"/>
        <v>-</v>
      </c>
      <c r="BK113" s="435" t="str">
        <f t="shared" ref="BK113:BL113" si="182">IF(OR($C106="-",$C106="CET",$C106=""),"-",0.7*$C106)</f>
        <v>-</v>
      </c>
      <c r="BL113" s="435" t="str">
        <f t="shared" si="182"/>
        <v>-</v>
      </c>
    </row>
    <row r="114" spans="1:64" ht="15" customHeight="1" outlineLevel="1" x14ac:dyDescent="0.25">
      <c r="A114" s="404"/>
      <c r="B114" s="721"/>
      <c r="C114" s="668"/>
      <c r="D114" s="397"/>
      <c r="E114" s="397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428"/>
      <c r="X114" s="42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BC114" s="401" t="str">
        <f t="shared" si="157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ht="15" customHeight="1" outlineLevel="1" x14ac:dyDescent="0.25">
      <c r="A115" s="404"/>
      <c r="B115" s="721"/>
      <c r="C115" s="668"/>
      <c r="D115" s="397"/>
      <c r="E115" s="397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428"/>
      <c r="X115" s="42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BC115" s="401" t="str">
        <f t="shared" si="157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ht="15" customHeight="1" outlineLevel="1" x14ac:dyDescent="0.25">
      <c r="A116" s="404"/>
      <c r="B116" s="721"/>
      <c r="C116" s="668"/>
      <c r="D116" s="397"/>
      <c r="E116" s="397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428"/>
      <c r="X116" s="428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BC116" s="401" t="str">
        <f t="shared" si="157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ht="15" customHeight="1" outlineLevel="1" x14ac:dyDescent="0.25">
      <c r="A117" s="404"/>
      <c r="B117" s="721"/>
      <c r="C117" s="668"/>
      <c r="D117" s="397"/>
      <c r="E117" s="397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428"/>
      <c r="X117" s="428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BC117" s="401" t="str">
        <f t="shared" si="157"/>
        <v>-</v>
      </c>
      <c r="BD117" s="429" t="str">
        <f>B104</f>
        <v>s.s.e.t.</v>
      </c>
      <c r="BE117" s="477" t="str">
        <f t="shared" ref="BE117:BJ117" si="183">F107</f>
        <v>-</v>
      </c>
      <c r="BF117" s="435" t="str">
        <f t="shared" si="183"/>
        <v>-</v>
      </c>
      <c r="BG117" s="435" t="str">
        <f t="shared" si="183"/>
        <v>-</v>
      </c>
      <c r="BH117" s="435" t="str">
        <f t="shared" si="183"/>
        <v>-</v>
      </c>
      <c r="BI117" s="435" t="str">
        <f t="shared" si="183"/>
        <v>-</v>
      </c>
      <c r="BJ117" s="435" t="str">
        <f t="shared" si="183"/>
        <v>-</v>
      </c>
      <c r="BK117" s="435" t="str">
        <f t="shared" ref="BK117:BL117" si="184">L107</f>
        <v>-</v>
      </c>
      <c r="BL117" s="435" t="str">
        <f t="shared" si="184"/>
        <v>-</v>
      </c>
    </row>
    <row r="118" spans="1:64" ht="15" customHeight="1" outlineLevel="1" x14ac:dyDescent="0.25">
      <c r="A118" s="404"/>
      <c r="B118" s="721"/>
      <c r="C118" s="668"/>
      <c r="D118" s="397"/>
      <c r="E118" s="397"/>
      <c r="F118" s="397"/>
      <c r="G118" s="397"/>
      <c r="H118" s="397"/>
      <c r="I118" s="397"/>
      <c r="J118" s="397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428"/>
      <c r="X118" s="428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BC118" s="401" t="str">
        <f t="shared" si="157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ht="15" customHeight="1" outlineLevel="1" x14ac:dyDescent="0.25">
      <c r="A119" s="404"/>
      <c r="B119" s="721"/>
      <c r="C119" s="668"/>
      <c r="D119" s="397"/>
      <c r="E119" s="397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428"/>
      <c r="X119" s="428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BC119" s="401" t="str">
        <f t="shared" si="157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ht="15" customHeight="1" outlineLevel="1" x14ac:dyDescent="0.25">
      <c r="A120" s="404"/>
      <c r="B120" s="721"/>
      <c r="C120" s="668"/>
      <c r="D120" s="397"/>
      <c r="E120" s="397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428"/>
      <c r="X120" s="428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BC120" s="401" t="str">
        <f t="shared" si="157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ht="15" customHeight="1" outlineLevel="1" x14ac:dyDescent="0.25">
      <c r="A121" s="404"/>
      <c r="B121" s="721"/>
      <c r="C121" s="668"/>
      <c r="D121" s="397"/>
      <c r="E121" s="397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428"/>
      <c r="X121" s="428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BC121" s="401" t="str">
        <f t="shared" si="157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J121" si="185">IF(OR($C106="-",$C106="CET",$C106=""),"-",$C106)</f>
        <v>-</v>
      </c>
      <c r="BG121" s="435" t="str">
        <f t="shared" si="185"/>
        <v>-</v>
      </c>
      <c r="BH121" s="435" t="str">
        <f t="shared" si="185"/>
        <v>-</v>
      </c>
      <c r="BI121" s="435" t="str">
        <f t="shared" si="185"/>
        <v>-</v>
      </c>
      <c r="BJ121" s="435" t="str">
        <f t="shared" si="185"/>
        <v>-</v>
      </c>
      <c r="BK121" s="435" t="str">
        <f t="shared" ref="BK121:BL121" si="186">IF(OR($C106="-",$C106="CET",$C106=""),"-",$C106)</f>
        <v>-</v>
      </c>
      <c r="BL121" s="435" t="str">
        <f t="shared" si="186"/>
        <v>-</v>
      </c>
    </row>
    <row r="122" spans="1:64" outlineLevel="1" x14ac:dyDescent="0.25">
      <c r="B122" s="721"/>
      <c r="C122" s="668"/>
      <c r="D122" s="397"/>
      <c r="E122" s="397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BC122" s="401" t="str">
        <f t="shared" si="157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ht="15.75" outlineLevel="1" thickBot="1" x14ac:dyDescent="0.3">
      <c r="B123" s="722"/>
      <c r="C123" s="723"/>
      <c r="D123" s="469"/>
      <c r="E123" s="469"/>
      <c r="F123" s="469"/>
      <c r="G123" s="469"/>
      <c r="H123" s="469"/>
      <c r="I123" s="469"/>
      <c r="J123" s="469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BC123" s="401" t="str">
        <f t="shared" si="157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ht="15" customHeight="1" x14ac:dyDescent="0.25">
      <c r="A124" s="396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BC124" s="401" t="str">
        <f t="shared" si="157"/>
        <v>-</v>
      </c>
    </row>
    <row r="125" spans="1:64" ht="15" customHeight="1" x14ac:dyDescent="0.25">
      <c r="A125" s="396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BC125" s="401" t="str">
        <f t="shared" si="157"/>
        <v>-</v>
      </c>
    </row>
    <row r="126" spans="1:64" ht="15" customHeight="1" thickBot="1" x14ac:dyDescent="0.3">
      <c r="A126" s="396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BC126" s="401" t="str">
        <f t="shared" si="157"/>
        <v>-</v>
      </c>
    </row>
    <row r="127" spans="1:64" ht="24.95" customHeight="1" thickBot="1" x14ac:dyDescent="0.3">
      <c r="A127" s="396"/>
      <c r="B127" s="415">
        <v>6</v>
      </c>
      <c r="C127" s="706" t="s">
        <v>118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417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BC127" s="401" t="str">
        <f t="shared" si="157"/>
        <v>-</v>
      </c>
    </row>
    <row r="128" spans="1:64" ht="15" customHeight="1" outlineLevel="1" thickBot="1" x14ac:dyDescent="0.3">
      <c r="A128" s="396"/>
      <c r="B128" s="420"/>
      <c r="C128" s="400"/>
      <c r="D128" s="400"/>
      <c r="E128" s="400"/>
      <c r="F128" s="400"/>
      <c r="G128" s="400"/>
      <c r="H128" s="400"/>
      <c r="I128" s="400"/>
      <c r="J128" s="400"/>
      <c r="K128" s="421"/>
      <c r="L128" s="421"/>
      <c r="M128" s="421"/>
      <c r="N128" s="400"/>
      <c r="O128" s="400"/>
      <c r="P128" s="400"/>
      <c r="Q128" s="400"/>
      <c r="R128" s="400"/>
      <c r="S128" s="400"/>
      <c r="T128" s="422"/>
      <c r="U128" s="422"/>
      <c r="V128" s="423"/>
      <c r="W128" s="428"/>
      <c r="X128" s="428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BC128" s="401" t="str">
        <f t="shared" si="157"/>
        <v>-</v>
      </c>
      <c r="BD128" s="429" t="s">
        <v>85</v>
      </c>
      <c r="BE128" s="430" t="str">
        <f>F$4</f>
        <v>NMHC 
[g/km]</v>
      </c>
      <c r="BF128" s="430" t="str">
        <f t="shared" ref="BF128" si="187">G$4</f>
        <v>THC
[g/km]</v>
      </c>
      <c r="BG128" s="430" t="str">
        <f t="shared" ref="BG128" si="188">H$4</f>
        <v>CO
[g/km]</v>
      </c>
      <c r="BH128" s="430" t="str">
        <f t="shared" ref="BH128" si="189">I$4</f>
        <v>NOx
[g/km]</v>
      </c>
      <c r="BI128" s="430" t="str">
        <f t="shared" ref="BI128" si="190">J$4</f>
        <v>PM
[mg/km]</v>
      </c>
      <c r="BJ128" s="430" t="str">
        <f t="shared" ref="BJ128" si="191">K$4</f>
        <v>PN
[#/km]</v>
      </c>
      <c r="BK128" s="430" t="str">
        <f t="shared" ref="BK128" si="192">L$4</f>
        <v>Additional
component</v>
      </c>
      <c r="BL128" s="430" t="str">
        <f t="shared" ref="BL128" si="193">M$4</f>
        <v>Additional
component 2</v>
      </c>
    </row>
    <row r="129" spans="1:64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428"/>
      <c r="X129" s="42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BC129" s="401" t="str">
        <f t="shared" si="157"/>
        <v>-</v>
      </c>
      <c r="BD129" s="429" t="str">
        <f>$E$4</f>
        <v>Post New Long Term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194">G$4</f>
        <v>THC
[g/km]</v>
      </c>
      <c r="H130" s="425" t="str">
        <f t="shared" si="194"/>
        <v>CO
[g/km]</v>
      </c>
      <c r="I130" s="425" t="str">
        <f t="shared" si="194"/>
        <v>NOx
[g/km]</v>
      </c>
      <c r="J130" s="425" t="str">
        <f t="shared" si="194"/>
        <v>PM
[mg/km]</v>
      </c>
      <c r="K130" s="425" t="str">
        <f t="shared" si="194"/>
        <v>PN
[#/km]</v>
      </c>
      <c r="L130" s="426" t="str">
        <f t="shared" si="194"/>
        <v>Additional
component</v>
      </c>
      <c r="M130" s="426" t="str">
        <f t="shared" si="194"/>
        <v>Additional
component 2</v>
      </c>
      <c r="N130" s="425" t="str">
        <f t="shared" si="194"/>
        <v>CO2
[g/km]</v>
      </c>
      <c r="O130" s="669"/>
      <c r="P130" s="670"/>
      <c r="Q130" s="670"/>
      <c r="R130" s="671"/>
      <c r="S130" s="669"/>
      <c r="T130" s="670"/>
      <c r="U130" s="670"/>
      <c r="V130" s="671"/>
      <c r="W130" s="428"/>
      <c r="X130" s="42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401" t="str">
        <f t="shared" si="157"/>
        <v>-</v>
      </c>
      <c r="BD130" s="429" t="str">
        <f>"1st " &amp;  B131</f>
        <v>1st normal</v>
      </c>
      <c r="BE130" s="435" t="str">
        <f t="shared" ref="BE130:BJ130" si="195">IF((OR($C133="-",$C133="CET",$C133="")),"-",IF(AND(OR(F131="-",F131=""),OR(F132="-",F132="")),"-",IF(NOT(OR(F131="-",F131="")),F131/F$5,F132/F$5)))</f>
        <v>-</v>
      </c>
      <c r="BF130" s="435" t="str">
        <f t="shared" si="195"/>
        <v>-</v>
      </c>
      <c r="BG130" s="435" t="str">
        <f t="shared" si="195"/>
        <v>-</v>
      </c>
      <c r="BH130" s="435" t="str">
        <f t="shared" si="195"/>
        <v>-</v>
      </c>
      <c r="BI130" s="435" t="str">
        <f t="shared" si="195"/>
        <v>-</v>
      </c>
      <c r="BJ130" s="435" t="str">
        <f t="shared" si="195"/>
        <v>-</v>
      </c>
      <c r="BK130" s="435" t="str">
        <f t="shared" ref="BK130:BL130" si="196">IF((OR($C133="-",$C133="CET",$C133="")),"-",IF(AND(OR(L131="-",L131=""),OR(L132="-",L132="")),"-",IF(NOT(OR(L131="-",L131="")),L131/L$5,L132/L$5)))</f>
        <v>-</v>
      </c>
      <c r="BL130" s="435" t="str">
        <f t="shared" si="196"/>
        <v>-</v>
      </c>
    </row>
    <row r="131" spans="1:64" s="405" customFormat="1" ht="15" customHeight="1" outlineLevel="1" x14ac:dyDescent="0.25">
      <c r="A131" s="439"/>
      <c r="B131" s="724" t="s">
        <v>116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157"/>
        <v>-</v>
      </c>
      <c r="BD131" s="429" t="str">
        <f>"1st " &amp; B136</f>
        <v>1st aggressive</v>
      </c>
      <c r="BE131" s="435" t="str">
        <f t="shared" ref="BE131:BJ131" si="197">IF((OR($C138="-",$C138="CET",$C138="")),"-",IF(AND(OR(F136="-",F136=""),OR(F137="-",F137="")),"-",IF(NOT(OR(F136="-",F136="")),F136/F$5,F137/F$5)))</f>
        <v>-</v>
      </c>
      <c r="BF131" s="435" t="str">
        <f t="shared" si="197"/>
        <v>-</v>
      </c>
      <c r="BG131" s="435" t="str">
        <f t="shared" si="197"/>
        <v>-</v>
      </c>
      <c r="BH131" s="435" t="str">
        <f t="shared" si="197"/>
        <v>-</v>
      </c>
      <c r="BI131" s="435" t="str">
        <f t="shared" si="197"/>
        <v>-</v>
      </c>
      <c r="BJ131" s="435" t="str">
        <f t="shared" si="197"/>
        <v>-</v>
      </c>
      <c r="BK131" s="435" t="str">
        <f t="shared" ref="BK131:BL131" si="198">IF((OR($C138="-",$C138="CET",$C138="")),"-",IF(AND(OR(L136="-",L136=""),OR(L137="-",L137="")),"-",IF(NOT(OR(L136="-",L136="")),L136/L$5,L137/L$5)))</f>
        <v>-</v>
      </c>
      <c r="BL131" s="435" t="str">
        <f t="shared" si="198"/>
        <v>-</v>
      </c>
    </row>
    <row r="132" spans="1:64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428"/>
      <c r="X132" s="428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BC132" s="401" t="str">
        <f t="shared" si="157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ht="15" customHeight="1" outlineLevel="1" thickBot="1" x14ac:dyDescent="0.3">
      <c r="A133" s="396"/>
      <c r="B133" s="725"/>
      <c r="C133" s="686">
        <v>2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199">IF(OR(F132="-",F132=""),IF(OR(F131="-",F131=""),"-",F131),IF(OR(F131="-",F131=""),F132,(F131+F132)/2))</f>
        <v>-</v>
      </c>
      <c r="G133" s="445" t="str">
        <f t="shared" si="199"/>
        <v>-</v>
      </c>
      <c r="H133" s="445" t="str">
        <f t="shared" si="199"/>
        <v>-</v>
      </c>
      <c r="I133" s="445" t="str">
        <f t="shared" si="199"/>
        <v>-</v>
      </c>
      <c r="J133" s="445" t="str">
        <f t="shared" si="199"/>
        <v>-</v>
      </c>
      <c r="K133" s="446" t="str">
        <f t="shared" si="199"/>
        <v>-</v>
      </c>
      <c r="L133" s="446" t="str">
        <f t="shared" ref="L133:M133" si="200">IF(OR(L132="-",L132=""),IF(OR(L131="-",L131=""),"-",L131),IF(OR(L131="-",L131=""),L132,(L131+L132)/2))</f>
        <v>-</v>
      </c>
      <c r="M133" s="446" t="str">
        <f t="shared" si="200"/>
        <v>-</v>
      </c>
      <c r="N133" s="445" t="str">
        <f t="shared" si="199"/>
        <v>-</v>
      </c>
      <c r="O133" s="672"/>
      <c r="P133" s="673"/>
      <c r="Q133" s="673"/>
      <c r="R133" s="674"/>
      <c r="S133" s="672"/>
      <c r="T133" s="673"/>
      <c r="U133" s="673"/>
      <c r="V133" s="674"/>
      <c r="W133" s="428"/>
      <c r="X133" s="428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BC133" s="401" t="str">
        <f t="shared" si="157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201">IF(OR($C133="-",$C133="CET",$C133=""),"-",IF(AND(NOT(F133="-"),NOT(F$5="-"),NOT(F$5="")),F133/F$5,"-"))</f>
        <v>-</v>
      </c>
      <c r="G134" s="448" t="str">
        <f t="shared" si="201"/>
        <v>-</v>
      </c>
      <c r="H134" s="448" t="str">
        <f t="shared" si="201"/>
        <v>-</v>
      </c>
      <c r="I134" s="448" t="str">
        <f t="shared" si="201"/>
        <v>-</v>
      </c>
      <c r="J134" s="448" t="str">
        <f t="shared" si="201"/>
        <v>-</v>
      </c>
      <c r="K134" s="449" t="str">
        <f t="shared" si="201"/>
        <v>-</v>
      </c>
      <c r="L134" s="449" t="str">
        <f t="shared" ref="L134:M134" si="202">IF(OR($C133="-",$C133="CET",$C133=""),"-",IF(AND(NOT(L133="-"),NOT(L$5="-"),NOT(L$5="")),L133/L$5,"-"))</f>
        <v>-</v>
      </c>
      <c r="M134" s="449" t="str">
        <f t="shared" si="202"/>
        <v>-</v>
      </c>
      <c r="N134" s="448" t="str">
        <f t="shared" si="201"/>
        <v>-</v>
      </c>
      <c r="O134" s="672"/>
      <c r="P134" s="673"/>
      <c r="Q134" s="673"/>
      <c r="R134" s="674"/>
      <c r="S134" s="672"/>
      <c r="T134" s="673"/>
      <c r="U134" s="673"/>
      <c r="V134" s="674"/>
      <c r="W134" s="428"/>
      <c r="X134" s="428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BC134" s="401" t="str">
        <f t="shared" si="157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ht="15" customHeight="1" outlineLevel="1" thickBot="1" x14ac:dyDescent="0.3">
      <c r="A135" s="396"/>
      <c r="B135" s="726"/>
      <c r="C135" s="688"/>
      <c r="D135" s="691"/>
      <c r="E135" s="450" t="s">
        <v>30</v>
      </c>
      <c r="F135" s="451" t="str">
        <f t="shared" ref="F135:N135" si="203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203"/>
        <v>-</v>
      </c>
      <c r="H135" s="451" t="str">
        <f t="shared" si="203"/>
        <v>-</v>
      </c>
      <c r="I135" s="451" t="str">
        <f t="shared" si="203"/>
        <v>-</v>
      </c>
      <c r="J135" s="451" t="str">
        <f t="shared" si="203"/>
        <v>-</v>
      </c>
      <c r="K135" s="452" t="str">
        <f t="shared" si="203"/>
        <v>-</v>
      </c>
      <c r="L135" s="452" t="str">
        <f t="shared" si="203"/>
        <v>-</v>
      </c>
      <c r="M135" s="452" t="str">
        <f t="shared" si="203"/>
        <v>-</v>
      </c>
      <c r="N135" s="451" t="str">
        <f t="shared" si="203"/>
        <v>-</v>
      </c>
      <c r="O135" s="672"/>
      <c r="P135" s="673"/>
      <c r="Q135" s="673"/>
      <c r="R135" s="674"/>
      <c r="S135" s="672"/>
      <c r="T135" s="673"/>
      <c r="U135" s="673"/>
      <c r="V135" s="674"/>
      <c r="W135" s="428"/>
      <c r="X135" s="42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BC135" s="401" t="str">
        <f t="shared" si="157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4" t="s">
        <v>115</v>
      </c>
      <c r="C136" s="684" t="s">
        <v>114</v>
      </c>
      <c r="D136" s="684" t="s">
        <v>113</v>
      </c>
      <c r="E136" s="453" t="s">
        <v>94</v>
      </c>
      <c r="F136" s="473" t="s">
        <v>5</v>
      </c>
      <c r="G136" s="473" t="s">
        <v>5</v>
      </c>
      <c r="H136" s="473" t="s">
        <v>5</v>
      </c>
      <c r="I136" s="473" t="s">
        <v>5</v>
      </c>
      <c r="J136" s="473" t="s">
        <v>5</v>
      </c>
      <c r="K136" s="474" t="s">
        <v>5</v>
      </c>
      <c r="L136" s="474" t="s">
        <v>5</v>
      </c>
      <c r="M136" s="474" t="s">
        <v>5</v>
      </c>
      <c r="N136" s="473" t="s">
        <v>5</v>
      </c>
      <c r="O136" s="672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157"/>
        <v>-</v>
      </c>
      <c r="BD136" s="429" t="str">
        <f>"0.7*IEF " &amp; (B131)</f>
        <v>0.7*IEF normal</v>
      </c>
      <c r="BE136" s="435">
        <f t="shared" ref="BE136:BJ136" si="204">IF(OR($C133="-",$C133="CET",$C133=""),"-",0.7*$C133)</f>
        <v>1.4</v>
      </c>
      <c r="BF136" s="435">
        <f t="shared" si="204"/>
        <v>1.4</v>
      </c>
      <c r="BG136" s="435">
        <f t="shared" si="204"/>
        <v>1.4</v>
      </c>
      <c r="BH136" s="435">
        <f t="shared" si="204"/>
        <v>1.4</v>
      </c>
      <c r="BI136" s="435">
        <f t="shared" si="204"/>
        <v>1.4</v>
      </c>
      <c r="BJ136" s="435">
        <f t="shared" si="204"/>
        <v>1.4</v>
      </c>
      <c r="BK136" s="435">
        <f t="shared" ref="BK136:BL136" si="205">IF(OR($C133="-",$C133="CET",$C133=""),"-",0.7*$C133)</f>
        <v>1.4</v>
      </c>
      <c r="BL136" s="435">
        <f t="shared" si="205"/>
        <v>1.4</v>
      </c>
    </row>
    <row r="137" spans="1:64" ht="15" customHeight="1" outlineLevel="1" thickBot="1" x14ac:dyDescent="0.3">
      <c r="A137" s="396"/>
      <c r="B137" s="725"/>
      <c r="C137" s="702"/>
      <c r="D137" s="685"/>
      <c r="E137" s="440" t="s">
        <v>95</v>
      </c>
      <c r="F137" s="475" t="s">
        <v>5</v>
      </c>
      <c r="G137" s="475" t="s">
        <v>5</v>
      </c>
      <c r="H137" s="475" t="s">
        <v>5</v>
      </c>
      <c r="I137" s="475" t="s">
        <v>5</v>
      </c>
      <c r="J137" s="475" t="s">
        <v>5</v>
      </c>
      <c r="K137" s="476" t="s">
        <v>5</v>
      </c>
      <c r="L137" s="476" t="s">
        <v>5</v>
      </c>
      <c r="M137" s="476" t="s">
        <v>5</v>
      </c>
      <c r="N137" s="475" t="s">
        <v>5</v>
      </c>
      <c r="O137" s="672"/>
      <c r="P137" s="673"/>
      <c r="Q137" s="673"/>
      <c r="R137" s="674"/>
      <c r="S137" s="672"/>
      <c r="T137" s="673"/>
      <c r="U137" s="673"/>
      <c r="V137" s="674"/>
      <c r="W137" s="428"/>
      <c r="X137" s="428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BC137" s="401" t="str">
        <f t="shared" si="157"/>
        <v>-</v>
      </c>
      <c r="BD137" s="429" t="str">
        <f>"0.7*IEF " &amp; B136</f>
        <v>0.7*IEF aggressive</v>
      </c>
      <c r="BE137" s="435">
        <f t="shared" ref="BE137:BL137" si="206">IF(OR($C138="-",$C138="CET",$C138=""),"-",0.7*$C138)</f>
        <v>2.8</v>
      </c>
      <c r="BF137" s="435">
        <f t="shared" si="206"/>
        <v>2.8</v>
      </c>
      <c r="BG137" s="435">
        <f t="shared" si="206"/>
        <v>2.8</v>
      </c>
      <c r="BH137" s="435">
        <f t="shared" si="206"/>
        <v>2.8</v>
      </c>
      <c r="BI137" s="435">
        <f t="shared" si="206"/>
        <v>2.8</v>
      </c>
      <c r="BJ137" s="435">
        <f t="shared" si="206"/>
        <v>2.8</v>
      </c>
      <c r="BK137" s="435">
        <f t="shared" si="206"/>
        <v>2.8</v>
      </c>
      <c r="BL137" s="435">
        <f t="shared" si="206"/>
        <v>2.8</v>
      </c>
    </row>
    <row r="138" spans="1:64" ht="15" customHeight="1" outlineLevel="1" thickBot="1" x14ac:dyDescent="0.3">
      <c r="A138" s="396"/>
      <c r="B138" s="725"/>
      <c r="C138" s="686">
        <v>4</v>
      </c>
      <c r="D138" s="689" t="str">
        <f>IF(AND(F139="-",G139="-",H139="-",I139="-",J139="-",K139="-",L139="-",M139="-"),"-",MAX(F139,G139,H139,I139,J139,K139,L139,M139))</f>
        <v>-</v>
      </c>
      <c r="E138" s="444" t="s">
        <v>96</v>
      </c>
      <c r="F138" s="445" t="str">
        <f t="shared" ref="F138:N138" si="207">IF(OR(F137="-",F137=""),IF(OR(F136="-",F136=""),"-",F136),IF(OR(F136="-",F136=""),F137,(F136+F137)/2))</f>
        <v>-</v>
      </c>
      <c r="G138" s="445" t="str">
        <f t="shared" si="207"/>
        <v>-</v>
      </c>
      <c r="H138" s="445" t="str">
        <f t="shared" si="207"/>
        <v>-</v>
      </c>
      <c r="I138" s="445" t="str">
        <f t="shared" si="207"/>
        <v>-</v>
      </c>
      <c r="J138" s="445" t="str">
        <f t="shared" si="207"/>
        <v>-</v>
      </c>
      <c r="K138" s="446" t="str">
        <f t="shared" si="207"/>
        <v>-</v>
      </c>
      <c r="L138" s="446" t="str">
        <f t="shared" ref="L138:M138" si="208">IF(OR(L137="-",L137=""),IF(OR(L136="-",L136=""),"-",L136),IF(OR(L136="-",L136=""),L137,(L136+L137)/2))</f>
        <v>-</v>
      </c>
      <c r="M138" s="446" t="str">
        <f t="shared" si="208"/>
        <v>-</v>
      </c>
      <c r="N138" s="445" t="str">
        <f t="shared" si="207"/>
        <v>-</v>
      </c>
      <c r="O138" s="672"/>
      <c r="P138" s="673"/>
      <c r="Q138" s="673"/>
      <c r="R138" s="674"/>
      <c r="S138" s="672"/>
      <c r="T138" s="673"/>
      <c r="U138" s="673"/>
      <c r="V138" s="674"/>
      <c r="W138" s="428"/>
      <c r="X138" s="428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BC138" s="401" t="str">
        <f t="shared" si="157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ht="15" customHeight="1" outlineLevel="1" thickBot="1" x14ac:dyDescent="0.3">
      <c r="A139" s="404"/>
      <c r="B139" s="725"/>
      <c r="C139" s="687"/>
      <c r="D139" s="690"/>
      <c r="E139" s="447" t="s">
        <v>97</v>
      </c>
      <c r="F139" s="448" t="str">
        <f t="shared" ref="F139:N139" si="209">IF(OR($C138="-",$C138="CET",$C138=""),"-",IF(AND(NOT(F138="-"),NOT(F$5="-"),NOT(F$5="")),F138/F$5,"-"))</f>
        <v>-</v>
      </c>
      <c r="G139" s="448" t="str">
        <f t="shared" si="209"/>
        <v>-</v>
      </c>
      <c r="H139" s="448" t="str">
        <f t="shared" si="209"/>
        <v>-</v>
      </c>
      <c r="I139" s="448" t="str">
        <f t="shared" si="209"/>
        <v>-</v>
      </c>
      <c r="J139" s="448" t="str">
        <f t="shared" si="209"/>
        <v>-</v>
      </c>
      <c r="K139" s="449" t="str">
        <f t="shared" si="209"/>
        <v>-</v>
      </c>
      <c r="L139" s="449" t="str">
        <f t="shared" ref="L139:M139" si="210">IF(OR($C138="-",$C138="CET",$C138=""),"-",IF(AND(NOT(L138="-"),NOT(L$5="-"),NOT(L$5="")),L138/L$5,"-"))</f>
        <v>-</v>
      </c>
      <c r="M139" s="449" t="str">
        <f t="shared" si="210"/>
        <v>-</v>
      </c>
      <c r="N139" s="448" t="str">
        <f t="shared" si="209"/>
        <v>-</v>
      </c>
      <c r="O139" s="672"/>
      <c r="P139" s="673"/>
      <c r="Q139" s="673"/>
      <c r="R139" s="674"/>
      <c r="S139" s="672"/>
      <c r="T139" s="673"/>
      <c r="U139" s="673"/>
      <c r="V139" s="674"/>
      <c r="W139" s="428"/>
      <c r="X139" s="428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BC139" s="401" t="str">
        <f t="shared" si="157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ht="15" customHeight="1" outlineLevel="1" thickBot="1" x14ac:dyDescent="0.3">
      <c r="A140" s="404"/>
      <c r="B140" s="726"/>
      <c r="C140" s="688"/>
      <c r="D140" s="691"/>
      <c r="E140" s="451" t="s">
        <v>30</v>
      </c>
      <c r="F140" s="451" t="str">
        <f t="shared" ref="F140:N140" si="211">IF(AND(OR(F136="-",F136=""),OR(F137="-",F137="")),"-",IF(OR($C138="-",$C138="",$C138="CET"),"-",IF($R$127="not listed","-",IF(NOT(F$5="-"),IF(AND(AND(NOT(F136=0),NOT(F136="-"),NOT(F136="")),AND(NOT(F137="-"),NOT(F137=0),NOT(F137=""))),IF(AND((F136+F137)/2&lt;1*F$5*IF(OR($C138="CET",$C138="-",$C138=""),"-",$C138),F136&lt;1.1*F$5*IF(OR($C138="CET",$C138="-",$C138=""),"-",$C138),F137&lt;1.1*F$5*IF(OR($C138="CET",$C138="-",$C138=""),"-",$C138)),"passed","refused"),IF(IF(OR(F136="-",F136=""),F137,F136)&lt;0.7*F$5*IF(OR($C138="CET",$C138="-",$C138=""),"-",$C138),"passed",IF(IF(OR(F136="-",F136=""),F137,F136)&lt;1.1*IF(OR($C138="CET",$C138="-",$C138=""),"-",$C138)*F$5,"failed","refused"))),"-"))))</f>
        <v>-</v>
      </c>
      <c r="G140" s="451" t="str">
        <f t="shared" si="211"/>
        <v>-</v>
      </c>
      <c r="H140" s="451" t="str">
        <f t="shared" si="211"/>
        <v>-</v>
      </c>
      <c r="I140" s="451" t="str">
        <f t="shared" si="211"/>
        <v>-</v>
      </c>
      <c r="J140" s="451" t="str">
        <f t="shared" si="211"/>
        <v>-</v>
      </c>
      <c r="K140" s="452" t="str">
        <f t="shared" si="211"/>
        <v>-</v>
      </c>
      <c r="L140" s="452" t="str">
        <f t="shared" si="211"/>
        <v>-</v>
      </c>
      <c r="M140" s="452" t="str">
        <f t="shared" si="211"/>
        <v>-</v>
      </c>
      <c r="N140" s="451" t="str">
        <f t="shared" si="211"/>
        <v>-</v>
      </c>
      <c r="O140" s="672"/>
      <c r="P140" s="673"/>
      <c r="Q140" s="673"/>
      <c r="R140" s="674"/>
      <c r="S140" s="672"/>
      <c r="T140" s="673"/>
      <c r="U140" s="673"/>
      <c r="V140" s="674"/>
      <c r="W140" s="428"/>
      <c r="X140" s="428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BC140" s="401" t="str">
        <f t="shared" si="157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78"/>
      <c r="C141" s="479"/>
      <c r="D141" s="479"/>
      <c r="E141" s="480"/>
      <c r="F141" s="481"/>
      <c r="G141" s="481"/>
      <c r="H141" s="481"/>
      <c r="I141" s="481"/>
      <c r="J141" s="481"/>
      <c r="K141" s="482"/>
      <c r="L141" s="482"/>
      <c r="M141" s="482"/>
      <c r="N141" s="483"/>
      <c r="O141" s="672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157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428"/>
      <c r="X142" s="42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BC142" s="401" t="str">
        <f t="shared" si="157"/>
        <v>-</v>
      </c>
      <c r="BD142" s="429" t="str">
        <f>$B131</f>
        <v>normal</v>
      </c>
      <c r="BE142" s="435" t="str">
        <f t="shared" ref="BE142:BJ142" si="212">F134</f>
        <v>-</v>
      </c>
      <c r="BF142" s="435" t="str">
        <f t="shared" si="212"/>
        <v>-</v>
      </c>
      <c r="BG142" s="435" t="str">
        <f t="shared" si="212"/>
        <v>-</v>
      </c>
      <c r="BH142" s="435" t="str">
        <f t="shared" si="212"/>
        <v>-</v>
      </c>
      <c r="BI142" s="435" t="str">
        <f t="shared" si="212"/>
        <v>-</v>
      </c>
      <c r="BJ142" s="435" t="str">
        <f t="shared" si="212"/>
        <v>-</v>
      </c>
      <c r="BK142" s="435" t="str">
        <f t="shared" ref="BK142:BL142" si="213">L134</f>
        <v>-</v>
      </c>
      <c r="BL142" s="435" t="str">
        <f t="shared" si="213"/>
        <v>-</v>
      </c>
    </row>
    <row r="143" spans="1:64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2"/>
      <c r="P143" s="673"/>
      <c r="Q143" s="673"/>
      <c r="R143" s="674"/>
      <c r="S143" s="672"/>
      <c r="T143" s="673"/>
      <c r="U143" s="673"/>
      <c r="V143" s="674"/>
      <c r="W143" s="428"/>
      <c r="X143" s="428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BC143" s="401" t="str">
        <f t="shared" si="157"/>
        <v>-</v>
      </c>
      <c r="BD143" s="429" t="str">
        <f>$B136</f>
        <v>aggressive</v>
      </c>
      <c r="BE143" s="435" t="str">
        <f t="shared" ref="BE143:BJ143" si="214">F139</f>
        <v>-</v>
      </c>
      <c r="BF143" s="435" t="str">
        <f t="shared" si="214"/>
        <v>-</v>
      </c>
      <c r="BG143" s="435" t="str">
        <f t="shared" si="214"/>
        <v>-</v>
      </c>
      <c r="BH143" s="435" t="str">
        <f t="shared" si="214"/>
        <v>-</v>
      </c>
      <c r="BI143" s="435" t="str">
        <f t="shared" si="214"/>
        <v>-</v>
      </c>
      <c r="BJ143" s="435" t="str">
        <f t="shared" si="214"/>
        <v>-</v>
      </c>
      <c r="BK143" s="435" t="str">
        <f t="shared" ref="BK143:BL143" si="215">L139</f>
        <v>-</v>
      </c>
      <c r="BL143" s="435" t="str">
        <f t="shared" si="215"/>
        <v>-</v>
      </c>
    </row>
    <row r="144" spans="1:64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2"/>
      <c r="P144" s="673"/>
      <c r="Q144" s="673"/>
      <c r="R144" s="674"/>
      <c r="S144" s="672"/>
      <c r="T144" s="673"/>
      <c r="U144" s="673"/>
      <c r="V144" s="674"/>
      <c r="W144" s="428"/>
      <c r="X144" s="428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BC144" s="401" t="str">
        <f t="shared" si="157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2"/>
      <c r="P145" s="673"/>
      <c r="Q145" s="673"/>
      <c r="R145" s="674"/>
      <c r="S145" s="672"/>
      <c r="T145" s="673"/>
      <c r="U145" s="673"/>
      <c r="V145" s="674"/>
      <c r="W145" s="428"/>
      <c r="X145" s="428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BC145" s="401" t="str">
        <f t="shared" si="157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ref="BC146:BC187" si="216">IF(COUNTIF(F146:M146,"refused")&gt;0,"refused",IF(COUNTIF(F146:M146,"failed")&gt;0,"failed",IF(COUNTIF(F146:M146,"passed")&gt;0,"passed","-")))</f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428"/>
      <c r="X147" s="42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BC147" s="401" t="str">
        <f t="shared" si="216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2"/>
      <c r="P148" s="673"/>
      <c r="Q148" s="673"/>
      <c r="R148" s="674"/>
      <c r="S148" s="672"/>
      <c r="T148" s="673"/>
      <c r="U148" s="673"/>
      <c r="V148" s="674"/>
      <c r="W148" s="428"/>
      <c r="X148" s="42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BC148" s="401" t="str">
        <f t="shared" si="216"/>
        <v>-</v>
      </c>
      <c r="BD148" s="429" t="str">
        <f>"IEF " &amp;B131</f>
        <v>IEF normal</v>
      </c>
      <c r="BE148" s="435">
        <f t="shared" ref="BE148:BJ148" si="217">IF(OR($C133="-",$C133="CET",$C133=""),"-",$C133)</f>
        <v>2</v>
      </c>
      <c r="BF148" s="435">
        <f t="shared" si="217"/>
        <v>2</v>
      </c>
      <c r="BG148" s="435">
        <f t="shared" si="217"/>
        <v>2</v>
      </c>
      <c r="BH148" s="435">
        <f t="shared" si="217"/>
        <v>2</v>
      </c>
      <c r="BI148" s="435">
        <f t="shared" si="217"/>
        <v>2</v>
      </c>
      <c r="BJ148" s="435">
        <f t="shared" si="217"/>
        <v>2</v>
      </c>
      <c r="BK148" s="435">
        <f t="shared" ref="BK148:BL148" si="218">IF(OR($C133="-",$C133="CET",$C133=""),"-",$C133)</f>
        <v>2</v>
      </c>
      <c r="BL148" s="435">
        <f t="shared" si="218"/>
        <v>2</v>
      </c>
    </row>
    <row r="149" spans="1:64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2"/>
      <c r="P149" s="673"/>
      <c r="Q149" s="673"/>
      <c r="R149" s="674"/>
      <c r="S149" s="672"/>
      <c r="T149" s="673"/>
      <c r="U149" s="673"/>
      <c r="V149" s="674"/>
      <c r="W149" s="428"/>
      <c r="X149" s="428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BC149" s="401" t="str">
        <f t="shared" si="216"/>
        <v>-</v>
      </c>
      <c r="BD149" s="429" t="str">
        <f>"IEF " &amp; B136</f>
        <v>IEF aggressive</v>
      </c>
      <c r="BE149" s="435">
        <f t="shared" ref="BE149:BJ149" si="219">IF(OR($C138="-",$C138="CET",$C138=""),"-",$C138)</f>
        <v>4</v>
      </c>
      <c r="BF149" s="435">
        <f t="shared" si="219"/>
        <v>4</v>
      </c>
      <c r="BG149" s="435">
        <f t="shared" si="219"/>
        <v>4</v>
      </c>
      <c r="BH149" s="435">
        <f t="shared" si="219"/>
        <v>4</v>
      </c>
      <c r="BI149" s="435">
        <f t="shared" si="219"/>
        <v>4</v>
      </c>
      <c r="BJ149" s="435">
        <f t="shared" si="219"/>
        <v>4</v>
      </c>
      <c r="BK149" s="435">
        <f t="shared" ref="BK149:BL149" si="220">IF(OR($C138="-",$C138="CET",$C138=""),"-",$C138)</f>
        <v>4</v>
      </c>
      <c r="BL149" s="435">
        <f t="shared" si="220"/>
        <v>4</v>
      </c>
    </row>
    <row r="150" spans="1:64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5"/>
      <c r="P150" s="676"/>
      <c r="Q150" s="676"/>
      <c r="R150" s="677"/>
      <c r="S150" s="675"/>
      <c r="T150" s="676"/>
      <c r="U150" s="676"/>
      <c r="V150" s="677"/>
      <c r="W150" s="428"/>
      <c r="X150" s="428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BC150" s="401" t="str">
        <f t="shared" si="216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216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428"/>
      <c r="X152" s="428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BC152" s="401" t="str">
        <f t="shared" si="216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ht="15" customHeight="1" thickBot="1" x14ac:dyDescent="0.3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428"/>
      <c r="X153" s="428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BC153" s="401" t="str">
        <f t="shared" si="216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  <row r="154" spans="1:64" ht="24.95" customHeight="1" thickBot="1" x14ac:dyDescent="0.3">
      <c r="A154" s="396"/>
      <c r="B154" s="415">
        <v>7</v>
      </c>
      <c r="C154" s="706" t="s">
        <v>52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79</v>
      </c>
      <c r="P154" s="398" t="str">
        <f>IF(COUNTIF(F162:N187,"refused")&gt;0,"refused",IF(COUNTIF(F162:N187,"failed")&gt;0,"failed",IF(COUNTIF(F162:N187,"passed")&gt;0,"passed","-")))</f>
        <v>-</v>
      </c>
      <c r="Q154" s="399" t="s">
        <v>80</v>
      </c>
      <c r="R154" s="399" t="str">
        <f>IF(COUNT(F158:M159,F163:M164,F168:M169,F173:M174,F178:M179,F183:M184)&gt;0,"listed","not listed")</f>
        <v>not listed</v>
      </c>
      <c r="S154" s="502">
        <f>MAX(D160,D165,D170,D175,D180,D185)</f>
        <v>0</v>
      </c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BC154" s="401" t="str">
        <f t="shared" si="216"/>
        <v>-</v>
      </c>
    </row>
    <row r="155" spans="1:64" ht="15" customHeight="1" outlineLevel="1" thickBot="1" x14ac:dyDescent="0.3">
      <c r="A155" s="396"/>
      <c r="B155" s="420"/>
      <c r="C155" s="400"/>
      <c r="D155" s="400"/>
      <c r="E155" s="400"/>
      <c r="F155" s="400"/>
      <c r="G155" s="400"/>
      <c r="H155" s="400"/>
      <c r="I155" s="400"/>
      <c r="J155" s="400"/>
      <c r="K155" s="421"/>
      <c r="L155" s="421"/>
      <c r="M155" s="421"/>
      <c r="N155" s="400"/>
      <c r="O155" s="400"/>
      <c r="P155" s="400"/>
      <c r="Q155" s="400"/>
      <c r="R155" s="400"/>
      <c r="S155" s="400"/>
      <c r="T155" s="422"/>
      <c r="U155" s="422"/>
      <c r="V155" s="423"/>
      <c r="W155" s="428"/>
      <c r="X155" s="428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BC155" s="401" t="str">
        <f t="shared" si="216"/>
        <v>-</v>
      </c>
      <c r="BD155" s="429" t="s">
        <v>85</v>
      </c>
      <c r="BE155" s="430" t="str">
        <f>F$4</f>
        <v>NMHC 
[g/km]</v>
      </c>
      <c r="BF155" s="430" t="str">
        <f t="shared" ref="BF155" si="221">G$4</f>
        <v>THC
[g/km]</v>
      </c>
      <c r="BG155" s="430" t="str">
        <f t="shared" ref="BG155" si="222">H$4</f>
        <v>CO
[g/km]</v>
      </c>
      <c r="BH155" s="430" t="str">
        <f t="shared" ref="BH155" si="223">I$4</f>
        <v>NOx
[g/km]</v>
      </c>
      <c r="BI155" s="430" t="str">
        <f t="shared" ref="BI155" si="224">J$4</f>
        <v>PM
[mg/km]</v>
      </c>
      <c r="BJ155" s="430" t="str">
        <f t="shared" ref="BJ155" si="225">K$4</f>
        <v>PN
[#/km]</v>
      </c>
      <c r="BK155" s="430" t="str">
        <f t="shared" ref="BK155" si="226">L$4</f>
        <v>Additional
component</v>
      </c>
      <c r="BL155" s="430" t="str">
        <f t="shared" ref="BL155" si="227">M$4</f>
        <v>Additional
component 2</v>
      </c>
    </row>
    <row r="156" spans="1:64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428"/>
      <c r="X156" s="42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BC156" s="401" t="str">
        <f t="shared" si="216"/>
        <v>-</v>
      </c>
      <c r="BD156" s="429" t="str">
        <f>$E$4</f>
        <v>Post New Long Term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1</v>
      </c>
      <c r="BL156" s="435">
        <v>1</v>
      </c>
    </row>
    <row r="157" spans="1:64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tr">
        <f>F$4</f>
        <v>NMHC 
[g/km]</v>
      </c>
      <c r="G157" s="425" t="str">
        <f t="shared" ref="G157:N157" si="228">G$4</f>
        <v>THC
[g/km]</v>
      </c>
      <c r="H157" s="425" t="str">
        <f t="shared" si="228"/>
        <v>CO
[g/km]</v>
      </c>
      <c r="I157" s="425" t="str">
        <f t="shared" si="228"/>
        <v>NOx
[g/km]</v>
      </c>
      <c r="J157" s="425" t="str">
        <f t="shared" si="228"/>
        <v>PM
[mg/km]</v>
      </c>
      <c r="K157" s="425" t="str">
        <f t="shared" si="228"/>
        <v>PN
[#/km]</v>
      </c>
      <c r="L157" s="426" t="str">
        <f t="shared" si="228"/>
        <v>Additional
component</v>
      </c>
      <c r="M157" s="426" t="str">
        <f t="shared" si="228"/>
        <v>Additional
component 2</v>
      </c>
      <c r="N157" s="425" t="str">
        <f t="shared" si="228"/>
        <v>CO2
[g/km]</v>
      </c>
      <c r="O157" s="669"/>
      <c r="P157" s="670"/>
      <c r="Q157" s="670"/>
      <c r="R157" s="670"/>
      <c r="S157" s="669"/>
      <c r="T157" s="670"/>
      <c r="U157" s="670"/>
      <c r="V157" s="671"/>
      <c r="W157" s="428"/>
      <c r="X157" s="42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BC157" s="401" t="str">
        <f t="shared" si="216"/>
        <v>-</v>
      </c>
      <c r="BD157" s="429" t="str">
        <f>"1st " &amp;  B158</f>
        <v>1st City (unweighted)</v>
      </c>
      <c r="BE157" s="435" t="str">
        <f t="shared" ref="BE157:BJ157" si="229">IF((OR($C160="-",$C160="CET",$C160="")),"-",IF(AND(OR(F158="-",F158=""),OR(F159="-",F159="")),"-",IF(NOT(OR(F158="-",F158="")),F158/F$5,F159/F$5)))</f>
        <v>-</v>
      </c>
      <c r="BF157" s="435" t="str">
        <f t="shared" si="229"/>
        <v>-</v>
      </c>
      <c r="BG157" s="435" t="str">
        <f t="shared" si="229"/>
        <v>-</v>
      </c>
      <c r="BH157" s="435" t="str">
        <f t="shared" si="229"/>
        <v>-</v>
      </c>
      <c r="BI157" s="435" t="str">
        <f t="shared" si="229"/>
        <v>-</v>
      </c>
      <c r="BJ157" s="435" t="str">
        <f t="shared" si="229"/>
        <v>-</v>
      </c>
      <c r="BK157" s="435" t="str">
        <f t="shared" ref="BK157:BL157" si="230">IF((OR($C160="-",$C160="CET",$C160="")),"-",IF(AND(OR(L158="-",L158=""),OR(L159="-",L159="")),"-",IF(NOT(OR(L158="-",L158="")),L158/L$5,L159/L$5)))</f>
        <v>-</v>
      </c>
      <c r="BL157" s="435" t="str">
        <f t="shared" si="230"/>
        <v>-</v>
      </c>
    </row>
    <row r="158" spans="1:64" s="405" customFormat="1" ht="15" customHeight="1" outlineLevel="1" x14ac:dyDescent="0.25">
      <c r="A158" s="439"/>
      <c r="B158" s="724" t="s">
        <v>107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3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401" t="str">
        <f t="shared" si="216"/>
        <v>-</v>
      </c>
      <c r="BD158" s="429" t="str">
        <f>"1st " &amp; B163</f>
        <v>1st City (EMROAD)</v>
      </c>
      <c r="BE158" s="435" t="str">
        <f t="shared" ref="BE158:BJ158" si="231">IF((OR($C165="-",$C165="CET",$C165="")),"-",IF(AND(OR(F163="-",F163=""),OR(F164="-",F164="")),"-",IF(NOT(OR(F163="-",F163="")),F163/F$5,F164/F$5)))</f>
        <v>-</v>
      </c>
      <c r="BF158" s="435" t="str">
        <f t="shared" si="231"/>
        <v>-</v>
      </c>
      <c r="BG158" s="435" t="str">
        <f t="shared" si="231"/>
        <v>-</v>
      </c>
      <c r="BH158" s="435" t="str">
        <f t="shared" si="231"/>
        <v>-</v>
      </c>
      <c r="BI158" s="435" t="str">
        <f t="shared" si="231"/>
        <v>-</v>
      </c>
      <c r="BJ158" s="435" t="str">
        <f t="shared" si="231"/>
        <v>-</v>
      </c>
      <c r="BK158" s="435" t="str">
        <f t="shared" ref="BK158:BL158" si="232">IF((OR($C165="-",$C165="CET",$C165="")),"-",IF(AND(OR(L163="-",L163=""),OR(L164="-",L164="")),"-",IF(NOT(OR(L163="-",L163="")),L163/L$5,L164/L$5)))</f>
        <v>-</v>
      </c>
      <c r="BL158" s="435" t="str">
        <f t="shared" si="232"/>
        <v>-</v>
      </c>
    </row>
    <row r="159" spans="1:64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3"/>
      <c r="S159" s="672"/>
      <c r="T159" s="673"/>
      <c r="U159" s="673"/>
      <c r="V159" s="674"/>
      <c r="W159" s="428"/>
      <c r="X159" s="428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BC159" s="401" t="str">
        <f t="shared" si="216"/>
        <v>-</v>
      </c>
      <c r="BD159" s="429" t="str">
        <f>"1st " &amp; B168</f>
        <v>1st City
 (SPF)</v>
      </c>
      <c r="BE159" s="435" t="str">
        <f t="shared" ref="BE159:BJ159" si="233">IF((OR($C170="-",$C170="CET",$C170="")),"-",IF(AND(OR(F168="-",F168=""),OR(F169="-",F169="")),"-",IF(NOT(OR(F168="-",F168="")),F168/F$5,F169/F$5)))</f>
        <v>-</v>
      </c>
      <c r="BF159" s="435" t="str">
        <f t="shared" si="233"/>
        <v>-</v>
      </c>
      <c r="BG159" s="435" t="str">
        <f t="shared" si="233"/>
        <v>-</v>
      </c>
      <c r="BH159" s="435" t="str">
        <f t="shared" si="233"/>
        <v>-</v>
      </c>
      <c r="BI159" s="435" t="str">
        <f t="shared" si="233"/>
        <v>-</v>
      </c>
      <c r="BJ159" s="435" t="str">
        <f t="shared" si="233"/>
        <v>-</v>
      </c>
      <c r="BK159" s="435" t="str">
        <f t="shared" ref="BK159:BL159" si="234">IF((OR($C170="-",$C170="CET",$C170="")),"-",IF(AND(OR(L168="-",L168=""),OR(L169="-",L169="")),"-",IF(NOT(OR(L168="-",L168="")),L168/L$5,L169/L$5)))</f>
        <v>-</v>
      </c>
      <c r="BL159" s="435" t="str">
        <f t="shared" si="234"/>
        <v>-</v>
      </c>
    </row>
    <row r="160" spans="1:64" ht="15" customHeight="1" outlineLevel="1" thickBot="1" x14ac:dyDescent="0.3">
      <c r="A160" s="396"/>
      <c r="B160" s="725"/>
      <c r="C160" s="686">
        <v>4</v>
      </c>
      <c r="D160" s="689" t="str">
        <f>IF(AND(F161="-",G161="-",H161="-",I161="-",J161="-",K161="-",L161="-",M161="-"),"-",MAX(F161,G161,H161,I161,J161,K161,L161,M161))</f>
        <v>-</v>
      </c>
      <c r="E160" s="444" t="s">
        <v>96</v>
      </c>
      <c r="F160" s="445" t="str">
        <f t="shared" ref="F160:N160" si="235">IF(OR(F159="-",F159=""),IF(OR(F158="-",F158=""),"-",F158),IF(OR(F158="-",F158=""),F159,(F158+F159)/2))</f>
        <v>-</v>
      </c>
      <c r="G160" s="445" t="str">
        <f t="shared" si="235"/>
        <v>-</v>
      </c>
      <c r="H160" s="445" t="str">
        <f t="shared" si="235"/>
        <v>-</v>
      </c>
      <c r="I160" s="445" t="str">
        <f t="shared" si="235"/>
        <v>-</v>
      </c>
      <c r="J160" s="445" t="str">
        <f t="shared" si="235"/>
        <v>-</v>
      </c>
      <c r="K160" s="446" t="str">
        <f t="shared" si="235"/>
        <v>-</v>
      </c>
      <c r="L160" s="446" t="str">
        <f t="shared" ref="L160:M160" si="236">IF(OR(L159="-",L159=""),IF(OR(L158="-",L158=""),"-",L158),IF(OR(L158="-",L158=""),L159,(L158+L159)/2))</f>
        <v>-</v>
      </c>
      <c r="M160" s="446" t="str">
        <f t="shared" si="236"/>
        <v>-</v>
      </c>
      <c r="N160" s="445" t="str">
        <f t="shared" si="235"/>
        <v>-</v>
      </c>
      <c r="O160" s="672"/>
      <c r="P160" s="673"/>
      <c r="Q160" s="673"/>
      <c r="R160" s="673"/>
      <c r="S160" s="672"/>
      <c r="T160" s="673"/>
      <c r="U160" s="673"/>
      <c r="V160" s="674"/>
      <c r="W160" s="428"/>
      <c r="X160" s="428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BC160" s="401" t="str">
        <f t="shared" si="216"/>
        <v>-</v>
      </c>
      <c r="BD160" s="429" t="str">
        <f>"1st " &amp; B173</f>
        <v>1st Total (unweighted)</v>
      </c>
      <c r="BE160" s="435" t="str">
        <f t="shared" ref="BE160:BJ160" si="237">IF((OR($C175="-",$C175="CET",$C175="")),"-",IF(AND(OR(F173="-",F173=""),OR(F174="-",F174="")),"-",IF(NOT(OR(F173="-",F173="")),F173/F$5,F174/F$5)))</f>
        <v>-</v>
      </c>
      <c r="BF160" s="435" t="str">
        <f t="shared" si="237"/>
        <v>-</v>
      </c>
      <c r="BG160" s="435" t="str">
        <f t="shared" si="237"/>
        <v>-</v>
      </c>
      <c r="BH160" s="435" t="str">
        <f t="shared" si="237"/>
        <v>-</v>
      </c>
      <c r="BI160" s="435" t="str">
        <f t="shared" si="237"/>
        <v>-</v>
      </c>
      <c r="BJ160" s="435" t="str">
        <f t="shared" si="237"/>
        <v>-</v>
      </c>
      <c r="BK160" s="435" t="str">
        <f t="shared" ref="BK160:BL160" si="238">IF((OR($C175="-",$C175="CET",$C175="")),"-",IF(AND(OR(L173="-",L173=""),OR(L174="-",L174="")),"-",IF(NOT(OR(L173="-",L173="")),L173/L$5,L174/L$5)))</f>
        <v>-</v>
      </c>
      <c r="BL160" s="435" t="str">
        <f t="shared" si="238"/>
        <v>-</v>
      </c>
    </row>
    <row r="161" spans="1:64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str">
        <f t="shared" ref="F161:N161" si="239">IF(OR($C160="-",$C160="CET",$C160=""),"-",IF(AND(NOT(F160="-"),NOT(F$5="-"),NOT(F$5="")),F160/F$5,"-"))</f>
        <v>-</v>
      </c>
      <c r="G161" s="448" t="str">
        <f t="shared" si="239"/>
        <v>-</v>
      </c>
      <c r="H161" s="448" t="str">
        <f t="shared" si="239"/>
        <v>-</v>
      </c>
      <c r="I161" s="448" t="str">
        <f t="shared" si="239"/>
        <v>-</v>
      </c>
      <c r="J161" s="448" t="str">
        <f t="shared" si="239"/>
        <v>-</v>
      </c>
      <c r="K161" s="449" t="str">
        <f t="shared" si="239"/>
        <v>-</v>
      </c>
      <c r="L161" s="449" t="str">
        <f t="shared" ref="L161:M161" si="240">IF(OR($C160="-",$C160="CET",$C160=""),"-",IF(AND(NOT(L160="-"),NOT(L$5="-"),NOT(L$5="")),L160/L$5,"-"))</f>
        <v>-</v>
      </c>
      <c r="M161" s="449" t="str">
        <f t="shared" si="240"/>
        <v>-</v>
      </c>
      <c r="N161" s="448" t="str">
        <f t="shared" si="239"/>
        <v>-</v>
      </c>
      <c r="O161" s="672"/>
      <c r="P161" s="673"/>
      <c r="Q161" s="673"/>
      <c r="R161" s="673"/>
      <c r="S161" s="672"/>
      <c r="T161" s="673"/>
      <c r="U161" s="673"/>
      <c r="V161" s="674"/>
      <c r="W161" s="428"/>
      <c r="X161" s="428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BC161" s="401" t="str">
        <f t="shared" si="216"/>
        <v>-</v>
      </c>
      <c r="BD161" s="429" t="str">
        <f>"1st " &amp; B178</f>
        <v>1st Total (EMROAD)</v>
      </c>
      <c r="BE161" s="435" t="str">
        <f t="shared" ref="BE161:BJ161" si="241">IF((OR($C180="-",$C180="CET",$C180="")),"-",IF(AND(OR(F178="-",F178=""),OR(F179="-",F179="")),"-",IF(NOT(OR(F178="-",F178="")),F178/F$5,F179/F$5)))</f>
        <v>-</v>
      </c>
      <c r="BF161" s="435" t="str">
        <f t="shared" si="241"/>
        <v>-</v>
      </c>
      <c r="BG161" s="435" t="str">
        <f t="shared" si="241"/>
        <v>-</v>
      </c>
      <c r="BH161" s="435" t="str">
        <f t="shared" si="241"/>
        <v>-</v>
      </c>
      <c r="BI161" s="435" t="str">
        <f t="shared" si="241"/>
        <v>-</v>
      </c>
      <c r="BJ161" s="435" t="str">
        <f t="shared" si="241"/>
        <v>-</v>
      </c>
      <c r="BK161" s="435" t="str">
        <f t="shared" ref="BK161:BL161" si="242">IF((OR($C180="-",$C180="CET",$C180="")),"-",IF(AND(OR(L178="-",L178=""),OR(L179="-",L179="")),"-",IF(NOT(OR(L178="-",L178="")),L178/L$5,L179/L$5)))</f>
        <v>-</v>
      </c>
      <c r="BL161" s="435" t="str">
        <f t="shared" si="242"/>
        <v>-</v>
      </c>
    </row>
    <row r="162" spans="1:64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N162" si="243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243"/>
        <v>-</v>
      </c>
      <c r="H162" s="451" t="str">
        <f t="shared" si="243"/>
        <v>-</v>
      </c>
      <c r="I162" s="451" t="str">
        <f t="shared" si="243"/>
        <v>-</v>
      </c>
      <c r="J162" s="451" t="str">
        <f t="shared" si="243"/>
        <v>-</v>
      </c>
      <c r="K162" s="452" t="str">
        <f t="shared" si="243"/>
        <v>-</v>
      </c>
      <c r="L162" s="452" t="str">
        <f t="shared" si="243"/>
        <v>-</v>
      </c>
      <c r="M162" s="452" t="str">
        <f t="shared" si="243"/>
        <v>-</v>
      </c>
      <c r="N162" s="451" t="str">
        <f t="shared" si="243"/>
        <v>-</v>
      </c>
      <c r="O162" s="672"/>
      <c r="P162" s="673"/>
      <c r="Q162" s="673"/>
      <c r="R162" s="673"/>
      <c r="S162" s="672"/>
      <c r="T162" s="673"/>
      <c r="U162" s="673"/>
      <c r="V162" s="674"/>
      <c r="W162" s="428"/>
      <c r="X162" s="42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BC162" s="401" t="str">
        <f t="shared" si="216"/>
        <v>-</v>
      </c>
      <c r="BD162" s="429" t="str">
        <f>"1st " &amp; B183</f>
        <v>1st Total (SPF)</v>
      </c>
      <c r="BE162" s="435" t="str">
        <f t="shared" ref="BE162:BJ162" si="244">IF((OR($C185="-",$C185="CET",$C185="")),"-",IF(AND(OR(F183="-",F183=""),OR(F184="-",F184="")),"-",IF(NOT(OR(F183="-",F183="")),F183/F$5,F184/F$5)))</f>
        <v>-</v>
      </c>
      <c r="BF162" s="435" t="str">
        <f t="shared" si="244"/>
        <v>-</v>
      </c>
      <c r="BG162" s="435" t="str">
        <f t="shared" si="244"/>
        <v>-</v>
      </c>
      <c r="BH162" s="435" t="str">
        <f t="shared" si="244"/>
        <v>-</v>
      </c>
      <c r="BI162" s="435" t="str">
        <f t="shared" si="244"/>
        <v>-</v>
      </c>
      <c r="BJ162" s="435" t="str">
        <f t="shared" si="244"/>
        <v>-</v>
      </c>
      <c r="BK162" s="435" t="str">
        <f t="shared" ref="BK162:BL162" si="245">IF((OR($C185="-",$C185="CET",$C185="")),"-",IF(AND(OR(L183="-",L183=""),OR(L184="-",L184="")),"-",IF(NOT(OR(L183="-",L183="")),L183/L$5,L184/L$5)))</f>
        <v>-</v>
      </c>
      <c r="BL162" s="435" t="str">
        <f t="shared" si="245"/>
        <v>-</v>
      </c>
    </row>
    <row r="163" spans="1:64" s="405" customFormat="1" ht="15" customHeight="1" outlineLevel="1" x14ac:dyDescent="0.25">
      <c r="A163" s="439"/>
      <c r="B163" s="724" t="s">
        <v>106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3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401" t="str">
        <f t="shared" si="216"/>
        <v>-</v>
      </c>
      <c r="BD163" s="429" t="str">
        <f>"0.7*IEF " &amp; (B158)</f>
        <v>0.7*IEF City (unweighted)</v>
      </c>
      <c r="BE163" s="435">
        <f t="shared" ref="BE163:BJ163" si="246">IF(OR($C160="-",$C160="CET",$C160=""),"-",0.7*$C160)</f>
        <v>2.8</v>
      </c>
      <c r="BF163" s="435">
        <f t="shared" si="246"/>
        <v>2.8</v>
      </c>
      <c r="BG163" s="435">
        <f t="shared" si="246"/>
        <v>2.8</v>
      </c>
      <c r="BH163" s="435">
        <f t="shared" si="246"/>
        <v>2.8</v>
      </c>
      <c r="BI163" s="435">
        <f t="shared" si="246"/>
        <v>2.8</v>
      </c>
      <c r="BJ163" s="435">
        <f t="shared" si="246"/>
        <v>2.8</v>
      </c>
      <c r="BK163" s="435">
        <f t="shared" ref="BK163:BL163" si="247">IF(OR($C160="-",$C160="CET",$C160=""),"-",0.7*$C160)</f>
        <v>2.8</v>
      </c>
      <c r="BL163" s="435">
        <f t="shared" si="247"/>
        <v>2.8</v>
      </c>
    </row>
    <row r="164" spans="1:64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3"/>
      <c r="S164" s="672"/>
      <c r="T164" s="673"/>
      <c r="U164" s="673"/>
      <c r="V164" s="674"/>
      <c r="W164" s="428"/>
      <c r="X164" s="428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BC164" s="401" t="str">
        <f t="shared" si="216"/>
        <v>-</v>
      </c>
      <c r="BD164" s="429" t="str">
        <f>"0.7*IEF " &amp; B163</f>
        <v>0.7*IEF City (EMROAD)</v>
      </c>
      <c r="BE164" s="435">
        <f t="shared" ref="BE164:BL164" si="248">IF(OR($C165="-",$C165="CET",$C165=""),"-",0.7*$C165)</f>
        <v>2.8</v>
      </c>
      <c r="BF164" s="435">
        <f t="shared" si="248"/>
        <v>2.8</v>
      </c>
      <c r="BG164" s="435">
        <f t="shared" si="248"/>
        <v>2.8</v>
      </c>
      <c r="BH164" s="435">
        <f t="shared" si="248"/>
        <v>2.8</v>
      </c>
      <c r="BI164" s="435">
        <f t="shared" si="248"/>
        <v>2.8</v>
      </c>
      <c r="BJ164" s="435">
        <f t="shared" si="248"/>
        <v>2.8</v>
      </c>
      <c r="BK164" s="435">
        <f t="shared" si="248"/>
        <v>2.8</v>
      </c>
      <c r="BL164" s="435">
        <f t="shared" si="248"/>
        <v>2.8</v>
      </c>
    </row>
    <row r="165" spans="1:64" ht="15" customHeight="1" outlineLevel="1" thickBot="1" x14ac:dyDescent="0.3">
      <c r="A165" s="396"/>
      <c r="B165" s="725"/>
      <c r="C165" s="686">
        <v>4</v>
      </c>
      <c r="D165" s="689" t="str">
        <f>IF(AND(F166="-",G166="-",H166="-",I166="-",J166="-",K166="-",L166="-",M166="-"),"-",MAX(F166,G166,H166,I166,J166,K166,L166,M166))</f>
        <v>-</v>
      </c>
      <c r="E165" s="444" t="s">
        <v>96</v>
      </c>
      <c r="F165" s="445" t="str">
        <f t="shared" ref="F165:N165" si="249">IF(OR(F164="-",F164=""),IF(OR(F163="-",F163=""),"-",F163),IF(OR(F163="-",F163=""),F164,(F163+F164)/2))</f>
        <v>-</v>
      </c>
      <c r="G165" s="445" t="str">
        <f t="shared" si="249"/>
        <v>-</v>
      </c>
      <c r="H165" s="445" t="str">
        <f t="shared" si="249"/>
        <v>-</v>
      </c>
      <c r="I165" s="445" t="str">
        <f t="shared" si="249"/>
        <v>-</v>
      </c>
      <c r="J165" s="445" t="str">
        <f t="shared" si="249"/>
        <v>-</v>
      </c>
      <c r="K165" s="446" t="str">
        <f t="shared" si="249"/>
        <v>-</v>
      </c>
      <c r="L165" s="446" t="str">
        <f t="shared" ref="L165:M165" si="250">IF(OR(L164="-",L164=""),IF(OR(L163="-",L163=""),"-",L163),IF(OR(L163="-",L163=""),L164,(L163+L164)/2))</f>
        <v>-</v>
      </c>
      <c r="M165" s="446" t="str">
        <f t="shared" si="250"/>
        <v>-</v>
      </c>
      <c r="N165" s="445" t="str">
        <f t="shared" si="249"/>
        <v>-</v>
      </c>
      <c r="O165" s="672"/>
      <c r="P165" s="673"/>
      <c r="Q165" s="673"/>
      <c r="R165" s="673"/>
      <c r="S165" s="672"/>
      <c r="T165" s="673"/>
      <c r="U165" s="673"/>
      <c r="V165" s="674"/>
      <c r="W165" s="428"/>
      <c r="X165" s="428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BC165" s="401" t="str">
        <f t="shared" si="216"/>
        <v>-</v>
      </c>
      <c r="BD165" s="429" t="str">
        <f>"0.7*IEF " &amp; B168</f>
        <v>0.7*IEF City
 (SPF)</v>
      </c>
      <c r="BE165" s="435">
        <f t="shared" ref="BE165:BJ165" si="251">IF(OR($C170="-",$C170="CET",$C170=""),"-",0.7*$C170)</f>
        <v>2.8</v>
      </c>
      <c r="BF165" s="435">
        <f t="shared" si="251"/>
        <v>2.8</v>
      </c>
      <c r="BG165" s="435">
        <f t="shared" si="251"/>
        <v>2.8</v>
      </c>
      <c r="BH165" s="435">
        <f t="shared" si="251"/>
        <v>2.8</v>
      </c>
      <c r="BI165" s="435">
        <f t="shared" si="251"/>
        <v>2.8</v>
      </c>
      <c r="BJ165" s="435">
        <f t="shared" si="251"/>
        <v>2.8</v>
      </c>
      <c r="BK165" s="435">
        <f t="shared" ref="BK165:BL165" si="252">IF(OR($C170="-",$C170="CET",$C170=""),"-",0.7*$C170)</f>
        <v>2.8</v>
      </c>
      <c r="BL165" s="435">
        <f t="shared" si="252"/>
        <v>2.8</v>
      </c>
    </row>
    <row r="166" spans="1:64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str">
        <f t="shared" ref="F166:N166" si="253">IF(OR($C165="-",$C165="CET",$C165=""),"-",IF(AND(NOT(F165="-"),NOT(F$5="-"),NOT(F$5="")),F165/F$5,"-"))</f>
        <v>-</v>
      </c>
      <c r="G166" s="448" t="str">
        <f t="shared" si="253"/>
        <v>-</v>
      </c>
      <c r="H166" s="448" t="str">
        <f t="shared" si="253"/>
        <v>-</v>
      </c>
      <c r="I166" s="448" t="str">
        <f t="shared" si="253"/>
        <v>-</v>
      </c>
      <c r="J166" s="448" t="str">
        <f t="shared" si="253"/>
        <v>-</v>
      </c>
      <c r="K166" s="449" t="str">
        <f t="shared" si="253"/>
        <v>-</v>
      </c>
      <c r="L166" s="449" t="str">
        <f t="shared" ref="L166:M166" si="254">IF(OR($C165="-",$C165="CET",$C165=""),"-",IF(AND(NOT(L165="-"),NOT(L$5="-"),NOT(L$5="")),L165/L$5,"-"))</f>
        <v>-</v>
      </c>
      <c r="M166" s="449" t="str">
        <f t="shared" si="254"/>
        <v>-</v>
      </c>
      <c r="N166" s="448" t="str">
        <f t="shared" si="253"/>
        <v>-</v>
      </c>
      <c r="O166" s="672"/>
      <c r="P166" s="673"/>
      <c r="Q166" s="673"/>
      <c r="R166" s="673"/>
      <c r="S166" s="672"/>
      <c r="T166" s="673"/>
      <c r="U166" s="673"/>
      <c r="V166" s="674"/>
      <c r="W166" s="428"/>
      <c r="X166" s="428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BC166" s="401" t="str">
        <f t="shared" si="216"/>
        <v>-</v>
      </c>
      <c r="BD166" s="429" t="str">
        <f>"0.7*IEF " &amp; B173</f>
        <v>0.7*IEF Total (unweighted)</v>
      </c>
      <c r="BE166" s="435">
        <f t="shared" ref="BE166:BJ166" si="255">IF(OR($C175="-",$C175="CET",$C175=""),"-",0.7*$C175)</f>
        <v>2.8</v>
      </c>
      <c r="BF166" s="435">
        <f t="shared" si="255"/>
        <v>2.8</v>
      </c>
      <c r="BG166" s="435">
        <f t="shared" si="255"/>
        <v>2.8</v>
      </c>
      <c r="BH166" s="435">
        <f t="shared" si="255"/>
        <v>2.8</v>
      </c>
      <c r="BI166" s="435">
        <f t="shared" si="255"/>
        <v>2.8</v>
      </c>
      <c r="BJ166" s="435">
        <f t="shared" si="255"/>
        <v>2.8</v>
      </c>
      <c r="BK166" s="435">
        <f t="shared" ref="BK166:BL166" si="256">IF(OR($C175="-",$C175="CET",$C175=""),"-",0.7*$C175)</f>
        <v>2.8</v>
      </c>
      <c r="BL166" s="435">
        <f t="shared" si="256"/>
        <v>2.8</v>
      </c>
    </row>
    <row r="167" spans="1:64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N167" si="257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257"/>
        <v>-</v>
      </c>
      <c r="H167" s="451" t="str">
        <f t="shared" si="257"/>
        <v>-</v>
      </c>
      <c r="I167" s="451" t="str">
        <f t="shared" si="257"/>
        <v>-</v>
      </c>
      <c r="J167" s="451" t="str">
        <f t="shared" si="257"/>
        <v>-</v>
      </c>
      <c r="K167" s="452" t="str">
        <f t="shared" si="257"/>
        <v>-</v>
      </c>
      <c r="L167" s="452" t="str">
        <f t="shared" si="257"/>
        <v>-</v>
      </c>
      <c r="M167" s="452" t="str">
        <f t="shared" si="257"/>
        <v>-</v>
      </c>
      <c r="N167" s="451" t="str">
        <f t="shared" si="257"/>
        <v>-</v>
      </c>
      <c r="O167" s="672"/>
      <c r="P167" s="673"/>
      <c r="Q167" s="673"/>
      <c r="R167" s="673"/>
      <c r="S167" s="672"/>
      <c r="T167" s="673"/>
      <c r="U167" s="673"/>
      <c r="V167" s="674"/>
      <c r="W167" s="428"/>
      <c r="X167" s="428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BC167" s="401" t="str">
        <f t="shared" si="216"/>
        <v>-</v>
      </c>
      <c r="BD167" s="429" t="str">
        <f>"0.7*IEF " &amp; B178</f>
        <v>0.7*IEF Total (EMROAD)</v>
      </c>
      <c r="BE167" s="435">
        <f t="shared" ref="BE167:BJ167" si="258">IF(OR($C180="-",$C180="CET",$C180=""),"-",0.7*$C180)</f>
        <v>2.8</v>
      </c>
      <c r="BF167" s="435">
        <f t="shared" si="258"/>
        <v>2.8</v>
      </c>
      <c r="BG167" s="435">
        <f t="shared" si="258"/>
        <v>2.8</v>
      </c>
      <c r="BH167" s="435">
        <f t="shared" si="258"/>
        <v>2.8</v>
      </c>
      <c r="BI167" s="435">
        <f t="shared" si="258"/>
        <v>2.8</v>
      </c>
      <c r="BJ167" s="435">
        <f t="shared" si="258"/>
        <v>2.8</v>
      </c>
      <c r="BK167" s="435">
        <f t="shared" ref="BK167:BL167" si="259">IF(OR($C180="-",$C180="CET",$C180=""),"-",0.7*$C180)</f>
        <v>2.8</v>
      </c>
      <c r="BL167" s="435">
        <f t="shared" si="259"/>
        <v>2.8</v>
      </c>
    </row>
    <row r="168" spans="1:64" s="405" customFormat="1" ht="15" customHeight="1" outlineLevel="1" x14ac:dyDescent="0.25">
      <c r="A168" s="454"/>
      <c r="B168" s="718" t="s">
        <v>141</v>
      </c>
      <c r="C168" s="684" t="s">
        <v>114</v>
      </c>
      <c r="D168" s="684" t="s">
        <v>113</v>
      </c>
      <c r="E168" s="453" t="s">
        <v>94</v>
      </c>
      <c r="F168" s="473" t="s">
        <v>5</v>
      </c>
      <c r="G168" s="473" t="s">
        <v>5</v>
      </c>
      <c r="H168" s="473" t="s">
        <v>5</v>
      </c>
      <c r="I168" s="473" t="s">
        <v>5</v>
      </c>
      <c r="J168" s="473" t="s">
        <v>5</v>
      </c>
      <c r="K168" s="474" t="s">
        <v>5</v>
      </c>
      <c r="L168" s="474" t="s">
        <v>5</v>
      </c>
      <c r="M168" s="474" t="s">
        <v>5</v>
      </c>
      <c r="N168" s="473" t="s">
        <v>5</v>
      </c>
      <c r="O168" s="672"/>
      <c r="P168" s="673"/>
      <c r="Q168" s="673"/>
      <c r="R168" s="673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C168" s="401" t="str">
        <f t="shared" si="216"/>
        <v>-</v>
      </c>
      <c r="BD168" s="429" t="str">
        <f>"0.7*IEF " &amp; B183</f>
        <v>0.7*IEF Total (SPF)</v>
      </c>
      <c r="BE168" s="435">
        <f t="shared" ref="BE168:BJ168" si="260">IF(OR($C185="-",$C185="CET",$C185=""),"-",0.7*$C185)</f>
        <v>2.8</v>
      </c>
      <c r="BF168" s="435">
        <f t="shared" si="260"/>
        <v>2.8</v>
      </c>
      <c r="BG168" s="435">
        <f t="shared" si="260"/>
        <v>2.8</v>
      </c>
      <c r="BH168" s="435">
        <f t="shared" si="260"/>
        <v>2.8</v>
      </c>
      <c r="BI168" s="435">
        <f t="shared" si="260"/>
        <v>2.8</v>
      </c>
      <c r="BJ168" s="435">
        <f t="shared" si="260"/>
        <v>2.8</v>
      </c>
      <c r="BK168" s="435">
        <f t="shared" ref="BK168:BL168" si="261">IF(OR($C185="-",$C185="CET",$C185=""),"-",0.7*$C185)</f>
        <v>2.8</v>
      </c>
      <c r="BL168" s="435">
        <f t="shared" si="261"/>
        <v>2.8</v>
      </c>
    </row>
    <row r="169" spans="1:64" ht="15" customHeight="1" outlineLevel="1" thickBot="1" x14ac:dyDescent="0.3">
      <c r="A169" s="404"/>
      <c r="B169" s="719"/>
      <c r="C169" s="702"/>
      <c r="D169" s="685"/>
      <c r="E169" s="440" t="s">
        <v>95</v>
      </c>
      <c r="F169" s="475" t="s">
        <v>5</v>
      </c>
      <c r="G169" s="475" t="s">
        <v>5</v>
      </c>
      <c r="H169" s="475" t="s">
        <v>5</v>
      </c>
      <c r="I169" s="475" t="s">
        <v>5</v>
      </c>
      <c r="J169" s="475" t="s">
        <v>5</v>
      </c>
      <c r="K169" s="476" t="s">
        <v>5</v>
      </c>
      <c r="L169" s="476" t="s">
        <v>5</v>
      </c>
      <c r="M169" s="476" t="s">
        <v>5</v>
      </c>
      <c r="N169" s="475" t="s">
        <v>5</v>
      </c>
      <c r="O169" s="672"/>
      <c r="P169" s="673"/>
      <c r="Q169" s="673"/>
      <c r="R169" s="673"/>
      <c r="S169" s="672"/>
      <c r="T169" s="673"/>
      <c r="U169" s="673"/>
      <c r="V169" s="674"/>
      <c r="W169" s="428"/>
      <c r="X169" s="42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BC169" s="401" t="str">
        <f t="shared" si="216"/>
        <v>-</v>
      </c>
      <c r="BD169" s="429" t="str">
        <f>$B158</f>
        <v>City (unweighted)</v>
      </c>
      <c r="BE169" s="435" t="str">
        <f t="shared" ref="BE169:BJ169" si="262">F161</f>
        <v>-</v>
      </c>
      <c r="BF169" s="435" t="str">
        <f t="shared" si="262"/>
        <v>-</v>
      </c>
      <c r="BG169" s="435" t="str">
        <f t="shared" si="262"/>
        <v>-</v>
      </c>
      <c r="BH169" s="435" t="str">
        <f t="shared" si="262"/>
        <v>-</v>
      </c>
      <c r="BI169" s="435" t="str">
        <f t="shared" si="262"/>
        <v>-</v>
      </c>
      <c r="BJ169" s="435" t="str">
        <f t="shared" si="262"/>
        <v>-</v>
      </c>
      <c r="BK169" s="435" t="str">
        <f t="shared" ref="BK169:BL169" si="263">L161</f>
        <v>-</v>
      </c>
      <c r="BL169" s="435" t="str">
        <f t="shared" si="263"/>
        <v>-</v>
      </c>
    </row>
    <row r="170" spans="1:64" ht="15" customHeight="1" outlineLevel="1" thickBot="1" x14ac:dyDescent="0.3">
      <c r="A170" s="404"/>
      <c r="B170" s="719"/>
      <c r="C170" s="686">
        <v>4</v>
      </c>
      <c r="D170" s="689" t="str">
        <f>IF(AND(F171="-",G171="-",H171="-",I171="-",J171="-",K171="-",L171="-",M171="-"),"-",MAX(F171,G171,H171,I171,J171,K171,L171,M171))</f>
        <v>-</v>
      </c>
      <c r="E170" s="444" t="s">
        <v>96</v>
      </c>
      <c r="F170" s="445" t="str">
        <f t="shared" ref="F170:N170" si="264">IF(OR(F169="-",F169=""),IF(OR(F168="-",F168=""),"-",F168),IF(OR(F168="-",F168=""),F169,(F168+F169)/2))</f>
        <v>-</v>
      </c>
      <c r="G170" s="445" t="str">
        <f t="shared" si="264"/>
        <v>-</v>
      </c>
      <c r="H170" s="445" t="str">
        <f t="shared" si="264"/>
        <v>-</v>
      </c>
      <c r="I170" s="445" t="str">
        <f t="shared" si="264"/>
        <v>-</v>
      </c>
      <c r="J170" s="445" t="str">
        <f t="shared" si="264"/>
        <v>-</v>
      </c>
      <c r="K170" s="446" t="str">
        <f t="shared" si="264"/>
        <v>-</v>
      </c>
      <c r="L170" s="446" t="str">
        <f t="shared" ref="L170:M170" si="265">IF(OR(L169="-",L169=""),IF(OR(L168="-",L168=""),"-",L168),IF(OR(L168="-",L168=""),L169,(L168+L169)/2))</f>
        <v>-</v>
      </c>
      <c r="M170" s="446" t="str">
        <f t="shared" si="265"/>
        <v>-</v>
      </c>
      <c r="N170" s="445" t="str">
        <f t="shared" si="264"/>
        <v>-</v>
      </c>
      <c r="O170" s="672"/>
      <c r="P170" s="673"/>
      <c r="Q170" s="673"/>
      <c r="R170" s="673"/>
      <c r="S170" s="672"/>
      <c r="T170" s="673"/>
      <c r="U170" s="673"/>
      <c r="V170" s="674"/>
      <c r="W170" s="428"/>
      <c r="X170" s="428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BC170" s="401" t="str">
        <f t="shared" si="216"/>
        <v>-</v>
      </c>
      <c r="BD170" s="429" t="str">
        <f>$B163</f>
        <v>City (EMROAD)</v>
      </c>
      <c r="BE170" s="435" t="str">
        <f t="shared" ref="BE170:BJ170" si="266">F166</f>
        <v>-</v>
      </c>
      <c r="BF170" s="435" t="str">
        <f t="shared" si="266"/>
        <v>-</v>
      </c>
      <c r="BG170" s="435" t="str">
        <f t="shared" si="266"/>
        <v>-</v>
      </c>
      <c r="BH170" s="435" t="str">
        <f t="shared" si="266"/>
        <v>-</v>
      </c>
      <c r="BI170" s="435" t="str">
        <f t="shared" si="266"/>
        <v>-</v>
      </c>
      <c r="BJ170" s="435" t="str">
        <f t="shared" si="266"/>
        <v>-</v>
      </c>
      <c r="BK170" s="435" t="str">
        <f t="shared" ref="BK170:BL170" si="267">L166</f>
        <v>-</v>
      </c>
      <c r="BL170" s="435" t="str">
        <f t="shared" si="267"/>
        <v>-</v>
      </c>
    </row>
    <row r="171" spans="1:64" ht="15" customHeight="1" outlineLevel="1" thickBot="1" x14ac:dyDescent="0.3">
      <c r="A171" s="404"/>
      <c r="B171" s="719"/>
      <c r="C171" s="687"/>
      <c r="D171" s="690"/>
      <c r="E171" s="447" t="s">
        <v>97</v>
      </c>
      <c r="F171" s="448" t="str">
        <f t="shared" ref="F171:N171" si="268">IF(OR($C170="-",$C170="CET",$C170=""),"-",IF(AND(NOT(F170="-"),NOT(F$5="-"),NOT(F$5="")),F170/F$5,"-"))</f>
        <v>-</v>
      </c>
      <c r="G171" s="448" t="str">
        <f t="shared" si="268"/>
        <v>-</v>
      </c>
      <c r="H171" s="448" t="str">
        <f t="shared" si="268"/>
        <v>-</v>
      </c>
      <c r="I171" s="448" t="str">
        <f t="shared" si="268"/>
        <v>-</v>
      </c>
      <c r="J171" s="448" t="str">
        <f t="shared" si="268"/>
        <v>-</v>
      </c>
      <c r="K171" s="449" t="str">
        <f t="shared" si="268"/>
        <v>-</v>
      </c>
      <c r="L171" s="449" t="str">
        <f t="shared" ref="L171:M171" si="269">IF(OR($C170="-",$C170="CET",$C170=""),"-",IF(AND(NOT(L170="-"),NOT(L$5="-"),NOT(L$5="")),L170/L$5,"-"))</f>
        <v>-</v>
      </c>
      <c r="M171" s="449" t="str">
        <f t="shared" si="269"/>
        <v>-</v>
      </c>
      <c r="N171" s="448" t="str">
        <f t="shared" si="268"/>
        <v>-</v>
      </c>
      <c r="O171" s="672"/>
      <c r="P171" s="673"/>
      <c r="Q171" s="673"/>
      <c r="R171" s="673"/>
      <c r="S171" s="672"/>
      <c r="T171" s="673"/>
      <c r="U171" s="673"/>
      <c r="V171" s="674"/>
      <c r="W171" s="428"/>
      <c r="X171" s="428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BC171" s="401" t="str">
        <f t="shared" si="216"/>
        <v>-</v>
      </c>
      <c r="BD171" s="429" t="str">
        <f>$B168</f>
        <v>City
 (SPF)</v>
      </c>
      <c r="BE171" s="435" t="str">
        <f t="shared" ref="BE171:BJ171" si="270">F171</f>
        <v>-</v>
      </c>
      <c r="BF171" s="435" t="str">
        <f t="shared" si="270"/>
        <v>-</v>
      </c>
      <c r="BG171" s="435" t="str">
        <f t="shared" si="270"/>
        <v>-</v>
      </c>
      <c r="BH171" s="435" t="str">
        <f t="shared" si="270"/>
        <v>-</v>
      </c>
      <c r="BI171" s="435" t="str">
        <f t="shared" si="270"/>
        <v>-</v>
      </c>
      <c r="BJ171" s="435" t="str">
        <f t="shared" si="270"/>
        <v>-</v>
      </c>
      <c r="BK171" s="435" t="str">
        <f t="shared" ref="BK171:BL171" si="271">L171</f>
        <v>-</v>
      </c>
      <c r="BL171" s="435" t="str">
        <f t="shared" si="271"/>
        <v>-</v>
      </c>
    </row>
    <row r="172" spans="1:64" ht="15" customHeight="1" outlineLevel="1" thickBot="1" x14ac:dyDescent="0.3">
      <c r="A172" s="404"/>
      <c r="B172" s="720"/>
      <c r="C172" s="688"/>
      <c r="D172" s="691"/>
      <c r="E172" s="451" t="s">
        <v>30</v>
      </c>
      <c r="F172" s="451" t="str">
        <f t="shared" ref="F172:N172" si="272">IF(AND(OR(F168="-",F168=""),OR(F169="-",F169="")),"-",IF(OR($C170="-",$C170="",$C170="CET"),"-",IF($R$154="not listed","-",IF(NOT(F$5="-"),IF(AND(AND(NOT(F168=0),NOT(F168="-"),NOT(F168="")),AND(NOT(F169="-"),NOT(F169=0),NOT(F169=""))),IF(AND((F168+F169)/2&lt;1*F$5*IF(OR($C170="CET",$C170="-",$C170=""),"-",$C170),F168&lt;1.1*F$5*IF(OR($C170="CET",$C170="-",$C170=""),"-",$C170),F169&lt;1.1*F$5*IF(OR($C170="CET",$C170="-",$C170=""),"-",$C170)),"passed","refused"),IF(IF(OR(F168="-",F168=""),F169,F168)&lt;0.7*F$5*IF(OR($C170="CET",$C170="-",$C170=""),"-",$C170),"passed",IF(IF(OR(F168="-",F168=""),F169,F168)&lt;1.1*IF(OR($C170="CET",$C170="-",$C170=""),"-",$C170)*F$5,"failed","refused"))),"-"))))</f>
        <v>-</v>
      </c>
      <c r="G172" s="451" t="str">
        <f t="shared" si="272"/>
        <v>-</v>
      </c>
      <c r="H172" s="451" t="str">
        <f t="shared" si="272"/>
        <v>-</v>
      </c>
      <c r="I172" s="451" t="str">
        <f t="shared" si="272"/>
        <v>-</v>
      </c>
      <c r="J172" s="451" t="str">
        <f t="shared" si="272"/>
        <v>-</v>
      </c>
      <c r="K172" s="452" t="str">
        <f t="shared" si="272"/>
        <v>-</v>
      </c>
      <c r="L172" s="452" t="str">
        <f t="shared" si="272"/>
        <v>-</v>
      </c>
      <c r="M172" s="452" t="str">
        <f t="shared" si="272"/>
        <v>-</v>
      </c>
      <c r="N172" s="451" t="str">
        <f t="shared" si="272"/>
        <v>-</v>
      </c>
      <c r="O172" s="672"/>
      <c r="P172" s="673"/>
      <c r="Q172" s="673"/>
      <c r="R172" s="673"/>
      <c r="S172" s="672"/>
      <c r="T172" s="673"/>
      <c r="U172" s="673"/>
      <c r="V172" s="674"/>
      <c r="W172" s="428"/>
      <c r="X172" s="428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BC172" s="401" t="str">
        <f t="shared" si="216"/>
        <v>-</v>
      </c>
      <c r="BD172" s="429" t="str">
        <f>$B173</f>
        <v>Total (unweighted)</v>
      </c>
      <c r="BE172" s="435" t="str">
        <f t="shared" ref="BE172:BJ172" si="273">F176</f>
        <v>-</v>
      </c>
      <c r="BF172" s="435" t="str">
        <f t="shared" si="273"/>
        <v>-</v>
      </c>
      <c r="BG172" s="435" t="str">
        <f t="shared" si="273"/>
        <v>-</v>
      </c>
      <c r="BH172" s="435" t="str">
        <f t="shared" si="273"/>
        <v>-</v>
      </c>
      <c r="BI172" s="435" t="str">
        <f t="shared" si="273"/>
        <v>-</v>
      </c>
      <c r="BJ172" s="435" t="str">
        <f t="shared" si="273"/>
        <v>-</v>
      </c>
      <c r="BK172" s="435" t="str">
        <f t="shared" ref="BK172:BL172" si="274">L176</f>
        <v>-</v>
      </c>
      <c r="BL172" s="435" t="str">
        <f t="shared" si="274"/>
        <v>-</v>
      </c>
    </row>
    <row r="173" spans="1:64" s="405" customFormat="1" ht="15" customHeight="1" outlineLevel="1" x14ac:dyDescent="0.25">
      <c r="A173" s="454"/>
      <c r="B173" s="724" t="s">
        <v>105</v>
      </c>
      <c r="C173" s="684" t="s">
        <v>114</v>
      </c>
      <c r="D173" s="684" t="s">
        <v>113</v>
      </c>
      <c r="E173" s="453" t="s">
        <v>94</v>
      </c>
      <c r="F173" s="473" t="s">
        <v>5</v>
      </c>
      <c r="G173" s="473" t="s">
        <v>5</v>
      </c>
      <c r="H173" s="473" t="s">
        <v>5</v>
      </c>
      <c r="I173" s="473" t="s">
        <v>5</v>
      </c>
      <c r="J173" s="473" t="s">
        <v>5</v>
      </c>
      <c r="K173" s="474" t="s">
        <v>5</v>
      </c>
      <c r="L173" s="474" t="s">
        <v>5</v>
      </c>
      <c r="M173" s="474" t="s">
        <v>5</v>
      </c>
      <c r="N173" s="473" t="s">
        <v>5</v>
      </c>
      <c r="O173" s="672"/>
      <c r="P173" s="673"/>
      <c r="Q173" s="673"/>
      <c r="R173" s="673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C173" s="401" t="str">
        <f t="shared" si="216"/>
        <v>-</v>
      </c>
      <c r="BD173" s="429" t="str">
        <f>$B178</f>
        <v>Total (EMROAD)</v>
      </c>
      <c r="BE173" s="435" t="str">
        <f t="shared" ref="BE173:BJ173" si="275">F181</f>
        <v>-</v>
      </c>
      <c r="BF173" s="435" t="str">
        <f t="shared" si="275"/>
        <v>-</v>
      </c>
      <c r="BG173" s="435" t="str">
        <f t="shared" si="275"/>
        <v>-</v>
      </c>
      <c r="BH173" s="435" t="str">
        <f t="shared" si="275"/>
        <v>-</v>
      </c>
      <c r="BI173" s="435" t="str">
        <f t="shared" si="275"/>
        <v>-</v>
      </c>
      <c r="BJ173" s="435" t="str">
        <f t="shared" si="275"/>
        <v>-</v>
      </c>
      <c r="BK173" s="435" t="str">
        <f t="shared" ref="BK173:BL173" si="276">L181</f>
        <v>-</v>
      </c>
      <c r="BL173" s="435" t="str">
        <f t="shared" si="276"/>
        <v>-</v>
      </c>
    </row>
    <row r="174" spans="1:64" ht="15" customHeight="1" outlineLevel="1" thickBot="1" x14ac:dyDescent="0.3">
      <c r="A174" s="404"/>
      <c r="B174" s="725"/>
      <c r="C174" s="702"/>
      <c r="D174" s="685"/>
      <c r="E174" s="440" t="s">
        <v>95</v>
      </c>
      <c r="F174" s="475" t="s">
        <v>5</v>
      </c>
      <c r="G174" s="475" t="s">
        <v>5</v>
      </c>
      <c r="H174" s="475" t="s">
        <v>5</v>
      </c>
      <c r="I174" s="475" t="s">
        <v>5</v>
      </c>
      <c r="J174" s="475" t="s">
        <v>5</v>
      </c>
      <c r="K174" s="476" t="s">
        <v>5</v>
      </c>
      <c r="L174" s="476" t="s">
        <v>5</v>
      </c>
      <c r="M174" s="476" t="s">
        <v>5</v>
      </c>
      <c r="N174" s="475" t="s">
        <v>5</v>
      </c>
      <c r="O174" s="672"/>
      <c r="P174" s="673"/>
      <c r="Q174" s="673"/>
      <c r="R174" s="673"/>
      <c r="S174" s="672"/>
      <c r="T174" s="673"/>
      <c r="U174" s="673"/>
      <c r="V174" s="674"/>
      <c r="W174" s="428"/>
      <c r="X174" s="42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BC174" s="401" t="str">
        <f t="shared" si="216"/>
        <v>-</v>
      </c>
      <c r="BD174" s="429" t="str">
        <f>$B183</f>
        <v>Total (SPF)</v>
      </c>
      <c r="BE174" s="435" t="str">
        <f t="shared" ref="BE174:BJ174" si="277">F186</f>
        <v>-</v>
      </c>
      <c r="BF174" s="435" t="str">
        <f t="shared" si="277"/>
        <v>-</v>
      </c>
      <c r="BG174" s="435" t="str">
        <f t="shared" si="277"/>
        <v>-</v>
      </c>
      <c r="BH174" s="435" t="str">
        <f t="shared" si="277"/>
        <v>-</v>
      </c>
      <c r="BI174" s="435" t="str">
        <f t="shared" si="277"/>
        <v>-</v>
      </c>
      <c r="BJ174" s="435" t="str">
        <f t="shared" si="277"/>
        <v>-</v>
      </c>
      <c r="BK174" s="435" t="str">
        <f t="shared" ref="BK174:BL174" si="278">L186</f>
        <v>-</v>
      </c>
      <c r="BL174" s="435" t="str">
        <f t="shared" si="278"/>
        <v>-</v>
      </c>
    </row>
    <row r="175" spans="1:64" ht="15" customHeight="1" outlineLevel="1" thickBot="1" x14ac:dyDescent="0.3">
      <c r="A175" s="404"/>
      <c r="B175" s="725"/>
      <c r="C175" s="686">
        <v>4</v>
      </c>
      <c r="D175" s="689" t="str">
        <f>IF(AND(F176="-",G176="-",H176="-",I176="-",J176="-",K176="-",L176="-",M176="-"),"-",MAX(F176,G176,H176,I176,J176,K176,L176,M176))</f>
        <v>-</v>
      </c>
      <c r="E175" s="444" t="s">
        <v>96</v>
      </c>
      <c r="F175" s="445" t="str">
        <f t="shared" ref="F175:N175" si="279">IF(OR(F174="-",F174=""),IF(OR(F173="-",F173=""),"-",F173),IF(OR(F173="-",F173=""),F174,(F173+F174)/2))</f>
        <v>-</v>
      </c>
      <c r="G175" s="445" t="str">
        <f t="shared" si="279"/>
        <v>-</v>
      </c>
      <c r="H175" s="445" t="str">
        <f t="shared" si="279"/>
        <v>-</v>
      </c>
      <c r="I175" s="445" t="str">
        <f t="shared" si="279"/>
        <v>-</v>
      </c>
      <c r="J175" s="445" t="str">
        <f t="shared" si="279"/>
        <v>-</v>
      </c>
      <c r="K175" s="446" t="str">
        <f t="shared" si="279"/>
        <v>-</v>
      </c>
      <c r="L175" s="446" t="str">
        <f t="shared" ref="L175:M175" si="280">IF(OR(L174="-",L174=""),IF(OR(L173="-",L173=""),"-",L173),IF(OR(L173="-",L173=""),L174,(L173+L174)/2))</f>
        <v>-</v>
      </c>
      <c r="M175" s="446" t="str">
        <f t="shared" si="280"/>
        <v>-</v>
      </c>
      <c r="N175" s="445" t="str">
        <f t="shared" si="279"/>
        <v>-</v>
      </c>
      <c r="O175" s="672"/>
      <c r="P175" s="673"/>
      <c r="Q175" s="673"/>
      <c r="R175" s="673"/>
      <c r="S175" s="672"/>
      <c r="T175" s="673"/>
      <c r="U175" s="673"/>
      <c r="V175" s="674"/>
      <c r="W175" s="428"/>
      <c r="X175" s="42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BC175" s="401" t="str">
        <f t="shared" si="216"/>
        <v>-</v>
      </c>
      <c r="BD175" s="429" t="str">
        <f>"IEF " &amp;B158</f>
        <v>IEF City (unweighted)</v>
      </c>
      <c r="BE175" s="435">
        <f t="shared" ref="BE175:BJ175" si="281">IF(OR($C160="-",$C160="CET",$C160=""),"-",$C160)</f>
        <v>4</v>
      </c>
      <c r="BF175" s="435">
        <f t="shared" si="281"/>
        <v>4</v>
      </c>
      <c r="BG175" s="435">
        <f t="shared" si="281"/>
        <v>4</v>
      </c>
      <c r="BH175" s="435">
        <f t="shared" si="281"/>
        <v>4</v>
      </c>
      <c r="BI175" s="435">
        <f t="shared" si="281"/>
        <v>4</v>
      </c>
      <c r="BJ175" s="435">
        <f t="shared" si="281"/>
        <v>4</v>
      </c>
      <c r="BK175" s="435">
        <f t="shared" ref="BK175:BL175" si="282">IF(OR($C160="-",$C160="CET",$C160=""),"-",$C160)</f>
        <v>4</v>
      </c>
      <c r="BL175" s="435">
        <f t="shared" si="282"/>
        <v>4</v>
      </c>
    </row>
    <row r="176" spans="1:64" ht="15" customHeight="1" outlineLevel="1" thickBot="1" x14ac:dyDescent="0.3">
      <c r="A176" s="404"/>
      <c r="B176" s="725"/>
      <c r="C176" s="687"/>
      <c r="D176" s="690"/>
      <c r="E176" s="447" t="s">
        <v>97</v>
      </c>
      <c r="F176" s="448" t="str">
        <f t="shared" ref="F176:N176" si="283">IF(OR($C175="-",$C175="CET",$C175=""),"-",IF(AND(NOT(F175="-"),NOT(F$5="-"),NOT(F$5="")),F175/F$5,"-"))</f>
        <v>-</v>
      </c>
      <c r="G176" s="448" t="str">
        <f t="shared" si="283"/>
        <v>-</v>
      </c>
      <c r="H176" s="448" t="str">
        <f t="shared" si="283"/>
        <v>-</v>
      </c>
      <c r="I176" s="448" t="str">
        <f t="shared" si="283"/>
        <v>-</v>
      </c>
      <c r="J176" s="448" t="str">
        <f t="shared" si="283"/>
        <v>-</v>
      </c>
      <c r="K176" s="449" t="str">
        <f t="shared" si="283"/>
        <v>-</v>
      </c>
      <c r="L176" s="449" t="str">
        <f t="shared" ref="L176:M176" si="284">IF(OR($C175="-",$C175="CET",$C175=""),"-",IF(AND(NOT(L175="-"),NOT(L$5="-"),NOT(L$5="")),L175/L$5,"-"))</f>
        <v>-</v>
      </c>
      <c r="M176" s="449" t="str">
        <f t="shared" si="284"/>
        <v>-</v>
      </c>
      <c r="N176" s="448" t="str">
        <f t="shared" si="283"/>
        <v>-</v>
      </c>
      <c r="O176" s="672"/>
      <c r="P176" s="673"/>
      <c r="Q176" s="673"/>
      <c r="R176" s="673"/>
      <c r="S176" s="672"/>
      <c r="T176" s="673"/>
      <c r="U176" s="673"/>
      <c r="V176" s="674"/>
      <c r="W176" s="428"/>
      <c r="X176" s="428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BC176" s="401" t="str">
        <f t="shared" si="216"/>
        <v>-</v>
      </c>
      <c r="BD176" s="429" t="str">
        <f>"IEF " &amp; B163</f>
        <v>IEF City (EMROAD)</v>
      </c>
      <c r="BE176" s="435">
        <f t="shared" ref="BE176:BJ176" si="285">IF(OR($C165="-",$C165="CET",$C165=""),"-",$C165)</f>
        <v>4</v>
      </c>
      <c r="BF176" s="435">
        <f t="shared" si="285"/>
        <v>4</v>
      </c>
      <c r="BG176" s="435">
        <f t="shared" si="285"/>
        <v>4</v>
      </c>
      <c r="BH176" s="435">
        <f t="shared" si="285"/>
        <v>4</v>
      </c>
      <c r="BI176" s="435">
        <f t="shared" si="285"/>
        <v>4</v>
      </c>
      <c r="BJ176" s="435">
        <f t="shared" si="285"/>
        <v>4</v>
      </c>
      <c r="BK176" s="435">
        <f t="shared" ref="BK176:BL176" si="286">IF(OR($C165="-",$C165="CET",$C165=""),"-",$C165)</f>
        <v>4</v>
      </c>
      <c r="BL176" s="435">
        <f t="shared" si="286"/>
        <v>4</v>
      </c>
    </row>
    <row r="177" spans="1:64" ht="15" customHeight="1" outlineLevel="1" thickBot="1" x14ac:dyDescent="0.3">
      <c r="A177" s="404"/>
      <c r="B177" s="726"/>
      <c r="C177" s="688"/>
      <c r="D177" s="691"/>
      <c r="E177" s="451" t="s">
        <v>30</v>
      </c>
      <c r="F177" s="451" t="str">
        <f t="shared" ref="F177:N177" si="287">IF(AND(OR(F173="-",F173=""),OR(F174="-",F174="")),"-",IF(OR($C175="-",$C175="",$C175="CET"),"-",IF($R$154="not listed","-",IF(NOT(F$5="-"),IF(AND(AND(NOT(F173=0),NOT(F173="-"),NOT(F173="")),AND(NOT(F174="-"),NOT(F174=0),NOT(F174=""))),IF(AND((F173+F174)/2&lt;1*F$5*IF(OR($C175="CET",$C175="-",$C175=""),"-",$C175),F173&lt;1.1*F$5*IF(OR($C175="CET",$C175="-",$C175=""),"-",$C175),F174&lt;1.1*F$5*IF(OR($C175="CET",$C175="-",$C175=""),"-",$C175)),"passed","refused"),IF(IF(OR(F173="-",F173=""),F174,F173)&lt;0.7*F$5*IF(OR($C175="CET",$C175="-",$C175=""),"-",$C175),"passed",IF(IF(OR(F173="-",F173=""),F174,F173)&lt;1.1*IF(OR($C175="CET",$C175="-",$C175=""),"-",$C175)*F$5,"failed","refused"))),"-"))))</f>
        <v>-</v>
      </c>
      <c r="G177" s="451" t="str">
        <f t="shared" si="287"/>
        <v>-</v>
      </c>
      <c r="H177" s="451" t="str">
        <f t="shared" si="287"/>
        <v>-</v>
      </c>
      <c r="I177" s="451" t="str">
        <f t="shared" si="287"/>
        <v>-</v>
      </c>
      <c r="J177" s="451" t="str">
        <f t="shared" si="287"/>
        <v>-</v>
      </c>
      <c r="K177" s="452" t="str">
        <f t="shared" si="287"/>
        <v>-</v>
      </c>
      <c r="L177" s="452" t="str">
        <f t="shared" si="287"/>
        <v>-</v>
      </c>
      <c r="M177" s="452" t="str">
        <f t="shared" si="287"/>
        <v>-</v>
      </c>
      <c r="N177" s="451" t="str">
        <f t="shared" si="287"/>
        <v>-</v>
      </c>
      <c r="O177" s="672"/>
      <c r="P177" s="673"/>
      <c r="Q177" s="673"/>
      <c r="R177" s="673"/>
      <c r="S177" s="672"/>
      <c r="T177" s="673"/>
      <c r="U177" s="673"/>
      <c r="V177" s="674"/>
      <c r="W177" s="428"/>
      <c r="X177" s="428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BC177" s="401" t="str">
        <f t="shared" si="216"/>
        <v>-</v>
      </c>
      <c r="BD177" s="429" t="str">
        <f>"IEF " &amp; B168</f>
        <v>IEF City
 (SPF)</v>
      </c>
      <c r="BE177" s="435">
        <f t="shared" ref="BE177:BJ177" si="288">IF(OR($C170="-",$C170="CET",$C170=""),"-",$C170)</f>
        <v>4</v>
      </c>
      <c r="BF177" s="435">
        <f t="shared" si="288"/>
        <v>4</v>
      </c>
      <c r="BG177" s="435">
        <f t="shared" si="288"/>
        <v>4</v>
      </c>
      <c r="BH177" s="435">
        <f t="shared" si="288"/>
        <v>4</v>
      </c>
      <c r="BI177" s="435">
        <f t="shared" si="288"/>
        <v>4</v>
      </c>
      <c r="BJ177" s="435">
        <f t="shared" si="288"/>
        <v>4</v>
      </c>
      <c r="BK177" s="435">
        <f t="shared" ref="BK177:BL177" si="289">IF(OR($C170="-",$C170="CET",$C170=""),"-",$C170)</f>
        <v>4</v>
      </c>
      <c r="BL177" s="435">
        <f t="shared" si="289"/>
        <v>4</v>
      </c>
    </row>
    <row r="178" spans="1:64" s="405" customFormat="1" ht="15" customHeight="1" outlineLevel="1" x14ac:dyDescent="0.25">
      <c r="A178" s="454"/>
      <c r="B178" s="724" t="s">
        <v>104</v>
      </c>
      <c r="C178" s="684" t="s">
        <v>114</v>
      </c>
      <c r="D178" s="684" t="s">
        <v>113</v>
      </c>
      <c r="E178" s="453" t="s">
        <v>94</v>
      </c>
      <c r="F178" s="473" t="s">
        <v>5</v>
      </c>
      <c r="G178" s="473" t="s">
        <v>5</v>
      </c>
      <c r="H178" s="473" t="s">
        <v>5</v>
      </c>
      <c r="I178" s="473" t="s">
        <v>5</v>
      </c>
      <c r="J178" s="473" t="s">
        <v>5</v>
      </c>
      <c r="K178" s="474" t="s">
        <v>5</v>
      </c>
      <c r="L178" s="474" t="s">
        <v>5</v>
      </c>
      <c r="M178" s="474" t="s">
        <v>5</v>
      </c>
      <c r="N178" s="473" t="s">
        <v>5</v>
      </c>
      <c r="O178" s="672"/>
      <c r="P178" s="673"/>
      <c r="Q178" s="673"/>
      <c r="R178" s="673"/>
      <c r="S178" s="672"/>
      <c r="T178" s="673"/>
      <c r="U178" s="673"/>
      <c r="V178" s="674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C178" s="401" t="str">
        <f t="shared" si="216"/>
        <v>-</v>
      </c>
      <c r="BD178" s="429" t="str">
        <f>"IEF " &amp; B173</f>
        <v>IEF Total (unweighted)</v>
      </c>
      <c r="BE178" s="435">
        <f t="shared" ref="BE178:BJ178" si="290">IF(OR($C175="-",$C175="CET",$C175=""),"-",$C175)</f>
        <v>4</v>
      </c>
      <c r="BF178" s="435">
        <f t="shared" si="290"/>
        <v>4</v>
      </c>
      <c r="BG178" s="435">
        <f t="shared" si="290"/>
        <v>4</v>
      </c>
      <c r="BH178" s="435">
        <f t="shared" si="290"/>
        <v>4</v>
      </c>
      <c r="BI178" s="435">
        <f t="shared" si="290"/>
        <v>4</v>
      </c>
      <c r="BJ178" s="435">
        <f t="shared" si="290"/>
        <v>4</v>
      </c>
      <c r="BK178" s="435">
        <f t="shared" ref="BK178:BL178" si="291">IF(OR($C175="-",$C175="CET",$C175=""),"-",$C175)</f>
        <v>4</v>
      </c>
      <c r="BL178" s="435">
        <f t="shared" si="291"/>
        <v>4</v>
      </c>
    </row>
    <row r="179" spans="1:64" ht="15" customHeight="1" outlineLevel="1" thickBot="1" x14ac:dyDescent="0.3">
      <c r="A179" s="404"/>
      <c r="B179" s="725"/>
      <c r="C179" s="702"/>
      <c r="D179" s="685"/>
      <c r="E179" s="440" t="s">
        <v>95</v>
      </c>
      <c r="F179" s="475" t="s">
        <v>5</v>
      </c>
      <c r="G179" s="475" t="s">
        <v>5</v>
      </c>
      <c r="H179" s="475" t="s">
        <v>5</v>
      </c>
      <c r="I179" s="475" t="s">
        <v>5</v>
      </c>
      <c r="J179" s="475" t="s">
        <v>5</v>
      </c>
      <c r="K179" s="476" t="s">
        <v>5</v>
      </c>
      <c r="L179" s="476" t="s">
        <v>5</v>
      </c>
      <c r="M179" s="476" t="s">
        <v>5</v>
      </c>
      <c r="N179" s="475" t="s">
        <v>5</v>
      </c>
      <c r="O179" s="672"/>
      <c r="P179" s="673"/>
      <c r="Q179" s="673"/>
      <c r="R179" s="673"/>
      <c r="S179" s="672"/>
      <c r="T179" s="673"/>
      <c r="U179" s="673"/>
      <c r="V179" s="674"/>
      <c r="W179" s="428"/>
      <c r="X179" s="428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BC179" s="401" t="str">
        <f t="shared" si="216"/>
        <v>-</v>
      </c>
      <c r="BD179" s="429" t="str">
        <f>"IEF " &amp; B178</f>
        <v>IEF Total (EMROAD)</v>
      </c>
      <c r="BE179" s="435">
        <f t="shared" ref="BE179:BL179" si="292">IF(OR($C180="-",$C180="CET",$C180=""),"-",$C180)</f>
        <v>4</v>
      </c>
      <c r="BF179" s="435">
        <f t="shared" si="292"/>
        <v>4</v>
      </c>
      <c r="BG179" s="435">
        <f t="shared" si="292"/>
        <v>4</v>
      </c>
      <c r="BH179" s="435">
        <f t="shared" si="292"/>
        <v>4</v>
      </c>
      <c r="BI179" s="435">
        <f t="shared" si="292"/>
        <v>4</v>
      </c>
      <c r="BJ179" s="435">
        <f t="shared" si="292"/>
        <v>4</v>
      </c>
      <c r="BK179" s="435">
        <f t="shared" si="292"/>
        <v>4</v>
      </c>
      <c r="BL179" s="435">
        <f t="shared" si="292"/>
        <v>4</v>
      </c>
    </row>
    <row r="180" spans="1:64" ht="15" customHeight="1" outlineLevel="1" thickBot="1" x14ac:dyDescent="0.3">
      <c r="A180" s="404"/>
      <c r="B180" s="725"/>
      <c r="C180" s="686">
        <v>4</v>
      </c>
      <c r="D180" s="689" t="str">
        <f>IF(AND(F181="-",G181="-",H181="-",I181="-",J181="-",K181="-",L181="-",M181="-"),"-",MAX(F181,G181,H181,I181,J181,K181,L181,M181))</f>
        <v>-</v>
      </c>
      <c r="E180" s="444" t="s">
        <v>96</v>
      </c>
      <c r="F180" s="445" t="str">
        <f t="shared" ref="F180:N180" si="293">IF(OR(F179="-",F179=""),IF(OR(F178="-",F178=""),"-",F178),IF(OR(F178="-",F178=""),F179,(F178+F179)/2))</f>
        <v>-</v>
      </c>
      <c r="G180" s="445" t="str">
        <f t="shared" si="293"/>
        <v>-</v>
      </c>
      <c r="H180" s="445" t="str">
        <f t="shared" si="293"/>
        <v>-</v>
      </c>
      <c r="I180" s="445" t="str">
        <f t="shared" si="293"/>
        <v>-</v>
      </c>
      <c r="J180" s="445" t="str">
        <f t="shared" si="293"/>
        <v>-</v>
      </c>
      <c r="K180" s="446" t="str">
        <f t="shared" si="293"/>
        <v>-</v>
      </c>
      <c r="L180" s="446" t="str">
        <f t="shared" ref="L180:M180" si="294">IF(OR(L179="-",L179=""),IF(OR(L178="-",L178=""),"-",L178),IF(OR(L178="-",L178=""),L179,(L178+L179)/2))</f>
        <v>-</v>
      </c>
      <c r="M180" s="446" t="str">
        <f t="shared" si="294"/>
        <v>-</v>
      </c>
      <c r="N180" s="445" t="str">
        <f t="shared" si="293"/>
        <v>-</v>
      </c>
      <c r="O180" s="672"/>
      <c r="P180" s="673"/>
      <c r="Q180" s="673"/>
      <c r="R180" s="673"/>
      <c r="S180" s="672"/>
      <c r="T180" s="673"/>
      <c r="U180" s="673"/>
      <c r="V180" s="674"/>
      <c r="W180" s="428"/>
      <c r="X180" s="42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BC180" s="401" t="str">
        <f t="shared" si="216"/>
        <v>-</v>
      </c>
      <c r="BD180" s="429" t="str">
        <f>"IEF " &amp; B183</f>
        <v>IEF Total (SPF)</v>
      </c>
      <c r="BE180" s="435">
        <f t="shared" ref="BE180:BJ180" si="295">IF(OR($C185="-",$C185="CET",$C185=""),"-",$C185)</f>
        <v>4</v>
      </c>
      <c r="BF180" s="435">
        <f t="shared" si="295"/>
        <v>4</v>
      </c>
      <c r="BG180" s="435">
        <f t="shared" si="295"/>
        <v>4</v>
      </c>
      <c r="BH180" s="435">
        <f t="shared" si="295"/>
        <v>4</v>
      </c>
      <c r="BI180" s="435">
        <f t="shared" si="295"/>
        <v>4</v>
      </c>
      <c r="BJ180" s="435">
        <f t="shared" si="295"/>
        <v>4</v>
      </c>
      <c r="BK180" s="435">
        <f t="shared" ref="BK180:BL180" si="296">IF(OR($C185="-",$C185="CET",$C185=""),"-",$C185)</f>
        <v>4</v>
      </c>
      <c r="BL180" s="435">
        <f t="shared" si="296"/>
        <v>4</v>
      </c>
    </row>
    <row r="181" spans="1:64" ht="15" customHeight="1" outlineLevel="1" thickBot="1" x14ac:dyDescent="0.3">
      <c r="A181" s="404"/>
      <c r="B181" s="725"/>
      <c r="C181" s="687"/>
      <c r="D181" s="690"/>
      <c r="E181" s="447" t="s">
        <v>97</v>
      </c>
      <c r="F181" s="448" t="str">
        <f t="shared" ref="F181:N181" si="297">IF(OR($C180="-",$C180="CET",$C180=""),"-",IF(AND(NOT(F180="-"),NOT(F$5="-"),NOT(F$5="")),F180/F$5,"-"))</f>
        <v>-</v>
      </c>
      <c r="G181" s="448" t="str">
        <f t="shared" si="297"/>
        <v>-</v>
      </c>
      <c r="H181" s="448" t="str">
        <f t="shared" si="297"/>
        <v>-</v>
      </c>
      <c r="I181" s="448" t="str">
        <f t="shared" si="297"/>
        <v>-</v>
      </c>
      <c r="J181" s="448" t="str">
        <f t="shared" si="297"/>
        <v>-</v>
      </c>
      <c r="K181" s="449" t="str">
        <f t="shared" si="297"/>
        <v>-</v>
      </c>
      <c r="L181" s="449" t="str">
        <f t="shared" ref="L181:M181" si="298">IF(OR($C180="-",$C180="CET",$C180=""),"-",IF(AND(NOT(L180="-"),NOT(L$5="-"),NOT(L$5="")),L180/L$5,"-"))</f>
        <v>-</v>
      </c>
      <c r="M181" s="449" t="str">
        <f t="shared" si="298"/>
        <v>-</v>
      </c>
      <c r="N181" s="448" t="str">
        <f t="shared" si="297"/>
        <v>-</v>
      </c>
      <c r="O181" s="672"/>
      <c r="P181" s="673"/>
      <c r="Q181" s="673"/>
      <c r="R181" s="673"/>
      <c r="S181" s="672"/>
      <c r="T181" s="673"/>
      <c r="U181" s="673"/>
      <c r="V181" s="674"/>
      <c r="W181" s="428"/>
      <c r="X181" s="42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BC181" s="401" t="str">
        <f t="shared" si="216"/>
        <v>-</v>
      </c>
    </row>
    <row r="182" spans="1:64" ht="15" customHeight="1" outlineLevel="1" thickBot="1" x14ac:dyDescent="0.3">
      <c r="A182" s="404"/>
      <c r="B182" s="726"/>
      <c r="C182" s="688"/>
      <c r="D182" s="691"/>
      <c r="E182" s="451" t="s">
        <v>30</v>
      </c>
      <c r="F182" s="451" t="str">
        <f t="shared" ref="F182:N182" si="299">IF(AND(OR(F178="-",F178=""),OR(F179="-",F179="")),"-",IF(OR($C180="-",$C180="",$C180="CET"),"-",IF($R$154="not listed","-",IF(NOT(F$5="-"),IF(AND(AND(NOT(F178=0),NOT(F178="-"),NOT(F178="")),AND(NOT(F179="-"),NOT(F179=0),NOT(F179=""))),IF(AND((F178+F179)/2&lt;1*F$5*IF(OR($C180="CET",$C180="-",$C180=""),"-",$C180),F178&lt;1.1*F$5*IF(OR($C180="CET",$C180="-",$C180=""),"-",$C180),F179&lt;1.1*F$5*IF(OR($C180="CET",$C180="-",$C180=""),"-",$C180)),"passed","refused"),IF(IF(OR(F178="-",F178=""),F179,F178)&lt;0.7*F$5*IF(OR($C180="CET",$C180="-",$C180=""),"-",$C180),"passed",IF(IF(OR(F178="-",F178=""),F179,F178)&lt;1.1*IF(OR($C180="CET",$C180="-",$C180=""),"-",$C180)*F$5,"failed","refused"))),"-"))))</f>
        <v>-</v>
      </c>
      <c r="G182" s="451" t="str">
        <f t="shared" si="299"/>
        <v>-</v>
      </c>
      <c r="H182" s="451" t="str">
        <f t="shared" si="299"/>
        <v>-</v>
      </c>
      <c r="I182" s="451" t="str">
        <f t="shared" si="299"/>
        <v>-</v>
      </c>
      <c r="J182" s="451" t="str">
        <f t="shared" si="299"/>
        <v>-</v>
      </c>
      <c r="K182" s="452" t="str">
        <f t="shared" si="299"/>
        <v>-</v>
      </c>
      <c r="L182" s="452" t="str">
        <f t="shared" si="299"/>
        <v>-</v>
      </c>
      <c r="M182" s="452" t="str">
        <f t="shared" si="299"/>
        <v>-</v>
      </c>
      <c r="N182" s="451" t="str">
        <f t="shared" si="299"/>
        <v>-</v>
      </c>
      <c r="O182" s="672"/>
      <c r="P182" s="673"/>
      <c r="Q182" s="673"/>
      <c r="R182" s="673"/>
      <c r="S182" s="672"/>
      <c r="T182" s="673"/>
      <c r="U182" s="673"/>
      <c r="V182" s="674"/>
      <c r="W182" s="428"/>
      <c r="X182" s="428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BC182" s="401" t="str">
        <f t="shared" si="216"/>
        <v>-</v>
      </c>
      <c r="BD182" s="459"/>
      <c r="BE182" s="459"/>
      <c r="BF182" s="459"/>
      <c r="BG182" s="459"/>
      <c r="BH182" s="459"/>
      <c r="BI182" s="459"/>
      <c r="BJ182" s="459"/>
      <c r="BK182" s="459"/>
      <c r="BL182" s="459"/>
    </row>
    <row r="183" spans="1:64" s="405" customFormat="1" ht="15" customHeight="1" outlineLevel="1" x14ac:dyDescent="0.25">
      <c r="A183" s="454"/>
      <c r="B183" s="718" t="s">
        <v>140</v>
      </c>
      <c r="C183" s="684" t="s">
        <v>114</v>
      </c>
      <c r="D183" s="684" t="s">
        <v>113</v>
      </c>
      <c r="E183" s="453" t="s">
        <v>94</v>
      </c>
      <c r="F183" s="473" t="s">
        <v>5</v>
      </c>
      <c r="G183" s="473" t="s">
        <v>5</v>
      </c>
      <c r="H183" s="473" t="s">
        <v>5</v>
      </c>
      <c r="I183" s="473" t="s">
        <v>5</v>
      </c>
      <c r="J183" s="473" t="s">
        <v>5</v>
      </c>
      <c r="K183" s="474" t="s">
        <v>5</v>
      </c>
      <c r="L183" s="474" t="s">
        <v>5</v>
      </c>
      <c r="M183" s="474" t="s">
        <v>5</v>
      </c>
      <c r="N183" s="473" t="s">
        <v>5</v>
      </c>
      <c r="O183" s="672"/>
      <c r="P183" s="673"/>
      <c r="Q183" s="673"/>
      <c r="R183" s="673"/>
      <c r="S183" s="672"/>
      <c r="T183" s="673"/>
      <c r="U183" s="673"/>
      <c r="V183" s="674"/>
      <c r="W183" s="443"/>
      <c r="X183" s="443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BC183" s="401" t="str">
        <f t="shared" si="216"/>
        <v>-</v>
      </c>
      <c r="BD183" s="459"/>
      <c r="BE183" s="459"/>
      <c r="BF183" s="459"/>
      <c r="BG183" s="459"/>
      <c r="BH183" s="459"/>
      <c r="BI183" s="459"/>
      <c r="BJ183" s="459"/>
      <c r="BK183" s="459"/>
      <c r="BL183" s="459"/>
    </row>
    <row r="184" spans="1:64" ht="15" customHeight="1" outlineLevel="1" thickBot="1" x14ac:dyDescent="0.3">
      <c r="A184" s="404"/>
      <c r="B184" s="719"/>
      <c r="C184" s="702"/>
      <c r="D184" s="685"/>
      <c r="E184" s="440" t="s">
        <v>95</v>
      </c>
      <c r="F184" s="475" t="s">
        <v>5</v>
      </c>
      <c r="G184" s="475" t="s">
        <v>5</v>
      </c>
      <c r="H184" s="475" t="s">
        <v>5</v>
      </c>
      <c r="I184" s="475" t="s">
        <v>5</v>
      </c>
      <c r="J184" s="475" t="s">
        <v>5</v>
      </c>
      <c r="K184" s="476" t="s">
        <v>5</v>
      </c>
      <c r="L184" s="476" t="s">
        <v>5</v>
      </c>
      <c r="M184" s="476" t="s">
        <v>5</v>
      </c>
      <c r="N184" s="475" t="s">
        <v>5</v>
      </c>
      <c r="O184" s="672"/>
      <c r="P184" s="673"/>
      <c r="Q184" s="673"/>
      <c r="R184" s="673"/>
      <c r="S184" s="672"/>
      <c r="T184" s="673"/>
      <c r="U184" s="673"/>
      <c r="V184" s="674"/>
      <c r="W184" s="428"/>
      <c r="X184" s="428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BC184" s="401" t="str">
        <f t="shared" si="216"/>
        <v>-</v>
      </c>
      <c r="BD184" s="460"/>
      <c r="BE184" s="460"/>
      <c r="BF184" s="460"/>
      <c r="BG184" s="460"/>
      <c r="BH184" s="460"/>
      <c r="BI184" s="460"/>
      <c r="BJ184" s="460"/>
      <c r="BK184" s="460"/>
      <c r="BL184" s="460"/>
    </row>
    <row r="185" spans="1:64" ht="15" customHeight="1" outlineLevel="1" thickBot="1" x14ac:dyDescent="0.3">
      <c r="A185" s="404"/>
      <c r="B185" s="719"/>
      <c r="C185" s="686">
        <v>4</v>
      </c>
      <c r="D185" s="689" t="str">
        <f>IF(AND(F186="-",G186="-",H186="-",I186="-",J186="-",K186="-",L186="-",M186="-"),"-",MAX(F186,G186,H186,I186,J186,K186,L186,M186))</f>
        <v>-</v>
      </c>
      <c r="E185" s="444" t="s">
        <v>96</v>
      </c>
      <c r="F185" s="445" t="str">
        <f t="shared" ref="F185:N185" si="300">IF(OR(F184="-",F184=""),IF(OR(F183="-",F183=""),"-",F183),IF(OR(F183="-",F183=""),F184,(F183+F184)/2))</f>
        <v>-</v>
      </c>
      <c r="G185" s="445" t="str">
        <f t="shared" si="300"/>
        <v>-</v>
      </c>
      <c r="H185" s="445" t="str">
        <f t="shared" si="300"/>
        <v>-</v>
      </c>
      <c r="I185" s="445" t="str">
        <f t="shared" si="300"/>
        <v>-</v>
      </c>
      <c r="J185" s="445" t="str">
        <f t="shared" si="300"/>
        <v>-</v>
      </c>
      <c r="K185" s="446" t="str">
        <f t="shared" si="300"/>
        <v>-</v>
      </c>
      <c r="L185" s="446" t="str">
        <f t="shared" ref="L185:M185" si="301">IF(OR(L184="-",L184=""),IF(OR(L183="-",L183=""),"-",L183),IF(OR(L183="-",L183=""),L184,(L183+L184)/2))</f>
        <v>-</v>
      </c>
      <c r="M185" s="446" t="str">
        <f t="shared" si="301"/>
        <v>-</v>
      </c>
      <c r="N185" s="445" t="str">
        <f t="shared" si="300"/>
        <v>-</v>
      </c>
      <c r="O185" s="672"/>
      <c r="P185" s="673"/>
      <c r="Q185" s="673"/>
      <c r="R185" s="673"/>
      <c r="S185" s="672"/>
      <c r="T185" s="673"/>
      <c r="U185" s="673"/>
      <c r="V185" s="674"/>
      <c r="W185" s="428"/>
      <c r="X185" s="428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401" t="str">
        <f t="shared" si="216"/>
        <v>-</v>
      </c>
      <c r="BD185" s="460"/>
      <c r="BE185" s="460"/>
      <c r="BF185" s="460"/>
      <c r="BG185" s="460"/>
      <c r="BH185" s="460"/>
      <c r="BI185" s="460"/>
      <c r="BJ185" s="460"/>
      <c r="BK185" s="460"/>
      <c r="BL185" s="460"/>
    </row>
    <row r="186" spans="1:64" ht="15.75" outlineLevel="1" thickBot="1" x14ac:dyDescent="0.3">
      <c r="B186" s="719"/>
      <c r="C186" s="687"/>
      <c r="D186" s="690"/>
      <c r="E186" s="447" t="s">
        <v>97</v>
      </c>
      <c r="F186" s="448" t="str">
        <f t="shared" ref="F186:N186" si="302">IF(OR($C185="-",$C185="CET",$C185=""),"-",IF(AND(NOT(F185="-"),NOT(F$5="-"),NOT(F$5="")),F185/F$5,"-"))</f>
        <v>-</v>
      </c>
      <c r="G186" s="448" t="str">
        <f t="shared" si="302"/>
        <v>-</v>
      </c>
      <c r="H186" s="448" t="str">
        <f t="shared" si="302"/>
        <v>-</v>
      </c>
      <c r="I186" s="448" t="str">
        <f t="shared" si="302"/>
        <v>-</v>
      </c>
      <c r="J186" s="448" t="str">
        <f t="shared" si="302"/>
        <v>-</v>
      </c>
      <c r="K186" s="449" t="str">
        <f t="shared" si="302"/>
        <v>-</v>
      </c>
      <c r="L186" s="449" t="str">
        <f t="shared" ref="L186:M186" si="303">IF(OR($C185="-",$C185="CET",$C185=""),"-",IF(AND(NOT(L185="-"),NOT(L$5="-"),NOT(L$5="")),L185/L$5,"-"))</f>
        <v>-</v>
      </c>
      <c r="M186" s="449" t="str">
        <f t="shared" si="303"/>
        <v>-</v>
      </c>
      <c r="N186" s="448" t="str">
        <f t="shared" si="302"/>
        <v>-</v>
      </c>
      <c r="O186" s="672"/>
      <c r="P186" s="673"/>
      <c r="Q186" s="673"/>
      <c r="R186" s="673"/>
      <c r="S186" s="672"/>
      <c r="T186" s="673"/>
      <c r="U186" s="673"/>
      <c r="V186" s="674"/>
      <c r="BC186" s="401" t="str">
        <f t="shared" si="216"/>
        <v>-</v>
      </c>
    </row>
    <row r="187" spans="1:64" ht="15.75" outlineLevel="1" thickBot="1" x14ac:dyDescent="0.3">
      <c r="B187" s="720"/>
      <c r="C187" s="688"/>
      <c r="D187" s="691"/>
      <c r="E187" s="451" t="s">
        <v>30</v>
      </c>
      <c r="F187" s="451" t="str">
        <f t="shared" ref="F187:N187" si="304">IF(AND(OR(F183="-",F183=""),OR(F184="-",F184="")),"-",IF(OR($C185="-",$C185="",$C185="CET"),"-",IF($R$154="not listed","-",IF(NOT(F$5="-"),IF(AND(AND(NOT(F183=0),NOT(F183="-"),NOT(F183="")),AND(NOT(F184="-"),NOT(F184=0),NOT(F184=""))),IF(AND((F183+F184)/2&lt;1*F$5*IF(OR($C185="CET",$C185="-",$C185=""),"-",$C185),F183&lt;1.1*F$5*IF(OR($C185="CET",$C185="-",$C185=""),"-",$C185),F184&lt;1.1*F$5*IF(OR($C185="CET",$C185="-",$C185=""),"-",$C185)),"passed","refused"),IF(IF(OR(F183="-",F183=""),F184,F183)&lt;0.7*F$5*IF(OR($C185="CET",$C185="-",$C185=""),"-",$C185),"passed",IF(IF(OR(F183="-",F183=""),F184,F183)&lt;1.1*IF(OR($C185="CET",$C185="-",$C185=""),"-",$C185)*F$5,"failed","refused"))),"-"))))</f>
        <v>-</v>
      </c>
      <c r="G187" s="451" t="str">
        <f t="shared" si="304"/>
        <v>-</v>
      </c>
      <c r="H187" s="451" t="str">
        <f t="shared" si="304"/>
        <v>-</v>
      </c>
      <c r="I187" s="451" t="str">
        <f t="shared" si="304"/>
        <v>-</v>
      </c>
      <c r="J187" s="451" t="str">
        <f t="shared" si="304"/>
        <v>-</v>
      </c>
      <c r="K187" s="452" t="str">
        <f t="shared" si="304"/>
        <v>-</v>
      </c>
      <c r="L187" s="452" t="str">
        <f t="shared" si="304"/>
        <v>-</v>
      </c>
      <c r="M187" s="452" t="str">
        <f t="shared" si="304"/>
        <v>-</v>
      </c>
      <c r="N187" s="451" t="str">
        <f t="shared" si="304"/>
        <v>-</v>
      </c>
      <c r="O187" s="675"/>
      <c r="P187" s="676"/>
      <c r="Q187" s="676"/>
      <c r="R187" s="676"/>
      <c r="S187" s="675"/>
      <c r="T187" s="676"/>
      <c r="U187" s="676"/>
      <c r="V187" s="677"/>
      <c r="BC187" s="401" t="str">
        <f t="shared" si="216"/>
        <v>-</v>
      </c>
    </row>
  </sheetData>
  <sheetProtection password="8952" sheet="1" objects="1" scenarios="1" selectLockedCells="1"/>
  <mergeCells count="187">
    <mergeCell ref="N42:N44"/>
    <mergeCell ref="N47:N49"/>
    <mergeCell ref="N52:N54"/>
    <mergeCell ref="K1:Q2"/>
    <mergeCell ref="B183:B187"/>
    <mergeCell ref="C183:C184"/>
    <mergeCell ref="D183:D184"/>
    <mergeCell ref="C185:C187"/>
    <mergeCell ref="D185:D187"/>
    <mergeCell ref="B173:B177"/>
    <mergeCell ref="C173:C174"/>
    <mergeCell ref="D173:D174"/>
    <mergeCell ref="C175:C177"/>
    <mergeCell ref="D175:D177"/>
    <mergeCell ref="B178:B182"/>
    <mergeCell ref="C178:C179"/>
    <mergeCell ref="D178:D179"/>
    <mergeCell ref="C180:C182"/>
    <mergeCell ref="D180:D182"/>
    <mergeCell ref="C154:N154"/>
    <mergeCell ref="C127:N127"/>
    <mergeCell ref="B119:B123"/>
    <mergeCell ref="C119:C120"/>
    <mergeCell ref="C121:C123"/>
    <mergeCell ref="Y154:AH154"/>
    <mergeCell ref="Y155:AH185"/>
    <mergeCell ref="B156:N156"/>
    <mergeCell ref="O156:R156"/>
    <mergeCell ref="S156:V156"/>
    <mergeCell ref="B157:E157"/>
    <mergeCell ref="O157:R187"/>
    <mergeCell ref="S157:V187"/>
    <mergeCell ref="B158:B162"/>
    <mergeCell ref="C158:C159"/>
    <mergeCell ref="D158:D159"/>
    <mergeCell ref="C160:C162"/>
    <mergeCell ref="D160:D162"/>
    <mergeCell ref="B163:B167"/>
    <mergeCell ref="C163:C164"/>
    <mergeCell ref="D163:D164"/>
    <mergeCell ref="C165:C167"/>
    <mergeCell ref="D165:D167"/>
    <mergeCell ref="B168:B172"/>
    <mergeCell ref="C168:C169"/>
    <mergeCell ref="D168:D169"/>
    <mergeCell ref="C170:C172"/>
    <mergeCell ref="D170:D172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  <mergeCell ref="C100:N100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C104:C105"/>
    <mergeCell ref="D104:D105"/>
    <mergeCell ref="C106:C108"/>
    <mergeCell ref="D106:D108"/>
    <mergeCell ref="B109:B113"/>
    <mergeCell ref="C109:C110"/>
    <mergeCell ref="C111:C113"/>
    <mergeCell ref="B114:B118"/>
    <mergeCell ref="C114:C115"/>
    <mergeCell ref="C116:C118"/>
    <mergeCell ref="Y74:AH74"/>
    <mergeCell ref="B75:N75"/>
    <mergeCell ref="O75:R75"/>
    <mergeCell ref="S75:V75"/>
    <mergeCell ref="Y75:AH95"/>
    <mergeCell ref="B76:E76"/>
    <mergeCell ref="O76:R96"/>
    <mergeCell ref="S76:V96"/>
    <mergeCell ref="B77:B81"/>
    <mergeCell ref="C77:C78"/>
    <mergeCell ref="D77:D78"/>
    <mergeCell ref="C79:C81"/>
    <mergeCell ref="D79:D81"/>
    <mergeCell ref="B82:B86"/>
    <mergeCell ref="C82:C83"/>
    <mergeCell ref="C84:C86"/>
    <mergeCell ref="B87:B91"/>
    <mergeCell ref="C87:C88"/>
    <mergeCell ref="C89:C91"/>
    <mergeCell ref="B65:B69"/>
    <mergeCell ref="C65:C66"/>
    <mergeCell ref="D65:D66"/>
    <mergeCell ref="C67:C69"/>
    <mergeCell ref="D67:D69"/>
    <mergeCell ref="B92:B96"/>
    <mergeCell ref="C92:C93"/>
    <mergeCell ref="C94:C96"/>
    <mergeCell ref="C73:N73"/>
    <mergeCell ref="C55:C56"/>
    <mergeCell ref="D55:D56"/>
    <mergeCell ref="C57:C59"/>
    <mergeCell ref="D57:D59"/>
    <mergeCell ref="B60:B64"/>
    <mergeCell ref="C60:C61"/>
    <mergeCell ref="D60:D61"/>
    <mergeCell ref="C62:C64"/>
    <mergeCell ref="D62:D64"/>
    <mergeCell ref="Y37:AH37"/>
    <mergeCell ref="B38:N38"/>
    <mergeCell ref="O38:R38"/>
    <mergeCell ref="S38:V38"/>
    <mergeCell ref="Y38:AH68"/>
    <mergeCell ref="B39:E39"/>
    <mergeCell ref="O39:R69"/>
    <mergeCell ref="S39:V69"/>
    <mergeCell ref="B40:B44"/>
    <mergeCell ref="C40:C41"/>
    <mergeCell ref="D40:D41"/>
    <mergeCell ref="C42:C44"/>
    <mergeCell ref="D42:D44"/>
    <mergeCell ref="B45:B49"/>
    <mergeCell ref="C45:C46"/>
    <mergeCell ref="D45:D46"/>
    <mergeCell ref="C47:C49"/>
    <mergeCell ref="D47:D49"/>
    <mergeCell ref="B50:B54"/>
    <mergeCell ref="C50:C51"/>
    <mergeCell ref="D50:D51"/>
    <mergeCell ref="C52:C54"/>
    <mergeCell ref="D52:D54"/>
    <mergeCell ref="B55:B59"/>
    <mergeCell ref="C36:N36"/>
    <mergeCell ref="B11:E11"/>
    <mergeCell ref="O11:R32"/>
    <mergeCell ref="S11:V32"/>
    <mergeCell ref="B18:B22"/>
    <mergeCell ref="C18:C19"/>
    <mergeCell ref="D18:D19"/>
    <mergeCell ref="C20:C22"/>
    <mergeCell ref="D20:D22"/>
    <mergeCell ref="B23:B27"/>
    <mergeCell ref="C23:C24"/>
    <mergeCell ref="D23:D24"/>
    <mergeCell ref="C25:C27"/>
    <mergeCell ref="D25:D27"/>
    <mergeCell ref="N15:N17"/>
    <mergeCell ref="N20:N22"/>
    <mergeCell ref="N25:N27"/>
    <mergeCell ref="N30:N32"/>
    <mergeCell ref="Y11:AH31"/>
    <mergeCell ref="B12:B17"/>
    <mergeCell ref="D12:E12"/>
    <mergeCell ref="C13:C14"/>
    <mergeCell ref="D13:D14"/>
    <mergeCell ref="C15:C17"/>
    <mergeCell ref="D15:D17"/>
    <mergeCell ref="A1:J2"/>
    <mergeCell ref="B4:D4"/>
    <mergeCell ref="O4:P4"/>
    <mergeCell ref="B5:E5"/>
    <mergeCell ref="O5:P5"/>
    <mergeCell ref="B6:E6"/>
    <mergeCell ref="C8:N8"/>
    <mergeCell ref="B10:N10"/>
    <mergeCell ref="O10:R10"/>
    <mergeCell ref="S10:V10"/>
    <mergeCell ref="Y10:AH10"/>
    <mergeCell ref="B28:B32"/>
    <mergeCell ref="C28:C29"/>
    <mergeCell ref="D28:D29"/>
    <mergeCell ref="C30:C32"/>
    <mergeCell ref="D30:D32"/>
  </mergeCells>
  <conditionalFormatting sqref="A3 F150:N150 F145:N145 F17:M17 F22:M22 F27:M27 F32:M32 F162:N162 F167:N167 F172:N172 F177:N177 F182:N182 F187:N187 F135:N135 F140:N140 F108:N108 F81:N81 F44:M44 F49:M49 F54:M54 F59:N59 F64:N64 F69:N69">
    <cfRule type="containsText" dxfId="2599" priority="24" operator="containsText" text="passed">
      <formula>NOT(ISERROR(SEARCH("passed",A3)))</formula>
    </cfRule>
    <cfRule type="containsText" dxfId="2598" priority="25" operator="containsText" text="failed">
      <formula>NOT(ISERROR(SEARCH("failed",A3)))</formula>
    </cfRule>
    <cfRule type="containsText" dxfId="2597" priority="26" operator="containsText" text="refused">
      <formula>NOT(ISERROR(SEARCH("refused",A3)))</formula>
    </cfRule>
  </conditionalFormatting>
  <conditionalFormatting sqref="N13:N14">
    <cfRule type="expression" dxfId="2596" priority="23">
      <formula>IF(AND(NOT(N13=""),NOT(N13="-")),N13&gt;=1.1*N$5*BL$25,"-")</formula>
    </cfRule>
  </conditionalFormatting>
  <conditionalFormatting sqref="N18:N19">
    <cfRule type="expression" dxfId="2595" priority="22">
      <formula>IF(AND(NOT(N18=""),NOT(N18="-")),N18&gt;=1.1*N$5*BL$26,"-")</formula>
    </cfRule>
  </conditionalFormatting>
  <conditionalFormatting sqref="N23:N24">
    <cfRule type="expression" dxfId="2594" priority="21">
      <formula>IF(AND(NOT(N23=""),NOT(N23="-")),N23&gt;=1.1*N$5*BL$27,"-")</formula>
    </cfRule>
  </conditionalFormatting>
  <conditionalFormatting sqref="N28:N29">
    <cfRule type="expression" dxfId="2593" priority="20">
      <formula>IF(AND(NOT(N28=""),NOT(N28="-")),N28&gt;=1.1*N$5*BL$28,"-")</formula>
    </cfRule>
  </conditionalFormatting>
  <conditionalFormatting sqref="N40:N41">
    <cfRule type="expression" dxfId="2592" priority="27">
      <formula>IF(AND(NOT(N40=""),NOT(N40="-")),N40&gt;=1.1*N$5*BL$58,"-")</formula>
    </cfRule>
  </conditionalFormatting>
  <conditionalFormatting sqref="N50:N51">
    <cfRule type="expression" dxfId="2591" priority="28">
      <formula>IF(AND(NOT(N50=""),NOT(N50="-")),N50&gt;=1.1*N$5*BL$60,"-")</formula>
    </cfRule>
  </conditionalFormatting>
  <conditionalFormatting sqref="N55:N56">
    <cfRule type="expression" dxfId="2590" priority="29">
      <formula>IF(AND(NOT(N55=""),NOT(N55="-")),N55&gt;=1.1*N$5*BL$61,"-")</formula>
    </cfRule>
  </conditionalFormatting>
  <conditionalFormatting sqref="N45:N46">
    <cfRule type="expression" dxfId="2589" priority="30">
      <formula>IF(AND(NOT(N45=""),NOT(N45="-")),N45&gt;=1.1*N$5*BL$59,"-")</formula>
    </cfRule>
  </conditionalFormatting>
  <conditionalFormatting sqref="N60:N61">
    <cfRule type="expression" dxfId="2588" priority="31">
      <formula>IF(AND(NOT(N60=""),NOT(N60="-")),N60&gt;=1.1*N$5*BL$62,"-")</formula>
    </cfRule>
  </conditionalFormatting>
  <conditionalFormatting sqref="N65:N66">
    <cfRule type="expression" dxfId="2587" priority="32">
      <formula>IF(AND(NOT(N65=""),NOT(N65="-")),N65&gt;=1.1*N$5*BL$63,"-")</formula>
    </cfRule>
  </conditionalFormatting>
  <conditionalFormatting sqref="N77:N78">
    <cfRule type="expression" dxfId="2586" priority="33">
      <formula>IF(AND(NOT(N77=""),NOT(N77="-")),N77&gt;=1.1*N$5*BL$95,"-")</formula>
    </cfRule>
  </conditionalFormatting>
  <conditionalFormatting sqref="N163:N164">
    <cfRule type="expression" dxfId="2585" priority="34">
      <formula>IF(AND(NOT(N163=""),NOT(N163="-")),N163&gt;=1.1*N$5*BL$176,"-")</formula>
    </cfRule>
  </conditionalFormatting>
  <conditionalFormatting sqref="N158:N159">
    <cfRule type="expression" dxfId="2584" priority="36">
      <formula>IF(AND(NOT(N158=""),NOT(N158="-")),N158&gt;=1.1*N$5*BL$175,"-")</formula>
    </cfRule>
  </conditionalFormatting>
  <conditionalFormatting sqref="N131:N132">
    <cfRule type="expression" dxfId="2583" priority="38">
      <formula>IF(AND(NOT(N131=""),NOT(N131="-")),N131&gt;=1.1*N$5*BL$148,"-")</formula>
    </cfRule>
  </conditionalFormatting>
  <conditionalFormatting sqref="P8">
    <cfRule type="containsText" dxfId="2582" priority="16" operator="containsText" text="passed">
      <formula>NOT(ISERROR(SEARCH("passed",P8)))</formula>
    </cfRule>
    <cfRule type="containsText" dxfId="2581" priority="17" operator="containsText" text="failed">
      <formula>NOT(ISERROR(SEARCH("failed",P8)))</formula>
    </cfRule>
    <cfRule type="containsText" dxfId="2580" priority="18" operator="containsText" text="refused">
      <formula>NOT(ISERROR(SEARCH("refused",P8)))</formula>
    </cfRule>
  </conditionalFormatting>
  <conditionalFormatting sqref="F13:K14">
    <cfRule type="expression" dxfId="2579" priority="448954">
      <formula>IF(AND(NOT(F13=""),NOT(F13="-")),F13&gt;=1.1*F$5*BE$25,"-")</formula>
    </cfRule>
  </conditionalFormatting>
  <conditionalFormatting sqref="F18:K19">
    <cfRule type="expression" dxfId="2578" priority="448956">
      <formula>IF(AND(NOT(F18=""),NOT(F18="-")),F18&gt;=1.1*F$5*BE$26,"-")</formula>
    </cfRule>
  </conditionalFormatting>
  <conditionalFormatting sqref="F23:K24">
    <cfRule type="expression" dxfId="2577" priority="448958">
      <formula>IF(AND(NOT(F23=""),NOT(F23="-")),F23&gt;=1.1*F$5*BE$27,"-")</formula>
    </cfRule>
  </conditionalFormatting>
  <conditionalFormatting sqref="F28:K29">
    <cfRule type="expression" dxfId="2576" priority="448960">
      <formula>IF(AND(NOT(F28=""),NOT(F28="-")),F28&gt;=1.1*F$5*BE$28,"-")</formula>
    </cfRule>
  </conditionalFormatting>
  <conditionalFormatting sqref="F40:K41">
    <cfRule type="expression" dxfId="2575" priority="448964">
      <formula>IF(AND(NOT(F40=""),NOT(F40="-")),F40&gt;=1.1*F$5*BE$58,"-")</formula>
    </cfRule>
  </conditionalFormatting>
  <conditionalFormatting sqref="F50:K51">
    <cfRule type="expression" dxfId="2574" priority="448966">
      <formula>IF(AND(NOT(F50=""),NOT(F50="-")),F50&gt;=1.1*F$5*BE$60,"-")</formula>
    </cfRule>
  </conditionalFormatting>
  <conditionalFormatting sqref="F55:K56">
    <cfRule type="expression" dxfId="2573" priority="448968">
      <formula>IF(AND(NOT(F55=""),NOT(F55="-")),F55&gt;=1.1*F$5*BE$61,"-")</formula>
    </cfRule>
  </conditionalFormatting>
  <conditionalFormatting sqref="F45:K46">
    <cfRule type="expression" dxfId="2572" priority="448970">
      <formula>IF(AND(NOT(F45=""),NOT(F45="-")),F45&gt;=1.1*F$5*BE$59,"-")</formula>
    </cfRule>
  </conditionalFormatting>
  <conditionalFormatting sqref="F60:K61">
    <cfRule type="expression" dxfId="2571" priority="448972">
      <formula>IF(AND(NOT(F60=""),NOT(F60="-")),F60&gt;=1.1*F$5*BE$62,"-")</formula>
    </cfRule>
  </conditionalFormatting>
  <conditionalFormatting sqref="F65:K66">
    <cfRule type="expression" dxfId="2570" priority="448974">
      <formula>IF(AND(NOT(F65=""),NOT(F65="-")),F65&gt;=1.1*F$5*BE$63,"-")</formula>
    </cfRule>
  </conditionalFormatting>
  <conditionalFormatting sqref="F77:K78">
    <cfRule type="expression" dxfId="2569" priority="448976">
      <formula>IF(AND(NOT(F77=""),NOT(F77="-")),F77&gt;=1.1*F$5*BE$95,"-")</formula>
    </cfRule>
  </conditionalFormatting>
  <conditionalFormatting sqref="F163:K164">
    <cfRule type="expression" dxfId="2568" priority="448978">
      <formula>IF(AND(NOT(F163=""),NOT(F163="-")),F163&gt;=1.1*F$5*BE$176,"-")</formula>
    </cfRule>
  </conditionalFormatting>
  <conditionalFormatting sqref="F158:K159">
    <cfRule type="expression" dxfId="2567" priority="448982">
      <formula>IF(AND(NOT(F158=""),NOT(F158="-")),F158&gt;=1.1*F$5*BE$175,"-")</formula>
    </cfRule>
  </conditionalFormatting>
  <conditionalFormatting sqref="F131:K132">
    <cfRule type="expression" dxfId="2566" priority="448986">
      <formula>IF(AND(NOT(F131=""),NOT(F131="-")),F131&gt;=1.1*F$5*BE$148,"-")</formula>
    </cfRule>
  </conditionalFormatting>
  <conditionalFormatting sqref="N136:N137">
    <cfRule type="expression" dxfId="2565" priority="448994">
      <formula>IF(AND(NOT(N136=""),NOT(N136="-")),N136&gt;=1.1*N$5*BL$149,"-")</formula>
    </cfRule>
  </conditionalFormatting>
  <conditionalFormatting sqref="N168:N169">
    <cfRule type="expression" dxfId="2564" priority="448995">
      <formula>IF(AND(NOT(N168=""),NOT(N168="-")),N168&gt;=1.1*N$5*BL$177,"-")</formula>
    </cfRule>
  </conditionalFormatting>
  <conditionalFormatting sqref="N104:N105">
    <cfRule type="expression" dxfId="2563" priority="448998">
      <formula>IF(AND(NOT(N104=""),NOT(N104="-")),N104&gt;=1.1*N$5*BL$121,"-")</formula>
    </cfRule>
  </conditionalFormatting>
  <conditionalFormatting sqref="N173:N174">
    <cfRule type="expression" dxfId="2562" priority="448999">
      <formula>IF(AND(NOT(N173=""),NOT(N173="-")),N173&gt;=1.1*N$5*BL$178,"-")</formula>
    </cfRule>
  </conditionalFormatting>
  <conditionalFormatting sqref="N178:N179">
    <cfRule type="expression" dxfId="2561" priority="449000">
      <formula>IF(AND(NOT(N178=""),NOT(N178="-")),N178&gt;=1.1*N$5*BL$179,"-")</formula>
    </cfRule>
  </conditionalFormatting>
  <conditionalFormatting sqref="N183:N184">
    <cfRule type="expression" dxfId="2560" priority="449001">
      <formula>IF(AND(NOT(N183=""),NOT(N183="-")),N183&gt;=1.1*N$5*BL$180,"-")</formula>
    </cfRule>
  </conditionalFormatting>
  <conditionalFormatting sqref="F136:K137">
    <cfRule type="expression" dxfId="2559" priority="449003">
      <formula>IF(AND(NOT(F136=""),NOT(F136="-")),F136&gt;=1.1*F$5*BE$149,"-")</formula>
    </cfRule>
  </conditionalFormatting>
  <conditionalFormatting sqref="F168:K169">
    <cfRule type="expression" dxfId="2558" priority="449004">
      <formula>IF(AND(NOT(F168=""),NOT(F168="-")),F168&gt;=1.1*F$5*BE$177,"-")</formula>
    </cfRule>
  </conditionalFormatting>
  <conditionalFormatting sqref="F104:K105">
    <cfRule type="expression" dxfId="2557" priority="449007">
      <formula>IF(AND(NOT(F104=""),NOT(F104="-")),F104&gt;=1.1*F$5*BE$121,"-")</formula>
    </cfRule>
  </conditionalFormatting>
  <conditionalFormatting sqref="F173:K174">
    <cfRule type="expression" dxfId="2556" priority="449008">
      <formula>IF(AND(NOT(F173=""),NOT(F173="-")),F173&gt;=1.1*F$5*BE$178,"-")</formula>
    </cfRule>
  </conditionalFormatting>
  <conditionalFormatting sqref="F178:K179">
    <cfRule type="expression" dxfId="2555" priority="449009">
      <formula>IF(AND(NOT(F178=""),NOT(F178="-")),F178&gt;=1.1*F$5*BE$179,"-")</formula>
    </cfRule>
  </conditionalFormatting>
  <conditionalFormatting sqref="F183:K184">
    <cfRule type="expression" dxfId="2554" priority="449010">
      <formula>IF(AND(NOT(F183=""),NOT(F183="-")),F183&gt;=1.1*F$5*BE$180,"-")</formula>
    </cfRule>
  </conditionalFormatting>
  <conditionalFormatting sqref="P36">
    <cfRule type="containsText" dxfId="2553" priority="13" operator="containsText" text="passed">
      <formula>NOT(ISERROR(SEARCH("passed",P36)))</formula>
    </cfRule>
    <cfRule type="containsText" dxfId="2552" priority="14" operator="containsText" text="failed">
      <formula>NOT(ISERROR(SEARCH("failed",P36)))</formula>
    </cfRule>
    <cfRule type="containsText" dxfId="2551" priority="15" operator="containsText" text="refused">
      <formula>NOT(ISERROR(SEARCH("refused",P36)))</formula>
    </cfRule>
  </conditionalFormatting>
  <conditionalFormatting sqref="P73">
    <cfRule type="containsText" dxfId="2550" priority="10" operator="containsText" text="passed">
      <formula>NOT(ISERROR(SEARCH("passed",P73)))</formula>
    </cfRule>
    <cfRule type="containsText" dxfId="2549" priority="11" operator="containsText" text="failed">
      <formula>NOT(ISERROR(SEARCH("failed",P73)))</formula>
    </cfRule>
    <cfRule type="containsText" dxfId="2548" priority="12" operator="containsText" text="refused">
      <formula>NOT(ISERROR(SEARCH("refused",P73)))</formula>
    </cfRule>
  </conditionalFormatting>
  <conditionalFormatting sqref="P100">
    <cfRule type="containsText" dxfId="2547" priority="7" operator="containsText" text="passed">
      <formula>NOT(ISERROR(SEARCH("passed",P100)))</formula>
    </cfRule>
    <cfRule type="containsText" dxfId="2546" priority="8" operator="containsText" text="failed">
      <formula>NOT(ISERROR(SEARCH("failed",P100)))</formula>
    </cfRule>
    <cfRule type="containsText" dxfId="2545" priority="9" operator="containsText" text="refused">
      <formula>NOT(ISERROR(SEARCH("refused",P100)))</formula>
    </cfRule>
  </conditionalFormatting>
  <conditionalFormatting sqref="P127">
    <cfRule type="containsText" dxfId="2544" priority="4" operator="containsText" text="passed">
      <formula>NOT(ISERROR(SEARCH("passed",P127)))</formula>
    </cfRule>
    <cfRule type="containsText" dxfId="2543" priority="5" operator="containsText" text="failed">
      <formula>NOT(ISERROR(SEARCH("failed",P127)))</formula>
    </cfRule>
    <cfRule type="containsText" dxfId="2542" priority="6" operator="containsText" text="refused">
      <formula>NOT(ISERROR(SEARCH("refused",P127)))</formula>
    </cfRule>
  </conditionalFormatting>
  <conditionalFormatting sqref="P154">
    <cfRule type="containsText" dxfId="2541" priority="1" operator="containsText" text="passed">
      <formula>NOT(ISERROR(SEARCH("passed",P154)))</formula>
    </cfRule>
    <cfRule type="containsText" dxfId="2540" priority="2" operator="containsText" text="failed">
      <formula>NOT(ISERROR(SEARCH("failed",P154)))</formula>
    </cfRule>
    <cfRule type="containsText" dxfId="2539" priority="3" operator="containsText" text="refused">
      <formula>NOT(ISERROR(SEARCH("refused",P154)))</formula>
    </cfRule>
  </conditionalFormatting>
  <conditionalFormatting sqref="L13:M14">
    <cfRule type="expression" dxfId="2538" priority="449012">
      <formula>IF(AND(NOT(L13=""),NOT(L13="-")),L13&gt;=1.1*L$5*BL$25,"-")</formula>
    </cfRule>
  </conditionalFormatting>
  <conditionalFormatting sqref="L18:M19">
    <cfRule type="expression" dxfId="2537" priority="449014">
      <formula>IF(AND(NOT(L18=""),NOT(L18="-")),L18&gt;=1.1*L$5*BL$26,"-")</formula>
    </cfRule>
  </conditionalFormatting>
  <conditionalFormatting sqref="L23:M24">
    <cfRule type="expression" dxfId="2536" priority="449016">
      <formula>IF(AND(NOT(L23=""),NOT(L23="-")),L23&gt;=1.1*L$5*BL$27,"-")</formula>
    </cfRule>
  </conditionalFormatting>
  <conditionalFormatting sqref="L28:M29">
    <cfRule type="expression" dxfId="2535" priority="449018">
      <formula>IF(AND(NOT(L28=""),NOT(L28="-")),L28&gt;=1.1*L$5*BL$28,"-")</formula>
    </cfRule>
  </conditionalFormatting>
  <conditionalFormatting sqref="L40:M41">
    <cfRule type="expression" dxfId="2534" priority="449020">
      <formula>IF(AND(NOT(L40=""),NOT(L40="-")),L40&gt;=1.1*L$5*BL$58,"-")</formula>
    </cfRule>
  </conditionalFormatting>
  <conditionalFormatting sqref="L50:M51">
    <cfRule type="expression" dxfId="2533" priority="449022">
      <formula>IF(AND(NOT(L50=""),NOT(L50="-")),L50&gt;=1.1*L$5*BL$60,"-")</formula>
    </cfRule>
  </conditionalFormatting>
  <conditionalFormatting sqref="L55:M56">
    <cfRule type="expression" dxfId="2532" priority="449024">
      <formula>IF(AND(NOT(L55=""),NOT(L55="-")),L55&gt;=1.1*L$5*BL$61,"-")</formula>
    </cfRule>
  </conditionalFormatting>
  <conditionalFormatting sqref="L45:M46">
    <cfRule type="expression" dxfId="2531" priority="449026">
      <formula>IF(AND(NOT(L45=""),NOT(L45="-")),L45&gt;=1.1*L$5*BL$59,"-")</formula>
    </cfRule>
  </conditionalFormatting>
  <conditionalFormatting sqref="L60:M61">
    <cfRule type="expression" dxfId="2530" priority="449028">
      <formula>IF(AND(NOT(L60=""),NOT(L60="-")),L60&gt;=1.1*L$5*BL$62,"-")</formula>
    </cfRule>
  </conditionalFormatting>
  <conditionalFormatting sqref="L65:M66">
    <cfRule type="expression" dxfId="2529" priority="449030">
      <formula>IF(AND(NOT(L65=""),NOT(L65="-")),L65&gt;=1.1*L$5*BL$63,"-")</formula>
    </cfRule>
  </conditionalFormatting>
  <conditionalFormatting sqref="L77:M78">
    <cfRule type="expression" dxfId="2528" priority="449032">
      <formula>IF(AND(NOT(L77=""),NOT(L77="-")),L77&gt;=1.1*L$5*BL$95,"-")</formula>
    </cfRule>
  </conditionalFormatting>
  <conditionalFormatting sqref="L163:M164">
    <cfRule type="expression" dxfId="2527" priority="449034">
      <formula>IF(AND(NOT(L163=""),NOT(L163="-")),L163&gt;=1.1*L$5*BL$176,"-")</formula>
    </cfRule>
  </conditionalFormatting>
  <conditionalFormatting sqref="L158:M159">
    <cfRule type="expression" dxfId="2526" priority="449036">
      <formula>IF(AND(NOT(L158=""),NOT(L158="-")),L158&gt;=1.1*L$5*BL$175,"-")</formula>
    </cfRule>
  </conditionalFormatting>
  <conditionalFormatting sqref="L131:M132">
    <cfRule type="expression" dxfId="2525" priority="449038">
      <formula>IF(AND(NOT(L131=""),NOT(L131="-")),L131&gt;=1.1*L$5*BL$148,"-")</formula>
    </cfRule>
  </conditionalFormatting>
  <conditionalFormatting sqref="L136:M137">
    <cfRule type="expression" dxfId="2524" priority="449040">
      <formula>IF(AND(NOT(L136=""),NOT(L136="-")),L136&gt;=1.1*L$5*BL$149,"-")</formula>
    </cfRule>
  </conditionalFormatting>
  <conditionalFormatting sqref="L168:M169">
    <cfRule type="expression" dxfId="2523" priority="449042">
      <formula>IF(AND(NOT(L168=""),NOT(L168="-")),L168&gt;=1.1*L$5*BL$177,"-")</formula>
    </cfRule>
  </conditionalFormatting>
  <conditionalFormatting sqref="L104:M105">
    <cfRule type="expression" dxfId="2522" priority="449044">
      <formula>IF(AND(NOT(L104=""),NOT(L104="-")),L104&gt;=1.1*L$5*BL$121,"-")</formula>
    </cfRule>
  </conditionalFormatting>
  <conditionalFormatting sqref="L173:M174">
    <cfRule type="expression" dxfId="2521" priority="449046">
      <formula>IF(AND(NOT(L173=""),NOT(L173="-")),L173&gt;=1.1*L$5*BL$178,"-")</formula>
    </cfRule>
  </conditionalFormatting>
  <conditionalFormatting sqref="L178:M179">
    <cfRule type="expression" dxfId="2520" priority="449048">
      <formula>IF(AND(NOT(L178=""),NOT(L178="-")),L178&gt;=1.1*L$5*BL$179,"-")</formula>
    </cfRule>
  </conditionalFormatting>
  <conditionalFormatting sqref="L183:M184">
    <cfRule type="expression" dxfId="2519" priority="449050">
      <formula>IF(AND(NOT(L183=""),NOT(L183="-")),L183&gt;=1.1*L$5*BL$180,"-")</formula>
    </cfRule>
  </conditionalFormatting>
  <pageMargins left="0.7" right="0.7" top="0.75" bottom="0.75" header="0.3" footer="0.3"/>
  <pageSetup paperSize="9" scale="45" fitToHeight="0" orientation="landscape" r:id="rId1"/>
  <rowBreaks count="3" manualBreakCount="3">
    <brk id="71" max="19" man="1"/>
    <brk id="124" max="19" man="1"/>
    <brk id="151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Gasoline'!$BN$14:$BN$17</xm:f>
          </x14:formula1>
          <xm:sqref>E4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>
    <pageSetUpPr fitToPage="1"/>
  </sheetPr>
  <dimension ref="A1:BU242"/>
  <sheetViews>
    <sheetView showGridLines="0" topLeftCell="B1" zoomScale="90" zoomScaleNormal="90" workbookViewId="0">
      <selection activeCell="F13" sqref="F13"/>
    </sheetView>
  </sheetViews>
  <sheetFormatPr baseColWidth="10" defaultColWidth="9.140625" defaultRowHeight="15" outlineLevelRow="1" x14ac:dyDescent="0.25"/>
  <cols>
    <col min="1" max="1" width="2.85546875" style="41" customWidth="1"/>
    <col min="2" max="2" width="14.85546875" style="41" customWidth="1"/>
    <col min="3" max="3" width="12.140625" style="41" bestFit="1" customWidth="1"/>
    <col min="4" max="4" width="12.28515625" style="41" bestFit="1" customWidth="1"/>
    <col min="5" max="5" width="25.7109375" style="41" customWidth="1"/>
    <col min="6" max="10" width="9.7109375" style="41" customWidth="1"/>
    <col min="11" max="11" width="9.7109375" style="170" customWidth="1"/>
    <col min="12" max="12" width="11.28515625" style="170" customWidth="1"/>
    <col min="13" max="13" width="11.28515625" style="41" customWidth="1"/>
    <col min="14" max="14" width="9.7109375" style="41" customWidth="1"/>
    <col min="15" max="16" width="17.7109375" style="41" customWidth="1"/>
    <col min="17" max="17" width="19.28515625" style="41" bestFit="1" customWidth="1"/>
    <col min="18" max="18" width="12.28515625" style="41" bestFit="1" customWidth="1"/>
    <col min="19" max="22" width="17.7109375" style="41" customWidth="1"/>
    <col min="23" max="24" width="7.7109375" style="41" customWidth="1"/>
    <col min="25" max="28" width="20.7109375" style="41" customWidth="1"/>
    <col min="29" max="34" width="7.7109375" style="41" customWidth="1"/>
    <col min="35" max="54" width="10.7109375" style="41" customWidth="1"/>
    <col min="55" max="55" width="12.7109375" style="155" customWidth="1"/>
    <col min="56" max="56" width="25.7109375" style="150" bestFit="1" customWidth="1"/>
    <col min="57" max="62" width="7.85546875" style="150" customWidth="1"/>
    <col min="63" max="63" width="7.85546875" style="150" hidden="1" customWidth="1"/>
    <col min="64" max="64" width="11.85546875" style="150" hidden="1" customWidth="1"/>
    <col min="65" max="65" width="7.85546875" style="150" hidden="1" customWidth="1"/>
    <col min="66" max="66" width="6.85546875" style="150" hidden="1" customWidth="1"/>
    <col min="67" max="67" width="5" style="150" hidden="1" customWidth="1"/>
    <col min="68" max="68" width="4.5703125" style="150" hidden="1" customWidth="1"/>
    <col min="69" max="72" width="2.140625" style="150" hidden="1" customWidth="1"/>
    <col min="73" max="73" width="6" style="50" hidden="1" customWidth="1"/>
    <col min="74" max="16384" width="9.140625" style="41"/>
  </cols>
  <sheetData>
    <row r="1" spans="1:72" ht="24.95" customHeight="1" x14ac:dyDescent="0.25">
      <c r="A1" s="816" t="s">
        <v>126</v>
      </c>
      <c r="B1" s="817"/>
      <c r="C1" s="817"/>
      <c r="D1" s="817"/>
      <c r="E1" s="817"/>
      <c r="F1" s="817"/>
      <c r="G1" s="817"/>
      <c r="H1" s="817"/>
      <c r="I1" s="817"/>
      <c r="J1" s="818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50"/>
      <c r="S1" s="35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</row>
    <row r="2" spans="1:72" ht="24.95" customHeight="1" thickBot="1" x14ac:dyDescent="0.3">
      <c r="A2" s="819"/>
      <c r="B2" s="820"/>
      <c r="C2" s="820"/>
      <c r="D2" s="820"/>
      <c r="E2" s="820"/>
      <c r="F2" s="820"/>
      <c r="G2" s="820"/>
      <c r="H2" s="820"/>
      <c r="I2" s="820"/>
      <c r="J2" s="821"/>
      <c r="K2" s="661"/>
      <c r="L2" s="662"/>
      <c r="M2" s="662"/>
      <c r="N2" s="662"/>
      <c r="O2" s="662"/>
      <c r="P2" s="662"/>
      <c r="Q2" s="663"/>
      <c r="R2" s="350"/>
      <c r="S2" s="35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72" ht="24.95" customHeight="1" thickBot="1" x14ac:dyDescent="0.3">
      <c r="A3" s="350"/>
      <c r="B3" s="350"/>
      <c r="C3" s="350"/>
      <c r="D3" s="350"/>
      <c r="E3" s="350"/>
      <c r="F3" s="350"/>
      <c r="G3" s="350"/>
      <c r="H3" s="350"/>
      <c r="I3" s="350"/>
      <c r="J3" s="350"/>
      <c r="K3" s="160"/>
      <c r="L3" s="160"/>
      <c r="M3" s="350"/>
      <c r="N3" s="350"/>
      <c r="O3" s="350"/>
      <c r="P3" s="350"/>
      <c r="Q3" s="350"/>
      <c r="R3" s="350"/>
      <c r="S3" s="35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</row>
    <row r="4" spans="1:72" ht="32.25" thickBot="1" x14ac:dyDescent="0.3">
      <c r="A4" s="350"/>
      <c r="B4" s="790" t="s">
        <v>71</v>
      </c>
      <c r="C4" s="791"/>
      <c r="D4" s="792"/>
      <c r="E4" s="111" t="s">
        <v>263</v>
      </c>
      <c r="F4" s="99" t="s">
        <v>72</v>
      </c>
      <c r="G4" s="99" t="s">
        <v>73</v>
      </c>
      <c r="H4" s="99" t="s">
        <v>74</v>
      </c>
      <c r="I4" s="99" t="s">
        <v>75</v>
      </c>
      <c r="J4" s="99" t="s">
        <v>76</v>
      </c>
      <c r="K4" s="161" t="s">
        <v>170</v>
      </c>
      <c r="L4" s="368" t="s">
        <v>331</v>
      </c>
      <c r="M4" s="365" t="s">
        <v>285</v>
      </c>
      <c r="N4" s="391" t="s">
        <v>77</v>
      </c>
      <c r="O4" s="782"/>
      <c r="P4" s="783"/>
      <c r="Q4" s="350"/>
      <c r="R4" s="350"/>
      <c r="S4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</row>
    <row r="5" spans="1:72" ht="24.95" customHeight="1" thickBot="1" x14ac:dyDescent="0.3">
      <c r="A5" s="350"/>
      <c r="B5" s="793" t="s">
        <v>143</v>
      </c>
      <c r="C5" s="794"/>
      <c r="D5" s="794"/>
      <c r="E5" s="795"/>
      <c r="F5" s="360">
        <f>VLOOKUP(E4,'Daten Gasoline'!AG14:AR24,2,FALSE)</f>
        <v>6.8000000000000005E-2</v>
      </c>
      <c r="G5" s="360">
        <f>VLOOKUP(E4,'Daten Gasoline'!AG14:AR24,3,FALSE)</f>
        <v>0.1</v>
      </c>
      <c r="H5" s="360">
        <f>VLOOKUP(E4,'Daten Gasoline'!AG14:AR24,4,FALSE)</f>
        <v>1</v>
      </c>
      <c r="I5" s="360">
        <f>VLOOKUP(E4,'Daten Gasoline'!AG14:AR24,5,FALSE)</f>
        <v>0.06</v>
      </c>
      <c r="J5" s="360">
        <f>VLOOKUP(E4,'Daten Gasoline'!AG14:AR24,6,FALSE)</f>
        <v>4.5</v>
      </c>
      <c r="K5" s="360">
        <f>VLOOKUP(E4,'Daten Gasoline'!AG14:AR24,7,FALSE)</f>
        <v>600000000000</v>
      </c>
      <c r="L5" s="354" t="str">
        <f>VLOOKUP(E4,'Daten Gasoline'!AG14:AO24,8,FALSE)</f>
        <v>-</v>
      </c>
      <c r="M5" s="354" t="str">
        <f>VLOOKUP(E4,'Daten Gasoline'!AG14:AO24,9,FALSE)</f>
        <v>-</v>
      </c>
      <c r="N5" s="354" t="s">
        <v>5</v>
      </c>
      <c r="O5" s="760"/>
      <c r="P5" s="760"/>
      <c r="Q5" s="350"/>
      <c r="R5" s="350"/>
      <c r="S5" s="362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72" ht="24.95" customHeight="1" thickBot="1" x14ac:dyDescent="0.3">
      <c r="A6" s="350"/>
      <c r="B6" s="790" t="s">
        <v>142</v>
      </c>
      <c r="C6" s="791"/>
      <c r="D6" s="791"/>
      <c r="E6" s="792"/>
      <c r="F6" s="355" t="s">
        <v>5</v>
      </c>
      <c r="G6" s="355" t="s">
        <v>5</v>
      </c>
      <c r="H6" s="355" t="s">
        <v>5</v>
      </c>
      <c r="I6" s="355" t="s">
        <v>5</v>
      </c>
      <c r="J6" s="355" t="s">
        <v>5</v>
      </c>
      <c r="K6" s="355" t="s">
        <v>5</v>
      </c>
      <c r="L6" s="355" t="s">
        <v>5</v>
      </c>
      <c r="M6" s="355" t="s">
        <v>5</v>
      </c>
      <c r="N6" s="355" t="s">
        <v>5</v>
      </c>
      <c r="O6" s="343"/>
      <c r="P6" s="343"/>
      <c r="Q6" s="350"/>
      <c r="R6" s="350"/>
      <c r="S6" s="35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72" ht="24.95" customHeight="1" thickBot="1" x14ac:dyDescent="0.3">
      <c r="A7" s="350"/>
      <c r="B7" s="350"/>
      <c r="C7" s="350"/>
      <c r="D7" s="350"/>
      <c r="E7" s="350"/>
      <c r="F7" s="350"/>
      <c r="G7" s="350"/>
      <c r="H7" s="61"/>
      <c r="I7" s="350"/>
      <c r="J7" s="350"/>
      <c r="K7" s="160"/>
      <c r="L7" s="160"/>
      <c r="M7" s="350"/>
      <c r="N7" s="350"/>
      <c r="O7" s="350"/>
      <c r="P7" s="350"/>
      <c r="Q7" s="350"/>
      <c r="R7" s="350"/>
      <c r="S7" s="350"/>
      <c r="T7" s="40"/>
      <c r="U7" s="40"/>
      <c r="V7" s="40"/>
      <c r="W7" s="42"/>
      <c r="X7" s="42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72" ht="24.95" customHeight="1" thickBot="1" x14ac:dyDescent="0.3">
      <c r="A8" s="350"/>
      <c r="B8" s="185">
        <v>1</v>
      </c>
      <c r="C8" s="784" t="s">
        <v>78</v>
      </c>
      <c r="D8" s="785"/>
      <c r="E8" s="785"/>
      <c r="F8" s="785"/>
      <c r="G8" s="785"/>
      <c r="H8" s="785"/>
      <c r="I8" s="785"/>
      <c r="J8" s="785"/>
      <c r="K8" s="785"/>
      <c r="L8" s="785"/>
      <c r="M8" s="785"/>
      <c r="N8" s="786"/>
      <c r="O8" s="49" t="s">
        <v>117</v>
      </c>
      <c r="P8" s="71" t="str">
        <f>IF(COUNTIF(F17:M32,"refused")&gt;0,"refused",IF(COUNTIF(F17:M32,"failed")&gt;0,"failed",IF(COUNTIF(F17:M32,"passed")&gt;0,"passed","-")))</f>
        <v>refused</v>
      </c>
      <c r="Q8" s="70" t="s">
        <v>80</v>
      </c>
      <c r="R8" s="70" t="str">
        <f>IF(COUNT(F13:M14,F18:M19,F23:M24,F28:M29)&gt;0,"listed","not listed")</f>
        <v>listed</v>
      </c>
      <c r="S8" s="344"/>
      <c r="T8" s="357"/>
      <c r="U8" s="43"/>
      <c r="V8" s="44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72" ht="15" customHeight="1" outlineLevel="1" thickBot="1" x14ac:dyDescent="0.3">
      <c r="A9" s="350"/>
      <c r="B9" s="346"/>
      <c r="C9" s="347"/>
      <c r="D9" s="347"/>
      <c r="E9" s="347"/>
      <c r="F9" s="347"/>
      <c r="G9" s="347"/>
      <c r="H9" s="347"/>
      <c r="I9" s="347"/>
      <c r="J9" s="347"/>
      <c r="K9" s="162"/>
      <c r="L9" s="162"/>
      <c r="M9" s="347"/>
      <c r="N9" s="347"/>
      <c r="O9" s="347"/>
      <c r="P9" s="347"/>
      <c r="Q9" s="347"/>
      <c r="R9" s="347"/>
      <c r="S9" s="347"/>
      <c r="T9" s="45"/>
      <c r="U9" s="45"/>
      <c r="V9" s="46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72" ht="15" customHeight="1" outlineLevel="1" thickBot="1" x14ac:dyDescent="0.3">
      <c r="A10" s="350"/>
      <c r="B10" s="744" t="s">
        <v>81</v>
      </c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745"/>
      <c r="N10" s="746"/>
      <c r="O10" s="744" t="s">
        <v>82</v>
      </c>
      <c r="P10" s="745"/>
      <c r="Q10" s="745"/>
      <c r="R10" s="746"/>
      <c r="S10" s="745" t="s">
        <v>83</v>
      </c>
      <c r="T10" s="745"/>
      <c r="U10" s="745"/>
      <c r="V10" s="746"/>
      <c r="W10" s="47"/>
      <c r="X10" s="47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</row>
    <row r="11" spans="1:72" ht="35.1" customHeight="1" outlineLevel="1" thickBot="1" x14ac:dyDescent="0.3">
      <c r="A11" s="350"/>
      <c r="B11" s="787" t="s">
        <v>84</v>
      </c>
      <c r="C11" s="788"/>
      <c r="D11" s="788"/>
      <c r="E11" s="789"/>
      <c r="F11" s="69" t="str">
        <f t="shared" ref="F11:K11" si="0">F4</f>
        <v>NMHC 
[g/km]</v>
      </c>
      <c r="G11" s="69" t="str">
        <f t="shared" si="0"/>
        <v>THC
[g/km]</v>
      </c>
      <c r="H11" s="69" t="str">
        <f t="shared" si="0"/>
        <v>CO
[g/km]</v>
      </c>
      <c r="I11" s="69" t="str">
        <f t="shared" si="0"/>
        <v>NOx
[g/km]</v>
      </c>
      <c r="J11" s="69" t="str">
        <f t="shared" si="0"/>
        <v>PM
[mg/km]</v>
      </c>
      <c r="K11" s="69" t="str">
        <f t="shared" si="0"/>
        <v>PN
[#/km]</v>
      </c>
      <c r="L11" s="366" t="str">
        <f>L4</f>
        <v>Additional component</v>
      </c>
      <c r="M11" s="366" t="str">
        <f>M4</f>
        <v>Additional
component 2</v>
      </c>
      <c r="N11" s="69" t="str">
        <f>N$4</f>
        <v>CO2
[g/km]</v>
      </c>
      <c r="O11" s="747"/>
      <c r="P11" s="748"/>
      <c r="Q11" s="748"/>
      <c r="R11" s="753"/>
      <c r="S11" s="747"/>
      <c r="T11" s="748"/>
      <c r="U11" s="748"/>
      <c r="V11" s="753"/>
      <c r="W11" s="345"/>
      <c r="X11" s="345"/>
      <c r="Y11" s="743"/>
      <c r="Z11" s="743"/>
      <c r="AA11" s="743"/>
      <c r="AB11" s="743"/>
      <c r="AC11" s="743"/>
      <c r="AD11" s="743"/>
      <c r="AE11" s="743"/>
      <c r="AF11" s="743"/>
      <c r="AG11" s="743"/>
      <c r="AH11" s="743"/>
      <c r="BD11" s="151" t="s">
        <v>85</v>
      </c>
      <c r="BE11" s="69" t="str">
        <f>$F$4</f>
        <v>NMHC 
[g/km]</v>
      </c>
      <c r="BF11" s="69" t="str">
        <f>$G$4</f>
        <v>THC
[g/km]</v>
      </c>
      <c r="BG11" s="69" t="str">
        <f>$H$4</f>
        <v>CO
[g/km]</v>
      </c>
      <c r="BH11" s="69" t="str">
        <f>$I$4</f>
        <v>NOx
[g/km]</v>
      </c>
      <c r="BI11" s="69" t="str">
        <f>$J$4</f>
        <v>PM
[mg/km]</v>
      </c>
      <c r="BJ11" s="163" t="str">
        <f>K$4</f>
        <v>PN
[#/km]</v>
      </c>
      <c r="BK11" s="163" t="str">
        <f t="shared" ref="BK11:BL11" si="1">L$4</f>
        <v>Additional component</v>
      </c>
      <c r="BL11" s="163" t="str">
        <f t="shared" si="1"/>
        <v>Additional
component 2</v>
      </c>
      <c r="BM11" s="69" t="str">
        <f>$N$4</f>
        <v>CO2
[g/km]</v>
      </c>
    </row>
    <row r="12" spans="1:72" ht="15" customHeight="1" outlineLevel="1" thickBot="1" x14ac:dyDescent="0.3">
      <c r="A12" s="350"/>
      <c r="B12" s="779" t="s">
        <v>93</v>
      </c>
      <c r="C12" s="48" t="s">
        <v>64</v>
      </c>
      <c r="D12" s="768" t="s">
        <v>119</v>
      </c>
      <c r="E12" s="769"/>
      <c r="F12" s="107" t="s">
        <v>64</v>
      </c>
      <c r="G12" s="107" t="s">
        <v>64</v>
      </c>
      <c r="H12" s="107" t="s">
        <v>64</v>
      </c>
      <c r="I12" s="107" t="s">
        <v>64</v>
      </c>
      <c r="J12" s="107" t="s">
        <v>64</v>
      </c>
      <c r="K12" s="164" t="s">
        <v>64</v>
      </c>
      <c r="L12" s="107" t="s">
        <v>64</v>
      </c>
      <c r="M12" s="107" t="s">
        <v>64</v>
      </c>
      <c r="N12" s="107" t="s">
        <v>64</v>
      </c>
      <c r="O12" s="749"/>
      <c r="P12" s="750"/>
      <c r="Q12" s="750"/>
      <c r="R12" s="754"/>
      <c r="S12" s="749"/>
      <c r="T12" s="750"/>
      <c r="U12" s="750"/>
      <c r="V12" s="754"/>
      <c r="W12" s="345"/>
      <c r="X12" s="345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BD12" s="151" t="str">
        <f>$E$4</f>
        <v>Euro 6c</v>
      </c>
      <c r="BE12" s="153">
        <v>1</v>
      </c>
      <c r="BF12" s="153">
        <v>1</v>
      </c>
      <c r="BG12" s="153">
        <v>1</v>
      </c>
      <c r="BH12" s="153">
        <v>1</v>
      </c>
      <c r="BI12" s="153">
        <v>1</v>
      </c>
      <c r="BJ12" s="153">
        <v>1</v>
      </c>
      <c r="BK12" s="153">
        <v>1</v>
      </c>
      <c r="BL12" s="153">
        <v>1</v>
      </c>
      <c r="BM12" s="153">
        <v>1</v>
      </c>
    </row>
    <row r="13" spans="1:72" ht="15" customHeight="1" outlineLevel="1" x14ac:dyDescent="0.25">
      <c r="A13" s="350"/>
      <c r="B13" s="780"/>
      <c r="C13" s="770" t="s">
        <v>114</v>
      </c>
      <c r="D13" s="770" t="s">
        <v>113</v>
      </c>
      <c r="E13" s="110" t="s">
        <v>94</v>
      </c>
      <c r="F13" s="98">
        <v>1</v>
      </c>
      <c r="G13" s="98">
        <v>30</v>
      </c>
      <c r="H13" s="98">
        <v>40</v>
      </c>
      <c r="I13" s="98">
        <v>50</v>
      </c>
      <c r="J13" s="98">
        <v>60</v>
      </c>
      <c r="K13" s="165">
        <v>70</v>
      </c>
      <c r="L13" s="165">
        <v>80</v>
      </c>
      <c r="M13" s="98">
        <v>90</v>
      </c>
      <c r="N13" s="98">
        <v>100</v>
      </c>
      <c r="O13" s="749"/>
      <c r="P13" s="750"/>
      <c r="Q13" s="750"/>
      <c r="R13" s="754"/>
      <c r="S13" s="749"/>
      <c r="T13" s="750"/>
      <c r="U13" s="750"/>
      <c r="V13" s="754"/>
      <c r="W13" s="345"/>
      <c r="X13" s="345"/>
      <c r="Y13" s="743"/>
      <c r="Z13" s="743"/>
      <c r="AA13" s="743"/>
      <c r="AB13" s="743"/>
      <c r="AC13" s="743"/>
      <c r="AD13" s="743"/>
      <c r="AE13" s="743"/>
      <c r="AF13" s="743"/>
      <c r="AG13" s="743"/>
      <c r="AH13" s="743"/>
      <c r="BD13" s="151" t="str">
        <f>"1st " &amp;  B12</f>
        <v>1st Cold</v>
      </c>
      <c r="BE13" s="153">
        <f t="shared" ref="BE13:BJ13" si="2">IF(AND(OR($C15="-",$C15="CET",$C15=""),OR(F12="-",F12="CET",F12="")),"-",IF(AND(OR(F13="-",F13=""),OR(F14="-",F14="")),"-",IF(NOT(OR(F13="-",F13="")),F13/F$5,F14/F$5)))</f>
        <v>14.705882352941176</v>
      </c>
      <c r="BF13" s="153">
        <f t="shared" si="2"/>
        <v>300</v>
      </c>
      <c r="BG13" s="153">
        <f t="shared" si="2"/>
        <v>40</v>
      </c>
      <c r="BH13" s="153">
        <f t="shared" si="2"/>
        <v>833.33333333333337</v>
      </c>
      <c r="BI13" s="153">
        <f t="shared" si="2"/>
        <v>13.333333333333334</v>
      </c>
      <c r="BJ13" s="153">
        <f t="shared" si="2"/>
        <v>1.1666666666666668E-10</v>
      </c>
      <c r="BK13" s="153" t="e">
        <f t="shared" ref="BK13:BL13" si="3">IF(AND(OR($C15="-",$C15="CET",$C15=""),OR(L12="-",L12="CET",L12="")),"-",IF(AND(OR(L13="-",L13=""),OR(L14="-",L14="")),"-",IF(NOT(OR(L13="-",L13="")),L13/L$5,L14/L$5)))</f>
        <v>#VALUE!</v>
      </c>
      <c r="BL13" s="153" t="e">
        <f t="shared" si="3"/>
        <v>#VALUE!</v>
      </c>
      <c r="BM13" s="153" t="e">
        <f>IF(AND(OR($C15="-",$C15="CET",$C15=""),OR(N12="-",N12="CET",N12="")),"-",IF(AND(OR(N13="-",N13=""),OR(N14="-",N14="")),"-",IF(NOT(OR(N13="-",N13="")),N13/N$5,N14/N$5)))</f>
        <v>#VALUE!</v>
      </c>
    </row>
    <row r="14" spans="1:72" s="50" customFormat="1" ht="15" customHeight="1" outlineLevel="1" thickBot="1" x14ac:dyDescent="0.3">
      <c r="A14" s="53"/>
      <c r="B14" s="780"/>
      <c r="C14" s="742"/>
      <c r="D14" s="742"/>
      <c r="E14" s="104" t="s">
        <v>95</v>
      </c>
      <c r="F14" s="97">
        <v>10</v>
      </c>
      <c r="G14" s="97">
        <v>11</v>
      </c>
      <c r="H14" s="97">
        <v>12</v>
      </c>
      <c r="I14" s="97">
        <v>13</v>
      </c>
      <c r="J14" s="97">
        <v>14</v>
      </c>
      <c r="K14" s="166">
        <v>15</v>
      </c>
      <c r="L14" s="166">
        <v>16</v>
      </c>
      <c r="M14" s="97">
        <v>17</v>
      </c>
      <c r="N14" s="97">
        <v>18</v>
      </c>
      <c r="O14" s="749"/>
      <c r="P14" s="750"/>
      <c r="Q14" s="750"/>
      <c r="R14" s="754"/>
      <c r="S14" s="749"/>
      <c r="T14" s="750"/>
      <c r="U14" s="750"/>
      <c r="V14" s="754"/>
      <c r="W14" s="51"/>
      <c r="X14" s="51"/>
      <c r="Y14" s="743"/>
      <c r="Z14" s="743"/>
      <c r="AA14" s="743"/>
      <c r="AB14" s="743"/>
      <c r="AC14" s="743"/>
      <c r="AD14" s="743"/>
      <c r="AE14" s="743"/>
      <c r="AF14" s="743"/>
      <c r="AG14" s="743"/>
      <c r="AH14" s="743"/>
      <c r="BC14" s="155"/>
      <c r="BD14" s="151" t="str">
        <f>"1st " &amp; B18</f>
        <v>1st Warm</v>
      </c>
      <c r="BE14" s="153">
        <f t="shared" ref="BE14:BJ14" si="4">IF((OR($C20="-",$C20="CET",$C20="")),"-",IF(AND(OR(F18="-",F18=""),OR(F19="-",F19="")),"-",IF(NOT(OR(F18="-",F18="")),F18/F$5,F19/F$5)))</f>
        <v>14.705882352941176</v>
      </c>
      <c r="BF14" s="153">
        <f t="shared" si="4"/>
        <v>300</v>
      </c>
      <c r="BG14" s="153">
        <f t="shared" si="4"/>
        <v>40</v>
      </c>
      <c r="BH14" s="153">
        <f t="shared" si="4"/>
        <v>833.33333333333337</v>
      </c>
      <c r="BI14" s="153">
        <f t="shared" si="4"/>
        <v>13.333333333333334</v>
      </c>
      <c r="BJ14" s="153">
        <f t="shared" si="4"/>
        <v>1.1666666666666668E-10</v>
      </c>
      <c r="BK14" s="153" t="str">
        <f t="shared" ref="BK14:BL14" si="5">IF((OR($C20="-",$C20="CET",$C20="")),"-",IF(AND(OR(L18="-",L18=""),OR(L19="-",L19="")),"-",IF(NOT(OR(L18="-",L18="")),L18/L$5,L19/L$5)))</f>
        <v>-</v>
      </c>
      <c r="BL14" s="153" t="str">
        <f t="shared" si="5"/>
        <v>-</v>
      </c>
      <c r="BM14" s="153" t="str">
        <f>IF((OR($C20="-",$C20="CET",$C20="")),"-",IF(AND(OR(N18="-",N18=""),OR(N19="-",N19="")),"-",IF(NOT(OR(N18="-",N18="")),N18/N$5,N19/N$5)))</f>
        <v>-</v>
      </c>
      <c r="BN14" s="150"/>
      <c r="BO14" s="150"/>
      <c r="BP14" s="150"/>
      <c r="BQ14" s="150"/>
      <c r="BR14" s="150"/>
      <c r="BS14" s="150"/>
      <c r="BT14" s="150"/>
    </row>
    <row r="15" spans="1:72" ht="15" customHeight="1" outlineLevel="1" thickBot="1" x14ac:dyDescent="0.3">
      <c r="A15" s="350"/>
      <c r="B15" s="780"/>
      <c r="C15" s="764">
        <v>200</v>
      </c>
      <c r="D15" s="772">
        <f>IF(AND(F16="-",G16="-",H16="-",I16="-",J16="-",K16="-",K16="-",L16="-"),"-",MAX(F16,G16,H16,I16,J16,K16,L16,M16))</f>
        <v>525</v>
      </c>
      <c r="E15" s="66" t="s">
        <v>177</v>
      </c>
      <c r="F15" s="65">
        <f t="shared" ref="F15:K15" si="6">IF(OR(F14="-",F14=""),IF(OR(F13="-",F13=""),"-",F13),IF(OR(F13="-",F13=""),F14,(F13+F14)/2))</f>
        <v>5.5</v>
      </c>
      <c r="G15" s="65">
        <f t="shared" si="6"/>
        <v>20.5</v>
      </c>
      <c r="H15" s="65">
        <f>IF(OR(H14="-",H14=""),IF(OR(H13="-",H13=""),"-",H13),IF(OR(H13="-",H13=""),H14,(H13+H14)/2))</f>
        <v>26</v>
      </c>
      <c r="I15" s="65">
        <f t="shared" si="6"/>
        <v>31.5</v>
      </c>
      <c r="J15" s="65">
        <f>IF(OR(J14="-",J14=""),IF(OR(J13="-",J13=""),"-",J13),IF(OR(J13="-",J13=""),J14,(J13+J14)/2))</f>
        <v>37</v>
      </c>
      <c r="K15" s="167">
        <f t="shared" si="6"/>
        <v>42.5</v>
      </c>
      <c r="L15" s="167">
        <f>IF(OR(L14="-",L14=""),IF(OR(L13="-",L13=""),"-",L13),IF(OR(L13="-",L13=""),L14,(L13+L14)/2))</f>
        <v>48</v>
      </c>
      <c r="M15" s="167">
        <f>IF(OR(M14="-",M14=""),IF(OR(M13="-",M13=""),"-",M13),IF(OR(M13="-",M13=""),M14,(M13+M14)/2))</f>
        <v>53.5</v>
      </c>
      <c r="N15" s="740"/>
      <c r="O15" s="749"/>
      <c r="P15" s="750"/>
      <c r="Q15" s="750"/>
      <c r="R15" s="754"/>
      <c r="S15" s="749"/>
      <c r="T15" s="750"/>
      <c r="U15" s="750"/>
      <c r="V15" s="754"/>
      <c r="W15" s="345"/>
      <c r="X15" s="345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BD15" s="151" t="str">
        <f>"1st " &amp; B23</f>
        <v>1st Hot 1</v>
      </c>
      <c r="BE15" s="153" t="str">
        <f t="shared" ref="BE15:BJ15" si="7">IF((OR($C25="-",$C25="CET",$C25="")),"-",IF(AND(OR(F23="-",F23=""),OR(F24="-",F24="")),"-",IF(NOT(OR(F23="-",F23="")),F23/F$5,F24/F$5)))</f>
        <v>-</v>
      </c>
      <c r="BF15" s="153" t="str">
        <f t="shared" si="7"/>
        <v>-</v>
      </c>
      <c r="BG15" s="153" t="str">
        <f t="shared" si="7"/>
        <v>-</v>
      </c>
      <c r="BH15" s="153" t="str">
        <f t="shared" si="7"/>
        <v>-</v>
      </c>
      <c r="BI15" s="153" t="str">
        <f t="shared" si="7"/>
        <v>-</v>
      </c>
      <c r="BJ15" s="153" t="str">
        <f t="shared" si="7"/>
        <v>-</v>
      </c>
      <c r="BK15" s="153" t="str">
        <f t="shared" ref="BK15:BL15" si="8">IF((OR($C25="-",$C25="CET",$C25="")),"-",IF(AND(OR(L23="-",L23=""),OR(L24="-",L24="")),"-",IF(NOT(OR(L23="-",L23="")),L23/L$5,L24/L$5)))</f>
        <v>-</v>
      </c>
      <c r="BL15" s="153" t="str">
        <f t="shared" si="8"/>
        <v>-</v>
      </c>
      <c r="BM15" s="153" t="str">
        <f>IF((OR($C25="-",$C25="CET",$C25="")),"-",IF(AND(OR(N23="-",N23=""),OR(N24="-",N24="")),"-",IF(NOT(OR(N23="-",N23="")),N23/N$5,N24/N$5)))</f>
        <v>-</v>
      </c>
    </row>
    <row r="16" spans="1:72" ht="15" customHeight="1" outlineLevel="1" thickBot="1" x14ac:dyDescent="0.3">
      <c r="A16" s="350"/>
      <c r="B16" s="780"/>
      <c r="C16" s="765"/>
      <c r="D16" s="773"/>
      <c r="E16" s="64" t="s">
        <v>97</v>
      </c>
      <c r="F16" s="63">
        <f>IF(AND(OR($C15="-",$C15="CET",$C15=""),OR(F12="-",F12="CET",F12="")),"-",IF(AND(NOT(F15="-"),NOT(F$5="-"),NOT(F$5="")),F15/F$5,"-"))</f>
        <v>80.882352941176464</v>
      </c>
      <c r="G16" s="63">
        <f t="shared" ref="G16:K16" si="9">IF(AND(OR($C15="-",$C15="CET",$C15=""),OR(G12="-",G12="CET",G12="")),"-",IF(AND(NOT(G15="-"),NOT(G$5="-"),NOT(G$5="")),G15/G$5,"-"))</f>
        <v>205</v>
      </c>
      <c r="H16" s="63">
        <f t="shared" si="9"/>
        <v>26</v>
      </c>
      <c r="I16" s="63">
        <f t="shared" si="9"/>
        <v>525</v>
      </c>
      <c r="J16" s="63">
        <f>IF(AND(OR($C15="-",$C15="CET",$C15=""),OR(J12="-",J12="CET",J12="")),"-",IF(AND(NOT(J15="-"),NOT(J$5="-"),NOT(J$5="")),J15/J$5,"-"))</f>
        <v>8.2222222222222214</v>
      </c>
      <c r="K16" s="168">
        <f t="shared" si="9"/>
        <v>7.0833333333333334E-11</v>
      </c>
      <c r="L16" s="168" t="str">
        <f t="shared" ref="L16" si="10">IF(AND(OR($C15="-",$C15="CET",$C15=""),OR(L12="-",L12="CET",L12="")),"-",IF(AND(NOT(L15="-"),NOT(L$5="-"),NOT(L$5="")),L15/L$5,"-"))</f>
        <v>-</v>
      </c>
      <c r="M16" s="168" t="str">
        <f>IF(AND(OR($C15="-",$C15="CET",$C15=""),OR(M12="-",M12="CET",M12="")),"-",IF(AND(NOT(M15="-"),NOT(M$5="-"),NOT(M$5="")),M15/M$5,"-"))</f>
        <v>-</v>
      </c>
      <c r="N16" s="741"/>
      <c r="O16" s="749"/>
      <c r="P16" s="750"/>
      <c r="Q16" s="750"/>
      <c r="R16" s="754"/>
      <c r="S16" s="749"/>
      <c r="T16" s="750"/>
      <c r="U16" s="750"/>
      <c r="V16" s="754"/>
      <c r="W16" s="345"/>
      <c r="X16" s="345"/>
      <c r="Y16" s="743"/>
      <c r="Z16" s="743"/>
      <c r="AA16" s="743"/>
      <c r="AB16" s="743"/>
      <c r="AC16" s="743"/>
      <c r="AD16" s="743"/>
      <c r="AE16" s="743"/>
      <c r="AF16" s="743"/>
      <c r="AG16" s="743"/>
      <c r="AH16" s="743"/>
      <c r="BD16" s="151" t="str">
        <f>"1st " &amp; B28</f>
        <v>1st Hot 2</v>
      </c>
      <c r="BE16" s="153" t="str">
        <f t="shared" ref="BE16:BJ16" si="11">IF((OR($C30="-",$C30="CET",$C30="")),"-",IF(AND(OR(F28="-",F28=""),OR(F29="-",F29="")),"-",IF(NOT(OR(F28="-",F28="")),F28/F$5,F29/F$5)))</f>
        <v>-</v>
      </c>
      <c r="BF16" s="153" t="str">
        <f t="shared" si="11"/>
        <v>-</v>
      </c>
      <c r="BG16" s="153" t="str">
        <f t="shared" si="11"/>
        <v>-</v>
      </c>
      <c r="BH16" s="153" t="str">
        <f t="shared" si="11"/>
        <v>-</v>
      </c>
      <c r="BI16" s="153" t="str">
        <f t="shared" si="11"/>
        <v>-</v>
      </c>
      <c r="BJ16" s="153" t="str">
        <f t="shared" si="11"/>
        <v>-</v>
      </c>
      <c r="BK16" s="153" t="str">
        <f t="shared" ref="BK16:BL16" si="12">IF((OR($C30="-",$C30="CET",$C30="")),"-",IF(AND(OR(L28="-",L28=""),OR(L29="-",L29="")),"-",IF(NOT(OR(L28="-",L28="")),L28/L$5,L29/L$5)))</f>
        <v>-</v>
      </c>
      <c r="BL16" s="153" t="str">
        <f t="shared" si="12"/>
        <v>-</v>
      </c>
      <c r="BM16" s="153" t="str">
        <f>IF((OR($C30="-",$C30="CET",$C30="")),"-",IF(AND(OR(N28="-",N28=""),OR(N29="-",N29="")),"-",IF(NOT(OR(N28="-",N28="")),N28/N$5,N29/N$5)))</f>
        <v>-</v>
      </c>
    </row>
    <row r="17" spans="1:72" ht="15" customHeight="1" outlineLevel="1" thickBot="1" x14ac:dyDescent="0.3">
      <c r="A17" s="350"/>
      <c r="B17" s="781"/>
      <c r="C17" s="771"/>
      <c r="D17" s="774"/>
      <c r="E17" s="68" t="s">
        <v>30</v>
      </c>
      <c r="F17" s="62" t="str">
        <f t="shared" ref="F17:K17" si="13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passed</v>
      </c>
      <c r="G17" s="62" t="str">
        <f t="shared" si="13"/>
        <v>refused</v>
      </c>
      <c r="H17" s="62" t="str">
        <f t="shared" si="13"/>
        <v>passed</v>
      </c>
      <c r="I17" s="62" t="str">
        <f t="shared" si="13"/>
        <v>refused</v>
      </c>
      <c r="J17" s="62" t="str">
        <f t="shared" si="13"/>
        <v>passed</v>
      </c>
      <c r="K17" s="169" t="str">
        <f t="shared" si="13"/>
        <v>passed</v>
      </c>
      <c r="L17" s="169" t="str">
        <f>IF(AND(OR(L13="-",L13=""),OR(L14="-",L14="")),"-",IF(AND(OR(L12="CET",L12="-",L12=""),OR($C15="CET",$C15="-",$C15="")),"-",IF($R$8="not listed","-",IF(AND(NOT(L$5="-"),NOT(L$5="")),IF(AND(AND(NOT(L13=0),NOT(L13="-"),NOT(L13="")),AND(NOT(L14="-"),NOT(L14=0),NOT(L14=""))),IF(AND((L13+L14)/2&lt;1*L$5*IF(OR(L12="CET",L12="-",L12=""),IF(OR($C15="CET",$C15="-",$C15=""),"-",$C15),L12),L13&lt;1.1*L$5*IF(OR(L12="CET",L12="-",L12=""),IF(OR($C15="CET",$C15="-",$C15=""),"-",$C15),L12),L14&lt;1.1*L$5*IF(OR(L12="CET",L12="-",L12=""),IF($C15="CET","-",$C15),L12)),"passed","refused"),IF(IF(OR(L13="-",L13=""),L14,L13)&lt;0.7*L$5*IF(OR(L12="CET",L12="-",L12=""),IF($C15="CET","-",$C15),L12),"passed",IF(IF(OR(L13="-",L13=""),L14,L13)&lt;1.1*IF(OR(L12="CET",L12="-",L12=""),IF($C15="CET","-",$C15),L12)*L$5,"failed","refused"))),"-"))))</f>
        <v>-</v>
      </c>
      <c r="M17" s="169" t="str">
        <f t="shared" ref="M17" si="14">IF(AND(OR(M13="-",M13=""),OR(M14="-",M14="")),"-",IF(AND(OR(M12="CET",M12="-",M12=""),OR($C15="CET",$C15="-",$C15="")),"-",IF($R$8="not listed","-",IF(AND(NOT(M$5="-"),NOT(M$5="")),IF(AND(AND(NOT(M13=0),NOT(M13="-"),NOT(M13="")),AND(NOT(M14="-"),NOT(M14=0),NOT(M14=""))),IF(AND((M13+M14)/2&lt;1*M$5*IF(OR(M12="CET",M12="-",M12=""),IF(OR($C15="CET",$C15="-",$C15=""),"-",$C15),M12),M13&lt;1.1*M$5*IF(OR(M12="CET",M12="-",M12=""),IF(OR($C15="CET",$C15="-",$C15=""),"-",$C15),M12),M14&lt;1.1*M$5*IF(OR(M12="CET",M12="-",M12=""),IF($C15="CET","-",$C15),M12)),"passed","refused"),IF(IF(OR(M13="-",M13=""),M14,M13)&lt;0.7*M$5*IF(OR(M12="CET",M12="-",M12=""),IF($C15="CET","-",$C15),M12),"passed",IF(IF(OR(M13="-",M13=""),M14,M13)&lt;1.1*IF(OR(M12="CET",M12="-",M12=""),IF($C15="CET","-",$C15),M12)*M$5,"failed","refused"))),"-"))))</f>
        <v>-</v>
      </c>
      <c r="N17" s="742"/>
      <c r="O17" s="749"/>
      <c r="P17" s="750"/>
      <c r="Q17" s="750"/>
      <c r="R17" s="754"/>
      <c r="S17" s="749"/>
      <c r="T17" s="750"/>
      <c r="U17" s="750"/>
      <c r="V17" s="754"/>
      <c r="W17" s="345"/>
      <c r="X17" s="345"/>
      <c r="Y17" s="743"/>
      <c r="Z17" s="743"/>
      <c r="AA17" s="743"/>
      <c r="AB17" s="743"/>
      <c r="AC17" s="743"/>
      <c r="AD17" s="743"/>
      <c r="AE17" s="743"/>
      <c r="AF17" s="743"/>
      <c r="AG17" s="743"/>
      <c r="AH17" s="743"/>
      <c r="BC17" s="155" t="str">
        <f>IF(COUNTIF(F17:M17,"refused")&gt;0,"refused",IF(COUNTIF(F17:M17,"failed")&gt;0,"failed",IF(COUNTIF(F17:M17,"passed")&gt;0,"passed","-")))</f>
        <v>refused</v>
      </c>
      <c r="BD17" s="151" t="str">
        <f>"0.7*IEF " &amp; (B12)</f>
        <v>0.7*IEF Cold</v>
      </c>
      <c r="BE17" s="153">
        <f t="shared" ref="BE17:BJ17" si="15">IF(AND(OR($C15="-",$C15="CET",$C15=""),OR(F12="-",F12="CET",F12="")),"-",0.7*IF(OR(F12="CET",F12="-",F12=""),IF(OR($C15="CET",$C15="-",$C15=""),"-",$C15),F12))</f>
        <v>140</v>
      </c>
      <c r="BF17" s="153">
        <f t="shared" si="15"/>
        <v>140</v>
      </c>
      <c r="BG17" s="153">
        <f t="shared" si="15"/>
        <v>140</v>
      </c>
      <c r="BH17" s="153">
        <f t="shared" si="15"/>
        <v>140</v>
      </c>
      <c r="BI17" s="153">
        <f t="shared" si="15"/>
        <v>140</v>
      </c>
      <c r="BJ17" s="153">
        <f t="shared" si="15"/>
        <v>140</v>
      </c>
      <c r="BK17" s="153">
        <f t="shared" ref="BK17:BL17" si="16">IF(AND(OR($C15="-",$C15="CET",$C15=""),OR(L12="-",L12="CET",L12="")),"-",0.7*IF(OR(L12="CET",L12="-",L12=""),IF(OR($C15="CET",$C15="-",$C15=""),"-",$C15),L12))</f>
        <v>140</v>
      </c>
      <c r="BL17" s="153">
        <f t="shared" si="16"/>
        <v>140</v>
      </c>
      <c r="BM17" s="153">
        <f>IF(AND(OR($C15="-",$C15="CET",$C15=""),OR(N12="-",N12="CET",N12="")),"-",0.7*IF(OR(N12="CET",N12="-",N12=""),IF(OR($C15="CET",$C15="-",$C15=""),"-",$C15),N12))</f>
        <v>140</v>
      </c>
    </row>
    <row r="18" spans="1:72" ht="15" customHeight="1" outlineLevel="1" x14ac:dyDescent="0.25">
      <c r="A18" s="350"/>
      <c r="B18" s="779" t="s">
        <v>98</v>
      </c>
      <c r="C18" s="770" t="s">
        <v>114</v>
      </c>
      <c r="D18" s="770" t="s">
        <v>113</v>
      </c>
      <c r="E18" s="106" t="s">
        <v>94</v>
      </c>
      <c r="F18" s="98">
        <v>1</v>
      </c>
      <c r="G18" s="98">
        <v>30</v>
      </c>
      <c r="H18" s="98">
        <v>40</v>
      </c>
      <c r="I18" s="98">
        <v>50</v>
      </c>
      <c r="J18" s="98">
        <v>60</v>
      </c>
      <c r="K18" s="165">
        <v>70</v>
      </c>
      <c r="L18" s="165" t="s">
        <v>5</v>
      </c>
      <c r="M18" s="98" t="s">
        <v>5</v>
      </c>
      <c r="N18" s="98" t="s">
        <v>5</v>
      </c>
      <c r="O18" s="749"/>
      <c r="P18" s="750"/>
      <c r="Q18" s="750"/>
      <c r="R18" s="754"/>
      <c r="S18" s="749"/>
      <c r="T18" s="750"/>
      <c r="U18" s="750"/>
      <c r="V18" s="754"/>
      <c r="W18" s="345"/>
      <c r="X18" s="345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BC18" s="155" t="str">
        <f t="shared" ref="BC18:BC81" si="17">IF(COUNTIF(F18:M18,"refused")&gt;0,"refused",IF(COUNTIF(F18:M18,"failed")&gt;0,"failed",IF(COUNTIF(F18:M18,"passed")&gt;0,"passed","-")))</f>
        <v>-</v>
      </c>
      <c r="BD18" s="151" t="str">
        <f>"0.7*IEF" &amp; B18</f>
        <v>0.7*IEFWarm</v>
      </c>
      <c r="BE18" s="153">
        <f t="shared" ref="BE18:BM18" si="18">IF(OR($C20="-",$C20="CET",$C20=""),"-",0.7*$C20)</f>
        <v>0.7</v>
      </c>
      <c r="BF18" s="153">
        <f t="shared" si="18"/>
        <v>0.7</v>
      </c>
      <c r="BG18" s="153">
        <f t="shared" si="18"/>
        <v>0.7</v>
      </c>
      <c r="BH18" s="153">
        <f t="shared" si="18"/>
        <v>0.7</v>
      </c>
      <c r="BI18" s="153">
        <f t="shared" si="18"/>
        <v>0.7</v>
      </c>
      <c r="BJ18" s="153">
        <f t="shared" si="18"/>
        <v>0.7</v>
      </c>
      <c r="BK18" s="153">
        <f t="shared" ref="BK18:BL18" si="19">IF(OR($C20="-",$C20="CET",$C20=""),"-",0.7*$C20)</f>
        <v>0.7</v>
      </c>
      <c r="BL18" s="153">
        <f t="shared" si="19"/>
        <v>0.7</v>
      </c>
      <c r="BM18" s="153">
        <f t="shared" si="18"/>
        <v>0.7</v>
      </c>
    </row>
    <row r="19" spans="1:72" s="50" customFormat="1" ht="15" customHeight="1" outlineLevel="1" thickBot="1" x14ac:dyDescent="0.3">
      <c r="A19" s="53"/>
      <c r="B19" s="780"/>
      <c r="C19" s="741"/>
      <c r="D19" s="742"/>
      <c r="E19" s="104" t="s">
        <v>95</v>
      </c>
      <c r="F19" s="97">
        <v>10</v>
      </c>
      <c r="G19" s="97">
        <v>11</v>
      </c>
      <c r="H19" s="97">
        <v>12</v>
      </c>
      <c r="I19" s="97">
        <v>13</v>
      </c>
      <c r="J19" s="97">
        <v>14</v>
      </c>
      <c r="K19" s="166">
        <v>15</v>
      </c>
      <c r="L19" s="166" t="s">
        <v>5</v>
      </c>
      <c r="M19" s="97" t="s">
        <v>5</v>
      </c>
      <c r="N19" s="97" t="s">
        <v>5</v>
      </c>
      <c r="O19" s="749"/>
      <c r="P19" s="750"/>
      <c r="Q19" s="750"/>
      <c r="R19" s="754"/>
      <c r="S19" s="749"/>
      <c r="T19" s="750"/>
      <c r="U19" s="750"/>
      <c r="V19" s="754"/>
      <c r="W19" s="51"/>
      <c r="X19" s="51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BC19" s="155" t="str">
        <f t="shared" si="17"/>
        <v>-</v>
      </c>
      <c r="BD19" s="151" t="str">
        <f>"0.7*IEF " &amp; B23</f>
        <v>0.7*IEF Hot 1</v>
      </c>
      <c r="BE19" s="153">
        <f t="shared" ref="BE19:BM19" si="20">IF(OR($C25="-",$C25="CET",$C25=""),"-",0.7*$C25)</f>
        <v>0.7</v>
      </c>
      <c r="BF19" s="153">
        <f t="shared" si="20"/>
        <v>0.7</v>
      </c>
      <c r="BG19" s="153">
        <f t="shared" si="20"/>
        <v>0.7</v>
      </c>
      <c r="BH19" s="153">
        <f t="shared" si="20"/>
        <v>0.7</v>
      </c>
      <c r="BI19" s="153">
        <f t="shared" si="20"/>
        <v>0.7</v>
      </c>
      <c r="BJ19" s="153">
        <f t="shared" si="20"/>
        <v>0.7</v>
      </c>
      <c r="BK19" s="153">
        <f t="shared" ref="BK19:BL19" si="21">IF(OR($C25="-",$C25="CET",$C25=""),"-",0.7*$C25)</f>
        <v>0.7</v>
      </c>
      <c r="BL19" s="153">
        <f t="shared" si="21"/>
        <v>0.7</v>
      </c>
      <c r="BM19" s="153">
        <f t="shared" si="20"/>
        <v>0.7</v>
      </c>
      <c r="BN19" s="150"/>
      <c r="BO19" s="150"/>
      <c r="BP19" s="150"/>
      <c r="BQ19" s="150"/>
      <c r="BR19" s="150"/>
      <c r="BS19" s="150"/>
      <c r="BT19" s="150"/>
    </row>
    <row r="20" spans="1:72" ht="15" customHeight="1" outlineLevel="1" thickBot="1" x14ac:dyDescent="0.3">
      <c r="A20" s="350"/>
      <c r="B20" s="780"/>
      <c r="C20" s="764">
        <v>1</v>
      </c>
      <c r="D20" s="772">
        <f>IF(AND(F21="-",G21="-",H21="-",I21="-",J21="-",K21="-",K21="-",L21="-"),"-",MAX(F21,G21,H21,I21,J21,K21,L21,M21))</f>
        <v>525</v>
      </c>
      <c r="E20" s="66" t="s">
        <v>177</v>
      </c>
      <c r="F20" s="65">
        <f t="shared" ref="F20:K20" si="22">IF(OR(F19="-",F19=""),IF(OR(F18="-",F18=""),"-",F18),IF(OR(F18="-",F18=""),F19,(F18+F19)/2))</f>
        <v>5.5</v>
      </c>
      <c r="G20" s="65">
        <f t="shared" si="22"/>
        <v>20.5</v>
      </c>
      <c r="H20" s="65">
        <f t="shared" si="22"/>
        <v>26</v>
      </c>
      <c r="I20" s="65">
        <f t="shared" si="22"/>
        <v>31.5</v>
      </c>
      <c r="J20" s="65">
        <f t="shared" si="22"/>
        <v>37</v>
      </c>
      <c r="K20" s="167">
        <f t="shared" si="22"/>
        <v>42.5</v>
      </c>
      <c r="L20" s="167" t="str">
        <f t="shared" ref="L20" si="23">IF(OR(L19="-",L19=""),IF(OR(L18="-",L18=""),"-",L18),IF(OR(L18="-",L18=""),L19,(L18+L19)/2))</f>
        <v>-</v>
      </c>
      <c r="M20" s="65" t="s">
        <v>5</v>
      </c>
      <c r="N20" s="740"/>
      <c r="O20" s="749"/>
      <c r="P20" s="750"/>
      <c r="Q20" s="750"/>
      <c r="R20" s="754"/>
      <c r="S20" s="749"/>
      <c r="T20" s="750"/>
      <c r="U20" s="750"/>
      <c r="V20" s="754"/>
      <c r="W20" s="345"/>
      <c r="X20" s="345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BC20" s="155" t="str">
        <f t="shared" si="17"/>
        <v>-</v>
      </c>
      <c r="BD20" s="151" t="str">
        <f>"0.7*IEF " &amp; B28</f>
        <v>0.7*IEF Hot 2</v>
      </c>
      <c r="BE20" s="153">
        <f t="shared" ref="BE20:BM20" si="24">IF(OR($C30="-",$C30="CET",$C30=""),"-",0.7*$C30)</f>
        <v>0.7</v>
      </c>
      <c r="BF20" s="153">
        <f t="shared" si="24"/>
        <v>0.7</v>
      </c>
      <c r="BG20" s="153">
        <f t="shared" si="24"/>
        <v>0.7</v>
      </c>
      <c r="BH20" s="153">
        <f t="shared" si="24"/>
        <v>0.7</v>
      </c>
      <c r="BI20" s="153">
        <f t="shared" si="24"/>
        <v>0.7</v>
      </c>
      <c r="BJ20" s="153">
        <f t="shared" si="24"/>
        <v>0.7</v>
      </c>
      <c r="BK20" s="153">
        <f t="shared" ref="BK20:BL20" si="25">IF(OR($C30="-",$C30="CET",$C30=""),"-",0.7*$C30)</f>
        <v>0.7</v>
      </c>
      <c r="BL20" s="153">
        <f t="shared" si="25"/>
        <v>0.7</v>
      </c>
      <c r="BM20" s="153">
        <f t="shared" si="24"/>
        <v>0.7</v>
      </c>
    </row>
    <row r="21" spans="1:72" ht="15" customHeight="1" outlineLevel="1" thickBot="1" x14ac:dyDescent="0.3">
      <c r="A21" s="350"/>
      <c r="B21" s="780"/>
      <c r="C21" s="765"/>
      <c r="D21" s="773"/>
      <c r="E21" s="64" t="s">
        <v>97</v>
      </c>
      <c r="F21" s="63">
        <f t="shared" ref="F21:K21" si="26">IF(OR($C20="-",$C20="CET",$C20=""),"-",IF(AND(NOT(F20="-"),NOT(F$5="-"),NOT(F$5="")),F20/F$5,"-"))</f>
        <v>80.882352941176464</v>
      </c>
      <c r="G21" s="63">
        <f t="shared" si="26"/>
        <v>205</v>
      </c>
      <c r="H21" s="63">
        <f t="shared" si="26"/>
        <v>26</v>
      </c>
      <c r="I21" s="63">
        <f t="shared" si="26"/>
        <v>525</v>
      </c>
      <c r="J21" s="63">
        <f t="shared" si="26"/>
        <v>8.2222222222222214</v>
      </c>
      <c r="K21" s="168">
        <f t="shared" si="26"/>
        <v>7.0833333333333334E-11</v>
      </c>
      <c r="L21" s="168" t="str">
        <f t="shared" ref="L21" si="27">IF(OR($C20="-",$C20="CET",$C20=""),"-",IF(AND(NOT(L20="-"),NOT(L$5="-"),NOT(L$5="")),L20/L$5,"-"))</f>
        <v>-</v>
      </c>
      <c r="M21" s="63" t="s">
        <v>5</v>
      </c>
      <c r="N21" s="741"/>
      <c r="O21" s="749"/>
      <c r="P21" s="750"/>
      <c r="Q21" s="750"/>
      <c r="R21" s="754"/>
      <c r="S21" s="749"/>
      <c r="T21" s="750"/>
      <c r="U21" s="750"/>
      <c r="V21" s="754"/>
      <c r="W21" s="345"/>
      <c r="X21" s="345"/>
      <c r="Y21" s="743"/>
      <c r="Z21" s="743"/>
      <c r="AA21" s="743"/>
      <c r="AB21" s="743"/>
      <c r="AC21" s="743"/>
      <c r="AD21" s="743"/>
      <c r="AE21" s="743"/>
      <c r="AF21" s="743"/>
      <c r="AG21" s="743"/>
      <c r="AH21" s="743"/>
      <c r="BC21" s="155" t="str">
        <f t="shared" si="17"/>
        <v>-</v>
      </c>
      <c r="BD21" s="151" t="str">
        <f>B12</f>
        <v>Cold</v>
      </c>
      <c r="BE21" s="153">
        <f t="shared" ref="BE21:BJ21" si="28">F16</f>
        <v>80.882352941176464</v>
      </c>
      <c r="BF21" s="153">
        <f t="shared" si="28"/>
        <v>205</v>
      </c>
      <c r="BG21" s="153">
        <f t="shared" si="28"/>
        <v>26</v>
      </c>
      <c r="BH21" s="153">
        <f t="shared" si="28"/>
        <v>525</v>
      </c>
      <c r="BI21" s="153">
        <f t="shared" si="28"/>
        <v>8.2222222222222214</v>
      </c>
      <c r="BJ21" s="153">
        <f t="shared" si="28"/>
        <v>7.0833333333333334E-11</v>
      </c>
      <c r="BK21" s="153" t="str">
        <f t="shared" ref="BK21:BL21" si="29">L16</f>
        <v>-</v>
      </c>
      <c r="BL21" s="153" t="str">
        <f t="shared" si="29"/>
        <v>-</v>
      </c>
      <c r="BM21" s="153">
        <f>N16</f>
        <v>0</v>
      </c>
    </row>
    <row r="22" spans="1:72" ht="15" customHeight="1" outlineLevel="1" thickBot="1" x14ac:dyDescent="0.3">
      <c r="A22" s="40"/>
      <c r="B22" s="781"/>
      <c r="C22" s="771"/>
      <c r="D22" s="774"/>
      <c r="E22" s="68" t="s">
        <v>30</v>
      </c>
      <c r="F22" s="62" t="str">
        <f t="shared" ref="F22:L22" si="30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refused</v>
      </c>
      <c r="G22" s="62" t="str">
        <f t="shared" si="30"/>
        <v>refused</v>
      </c>
      <c r="H22" s="62" t="str">
        <f t="shared" si="30"/>
        <v>refused</v>
      </c>
      <c r="I22" s="62" t="str">
        <f t="shared" si="30"/>
        <v>refused</v>
      </c>
      <c r="J22" s="62" t="str">
        <f t="shared" si="30"/>
        <v>refused</v>
      </c>
      <c r="K22" s="169" t="str">
        <f t="shared" si="30"/>
        <v>passed</v>
      </c>
      <c r="L22" s="169" t="str">
        <f t="shared" si="30"/>
        <v>-</v>
      </c>
      <c r="M22" s="62" t="s">
        <v>5</v>
      </c>
      <c r="N22" s="742"/>
      <c r="O22" s="749"/>
      <c r="P22" s="750"/>
      <c r="Q22" s="750"/>
      <c r="R22" s="754"/>
      <c r="S22" s="749"/>
      <c r="T22" s="750"/>
      <c r="U22" s="750"/>
      <c r="V22" s="754"/>
      <c r="W22" s="345"/>
      <c r="X22" s="345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BC22" s="155" t="str">
        <f t="shared" si="17"/>
        <v>refused</v>
      </c>
      <c r="BD22" s="151" t="str">
        <f>B18</f>
        <v>Warm</v>
      </c>
      <c r="BE22" s="153">
        <f t="shared" ref="BE22:BJ22" si="31">F21</f>
        <v>80.882352941176464</v>
      </c>
      <c r="BF22" s="153">
        <f t="shared" si="31"/>
        <v>205</v>
      </c>
      <c r="BG22" s="153">
        <f t="shared" si="31"/>
        <v>26</v>
      </c>
      <c r="BH22" s="153">
        <f t="shared" si="31"/>
        <v>525</v>
      </c>
      <c r="BI22" s="153">
        <f t="shared" si="31"/>
        <v>8.2222222222222214</v>
      </c>
      <c r="BJ22" s="153">
        <f t="shared" si="31"/>
        <v>7.0833333333333334E-11</v>
      </c>
      <c r="BK22" s="153" t="str">
        <f t="shared" ref="BK22:BL22" si="32">L21</f>
        <v>-</v>
      </c>
      <c r="BL22" s="153" t="str">
        <f t="shared" si="32"/>
        <v>-</v>
      </c>
      <c r="BM22" s="153">
        <f>N21</f>
        <v>0</v>
      </c>
    </row>
    <row r="23" spans="1:72" ht="15" customHeight="1" outlineLevel="1" thickBot="1" x14ac:dyDescent="0.3">
      <c r="A23" s="40"/>
      <c r="B23" s="779" t="s">
        <v>99</v>
      </c>
      <c r="C23" s="770" t="s">
        <v>114</v>
      </c>
      <c r="D23" s="770" t="s">
        <v>113</v>
      </c>
      <c r="E23" s="106" t="s">
        <v>94</v>
      </c>
      <c r="F23" s="98" t="s">
        <v>5</v>
      </c>
      <c r="G23" s="98" t="s">
        <v>5</v>
      </c>
      <c r="H23" s="98" t="s">
        <v>5</v>
      </c>
      <c r="I23" s="98" t="s">
        <v>5</v>
      </c>
      <c r="J23" s="98" t="s">
        <v>5</v>
      </c>
      <c r="K23" s="165" t="s">
        <v>5</v>
      </c>
      <c r="L23" s="165" t="s">
        <v>5</v>
      </c>
      <c r="M23" s="98" t="s">
        <v>5</v>
      </c>
      <c r="N23" s="98" t="s">
        <v>5</v>
      </c>
      <c r="O23" s="749"/>
      <c r="P23" s="750"/>
      <c r="Q23" s="750"/>
      <c r="R23" s="754"/>
      <c r="S23" s="749"/>
      <c r="T23" s="750"/>
      <c r="U23" s="750"/>
      <c r="V23" s="754"/>
      <c r="W23" s="345"/>
      <c r="X23" s="345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BC23" s="155" t="str">
        <f t="shared" si="17"/>
        <v>-</v>
      </c>
      <c r="BD23" s="151" t="str">
        <f>B23</f>
        <v>Hot 1</v>
      </c>
      <c r="BE23" s="153" t="str">
        <f t="shared" ref="BE23:BJ23" si="33">F26</f>
        <v>-</v>
      </c>
      <c r="BF23" s="153" t="str">
        <f t="shared" si="33"/>
        <v>-</v>
      </c>
      <c r="BG23" s="153" t="str">
        <f t="shared" si="33"/>
        <v>-</v>
      </c>
      <c r="BH23" s="153" t="str">
        <f t="shared" si="33"/>
        <v>-</v>
      </c>
      <c r="BI23" s="153" t="str">
        <f t="shared" si="33"/>
        <v>-</v>
      </c>
      <c r="BJ23" s="153" t="str">
        <f t="shared" si="33"/>
        <v>-</v>
      </c>
      <c r="BK23" s="153" t="str">
        <f t="shared" ref="BK23:BL23" si="34">L26</f>
        <v>-</v>
      </c>
      <c r="BL23" s="153" t="str">
        <f t="shared" si="34"/>
        <v>-</v>
      </c>
      <c r="BM23" s="153">
        <f>N26</f>
        <v>0</v>
      </c>
    </row>
    <row r="24" spans="1:72" s="50" customFormat="1" ht="15" customHeight="1" outlineLevel="1" thickBot="1" x14ac:dyDescent="0.3">
      <c r="A24" s="52"/>
      <c r="B24" s="780"/>
      <c r="C24" s="741"/>
      <c r="D24" s="742"/>
      <c r="E24" s="109" t="s">
        <v>95</v>
      </c>
      <c r="F24" s="97" t="s">
        <v>5</v>
      </c>
      <c r="G24" s="97" t="s">
        <v>5</v>
      </c>
      <c r="H24" s="97" t="s">
        <v>5</v>
      </c>
      <c r="I24" s="97" t="s">
        <v>5</v>
      </c>
      <c r="J24" s="97" t="s">
        <v>5</v>
      </c>
      <c r="K24" s="166" t="s">
        <v>5</v>
      </c>
      <c r="L24" s="166" t="s">
        <v>5</v>
      </c>
      <c r="M24" s="97" t="s">
        <v>5</v>
      </c>
      <c r="N24" s="97" t="s">
        <v>5</v>
      </c>
      <c r="O24" s="749"/>
      <c r="P24" s="750"/>
      <c r="Q24" s="750"/>
      <c r="R24" s="754"/>
      <c r="S24" s="749"/>
      <c r="T24" s="750"/>
      <c r="U24" s="750"/>
      <c r="V24" s="754"/>
      <c r="W24" s="51"/>
      <c r="X24" s="51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BC24" s="155" t="str">
        <f t="shared" si="17"/>
        <v>-</v>
      </c>
      <c r="BD24" s="151" t="str">
        <f>B28</f>
        <v>Hot 2</v>
      </c>
      <c r="BE24" s="153" t="str">
        <f t="shared" ref="BE24:BJ24" si="35">F31</f>
        <v>-</v>
      </c>
      <c r="BF24" s="153" t="str">
        <f t="shared" si="35"/>
        <v>-</v>
      </c>
      <c r="BG24" s="153" t="str">
        <f t="shared" si="35"/>
        <v>-</v>
      </c>
      <c r="BH24" s="153" t="str">
        <f t="shared" si="35"/>
        <v>-</v>
      </c>
      <c r="BI24" s="153" t="str">
        <f t="shared" si="35"/>
        <v>-</v>
      </c>
      <c r="BJ24" s="153" t="str">
        <f t="shared" si="35"/>
        <v>-</v>
      </c>
      <c r="BK24" s="153" t="str">
        <f t="shared" ref="BK24:BL24" si="36">L31</f>
        <v>-</v>
      </c>
      <c r="BL24" s="153" t="str">
        <f t="shared" si="36"/>
        <v>-</v>
      </c>
      <c r="BM24" s="153">
        <f>N31</f>
        <v>0</v>
      </c>
      <c r="BN24" s="150"/>
      <c r="BO24" s="150"/>
      <c r="BP24" s="150"/>
      <c r="BQ24" s="150"/>
      <c r="BR24" s="150"/>
      <c r="BS24" s="150"/>
      <c r="BT24" s="150"/>
    </row>
    <row r="25" spans="1:72" ht="15" customHeight="1" outlineLevel="1" thickBot="1" x14ac:dyDescent="0.3">
      <c r="A25" s="40"/>
      <c r="B25" s="780"/>
      <c r="C25" s="764">
        <v>1</v>
      </c>
      <c r="D25" s="772" t="str">
        <f>IF(AND(F26="-",G26="-",H26="-",I26="-",J26="-",K26="-",K26="-",L26="-"),"-",MAX(F26,G26,H26,I26,J26,K26,L26,M26))</f>
        <v>-</v>
      </c>
      <c r="E25" s="66" t="s">
        <v>177</v>
      </c>
      <c r="F25" s="65" t="str">
        <f t="shared" ref="F25:K25" si="37">IF(OR(F24="-",F24=""),IF(OR(F23="-",F23=""),"-",F23),IF(OR(F23="-",F23=""),F24,(F23+F24)/2))</f>
        <v>-</v>
      </c>
      <c r="G25" s="65" t="str">
        <f t="shared" si="37"/>
        <v>-</v>
      </c>
      <c r="H25" s="65" t="str">
        <f t="shared" si="37"/>
        <v>-</v>
      </c>
      <c r="I25" s="65" t="str">
        <f t="shared" si="37"/>
        <v>-</v>
      </c>
      <c r="J25" s="65" t="str">
        <f t="shared" si="37"/>
        <v>-</v>
      </c>
      <c r="K25" s="167" t="str">
        <f t="shared" si="37"/>
        <v>-</v>
      </c>
      <c r="L25" s="167" t="str">
        <f t="shared" ref="L25" si="38">IF(OR(L24="-",L24=""),IF(OR(L23="-",L23=""),"-",L23),IF(OR(L23="-",L23=""),L24,(L23+L24)/2))</f>
        <v>-</v>
      </c>
      <c r="M25" s="65" t="s">
        <v>5</v>
      </c>
      <c r="N25" s="740"/>
      <c r="O25" s="749"/>
      <c r="P25" s="750"/>
      <c r="Q25" s="750"/>
      <c r="R25" s="754"/>
      <c r="S25" s="749"/>
      <c r="T25" s="750"/>
      <c r="U25" s="750"/>
      <c r="V25" s="754"/>
      <c r="W25" s="345"/>
      <c r="X25" s="345"/>
      <c r="Y25" s="743"/>
      <c r="Z25" s="743"/>
      <c r="AA25" s="743"/>
      <c r="AB25" s="743"/>
      <c r="AC25" s="743"/>
      <c r="AD25" s="743"/>
      <c r="AE25" s="743"/>
      <c r="AF25" s="743"/>
      <c r="AG25" s="743"/>
      <c r="AH25" s="743"/>
      <c r="BC25" s="155" t="str">
        <f t="shared" si="17"/>
        <v>-</v>
      </c>
      <c r="BD25" s="151" t="str">
        <f>"IEF " &amp;B12</f>
        <v>IEF Cold</v>
      </c>
      <c r="BE25" s="153">
        <f t="shared" ref="BE25:BJ25" si="39">IF(AND(OR($C15="-",$C15="CET",$C15=""),OR(F12="-",F12="CET",F12="")),"-",IF(OR(F12="CET",F12="-",F12=""),IF(OR($C15="CET",$C15="-",$C15=""),"-",$C15),F12))</f>
        <v>200</v>
      </c>
      <c r="BF25" s="153">
        <f t="shared" si="39"/>
        <v>200</v>
      </c>
      <c r="BG25" s="153">
        <f t="shared" si="39"/>
        <v>200</v>
      </c>
      <c r="BH25" s="153">
        <f t="shared" si="39"/>
        <v>200</v>
      </c>
      <c r="BI25" s="153">
        <f t="shared" si="39"/>
        <v>200</v>
      </c>
      <c r="BJ25" s="153">
        <f t="shared" si="39"/>
        <v>200</v>
      </c>
      <c r="BK25" s="153">
        <f t="shared" ref="BK25:BL25" si="40">IF(AND(OR($C15="-",$C15="CET",$C15=""),OR(L12="-",L12="CET",L12="")),"-",IF(OR(L12="CET",L12="-",L12=""),IF(OR($C15="CET",$C15="-",$C15=""),"-",$C15),L12))</f>
        <v>200</v>
      </c>
      <c r="BL25" s="153">
        <f t="shared" si="40"/>
        <v>200</v>
      </c>
      <c r="BM25" s="153" t="s">
        <v>5</v>
      </c>
    </row>
    <row r="26" spans="1:72" ht="15" customHeight="1" outlineLevel="1" thickBot="1" x14ac:dyDescent="0.3">
      <c r="A26" s="40"/>
      <c r="B26" s="780"/>
      <c r="C26" s="765"/>
      <c r="D26" s="773"/>
      <c r="E26" s="64" t="s">
        <v>97</v>
      </c>
      <c r="F26" s="63" t="str">
        <f t="shared" ref="F26:K26" si="41">IF(OR($C25="-",$C25="CET",$C25=""),"-",IF(AND(NOT(F25="-"),NOT(F$5="-"),NOT(F$5="")),F25/F$5,"-"))</f>
        <v>-</v>
      </c>
      <c r="G26" s="63" t="str">
        <f t="shared" si="41"/>
        <v>-</v>
      </c>
      <c r="H26" s="63" t="str">
        <f t="shared" si="41"/>
        <v>-</v>
      </c>
      <c r="I26" s="63" t="str">
        <f t="shared" si="41"/>
        <v>-</v>
      </c>
      <c r="J26" s="63" t="str">
        <f t="shared" si="41"/>
        <v>-</v>
      </c>
      <c r="K26" s="168" t="str">
        <f t="shared" si="41"/>
        <v>-</v>
      </c>
      <c r="L26" s="168" t="str">
        <f t="shared" ref="L26" si="42">IF(OR($C25="-",$C25="CET",$C25=""),"-",IF(AND(NOT(L25="-"),NOT(L$5="-"),NOT(L$5="")),L25/L$5,"-"))</f>
        <v>-</v>
      </c>
      <c r="M26" s="63" t="s">
        <v>5</v>
      </c>
      <c r="N26" s="741"/>
      <c r="O26" s="749"/>
      <c r="P26" s="750"/>
      <c r="Q26" s="750"/>
      <c r="R26" s="754"/>
      <c r="S26" s="749"/>
      <c r="T26" s="750"/>
      <c r="U26" s="750"/>
      <c r="V26" s="754"/>
      <c r="W26" s="345"/>
      <c r="X26" s="345"/>
      <c r="Y26" s="743"/>
      <c r="Z26" s="743"/>
      <c r="AA26" s="743"/>
      <c r="AB26" s="743"/>
      <c r="AC26" s="743"/>
      <c r="AD26" s="743"/>
      <c r="AE26" s="743"/>
      <c r="AF26" s="743"/>
      <c r="AG26" s="743"/>
      <c r="AH26" s="743"/>
      <c r="BC26" s="155" t="str">
        <f t="shared" si="17"/>
        <v>-</v>
      </c>
      <c r="BD26" s="151" t="str">
        <f>"IEF " &amp; B18</f>
        <v>IEF Warm</v>
      </c>
      <c r="BE26" s="153">
        <f t="shared" ref="BE26:BM26" si="43">IF(OR($C20="CET",$C20="-",$C20=""),"-",$C20)</f>
        <v>1</v>
      </c>
      <c r="BF26" s="153">
        <f t="shared" si="43"/>
        <v>1</v>
      </c>
      <c r="BG26" s="153">
        <f t="shared" si="43"/>
        <v>1</v>
      </c>
      <c r="BH26" s="153">
        <f t="shared" si="43"/>
        <v>1</v>
      </c>
      <c r="BI26" s="153">
        <f t="shared" si="43"/>
        <v>1</v>
      </c>
      <c r="BJ26" s="153">
        <f t="shared" si="43"/>
        <v>1</v>
      </c>
      <c r="BK26" s="153">
        <f t="shared" ref="BK26:BL26" si="44">IF(OR($C20="CET",$C20="-",$C20=""),"-",$C20)</f>
        <v>1</v>
      </c>
      <c r="BL26" s="153">
        <f t="shared" si="44"/>
        <v>1</v>
      </c>
      <c r="BM26" s="153">
        <f t="shared" si="43"/>
        <v>1</v>
      </c>
    </row>
    <row r="27" spans="1:72" ht="15" customHeight="1" outlineLevel="1" thickBot="1" x14ac:dyDescent="0.3">
      <c r="A27" s="40"/>
      <c r="B27" s="781"/>
      <c r="C27" s="771"/>
      <c r="D27" s="774"/>
      <c r="E27" s="68" t="s">
        <v>30</v>
      </c>
      <c r="F27" s="62" t="str">
        <f t="shared" ref="F27:L27" si="45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62" t="str">
        <f t="shared" si="45"/>
        <v>-</v>
      </c>
      <c r="H27" s="62" t="str">
        <f t="shared" si="45"/>
        <v>-</v>
      </c>
      <c r="I27" s="62" t="str">
        <f t="shared" si="45"/>
        <v>-</v>
      </c>
      <c r="J27" s="62" t="str">
        <f t="shared" si="45"/>
        <v>-</v>
      </c>
      <c r="K27" s="169" t="str">
        <f t="shared" si="45"/>
        <v>-</v>
      </c>
      <c r="L27" s="169" t="str">
        <f t="shared" si="45"/>
        <v>-</v>
      </c>
      <c r="M27" s="62" t="s">
        <v>5</v>
      </c>
      <c r="N27" s="742"/>
      <c r="O27" s="749"/>
      <c r="P27" s="750"/>
      <c r="Q27" s="750"/>
      <c r="R27" s="754"/>
      <c r="S27" s="749"/>
      <c r="T27" s="750"/>
      <c r="U27" s="750"/>
      <c r="V27" s="754"/>
      <c r="W27" s="345"/>
      <c r="X27" s="345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BC27" s="155" t="str">
        <f t="shared" si="17"/>
        <v>-</v>
      </c>
      <c r="BD27" s="151" t="str">
        <f>"IEF " &amp; B23</f>
        <v>IEF Hot 1</v>
      </c>
      <c r="BE27" s="153">
        <f t="shared" ref="BE27:BM27" si="46">IF(OR($C25="CET",$C25="-",$C25=""),"-",$C25)</f>
        <v>1</v>
      </c>
      <c r="BF27" s="153">
        <f t="shared" si="46"/>
        <v>1</v>
      </c>
      <c r="BG27" s="153">
        <f t="shared" si="46"/>
        <v>1</v>
      </c>
      <c r="BH27" s="153">
        <f t="shared" si="46"/>
        <v>1</v>
      </c>
      <c r="BI27" s="153">
        <f t="shared" si="46"/>
        <v>1</v>
      </c>
      <c r="BJ27" s="153">
        <f t="shared" si="46"/>
        <v>1</v>
      </c>
      <c r="BK27" s="153">
        <f t="shared" ref="BK27:BL27" si="47">IF(OR($C25="CET",$C25="-",$C25=""),"-",$C25)</f>
        <v>1</v>
      </c>
      <c r="BL27" s="153">
        <f t="shared" si="47"/>
        <v>1</v>
      </c>
      <c r="BM27" s="153">
        <f t="shared" si="46"/>
        <v>1</v>
      </c>
    </row>
    <row r="28" spans="1:72" ht="15" customHeight="1" outlineLevel="1" x14ac:dyDescent="0.25">
      <c r="A28" s="40"/>
      <c r="B28" s="779" t="s">
        <v>100</v>
      </c>
      <c r="C28" s="770" t="s">
        <v>114</v>
      </c>
      <c r="D28" s="770" t="s">
        <v>113</v>
      </c>
      <c r="E28" s="106" t="s">
        <v>94</v>
      </c>
      <c r="F28" s="98" t="s">
        <v>5</v>
      </c>
      <c r="G28" s="98" t="s">
        <v>5</v>
      </c>
      <c r="H28" s="98" t="s">
        <v>5</v>
      </c>
      <c r="I28" s="98" t="s">
        <v>5</v>
      </c>
      <c r="J28" s="98" t="s">
        <v>5</v>
      </c>
      <c r="K28" s="165" t="s">
        <v>5</v>
      </c>
      <c r="L28" s="165" t="s">
        <v>5</v>
      </c>
      <c r="M28" s="98" t="s">
        <v>5</v>
      </c>
      <c r="N28" s="98" t="s">
        <v>5</v>
      </c>
      <c r="O28" s="749"/>
      <c r="P28" s="750"/>
      <c r="Q28" s="750"/>
      <c r="R28" s="754"/>
      <c r="S28" s="749"/>
      <c r="T28" s="750"/>
      <c r="U28" s="750"/>
      <c r="V28" s="754"/>
      <c r="W28" s="345"/>
      <c r="X28" s="345"/>
      <c r="Y28" s="743"/>
      <c r="Z28" s="743"/>
      <c r="AA28" s="743"/>
      <c r="AB28" s="743"/>
      <c r="AC28" s="743"/>
      <c r="AD28" s="743"/>
      <c r="AE28" s="743"/>
      <c r="AF28" s="743"/>
      <c r="AG28" s="743"/>
      <c r="AH28" s="743"/>
      <c r="BC28" s="155" t="str">
        <f t="shared" si="17"/>
        <v>-</v>
      </c>
      <c r="BD28" s="151" t="str">
        <f>"IEF " &amp; B28</f>
        <v>IEF Hot 2</v>
      </c>
      <c r="BE28" s="153">
        <f t="shared" ref="BE28:BM28" si="48">IF(OR($C30="CET",$C30="-",$C30=""),"-",$C30)</f>
        <v>1</v>
      </c>
      <c r="BF28" s="153">
        <f t="shared" si="48"/>
        <v>1</v>
      </c>
      <c r="BG28" s="153">
        <f t="shared" si="48"/>
        <v>1</v>
      </c>
      <c r="BH28" s="153">
        <f t="shared" si="48"/>
        <v>1</v>
      </c>
      <c r="BI28" s="153">
        <f t="shared" si="48"/>
        <v>1</v>
      </c>
      <c r="BJ28" s="153">
        <f t="shared" si="48"/>
        <v>1</v>
      </c>
      <c r="BK28" s="153">
        <f t="shared" ref="BK28:BL28" si="49">IF(OR($C30="CET",$C30="-",$C30=""),"-",$C30)</f>
        <v>1</v>
      </c>
      <c r="BL28" s="153">
        <f t="shared" si="49"/>
        <v>1</v>
      </c>
      <c r="BM28" s="153">
        <f t="shared" si="48"/>
        <v>1</v>
      </c>
    </row>
    <row r="29" spans="1:72" s="50" customFormat="1" ht="15" customHeight="1" outlineLevel="1" thickBot="1" x14ac:dyDescent="0.3">
      <c r="A29" s="52"/>
      <c r="B29" s="780"/>
      <c r="C29" s="741"/>
      <c r="D29" s="742"/>
      <c r="E29" s="104" t="s">
        <v>95</v>
      </c>
      <c r="F29" s="97" t="s">
        <v>5</v>
      </c>
      <c r="G29" s="97" t="s">
        <v>5</v>
      </c>
      <c r="H29" s="97" t="s">
        <v>5</v>
      </c>
      <c r="I29" s="97" t="s">
        <v>5</v>
      </c>
      <c r="J29" s="97" t="s">
        <v>5</v>
      </c>
      <c r="K29" s="166" t="s">
        <v>5</v>
      </c>
      <c r="L29" s="166" t="s">
        <v>5</v>
      </c>
      <c r="M29" s="97" t="s">
        <v>5</v>
      </c>
      <c r="N29" s="97" t="s">
        <v>5</v>
      </c>
      <c r="O29" s="749"/>
      <c r="P29" s="750"/>
      <c r="Q29" s="750"/>
      <c r="R29" s="754"/>
      <c r="S29" s="749"/>
      <c r="T29" s="750"/>
      <c r="U29" s="750"/>
      <c r="V29" s="754"/>
      <c r="W29" s="51"/>
      <c r="X29" s="51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BC29" s="155" t="str">
        <f t="shared" si="17"/>
        <v>-</v>
      </c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50"/>
      <c r="BP29" s="150"/>
      <c r="BQ29" s="150"/>
      <c r="BR29" s="150"/>
      <c r="BS29" s="150"/>
      <c r="BT29" s="150"/>
    </row>
    <row r="30" spans="1:72" ht="15" customHeight="1" outlineLevel="1" thickBot="1" x14ac:dyDescent="0.3">
      <c r="A30" s="40"/>
      <c r="B30" s="780"/>
      <c r="C30" s="764">
        <v>1</v>
      </c>
      <c r="D30" s="772" t="str">
        <f>IF(AND(F31="-",G31="-",H31="-",I31="-",J31="-",K31="-",K31="-",L31="-"),"-",MAX(F31,G31,H31,I31,J31,K31,L31,M31))</f>
        <v>-</v>
      </c>
      <c r="E30" s="66" t="s">
        <v>177</v>
      </c>
      <c r="F30" s="65" t="str">
        <f t="shared" ref="F30:K30" si="50">IF(OR(F29="-",F29=""),IF(OR(F28="-",F28=""),"-",F28),IF(OR(F28="-",F28=""),F29,(F28+F29)/2))</f>
        <v>-</v>
      </c>
      <c r="G30" s="65" t="str">
        <f t="shared" si="50"/>
        <v>-</v>
      </c>
      <c r="H30" s="65" t="str">
        <f t="shared" si="50"/>
        <v>-</v>
      </c>
      <c r="I30" s="65" t="str">
        <f t="shared" si="50"/>
        <v>-</v>
      </c>
      <c r="J30" s="65" t="str">
        <f t="shared" si="50"/>
        <v>-</v>
      </c>
      <c r="K30" s="167" t="str">
        <f t="shared" si="50"/>
        <v>-</v>
      </c>
      <c r="L30" s="167" t="str">
        <f t="shared" ref="L30" si="51">IF(OR(L29="-",L29=""),IF(OR(L28="-",L28=""),"-",L28),IF(OR(L28="-",L28=""),L29,(L28+L29)/2))</f>
        <v>-</v>
      </c>
      <c r="M30" s="65" t="s">
        <v>5</v>
      </c>
      <c r="N30" s="740"/>
      <c r="O30" s="749"/>
      <c r="P30" s="750"/>
      <c r="Q30" s="750"/>
      <c r="R30" s="754"/>
      <c r="S30" s="749"/>
      <c r="T30" s="750"/>
      <c r="U30" s="750"/>
      <c r="V30" s="754"/>
      <c r="W30" s="345"/>
      <c r="X30" s="345"/>
      <c r="Y30" s="743"/>
      <c r="Z30" s="743"/>
      <c r="AA30" s="743"/>
      <c r="AB30" s="743"/>
      <c r="AC30" s="743"/>
      <c r="AD30" s="743"/>
      <c r="AE30" s="743"/>
      <c r="AF30" s="743"/>
      <c r="AG30" s="743"/>
      <c r="AH30" s="743"/>
      <c r="BC30" s="155" t="str">
        <f t="shared" si="17"/>
        <v>-</v>
      </c>
    </row>
    <row r="31" spans="1:72" ht="15" customHeight="1" outlineLevel="1" thickBot="1" x14ac:dyDescent="0.3">
      <c r="A31" s="40"/>
      <c r="B31" s="780"/>
      <c r="C31" s="765"/>
      <c r="D31" s="773"/>
      <c r="E31" s="64" t="s">
        <v>97</v>
      </c>
      <c r="F31" s="63" t="str">
        <f t="shared" ref="F31:K31" si="52">IF(OR($C30="-",$C30="CET",$C30=""),"-",IF(AND(NOT(F30="-"),NOT(F$5="-"),NOT(F$5="")),F30/F$5,"-"))</f>
        <v>-</v>
      </c>
      <c r="G31" s="63" t="str">
        <f t="shared" si="52"/>
        <v>-</v>
      </c>
      <c r="H31" s="63" t="str">
        <f t="shared" si="52"/>
        <v>-</v>
      </c>
      <c r="I31" s="63" t="str">
        <f t="shared" si="52"/>
        <v>-</v>
      </c>
      <c r="J31" s="63" t="str">
        <f t="shared" si="52"/>
        <v>-</v>
      </c>
      <c r="K31" s="168" t="str">
        <f t="shared" si="52"/>
        <v>-</v>
      </c>
      <c r="L31" s="168" t="str">
        <f t="shared" ref="L31" si="53">IF(OR($C30="-",$C30="CET",$C30=""),"-",IF(AND(NOT(L30="-"),NOT(L$5="-"),NOT(L$5="")),L30/L$5,"-"))</f>
        <v>-</v>
      </c>
      <c r="M31" s="63" t="s">
        <v>5</v>
      </c>
      <c r="N31" s="741"/>
      <c r="O31" s="749"/>
      <c r="P31" s="750"/>
      <c r="Q31" s="750"/>
      <c r="R31" s="754"/>
      <c r="S31" s="749"/>
      <c r="T31" s="750"/>
      <c r="U31" s="750"/>
      <c r="V31" s="754"/>
      <c r="W31" s="345"/>
      <c r="X31" s="345"/>
      <c r="Y31" s="743"/>
      <c r="Z31" s="743"/>
      <c r="AA31" s="743"/>
      <c r="AB31" s="743"/>
      <c r="AC31" s="743"/>
      <c r="AD31" s="743"/>
      <c r="AE31" s="743"/>
      <c r="AF31" s="743"/>
      <c r="AG31" s="743"/>
      <c r="AH31" s="743"/>
      <c r="BC31" s="155" t="str">
        <f t="shared" si="17"/>
        <v>-</v>
      </c>
    </row>
    <row r="32" spans="1:72" ht="15" customHeight="1" outlineLevel="1" thickBot="1" x14ac:dyDescent="0.3">
      <c r="B32" s="781"/>
      <c r="C32" s="771"/>
      <c r="D32" s="774"/>
      <c r="E32" s="62" t="s">
        <v>30</v>
      </c>
      <c r="F32" s="62" t="str">
        <f t="shared" ref="F32:L32" si="54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62" t="str">
        <f t="shared" si="54"/>
        <v>-</v>
      </c>
      <c r="H32" s="62" t="str">
        <f t="shared" si="54"/>
        <v>-</v>
      </c>
      <c r="I32" s="62" t="str">
        <f t="shared" si="54"/>
        <v>-</v>
      </c>
      <c r="J32" s="62" t="str">
        <f t="shared" si="54"/>
        <v>-</v>
      </c>
      <c r="K32" s="169" t="str">
        <f t="shared" si="54"/>
        <v>-</v>
      </c>
      <c r="L32" s="169" t="str">
        <f t="shared" si="54"/>
        <v>-</v>
      </c>
      <c r="M32" s="62" t="s">
        <v>5</v>
      </c>
      <c r="N32" s="742"/>
      <c r="O32" s="751"/>
      <c r="P32" s="752"/>
      <c r="Q32" s="752"/>
      <c r="R32" s="755"/>
      <c r="S32" s="751"/>
      <c r="T32" s="752"/>
      <c r="U32" s="752"/>
      <c r="V32" s="755"/>
      <c r="BC32" s="155" t="str">
        <f t="shared" si="17"/>
        <v>-</v>
      </c>
    </row>
    <row r="33" spans="1:72" ht="15" customHeight="1" x14ac:dyDescent="0.25">
      <c r="BC33" s="155" t="str">
        <f t="shared" si="17"/>
        <v>-</v>
      </c>
    </row>
    <row r="34" spans="1:72" ht="15" customHeight="1" x14ac:dyDescent="0.25">
      <c r="BC34" s="155" t="str">
        <f t="shared" si="17"/>
        <v>-</v>
      </c>
    </row>
    <row r="35" spans="1:72" ht="15" customHeight="1" thickBot="1" x14ac:dyDescent="0.3">
      <c r="A35" s="350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BC35" s="155" t="str">
        <f t="shared" si="17"/>
        <v>-</v>
      </c>
    </row>
    <row r="36" spans="1:72" ht="24.95" customHeight="1" thickBot="1" x14ac:dyDescent="0.3">
      <c r="A36" s="350"/>
      <c r="B36" s="185">
        <v>2</v>
      </c>
      <c r="C36" s="757" t="s">
        <v>101</v>
      </c>
      <c r="D36" s="758"/>
      <c r="E36" s="758"/>
      <c r="F36" s="758"/>
      <c r="G36" s="758"/>
      <c r="H36" s="758"/>
      <c r="I36" s="758"/>
      <c r="J36" s="758"/>
      <c r="K36" s="758"/>
      <c r="L36" s="758"/>
      <c r="M36" s="758"/>
      <c r="N36" s="759"/>
      <c r="O36" s="49" t="s">
        <v>117</v>
      </c>
      <c r="P36" s="71" t="str">
        <f>IF(COUNTIF(F44:M59,"refused")&gt;0,"refused",IF(COUNTIF(F44:M59,"failed")&gt;0,"failed",IF(COUNTIF(F44:M59,"passed")&gt;0,"passed","-")))</f>
        <v>-</v>
      </c>
      <c r="Q36" s="70" t="s">
        <v>80</v>
      </c>
      <c r="R36" s="70" t="str">
        <f>IF(COUNT(F40:M41)&gt;0,"listed","not listed")</f>
        <v>not listed</v>
      </c>
      <c r="S36" s="344"/>
      <c r="T36" s="43"/>
      <c r="U36" s="43"/>
      <c r="V36" s="44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BC36" s="155" t="str">
        <f t="shared" si="17"/>
        <v>-</v>
      </c>
    </row>
    <row r="37" spans="1:72" ht="15" customHeight="1" outlineLevel="1" thickBot="1" x14ac:dyDescent="0.3">
      <c r="A37" s="350"/>
      <c r="B37" s="346"/>
      <c r="C37" s="347"/>
      <c r="D37" s="347"/>
      <c r="E37" s="347"/>
      <c r="F37" s="347"/>
      <c r="G37" s="347"/>
      <c r="H37" s="347"/>
      <c r="I37" s="347"/>
      <c r="J37" s="347"/>
      <c r="K37" s="162"/>
      <c r="L37" s="162"/>
      <c r="M37" s="347"/>
      <c r="N37" s="347"/>
      <c r="O37" s="347"/>
      <c r="P37" s="347"/>
      <c r="Q37" s="347"/>
      <c r="R37" s="347"/>
      <c r="S37" s="347"/>
      <c r="T37" s="45"/>
      <c r="U37" s="45"/>
      <c r="V37" s="46"/>
      <c r="W37" s="47"/>
      <c r="X37" s="47"/>
      <c r="Y37" s="756"/>
      <c r="Z37" s="756"/>
      <c r="AA37" s="756"/>
      <c r="AB37" s="756"/>
      <c r="AC37" s="756"/>
      <c r="AD37" s="756"/>
      <c r="AE37" s="756"/>
      <c r="AF37" s="756"/>
      <c r="AG37" s="756"/>
      <c r="AH37" s="756"/>
      <c r="BC37" s="155" t="str">
        <f t="shared" si="17"/>
        <v>-</v>
      </c>
    </row>
    <row r="38" spans="1:72" ht="15" customHeight="1" outlineLevel="1" thickBot="1" x14ac:dyDescent="0.3">
      <c r="A38" s="350"/>
      <c r="B38" s="744" t="s">
        <v>81</v>
      </c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6"/>
      <c r="O38" s="744" t="s">
        <v>82</v>
      </c>
      <c r="P38" s="745"/>
      <c r="Q38" s="745"/>
      <c r="R38" s="746"/>
      <c r="S38" s="744" t="s">
        <v>83</v>
      </c>
      <c r="T38" s="745"/>
      <c r="U38" s="745"/>
      <c r="V38" s="746"/>
      <c r="W38" s="345"/>
      <c r="X38" s="345"/>
      <c r="Y38" s="743"/>
      <c r="Z38" s="743"/>
      <c r="AA38" s="743"/>
      <c r="AB38" s="743"/>
      <c r="AC38" s="743"/>
      <c r="AD38" s="743"/>
      <c r="AE38" s="743"/>
      <c r="AF38" s="743"/>
      <c r="AG38" s="743"/>
      <c r="AH38" s="743"/>
      <c r="BC38" s="155" t="str">
        <f t="shared" si="17"/>
        <v>-</v>
      </c>
      <c r="BD38" s="151" t="s">
        <v>85</v>
      </c>
      <c r="BE38" s="69" t="str">
        <f>$F$4</f>
        <v>NMHC 
[g/km]</v>
      </c>
      <c r="BF38" s="69" t="str">
        <f>$G$4</f>
        <v>THC
[g/km]</v>
      </c>
      <c r="BG38" s="69" t="str">
        <f>$H$4</f>
        <v>CO
[g/km]</v>
      </c>
      <c r="BH38" s="69" t="str">
        <f>$I$4</f>
        <v>NOx
[g/km]</v>
      </c>
      <c r="BI38" s="69" t="str">
        <f>$J$4</f>
        <v>PM
[mg/km]</v>
      </c>
      <c r="BJ38" s="163" t="str">
        <f>K$4</f>
        <v>PN
[#/km]</v>
      </c>
      <c r="BK38" s="163" t="str">
        <f t="shared" ref="BK38:BL38" si="55">L$4</f>
        <v>Additional component</v>
      </c>
      <c r="BL38" s="163" t="str">
        <f t="shared" si="55"/>
        <v>Additional
component 2</v>
      </c>
      <c r="BM38" s="69" t="str">
        <f>$N$4</f>
        <v>CO2
[g/km]</v>
      </c>
    </row>
    <row r="39" spans="1:72" ht="35.1" customHeight="1" outlineLevel="1" thickBot="1" x14ac:dyDescent="0.3">
      <c r="A39" s="350"/>
      <c r="B39" s="767" t="s">
        <v>84</v>
      </c>
      <c r="C39" s="768"/>
      <c r="D39" s="768"/>
      <c r="E39" s="769"/>
      <c r="F39" s="69" t="str">
        <f t="shared" ref="F39:K39" si="56">F$4</f>
        <v>NMHC 
[g/km]</v>
      </c>
      <c r="G39" s="69" t="str">
        <f t="shared" si="56"/>
        <v>THC
[g/km]</v>
      </c>
      <c r="H39" s="69" t="str">
        <f t="shared" si="56"/>
        <v>CO
[g/km]</v>
      </c>
      <c r="I39" s="69" t="str">
        <f t="shared" si="56"/>
        <v>NOx
[g/km]</v>
      </c>
      <c r="J39" s="69" t="str">
        <f t="shared" si="56"/>
        <v>PM
[mg/km]</v>
      </c>
      <c r="K39" s="69" t="str">
        <f t="shared" si="56"/>
        <v>PN
[#/km]</v>
      </c>
      <c r="L39" s="366" t="str">
        <f>L$4</f>
        <v>Additional component</v>
      </c>
      <c r="M39" s="366" t="str">
        <f>M$4</f>
        <v>Additional
component 2</v>
      </c>
      <c r="N39" s="69" t="str">
        <f>N$4</f>
        <v>CO2
[g/km]</v>
      </c>
      <c r="O39" s="747"/>
      <c r="P39" s="748"/>
      <c r="Q39" s="748"/>
      <c r="R39" s="753"/>
      <c r="S39" s="747"/>
      <c r="T39" s="748"/>
      <c r="U39" s="748"/>
      <c r="V39" s="753"/>
      <c r="W39" s="345"/>
      <c r="X39" s="345"/>
      <c r="Y39" s="743"/>
      <c r="Z39" s="743"/>
      <c r="AA39" s="743"/>
      <c r="AB39" s="743"/>
      <c r="AC39" s="743"/>
      <c r="AD39" s="743"/>
      <c r="AE39" s="743"/>
      <c r="AF39" s="743"/>
      <c r="AG39" s="743"/>
      <c r="AH39" s="743"/>
      <c r="BC39" s="155" t="str">
        <f t="shared" si="17"/>
        <v>-</v>
      </c>
      <c r="BD39" s="151" t="str">
        <f>$E$4</f>
        <v>Euro 6c</v>
      </c>
      <c r="BE39" s="153">
        <v>1</v>
      </c>
      <c r="BF39" s="153">
        <v>1</v>
      </c>
      <c r="BG39" s="153">
        <v>1</v>
      </c>
      <c r="BH39" s="153">
        <v>1</v>
      </c>
      <c r="BI39" s="153">
        <v>1</v>
      </c>
      <c r="BJ39" s="153">
        <v>1</v>
      </c>
      <c r="BK39" s="153">
        <v>1</v>
      </c>
      <c r="BL39" s="153">
        <v>1</v>
      </c>
      <c r="BM39" s="153">
        <v>1</v>
      </c>
    </row>
    <row r="40" spans="1:72" ht="15" customHeight="1" outlineLevel="1" x14ac:dyDescent="0.25">
      <c r="A40" s="350"/>
      <c r="B40" s="779" t="s">
        <v>111</v>
      </c>
      <c r="C40" s="770" t="s">
        <v>114</v>
      </c>
      <c r="D40" s="770" t="s">
        <v>113</v>
      </c>
      <c r="E40" s="106" t="s">
        <v>94</v>
      </c>
      <c r="F40" s="98" t="s">
        <v>5</v>
      </c>
      <c r="G40" s="98" t="s">
        <v>5</v>
      </c>
      <c r="H40" s="98" t="s">
        <v>5</v>
      </c>
      <c r="I40" s="98" t="s">
        <v>5</v>
      </c>
      <c r="J40" s="98" t="s">
        <v>5</v>
      </c>
      <c r="K40" s="165" t="s">
        <v>5</v>
      </c>
      <c r="L40" s="165" t="s">
        <v>5</v>
      </c>
      <c r="M40" s="98" t="s">
        <v>5</v>
      </c>
      <c r="N40" s="98" t="s">
        <v>5</v>
      </c>
      <c r="O40" s="749"/>
      <c r="P40" s="750"/>
      <c r="Q40" s="750"/>
      <c r="R40" s="754"/>
      <c r="S40" s="749"/>
      <c r="T40" s="750"/>
      <c r="U40" s="750"/>
      <c r="V40" s="754"/>
      <c r="W40" s="345"/>
      <c r="X40" s="345"/>
      <c r="Y40" s="743"/>
      <c r="Z40" s="743"/>
      <c r="AA40" s="743"/>
      <c r="AB40" s="743"/>
      <c r="AC40" s="743"/>
      <c r="AD40" s="743"/>
      <c r="AE40" s="743"/>
      <c r="AF40" s="743"/>
      <c r="AG40" s="743"/>
      <c r="AH40" s="743"/>
      <c r="BC40" s="155" t="str">
        <f t="shared" si="17"/>
        <v>-</v>
      </c>
      <c r="BD40" s="151" t="str">
        <f>"1st " &amp;  B40</f>
        <v>1st 14°C</v>
      </c>
      <c r="BE40" s="153" t="str">
        <f t="shared" ref="BE40:BJ40" si="57">IF((OR($C42="-",$C42="CET",$C42="")),"-",IF(AND(OR(F40="-",F40=""),OR(F41="-",F41="")),"-",IF(NOT(OR(F40="-",F40="")),F40/F$5,F41/F$5)))</f>
        <v>-</v>
      </c>
      <c r="BF40" s="153" t="str">
        <f t="shared" si="57"/>
        <v>-</v>
      </c>
      <c r="BG40" s="153" t="str">
        <f t="shared" si="57"/>
        <v>-</v>
      </c>
      <c r="BH40" s="153" t="str">
        <f t="shared" si="57"/>
        <v>-</v>
      </c>
      <c r="BI40" s="153" t="str">
        <f t="shared" si="57"/>
        <v>-</v>
      </c>
      <c r="BJ40" s="153" t="str">
        <f t="shared" si="57"/>
        <v>-</v>
      </c>
      <c r="BK40" s="153" t="str">
        <f t="shared" ref="BK40:BL40" si="58">IF((OR($C42="-",$C42="CET",$C42="")),"-",IF(AND(OR(L40="-",L40=""),OR(L41="-",L41="")),"-",IF(NOT(OR(L40="-",L40="")),L40/L$5,L41/L$5)))</f>
        <v>-</v>
      </c>
      <c r="BL40" s="153" t="str">
        <f t="shared" si="58"/>
        <v>-</v>
      </c>
      <c r="BM40" s="153" t="str">
        <f>IF((OR($C42="-",$C42="CET",$C42="")),"-",IF(AND(OR(N40="-",N40=""),OR(N41="-",N41="")),"-",IF(NOT(OR(N40="-",N40="")),N40/N$5,N41/N$5)))</f>
        <v>-</v>
      </c>
    </row>
    <row r="41" spans="1:72" s="50" customFormat="1" ht="15" customHeight="1" outlineLevel="1" thickBot="1" x14ac:dyDescent="0.3">
      <c r="A41" s="53"/>
      <c r="B41" s="780"/>
      <c r="C41" s="741"/>
      <c r="D41" s="742"/>
      <c r="E41" s="104" t="s">
        <v>95</v>
      </c>
      <c r="F41" s="97" t="s">
        <v>5</v>
      </c>
      <c r="G41" s="97" t="s">
        <v>5</v>
      </c>
      <c r="H41" s="97" t="s">
        <v>5</v>
      </c>
      <c r="I41" s="97" t="s">
        <v>5</v>
      </c>
      <c r="J41" s="97" t="s">
        <v>5</v>
      </c>
      <c r="K41" s="166" t="s">
        <v>5</v>
      </c>
      <c r="L41" s="166" t="s">
        <v>5</v>
      </c>
      <c r="M41" s="97" t="s">
        <v>5</v>
      </c>
      <c r="N41" s="97" t="s">
        <v>5</v>
      </c>
      <c r="O41" s="749"/>
      <c r="P41" s="750"/>
      <c r="Q41" s="750"/>
      <c r="R41" s="754"/>
      <c r="S41" s="749"/>
      <c r="T41" s="750"/>
      <c r="U41" s="750"/>
      <c r="V41" s="754"/>
      <c r="W41" s="51"/>
      <c r="X41" s="51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BC41" s="155" t="str">
        <f t="shared" si="17"/>
        <v>-</v>
      </c>
      <c r="BD41" s="151"/>
      <c r="BE41" s="153"/>
      <c r="BF41" s="153"/>
      <c r="BG41" s="153"/>
      <c r="BH41" s="153"/>
      <c r="BI41" s="153"/>
      <c r="BJ41" s="153"/>
      <c r="BK41" s="153"/>
      <c r="BL41" s="153"/>
      <c r="BM41" s="153"/>
      <c r="BN41" s="150"/>
      <c r="BO41" s="150"/>
      <c r="BP41" s="150"/>
      <c r="BQ41" s="150"/>
      <c r="BR41" s="150"/>
      <c r="BS41" s="150"/>
      <c r="BT41" s="150"/>
    </row>
    <row r="42" spans="1:72" ht="15" customHeight="1" outlineLevel="1" thickBot="1" x14ac:dyDescent="0.3">
      <c r="A42" s="350"/>
      <c r="B42" s="780"/>
      <c r="C42" s="764">
        <v>1</v>
      </c>
      <c r="D42" s="772" t="str">
        <f>IF(AND(F43="-",G43="-",H43="-",I43="-",J43="-",K43="-",K43="-",L43="-"),"-",MAX(F43,G43,H43,I43,J43,K43,L43,M43))</f>
        <v>-</v>
      </c>
      <c r="E42" s="66" t="s">
        <v>177</v>
      </c>
      <c r="F42" s="65" t="str">
        <f t="shared" ref="F42:K42" si="59">IF(OR(F41="-",F41=""),IF(OR(F40="-",F40=""),"-",F40),IF(OR(F40="-",F40=""),F41,(F40+F41)/2))</f>
        <v>-</v>
      </c>
      <c r="G42" s="65" t="str">
        <f t="shared" si="59"/>
        <v>-</v>
      </c>
      <c r="H42" s="65" t="str">
        <f t="shared" si="59"/>
        <v>-</v>
      </c>
      <c r="I42" s="65" t="str">
        <f t="shared" si="59"/>
        <v>-</v>
      </c>
      <c r="J42" s="65" t="str">
        <f t="shared" si="59"/>
        <v>-</v>
      </c>
      <c r="K42" s="167" t="str">
        <f t="shared" si="59"/>
        <v>-</v>
      </c>
      <c r="L42" s="167" t="str">
        <f t="shared" ref="L42" si="60">IF(OR(L41="-",L41=""),IF(OR(L40="-",L40=""),"-",L40),IF(OR(L40="-",L40=""),L41,(L40+L41)/2))</f>
        <v>-</v>
      </c>
      <c r="M42" s="65" t="s">
        <v>5</v>
      </c>
      <c r="N42" s="740"/>
      <c r="O42" s="749"/>
      <c r="P42" s="750"/>
      <c r="Q42" s="750"/>
      <c r="R42" s="754"/>
      <c r="S42" s="749"/>
      <c r="T42" s="750"/>
      <c r="U42" s="750"/>
      <c r="V42" s="754"/>
      <c r="W42" s="345"/>
      <c r="X42" s="345"/>
      <c r="Y42" s="743"/>
      <c r="Z42" s="743"/>
      <c r="AA42" s="743"/>
      <c r="AB42" s="743"/>
      <c r="AC42" s="743"/>
      <c r="AD42" s="743"/>
      <c r="AE42" s="743"/>
      <c r="AF42" s="743"/>
      <c r="AG42" s="743"/>
      <c r="AH42" s="743"/>
      <c r="BC42" s="155" t="str">
        <f t="shared" si="17"/>
        <v>-</v>
      </c>
      <c r="BD42" s="151"/>
      <c r="BE42" s="153"/>
      <c r="BF42" s="153"/>
      <c r="BG42" s="153"/>
      <c r="BH42" s="153"/>
      <c r="BI42" s="153"/>
      <c r="BJ42" s="153"/>
      <c r="BK42" s="153"/>
      <c r="BL42" s="153"/>
      <c r="BM42" s="153"/>
    </row>
    <row r="43" spans="1:72" ht="15" customHeight="1" outlineLevel="1" thickBot="1" x14ac:dyDescent="0.3">
      <c r="A43" s="350"/>
      <c r="B43" s="780"/>
      <c r="C43" s="765"/>
      <c r="D43" s="773"/>
      <c r="E43" s="96" t="s">
        <v>97</v>
      </c>
      <c r="F43" s="63" t="str">
        <f t="shared" ref="F43:K43" si="61">IF(OR($C42="-",$C42="CET",$C42=""),"-",IF(AND(NOT(F42="-"),NOT(F$5="-"),NOT(F$5="")),F42/F$5,"-"))</f>
        <v>-</v>
      </c>
      <c r="G43" s="63" t="str">
        <f t="shared" si="61"/>
        <v>-</v>
      </c>
      <c r="H43" s="63" t="str">
        <f t="shared" si="61"/>
        <v>-</v>
      </c>
      <c r="I43" s="63" t="str">
        <f t="shared" si="61"/>
        <v>-</v>
      </c>
      <c r="J43" s="63" t="str">
        <f t="shared" si="61"/>
        <v>-</v>
      </c>
      <c r="K43" s="168" t="str">
        <f t="shared" si="61"/>
        <v>-</v>
      </c>
      <c r="L43" s="168" t="str">
        <f t="shared" ref="L43" si="62">IF(OR($C42="-",$C42="CET",$C42=""),"-",IF(AND(NOT(L42="-"),NOT(L$5="-"),NOT(L$5="")),L42/L$5,"-"))</f>
        <v>-</v>
      </c>
      <c r="M43" s="63" t="s">
        <v>5</v>
      </c>
      <c r="N43" s="741"/>
      <c r="O43" s="749"/>
      <c r="P43" s="750"/>
      <c r="Q43" s="750"/>
      <c r="R43" s="754"/>
      <c r="S43" s="749"/>
      <c r="T43" s="750"/>
      <c r="U43" s="750"/>
      <c r="V43" s="754"/>
      <c r="W43" s="345"/>
      <c r="X43" s="345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BC43" s="155" t="str">
        <f t="shared" si="17"/>
        <v>-</v>
      </c>
      <c r="BD43" s="151"/>
      <c r="BE43" s="153"/>
      <c r="BF43" s="153"/>
      <c r="BG43" s="153"/>
      <c r="BH43" s="153"/>
      <c r="BI43" s="153"/>
      <c r="BJ43" s="153"/>
      <c r="BK43" s="153"/>
      <c r="BL43" s="153"/>
      <c r="BM43" s="153"/>
    </row>
    <row r="44" spans="1:72" ht="15" customHeight="1" outlineLevel="1" thickBot="1" x14ac:dyDescent="0.3">
      <c r="A44" s="350"/>
      <c r="B44" s="780"/>
      <c r="C44" s="766"/>
      <c r="D44" s="774"/>
      <c r="E44" s="68" t="s">
        <v>30</v>
      </c>
      <c r="F44" s="68" t="str">
        <f t="shared" ref="F44:L44" si="63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68" t="str">
        <f t="shared" si="63"/>
        <v>-</v>
      </c>
      <c r="H44" s="68" t="str">
        <f t="shared" si="63"/>
        <v>-</v>
      </c>
      <c r="I44" s="68" t="str">
        <f t="shared" si="63"/>
        <v>-</v>
      </c>
      <c r="J44" s="68" t="str">
        <f t="shared" si="63"/>
        <v>-</v>
      </c>
      <c r="K44" s="341" t="str">
        <f t="shared" si="63"/>
        <v>-</v>
      </c>
      <c r="L44" s="341" t="str">
        <f t="shared" si="63"/>
        <v>-</v>
      </c>
      <c r="M44" s="68" t="s">
        <v>5</v>
      </c>
      <c r="N44" s="742"/>
      <c r="O44" s="749"/>
      <c r="P44" s="750"/>
      <c r="Q44" s="750"/>
      <c r="R44" s="754"/>
      <c r="S44" s="749"/>
      <c r="T44" s="750"/>
      <c r="U44" s="750"/>
      <c r="V44" s="754"/>
      <c r="W44" s="345"/>
      <c r="X44" s="345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BC44" s="155" t="str">
        <f t="shared" si="17"/>
        <v>-</v>
      </c>
      <c r="BD44" s="151" t="str">
        <f>"0.7*IEF " &amp; (B40)</f>
        <v>0.7*IEF 14°C</v>
      </c>
      <c r="BE44" s="153">
        <f t="shared" ref="BE44:BM44" si="64">IF(OR($C42="-",$C42="CET",$C42=""),"-",0.7*$C42)</f>
        <v>0.7</v>
      </c>
      <c r="BF44" s="153">
        <f t="shared" si="64"/>
        <v>0.7</v>
      </c>
      <c r="BG44" s="153">
        <f t="shared" si="64"/>
        <v>0.7</v>
      </c>
      <c r="BH44" s="153">
        <f t="shared" si="64"/>
        <v>0.7</v>
      </c>
      <c r="BI44" s="153">
        <f t="shared" si="64"/>
        <v>0.7</v>
      </c>
      <c r="BJ44" s="153">
        <f t="shared" si="64"/>
        <v>0.7</v>
      </c>
      <c r="BK44" s="153">
        <f t="shared" ref="BK44:BL44" si="65">IF(OR($C42="-",$C42="CET",$C42=""),"-",0.7*$C42)</f>
        <v>0.7</v>
      </c>
      <c r="BL44" s="153">
        <f t="shared" si="65"/>
        <v>0.7</v>
      </c>
      <c r="BM44" s="153">
        <f t="shared" si="64"/>
        <v>0.7</v>
      </c>
    </row>
    <row r="45" spans="1:72" ht="15" customHeight="1" outlineLevel="1" x14ac:dyDescent="0.25">
      <c r="A45" s="350"/>
      <c r="B45" s="762"/>
      <c r="C45" s="763"/>
      <c r="D45" s="351"/>
      <c r="E45" s="351"/>
      <c r="F45" s="90"/>
      <c r="G45" s="90"/>
      <c r="H45" s="90"/>
      <c r="I45" s="90"/>
      <c r="J45" s="90"/>
      <c r="K45" s="176"/>
      <c r="L45" s="176"/>
      <c r="M45" s="90"/>
      <c r="N45" s="89"/>
      <c r="O45" s="750"/>
      <c r="P45" s="750"/>
      <c r="Q45" s="750"/>
      <c r="R45" s="754"/>
      <c r="S45" s="749"/>
      <c r="T45" s="750"/>
      <c r="U45" s="750"/>
      <c r="V45" s="754"/>
      <c r="W45" s="345"/>
      <c r="X45" s="345"/>
      <c r="Y45" s="743"/>
      <c r="Z45" s="743"/>
      <c r="AA45" s="743"/>
      <c r="AB45" s="743"/>
      <c r="AC45" s="743"/>
      <c r="AD45" s="743"/>
      <c r="AE45" s="743"/>
      <c r="AF45" s="743"/>
      <c r="AG45" s="743"/>
      <c r="AH45" s="743"/>
      <c r="BC45" s="155" t="str">
        <f t="shared" si="17"/>
        <v>-</v>
      </c>
      <c r="BD45" s="151"/>
      <c r="BE45" s="153"/>
      <c r="BF45" s="153"/>
      <c r="BG45" s="153"/>
      <c r="BH45" s="153"/>
      <c r="BI45" s="153"/>
      <c r="BJ45" s="153"/>
      <c r="BK45" s="153"/>
      <c r="BL45" s="153"/>
      <c r="BM45" s="153"/>
    </row>
    <row r="46" spans="1:72" ht="15" customHeight="1" outlineLevel="1" x14ac:dyDescent="0.25">
      <c r="A46" s="350"/>
      <c r="B46" s="761"/>
      <c r="C46" s="760"/>
      <c r="D46" s="343"/>
      <c r="E46" s="343"/>
      <c r="F46" s="353"/>
      <c r="G46" s="353"/>
      <c r="H46" s="353"/>
      <c r="I46" s="353"/>
      <c r="J46" s="353"/>
      <c r="K46" s="171"/>
      <c r="L46" s="171"/>
      <c r="M46" s="353"/>
      <c r="N46" s="57"/>
      <c r="O46" s="750"/>
      <c r="P46" s="750"/>
      <c r="Q46" s="750"/>
      <c r="R46" s="754"/>
      <c r="S46" s="749"/>
      <c r="T46" s="750"/>
      <c r="U46" s="750"/>
      <c r="V46" s="754"/>
      <c r="W46" s="345"/>
      <c r="X46" s="345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BC46" s="155" t="str">
        <f t="shared" si="17"/>
        <v>-</v>
      </c>
      <c r="BD46" s="151"/>
      <c r="BE46" s="153"/>
      <c r="BF46" s="153"/>
      <c r="BG46" s="153"/>
      <c r="BH46" s="153"/>
      <c r="BI46" s="153"/>
      <c r="BJ46" s="153"/>
      <c r="BK46" s="153"/>
      <c r="BL46" s="153"/>
      <c r="BM46" s="153"/>
    </row>
    <row r="47" spans="1:72" ht="15" customHeight="1" outlineLevel="1" x14ac:dyDescent="0.25">
      <c r="A47" s="350"/>
      <c r="B47" s="761"/>
      <c r="C47" s="760"/>
      <c r="D47" s="343"/>
      <c r="E47" s="343"/>
      <c r="F47" s="56"/>
      <c r="G47" s="56"/>
      <c r="H47" s="56"/>
      <c r="I47" s="56"/>
      <c r="J47" s="56"/>
      <c r="K47" s="171"/>
      <c r="L47" s="171"/>
      <c r="M47" s="56"/>
      <c r="N47" s="55"/>
      <c r="O47" s="750"/>
      <c r="P47" s="750"/>
      <c r="Q47" s="750"/>
      <c r="R47" s="754"/>
      <c r="S47" s="749"/>
      <c r="T47" s="750"/>
      <c r="U47" s="750"/>
      <c r="V47" s="754"/>
      <c r="W47" s="345"/>
      <c r="X47" s="345"/>
      <c r="Y47" s="743"/>
      <c r="Z47" s="743"/>
      <c r="AA47" s="743"/>
      <c r="AB47" s="743"/>
      <c r="AC47" s="743"/>
      <c r="AD47" s="743"/>
      <c r="AE47" s="743"/>
      <c r="AF47" s="743"/>
      <c r="AG47" s="743"/>
      <c r="AH47" s="743"/>
      <c r="BC47" s="155" t="str">
        <f t="shared" si="17"/>
        <v>-</v>
      </c>
      <c r="BD47" s="151"/>
      <c r="BE47" s="153"/>
      <c r="BF47" s="153"/>
      <c r="BG47" s="153"/>
      <c r="BH47" s="153"/>
      <c r="BI47" s="153"/>
      <c r="BJ47" s="153"/>
      <c r="BK47" s="153"/>
      <c r="BL47" s="153"/>
      <c r="BM47" s="153"/>
    </row>
    <row r="48" spans="1:72" ht="15" customHeight="1" outlineLevel="1" x14ac:dyDescent="0.25">
      <c r="A48" s="350"/>
      <c r="B48" s="761"/>
      <c r="C48" s="760"/>
      <c r="D48" s="343"/>
      <c r="E48" s="343"/>
      <c r="F48" s="56"/>
      <c r="G48" s="56"/>
      <c r="H48" s="56"/>
      <c r="I48" s="56"/>
      <c r="J48" s="56"/>
      <c r="K48" s="171"/>
      <c r="L48" s="171"/>
      <c r="M48" s="56"/>
      <c r="N48" s="55"/>
      <c r="O48" s="750"/>
      <c r="P48" s="750"/>
      <c r="Q48" s="750"/>
      <c r="R48" s="754"/>
      <c r="S48" s="749"/>
      <c r="T48" s="750"/>
      <c r="U48" s="750"/>
      <c r="V48" s="754"/>
      <c r="W48" s="345"/>
      <c r="X48" s="345"/>
      <c r="Y48" s="743"/>
      <c r="Z48" s="743"/>
      <c r="AA48" s="743"/>
      <c r="AB48" s="743"/>
      <c r="AC48" s="743"/>
      <c r="AD48" s="743"/>
      <c r="AE48" s="743"/>
      <c r="AF48" s="743"/>
      <c r="AG48" s="743"/>
      <c r="AH48" s="743"/>
      <c r="BC48" s="155" t="str">
        <f t="shared" si="17"/>
        <v>-</v>
      </c>
      <c r="BD48" s="151" t="str">
        <f>B40</f>
        <v>14°C</v>
      </c>
      <c r="BE48" s="153" t="str">
        <f t="shared" ref="BE48:BJ48" si="66">IF(OR($C42="-",$C42="CET"),"-",F43)</f>
        <v>-</v>
      </c>
      <c r="BF48" s="153" t="str">
        <f t="shared" si="66"/>
        <v>-</v>
      </c>
      <c r="BG48" s="153" t="str">
        <f t="shared" si="66"/>
        <v>-</v>
      </c>
      <c r="BH48" s="153" t="str">
        <f t="shared" si="66"/>
        <v>-</v>
      </c>
      <c r="BI48" s="153" t="str">
        <f t="shared" si="66"/>
        <v>-</v>
      </c>
      <c r="BJ48" s="153" t="str">
        <f t="shared" si="66"/>
        <v>-</v>
      </c>
      <c r="BK48" s="153" t="str">
        <f t="shared" ref="BK48:BL48" si="67">IF(OR($C42="-",$C42="CET"),"-",L43)</f>
        <v>-</v>
      </c>
      <c r="BL48" s="153" t="str">
        <f t="shared" si="67"/>
        <v>-</v>
      </c>
      <c r="BM48" s="153">
        <f>IF(OR($C42="-",$C42="CET"),"-",N43)</f>
        <v>0</v>
      </c>
    </row>
    <row r="49" spans="1:65" ht="15" customHeight="1" outlineLevel="1" x14ac:dyDescent="0.25">
      <c r="A49" s="40"/>
      <c r="B49" s="761"/>
      <c r="C49" s="760"/>
      <c r="D49" s="343"/>
      <c r="E49" s="343"/>
      <c r="F49" s="343"/>
      <c r="G49" s="343"/>
      <c r="H49" s="343"/>
      <c r="I49" s="343"/>
      <c r="J49" s="343"/>
      <c r="K49" s="171"/>
      <c r="L49" s="171"/>
      <c r="M49" s="343"/>
      <c r="N49" s="59"/>
      <c r="O49" s="750"/>
      <c r="P49" s="750"/>
      <c r="Q49" s="750"/>
      <c r="R49" s="754"/>
      <c r="S49" s="749"/>
      <c r="T49" s="750"/>
      <c r="U49" s="750"/>
      <c r="V49" s="754"/>
      <c r="W49" s="345"/>
      <c r="X49" s="345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BC49" s="155" t="str">
        <f t="shared" si="17"/>
        <v>-</v>
      </c>
      <c r="BD49" s="151"/>
      <c r="BE49" s="153"/>
      <c r="BF49" s="153"/>
      <c r="BG49" s="153"/>
      <c r="BH49" s="153"/>
      <c r="BI49" s="153"/>
      <c r="BJ49" s="153"/>
      <c r="BK49" s="153"/>
      <c r="BL49" s="153"/>
      <c r="BM49" s="153"/>
    </row>
    <row r="50" spans="1:65" ht="15" customHeight="1" outlineLevel="1" x14ac:dyDescent="0.25">
      <c r="A50" s="40"/>
      <c r="B50" s="761"/>
      <c r="C50" s="760"/>
      <c r="D50" s="343"/>
      <c r="E50" s="343"/>
      <c r="F50" s="353"/>
      <c r="G50" s="353"/>
      <c r="H50" s="353"/>
      <c r="I50" s="353"/>
      <c r="J50" s="353"/>
      <c r="K50" s="171"/>
      <c r="L50" s="171"/>
      <c r="M50" s="353"/>
      <c r="N50" s="57"/>
      <c r="O50" s="750"/>
      <c r="P50" s="750"/>
      <c r="Q50" s="750"/>
      <c r="R50" s="754"/>
      <c r="S50" s="749"/>
      <c r="T50" s="750"/>
      <c r="U50" s="750"/>
      <c r="V50" s="754"/>
      <c r="W50" s="345"/>
      <c r="X50" s="345"/>
      <c r="Y50" s="743"/>
      <c r="Z50" s="743"/>
      <c r="AA50" s="743"/>
      <c r="AB50" s="743"/>
      <c r="AC50" s="743"/>
      <c r="AD50" s="743"/>
      <c r="AE50" s="743"/>
      <c r="AF50" s="743"/>
      <c r="AG50" s="743"/>
      <c r="AH50" s="743"/>
      <c r="BC50" s="155" t="str">
        <f t="shared" si="17"/>
        <v>-</v>
      </c>
      <c r="BD50" s="151"/>
      <c r="BE50" s="153"/>
      <c r="BF50" s="153"/>
      <c r="BG50" s="153"/>
      <c r="BH50" s="153"/>
      <c r="BI50" s="153"/>
      <c r="BJ50" s="153"/>
      <c r="BK50" s="153"/>
      <c r="BL50" s="153"/>
      <c r="BM50" s="153"/>
    </row>
    <row r="51" spans="1:65" ht="15" customHeight="1" outlineLevel="1" x14ac:dyDescent="0.25">
      <c r="A51" s="40"/>
      <c r="B51" s="761"/>
      <c r="C51" s="760"/>
      <c r="D51" s="343"/>
      <c r="E51" s="343"/>
      <c r="F51" s="353"/>
      <c r="G51" s="353"/>
      <c r="H51" s="353"/>
      <c r="I51" s="353"/>
      <c r="J51" s="353"/>
      <c r="K51" s="171"/>
      <c r="L51" s="171"/>
      <c r="M51" s="353"/>
      <c r="N51" s="57"/>
      <c r="O51" s="750"/>
      <c r="P51" s="750"/>
      <c r="Q51" s="750"/>
      <c r="R51" s="754"/>
      <c r="S51" s="749"/>
      <c r="T51" s="750"/>
      <c r="U51" s="750"/>
      <c r="V51" s="754"/>
      <c r="W51" s="345"/>
      <c r="X51" s="345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BC51" s="155" t="str">
        <f t="shared" si="17"/>
        <v>-</v>
      </c>
      <c r="BD51" s="151"/>
      <c r="BE51" s="153"/>
      <c r="BF51" s="153"/>
      <c r="BG51" s="153"/>
      <c r="BH51" s="153"/>
      <c r="BI51" s="153"/>
      <c r="BJ51" s="153"/>
      <c r="BK51" s="153"/>
      <c r="BL51" s="153"/>
      <c r="BM51" s="153"/>
    </row>
    <row r="52" spans="1:65" ht="15" customHeight="1" outlineLevel="1" x14ac:dyDescent="0.25">
      <c r="A52" s="40"/>
      <c r="B52" s="761"/>
      <c r="C52" s="760"/>
      <c r="D52" s="343"/>
      <c r="E52" s="343"/>
      <c r="F52" s="56"/>
      <c r="G52" s="56"/>
      <c r="H52" s="56"/>
      <c r="I52" s="108"/>
      <c r="J52" s="56"/>
      <c r="K52" s="171"/>
      <c r="L52" s="171"/>
      <c r="M52" s="56"/>
      <c r="N52" s="55"/>
      <c r="O52" s="750"/>
      <c r="P52" s="750"/>
      <c r="Q52" s="750"/>
      <c r="R52" s="754"/>
      <c r="S52" s="749"/>
      <c r="T52" s="750"/>
      <c r="U52" s="750"/>
      <c r="V52" s="754"/>
      <c r="W52" s="345"/>
      <c r="X52" s="345"/>
      <c r="Y52" s="743"/>
      <c r="Z52" s="743"/>
      <c r="AA52" s="743"/>
      <c r="AB52" s="743"/>
      <c r="AC52" s="743"/>
      <c r="AD52" s="743"/>
      <c r="AE52" s="743"/>
      <c r="AF52" s="743"/>
      <c r="AG52" s="743"/>
      <c r="AH52" s="743"/>
      <c r="BC52" s="155" t="str">
        <f t="shared" si="17"/>
        <v>-</v>
      </c>
      <c r="BD52" s="151" t="str">
        <f>"IEF " &amp;B40</f>
        <v>IEF 14°C</v>
      </c>
      <c r="BE52" s="153">
        <f t="shared" ref="BE52:BM52" si="68">IF(OR($C42="CET",$C42="-",$C42=""),"-",$C42)</f>
        <v>1</v>
      </c>
      <c r="BF52" s="153">
        <f t="shared" si="68"/>
        <v>1</v>
      </c>
      <c r="BG52" s="153">
        <f t="shared" si="68"/>
        <v>1</v>
      </c>
      <c r="BH52" s="153">
        <f t="shared" si="68"/>
        <v>1</v>
      </c>
      <c r="BI52" s="153">
        <f t="shared" si="68"/>
        <v>1</v>
      </c>
      <c r="BJ52" s="153">
        <f t="shared" si="68"/>
        <v>1</v>
      </c>
      <c r="BK52" s="153">
        <f t="shared" ref="BK52:BL52" si="69">IF(OR($C42="CET",$C42="-",$C42=""),"-",$C42)</f>
        <v>1</v>
      </c>
      <c r="BL52" s="153">
        <f t="shared" si="69"/>
        <v>1</v>
      </c>
      <c r="BM52" s="153">
        <f t="shared" si="68"/>
        <v>1</v>
      </c>
    </row>
    <row r="53" spans="1:65" ht="15" customHeight="1" outlineLevel="1" x14ac:dyDescent="0.25">
      <c r="A53" s="40"/>
      <c r="B53" s="761"/>
      <c r="C53" s="760"/>
      <c r="D53" s="343"/>
      <c r="E53" s="343"/>
      <c r="F53" s="56"/>
      <c r="G53" s="56"/>
      <c r="H53" s="56"/>
      <c r="I53" s="56"/>
      <c r="J53" s="56"/>
      <c r="K53" s="171"/>
      <c r="L53" s="171"/>
      <c r="M53" s="56"/>
      <c r="N53" s="55"/>
      <c r="O53" s="750"/>
      <c r="P53" s="750"/>
      <c r="Q53" s="750"/>
      <c r="R53" s="754"/>
      <c r="S53" s="749"/>
      <c r="T53" s="750"/>
      <c r="U53" s="750"/>
      <c r="V53" s="754"/>
      <c r="W53" s="345"/>
      <c r="X53" s="345"/>
      <c r="Y53" s="743"/>
      <c r="Z53" s="743"/>
      <c r="AA53" s="743"/>
      <c r="AB53" s="743"/>
      <c r="AC53" s="743"/>
      <c r="AD53" s="743"/>
      <c r="AE53" s="743"/>
      <c r="AF53" s="743"/>
      <c r="AG53" s="743"/>
      <c r="AH53" s="743"/>
      <c r="BC53" s="155" t="str">
        <f t="shared" si="17"/>
        <v>-</v>
      </c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</row>
    <row r="54" spans="1:65" ht="15" customHeight="1" outlineLevel="1" x14ac:dyDescent="0.25">
      <c r="A54" s="40"/>
      <c r="B54" s="761"/>
      <c r="C54" s="760"/>
      <c r="D54" s="343"/>
      <c r="E54" s="343"/>
      <c r="F54" s="343"/>
      <c r="G54" s="343"/>
      <c r="H54" s="343"/>
      <c r="I54" s="343"/>
      <c r="J54" s="343"/>
      <c r="K54" s="171"/>
      <c r="L54" s="171"/>
      <c r="M54" s="343"/>
      <c r="N54" s="59"/>
      <c r="O54" s="750"/>
      <c r="P54" s="750"/>
      <c r="Q54" s="750"/>
      <c r="R54" s="754"/>
      <c r="S54" s="749"/>
      <c r="T54" s="750"/>
      <c r="U54" s="750"/>
      <c r="V54" s="754"/>
      <c r="W54" s="345"/>
      <c r="X54" s="345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BC54" s="155" t="str">
        <f t="shared" si="17"/>
        <v>-</v>
      </c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</row>
    <row r="55" spans="1:65" ht="15" customHeight="1" outlineLevel="1" x14ac:dyDescent="0.25">
      <c r="A55" s="40"/>
      <c r="B55" s="761"/>
      <c r="C55" s="760"/>
      <c r="D55" s="343"/>
      <c r="E55" s="343"/>
      <c r="F55" s="353"/>
      <c r="G55" s="353"/>
      <c r="H55" s="353"/>
      <c r="I55" s="353"/>
      <c r="J55" s="353"/>
      <c r="K55" s="171"/>
      <c r="L55" s="171"/>
      <c r="M55" s="353"/>
      <c r="N55" s="57"/>
      <c r="O55" s="750"/>
      <c r="P55" s="750"/>
      <c r="Q55" s="750"/>
      <c r="R55" s="754"/>
      <c r="S55" s="749"/>
      <c r="T55" s="750"/>
      <c r="U55" s="750"/>
      <c r="V55" s="754"/>
      <c r="W55" s="345"/>
      <c r="X55" s="345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BC55" s="155" t="str">
        <f t="shared" si="17"/>
        <v>-</v>
      </c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</row>
    <row r="56" spans="1:65" ht="15" customHeight="1" outlineLevel="1" x14ac:dyDescent="0.25">
      <c r="A56" s="40"/>
      <c r="B56" s="761"/>
      <c r="C56" s="760"/>
      <c r="D56" s="343"/>
      <c r="E56" s="343"/>
      <c r="F56" s="353"/>
      <c r="G56" s="353"/>
      <c r="H56" s="353"/>
      <c r="I56" s="353"/>
      <c r="J56" s="353"/>
      <c r="K56" s="171"/>
      <c r="L56" s="171"/>
      <c r="M56" s="353"/>
      <c r="N56" s="57"/>
      <c r="O56" s="750"/>
      <c r="P56" s="750"/>
      <c r="Q56" s="750"/>
      <c r="R56" s="754"/>
      <c r="S56" s="749"/>
      <c r="T56" s="750"/>
      <c r="U56" s="750"/>
      <c r="V56" s="754"/>
      <c r="W56" s="345"/>
      <c r="X56" s="345"/>
      <c r="Y56" s="743"/>
      <c r="Z56" s="743"/>
      <c r="AA56" s="743"/>
      <c r="AB56" s="743"/>
      <c r="AC56" s="743"/>
      <c r="AD56" s="743"/>
      <c r="AE56" s="743"/>
      <c r="AF56" s="743"/>
      <c r="AG56" s="743"/>
      <c r="AH56" s="743"/>
      <c r="BC56" s="155" t="str">
        <f t="shared" si="17"/>
        <v>-</v>
      </c>
    </row>
    <row r="57" spans="1:65" ht="15" customHeight="1" outlineLevel="1" x14ac:dyDescent="0.25">
      <c r="A57" s="40"/>
      <c r="B57" s="761"/>
      <c r="C57" s="760"/>
      <c r="D57" s="343"/>
      <c r="E57" s="343"/>
      <c r="F57" s="56"/>
      <c r="G57" s="56"/>
      <c r="H57" s="56"/>
      <c r="I57" s="56"/>
      <c r="J57" s="56"/>
      <c r="K57" s="171"/>
      <c r="L57" s="171"/>
      <c r="M57" s="56"/>
      <c r="N57" s="55"/>
      <c r="O57" s="750"/>
      <c r="P57" s="750"/>
      <c r="Q57" s="750"/>
      <c r="R57" s="754"/>
      <c r="S57" s="749"/>
      <c r="T57" s="750"/>
      <c r="U57" s="750"/>
      <c r="V57" s="754"/>
      <c r="W57" s="345"/>
      <c r="X57" s="345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BC57" s="155" t="str">
        <f t="shared" si="17"/>
        <v>-</v>
      </c>
    </row>
    <row r="58" spans="1:65" ht="15" customHeight="1" outlineLevel="1" x14ac:dyDescent="0.25">
      <c r="A58" s="40"/>
      <c r="B58" s="761"/>
      <c r="C58" s="760"/>
      <c r="D58" s="343"/>
      <c r="E58" s="343"/>
      <c r="F58" s="56"/>
      <c r="G58" s="56"/>
      <c r="H58" s="56"/>
      <c r="I58" s="56"/>
      <c r="J58" s="56"/>
      <c r="K58" s="171"/>
      <c r="L58" s="171"/>
      <c r="M58" s="56"/>
      <c r="N58" s="55"/>
      <c r="O58" s="750"/>
      <c r="P58" s="750"/>
      <c r="Q58" s="750"/>
      <c r="R58" s="754"/>
      <c r="S58" s="749"/>
      <c r="T58" s="750"/>
      <c r="U58" s="750"/>
      <c r="V58" s="754"/>
      <c r="W58" s="345"/>
      <c r="X58" s="345"/>
      <c r="Y58" s="743"/>
      <c r="Z58" s="743"/>
      <c r="AA58" s="743"/>
      <c r="AB58" s="743"/>
      <c r="AC58" s="743"/>
      <c r="AD58" s="743"/>
      <c r="AE58" s="743"/>
      <c r="AF58" s="743"/>
      <c r="AG58" s="743"/>
      <c r="AH58" s="743"/>
      <c r="BC58" s="155" t="str">
        <f t="shared" si="17"/>
        <v>-</v>
      </c>
    </row>
    <row r="59" spans="1:65" ht="15.75" outlineLevel="1" thickBot="1" x14ac:dyDescent="0.3">
      <c r="B59" s="796"/>
      <c r="C59" s="778"/>
      <c r="D59" s="349"/>
      <c r="E59" s="349"/>
      <c r="F59" s="349"/>
      <c r="G59" s="349"/>
      <c r="H59" s="349"/>
      <c r="I59" s="349"/>
      <c r="J59" s="349"/>
      <c r="K59" s="172"/>
      <c r="L59" s="172"/>
      <c r="M59" s="349"/>
      <c r="N59" s="54"/>
      <c r="O59" s="752"/>
      <c r="P59" s="752"/>
      <c r="Q59" s="752"/>
      <c r="R59" s="755"/>
      <c r="S59" s="751"/>
      <c r="T59" s="752"/>
      <c r="U59" s="752"/>
      <c r="V59" s="755"/>
      <c r="BC59" s="155" t="str">
        <f t="shared" si="17"/>
        <v>-</v>
      </c>
    </row>
    <row r="60" spans="1:65" ht="15" customHeight="1" x14ac:dyDescent="0.25">
      <c r="BC60" s="155" t="str">
        <f t="shared" si="17"/>
        <v>-</v>
      </c>
    </row>
    <row r="61" spans="1:65" ht="15" customHeight="1" x14ac:dyDescent="0.25">
      <c r="BC61" s="155" t="str">
        <f t="shared" si="17"/>
        <v>-</v>
      </c>
    </row>
    <row r="62" spans="1:65" ht="15" customHeight="1" thickBot="1" x14ac:dyDescent="0.3">
      <c r="A62" s="350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BC62" s="155" t="str">
        <f t="shared" si="17"/>
        <v>-</v>
      </c>
    </row>
    <row r="63" spans="1:65" ht="24.95" customHeight="1" thickBot="1" x14ac:dyDescent="0.3">
      <c r="A63" s="350"/>
      <c r="B63" s="185">
        <v>3</v>
      </c>
      <c r="C63" s="757" t="s">
        <v>110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9"/>
      <c r="O63" s="49" t="s">
        <v>117</v>
      </c>
      <c r="P63" s="71" t="str">
        <f>IF(COUNTIF(F71:M96,"refused")&gt;0,"refused",IF(COUNTIF(F71:M96,"failed")&gt;0,"failed",IF(COUNTIF(F71:M96,"passed")&gt;0,"passed","-")))</f>
        <v>-</v>
      </c>
      <c r="Q63" s="70" t="s">
        <v>80</v>
      </c>
      <c r="R63" s="70" t="str">
        <f>IF(COUNT(F67:M68,F72:M73,F77:M78,F82:M83,F87:M88,F92:M93)&gt;0,"listed","not listed")</f>
        <v>not listed</v>
      </c>
      <c r="S63" s="344"/>
      <c r="T63" s="43"/>
      <c r="U63" s="43"/>
      <c r="V63" s="44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BC63" s="155" t="str">
        <f t="shared" si="17"/>
        <v>-</v>
      </c>
    </row>
    <row r="64" spans="1:65" ht="15" customHeight="1" outlineLevel="1" thickBot="1" x14ac:dyDescent="0.3">
      <c r="A64" s="350"/>
      <c r="B64" s="346"/>
      <c r="C64" s="347"/>
      <c r="D64" s="347"/>
      <c r="E64" s="347"/>
      <c r="F64" s="347"/>
      <c r="G64" s="347"/>
      <c r="H64" s="347"/>
      <c r="I64" s="347"/>
      <c r="J64" s="347"/>
      <c r="K64" s="162"/>
      <c r="L64" s="162"/>
      <c r="M64" s="347"/>
      <c r="N64" s="347"/>
      <c r="O64" s="347"/>
      <c r="P64" s="347"/>
      <c r="Q64" s="347"/>
      <c r="R64" s="347"/>
      <c r="S64" s="347"/>
      <c r="T64" s="45"/>
      <c r="U64" s="45"/>
      <c r="V64" s="46"/>
      <c r="W64" s="47"/>
      <c r="X64" s="47"/>
      <c r="Y64" s="756"/>
      <c r="Z64" s="756"/>
      <c r="AA64" s="756"/>
      <c r="AB64" s="756"/>
      <c r="AC64" s="756"/>
      <c r="AD64" s="756"/>
      <c r="AE64" s="756"/>
      <c r="AF64" s="756"/>
      <c r="AG64" s="756"/>
      <c r="AH64" s="756"/>
      <c r="BC64" s="155" t="str">
        <f t="shared" si="17"/>
        <v>-</v>
      </c>
    </row>
    <row r="65" spans="1:72" ht="15" customHeight="1" outlineLevel="1" thickBot="1" x14ac:dyDescent="0.3">
      <c r="A65" s="350"/>
      <c r="B65" s="744" t="s">
        <v>81</v>
      </c>
      <c r="C65" s="745"/>
      <c r="D65" s="745"/>
      <c r="E65" s="745"/>
      <c r="F65" s="745"/>
      <c r="G65" s="745"/>
      <c r="H65" s="745"/>
      <c r="I65" s="745"/>
      <c r="J65" s="745"/>
      <c r="K65" s="745"/>
      <c r="L65" s="745"/>
      <c r="M65" s="745"/>
      <c r="N65" s="746"/>
      <c r="O65" s="744" t="s">
        <v>82</v>
      </c>
      <c r="P65" s="745"/>
      <c r="Q65" s="745"/>
      <c r="R65" s="746"/>
      <c r="S65" s="744" t="s">
        <v>83</v>
      </c>
      <c r="T65" s="745"/>
      <c r="U65" s="745"/>
      <c r="V65" s="746"/>
      <c r="W65" s="345"/>
      <c r="X65" s="345"/>
      <c r="Y65" s="743"/>
      <c r="Z65" s="743"/>
      <c r="AA65" s="743"/>
      <c r="AB65" s="743"/>
      <c r="AC65" s="743"/>
      <c r="AD65" s="743"/>
      <c r="AE65" s="743"/>
      <c r="AF65" s="743"/>
      <c r="AG65" s="743"/>
      <c r="AH65" s="743"/>
      <c r="BC65" s="155" t="str">
        <f t="shared" si="17"/>
        <v>-</v>
      </c>
      <c r="BD65" s="151" t="s">
        <v>85</v>
      </c>
      <c r="BE65" s="69" t="str">
        <f>$F$4</f>
        <v>NMHC 
[g/km]</v>
      </c>
      <c r="BF65" s="69" t="str">
        <f>$G$4</f>
        <v>THC
[g/km]</v>
      </c>
      <c r="BG65" s="69" t="str">
        <f>$H$4</f>
        <v>CO
[g/km]</v>
      </c>
      <c r="BH65" s="69" t="str">
        <f>$I$4</f>
        <v>NOx
[g/km]</v>
      </c>
      <c r="BI65" s="69" t="str">
        <f>$J$4</f>
        <v>PM
[mg/km]</v>
      </c>
      <c r="BJ65" s="163" t="str">
        <f>K$4</f>
        <v>PN
[#/km]</v>
      </c>
      <c r="BK65" s="163" t="str">
        <f t="shared" ref="BK65:BL65" si="70">L$4</f>
        <v>Additional component</v>
      </c>
      <c r="BL65" s="163" t="str">
        <f t="shared" si="70"/>
        <v>Additional
component 2</v>
      </c>
      <c r="BM65" s="69" t="str">
        <f>$N$4</f>
        <v>CO2
[g/km]</v>
      </c>
    </row>
    <row r="66" spans="1:72" ht="35.1" customHeight="1" outlineLevel="1" thickBot="1" x14ac:dyDescent="0.3">
      <c r="A66" s="350"/>
      <c r="B66" s="767" t="s">
        <v>84</v>
      </c>
      <c r="C66" s="768"/>
      <c r="D66" s="768"/>
      <c r="E66" s="769"/>
      <c r="F66" s="69" t="str">
        <f t="shared" ref="F66:L66" si="71">F$4</f>
        <v>NMHC 
[g/km]</v>
      </c>
      <c r="G66" s="69" t="str">
        <f t="shared" si="71"/>
        <v>THC
[g/km]</v>
      </c>
      <c r="H66" s="69" t="str">
        <f t="shared" si="71"/>
        <v>CO
[g/km]</v>
      </c>
      <c r="I66" s="69" t="str">
        <f t="shared" si="71"/>
        <v>NOx
[g/km]</v>
      </c>
      <c r="J66" s="69" t="str">
        <f t="shared" si="71"/>
        <v>PM
[mg/km]</v>
      </c>
      <c r="K66" s="69" t="str">
        <f t="shared" si="71"/>
        <v>PN
[#/km]</v>
      </c>
      <c r="L66" s="366" t="str">
        <f t="shared" si="71"/>
        <v>Additional component</v>
      </c>
      <c r="M66" s="366" t="str">
        <f>M$4</f>
        <v>Additional
component 2</v>
      </c>
      <c r="N66" s="69" t="str">
        <f>N$4</f>
        <v>CO2
[g/km]</v>
      </c>
      <c r="O66" s="747"/>
      <c r="P66" s="748"/>
      <c r="Q66" s="748"/>
      <c r="R66" s="748"/>
      <c r="S66" s="747"/>
      <c r="T66" s="748"/>
      <c r="U66" s="748"/>
      <c r="V66" s="753"/>
      <c r="W66" s="345"/>
      <c r="X66" s="345"/>
      <c r="Y66" s="743"/>
      <c r="Z66" s="743"/>
      <c r="AA66" s="743"/>
      <c r="AB66" s="743"/>
      <c r="AC66" s="743"/>
      <c r="AD66" s="743"/>
      <c r="AE66" s="743"/>
      <c r="AF66" s="743"/>
      <c r="AG66" s="743"/>
      <c r="AH66" s="743"/>
      <c r="BC66" s="155" t="str">
        <f t="shared" si="17"/>
        <v>-</v>
      </c>
      <c r="BD66" s="151" t="str">
        <f>$E$4</f>
        <v>Euro 6c</v>
      </c>
      <c r="BE66" s="153">
        <v>1</v>
      </c>
      <c r="BF66" s="153">
        <v>1</v>
      </c>
      <c r="BG66" s="153">
        <v>1</v>
      </c>
      <c r="BH66" s="153">
        <v>1</v>
      </c>
      <c r="BI66" s="153">
        <v>1</v>
      </c>
      <c r="BJ66" s="153">
        <v>1</v>
      </c>
      <c r="BK66" s="153">
        <v>1</v>
      </c>
      <c r="BL66" s="153">
        <v>1</v>
      </c>
      <c r="BM66" s="153">
        <v>1</v>
      </c>
    </row>
    <row r="67" spans="1:72" ht="15" customHeight="1" outlineLevel="1" x14ac:dyDescent="0.25">
      <c r="A67" s="350"/>
      <c r="B67" s="805" t="s">
        <v>125</v>
      </c>
      <c r="C67" s="770" t="s">
        <v>114</v>
      </c>
      <c r="D67" s="770" t="s">
        <v>113</v>
      </c>
      <c r="E67" s="106" t="s">
        <v>94</v>
      </c>
      <c r="F67" s="98" t="s">
        <v>5</v>
      </c>
      <c r="G67" s="98" t="s">
        <v>5</v>
      </c>
      <c r="H67" s="98" t="s">
        <v>5</v>
      </c>
      <c r="I67" s="98" t="s">
        <v>5</v>
      </c>
      <c r="J67" s="98" t="s">
        <v>5</v>
      </c>
      <c r="K67" s="165" t="s">
        <v>5</v>
      </c>
      <c r="L67" s="165" t="s">
        <v>5</v>
      </c>
      <c r="M67" s="98" t="s">
        <v>5</v>
      </c>
      <c r="N67" s="98" t="s">
        <v>5</v>
      </c>
      <c r="O67" s="749"/>
      <c r="P67" s="750"/>
      <c r="Q67" s="750"/>
      <c r="R67" s="750"/>
      <c r="S67" s="749"/>
      <c r="T67" s="750"/>
      <c r="U67" s="750"/>
      <c r="V67" s="754"/>
      <c r="W67" s="345"/>
      <c r="X67" s="345"/>
      <c r="Y67" s="743"/>
      <c r="Z67" s="743"/>
      <c r="AA67" s="743"/>
      <c r="AB67" s="743"/>
      <c r="AC67" s="743"/>
      <c r="AD67" s="743"/>
      <c r="AE67" s="743"/>
      <c r="AF67" s="743"/>
      <c r="AG67" s="743"/>
      <c r="AH67" s="743"/>
      <c r="BC67" s="155" t="str">
        <f t="shared" si="17"/>
        <v>-</v>
      </c>
      <c r="BD67" s="151" t="str">
        <f>"1st " &amp;  B67</f>
        <v>1st Drive Mode 1</v>
      </c>
      <c r="BE67" s="153" t="str">
        <f t="shared" ref="BE67:BJ67" si="72">IF((OR($C69="-",$C69="CET",$C69="")),"-",IF(AND(OR(F67="-",F67=""),OR(F68="-",F68="")),"-",IF(NOT(OR(F67="-",F67="")),F67/F$5,F68/F$5)))</f>
        <v>-</v>
      </c>
      <c r="BF67" s="153" t="str">
        <f t="shared" si="72"/>
        <v>-</v>
      </c>
      <c r="BG67" s="153" t="str">
        <f t="shared" si="72"/>
        <v>-</v>
      </c>
      <c r="BH67" s="153" t="str">
        <f t="shared" si="72"/>
        <v>-</v>
      </c>
      <c r="BI67" s="153" t="str">
        <f t="shared" si="72"/>
        <v>-</v>
      </c>
      <c r="BJ67" s="153" t="str">
        <f t="shared" si="72"/>
        <v>-</v>
      </c>
      <c r="BK67" s="153" t="str">
        <f t="shared" ref="BK67:BL67" si="73">IF((OR($C69="-",$C69="CET",$C69="")),"-",IF(AND(OR(L67="-",L67=""),OR(L68="-",L68="")),"-",IF(NOT(OR(L67="-",L67="")),L67/L$5,L68/L$5)))</f>
        <v>-</v>
      </c>
      <c r="BL67" s="153" t="str">
        <f t="shared" si="73"/>
        <v>-</v>
      </c>
      <c r="BM67" s="153" t="str">
        <f>IF((OR($C69="-",$C69="CET",$C69="")),"-",IF(AND(OR(N67="-",N67=""),OR(N68="-",N68="")),"-",IF(NOT(OR(N67="-",N67="")),N67/N$5,N68/N$5)))</f>
        <v>-</v>
      </c>
    </row>
    <row r="68" spans="1:72" s="50" customFormat="1" ht="15" customHeight="1" outlineLevel="1" thickBot="1" x14ac:dyDescent="0.3">
      <c r="A68" s="53"/>
      <c r="B68" s="776"/>
      <c r="C68" s="741"/>
      <c r="D68" s="742"/>
      <c r="E68" s="104" t="s">
        <v>95</v>
      </c>
      <c r="F68" s="97" t="s">
        <v>5</v>
      </c>
      <c r="G68" s="97" t="s">
        <v>5</v>
      </c>
      <c r="H68" s="97" t="s">
        <v>5</v>
      </c>
      <c r="I68" s="97" t="s">
        <v>5</v>
      </c>
      <c r="J68" s="97" t="s">
        <v>5</v>
      </c>
      <c r="K68" s="166" t="s">
        <v>5</v>
      </c>
      <c r="L68" s="166" t="s">
        <v>5</v>
      </c>
      <c r="M68" s="97" t="s">
        <v>5</v>
      </c>
      <c r="N68" s="97" t="s">
        <v>5</v>
      </c>
      <c r="O68" s="749"/>
      <c r="P68" s="750"/>
      <c r="Q68" s="750"/>
      <c r="R68" s="750"/>
      <c r="S68" s="749"/>
      <c r="T68" s="750"/>
      <c r="U68" s="750"/>
      <c r="V68" s="754"/>
      <c r="W68" s="51"/>
      <c r="X68" s="51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BC68" s="155" t="str">
        <f t="shared" si="17"/>
        <v>-</v>
      </c>
      <c r="BD68" s="151" t="str">
        <f>"1st " &amp; B72</f>
        <v>1st Drive Mode 2</v>
      </c>
      <c r="BE68" s="153" t="str">
        <f t="shared" ref="BE68:BJ68" si="74">IF((OR($C74="-",$C74="CET",$C74="")),"-",IF(AND(OR(F72="-",F72=""),OR(F73="-",F73="")),"-",IF(NOT(OR(F72="-",F72="")),F72/F$5,F73/F$5)))</f>
        <v>-</v>
      </c>
      <c r="BF68" s="153" t="str">
        <f t="shared" si="74"/>
        <v>-</v>
      </c>
      <c r="BG68" s="153" t="str">
        <f t="shared" si="74"/>
        <v>-</v>
      </c>
      <c r="BH68" s="153" t="str">
        <f t="shared" si="74"/>
        <v>-</v>
      </c>
      <c r="BI68" s="153" t="str">
        <f t="shared" si="74"/>
        <v>-</v>
      </c>
      <c r="BJ68" s="153" t="str">
        <f t="shared" si="74"/>
        <v>-</v>
      </c>
      <c r="BK68" s="153" t="str">
        <f t="shared" ref="BK68:BL68" si="75">IF((OR($C74="-",$C74="CET",$C74="")),"-",IF(AND(OR(L72="-",L72=""),OR(L73="-",L73="")),"-",IF(NOT(OR(L72="-",L72="")),L72/L$5,L73/L$5)))</f>
        <v>-</v>
      </c>
      <c r="BL68" s="153" t="str">
        <f t="shared" si="75"/>
        <v>-</v>
      </c>
      <c r="BM68" s="153" t="str">
        <f>IF((OR($C74="-",$C74="CET",$C74="")),"-",IF(AND(OR(N72="-",N72=""),OR(N73="-",N73="")),"-",IF(NOT(OR(N72="-",N72="")),N72/N$5,N73/N$5)))</f>
        <v>-</v>
      </c>
      <c r="BN68" s="150"/>
      <c r="BO68" s="150"/>
      <c r="BP68" s="150"/>
      <c r="BQ68" s="150"/>
      <c r="BR68" s="150"/>
      <c r="BS68" s="150"/>
      <c r="BT68" s="150"/>
    </row>
    <row r="69" spans="1:72" ht="15" customHeight="1" outlineLevel="1" thickBot="1" x14ac:dyDescent="0.3">
      <c r="A69" s="350"/>
      <c r="B69" s="776"/>
      <c r="C69" s="764">
        <v>1</v>
      </c>
      <c r="D69" s="772" t="str">
        <f>IF(AND(F70="-",G70="-",H70="-",I70="-",J70="-",K70="-",K70="-",L70="-"),"-",MAX(F70,G70,H70,I70,J70,K70,L70,M70))</f>
        <v>-</v>
      </c>
      <c r="E69" s="66" t="s">
        <v>177</v>
      </c>
      <c r="F69" s="65" t="str">
        <f t="shared" ref="F69:K69" si="76">IF(OR(F68="-",F68=""),IF(OR(F67="-",F67=""),"-",F67),IF(OR(F67="-",F67=""),F68,(F67+F68)/2))</f>
        <v>-</v>
      </c>
      <c r="G69" s="65" t="str">
        <f t="shared" si="76"/>
        <v>-</v>
      </c>
      <c r="H69" s="65" t="str">
        <f t="shared" si="76"/>
        <v>-</v>
      </c>
      <c r="I69" s="65" t="str">
        <f t="shared" si="76"/>
        <v>-</v>
      </c>
      <c r="J69" s="65" t="str">
        <f t="shared" si="76"/>
        <v>-</v>
      </c>
      <c r="K69" s="167" t="str">
        <f t="shared" si="76"/>
        <v>-</v>
      </c>
      <c r="L69" s="167" t="str">
        <f>IF(OR(L68="-",L68=""),IF(OR(L67="-",L67=""),"-",L67),IF(OR(L67="-",L67=""),L68,(L67+L68)/2))</f>
        <v>-</v>
      </c>
      <c r="M69" s="65" t="s">
        <v>5</v>
      </c>
      <c r="N69" s="740"/>
      <c r="O69" s="749"/>
      <c r="P69" s="750"/>
      <c r="Q69" s="750"/>
      <c r="R69" s="750"/>
      <c r="S69" s="749"/>
      <c r="T69" s="750"/>
      <c r="U69" s="750"/>
      <c r="V69" s="754"/>
      <c r="W69" s="345"/>
      <c r="X69" s="345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BC69" s="155" t="str">
        <f t="shared" si="17"/>
        <v>-</v>
      </c>
      <c r="BD69" s="151" t="str">
        <f>"1st " &amp; B77</f>
        <v>1st Drive Mode 3</v>
      </c>
      <c r="BE69" s="153" t="str">
        <f t="shared" ref="BE69:BJ69" si="77">IF((OR($C79="-",$C79="CET",$C79="")),"-",IF(AND(OR(F77="-",F77=""),OR(F78="-",F78="")),"-",IF(NOT(OR(F77="-",F77="")),F77/F$5,F78/F$5)))</f>
        <v>-</v>
      </c>
      <c r="BF69" s="153" t="str">
        <f t="shared" si="77"/>
        <v>-</v>
      </c>
      <c r="BG69" s="153" t="str">
        <f t="shared" si="77"/>
        <v>-</v>
      </c>
      <c r="BH69" s="153" t="str">
        <f t="shared" si="77"/>
        <v>-</v>
      </c>
      <c r="BI69" s="153" t="str">
        <f t="shared" si="77"/>
        <v>-</v>
      </c>
      <c r="BJ69" s="153" t="str">
        <f t="shared" si="77"/>
        <v>-</v>
      </c>
      <c r="BK69" s="153" t="str">
        <f t="shared" ref="BK69:BL69" si="78">IF((OR($C79="-",$C79="CET",$C79="")),"-",IF(AND(OR(L77="-",L77=""),OR(L78="-",L78="")),"-",IF(NOT(OR(L77="-",L77="")),L77/L$5,L78/L$5)))</f>
        <v>-</v>
      </c>
      <c r="BL69" s="153" t="str">
        <f t="shared" si="78"/>
        <v>-</v>
      </c>
      <c r="BM69" s="153" t="str">
        <f>IF((OR($C79="-",$C79="CET",$C79="")),"-",IF(AND(OR(N77="-",N77=""),OR(N78="-",N78="")),"-",IF(NOT(OR(N77="-",N77="")),N77/N$5,N78/N$5)))</f>
        <v>-</v>
      </c>
    </row>
    <row r="70" spans="1:72" ht="15" customHeight="1" outlineLevel="1" thickBot="1" x14ac:dyDescent="0.3">
      <c r="A70" s="350"/>
      <c r="B70" s="776"/>
      <c r="C70" s="765"/>
      <c r="D70" s="773"/>
      <c r="E70" s="64" t="s">
        <v>97</v>
      </c>
      <c r="F70" s="63" t="str">
        <f t="shared" ref="F70:K70" si="79">IF(OR($C69="-",$C69="CET",$C69=""),"-",IF(AND(NOT(F69="-"),NOT(F$5="-"),NOT(F$5="")),F69/F$5,"-"))</f>
        <v>-</v>
      </c>
      <c r="G70" s="63" t="str">
        <f t="shared" si="79"/>
        <v>-</v>
      </c>
      <c r="H70" s="63" t="str">
        <f t="shared" si="79"/>
        <v>-</v>
      </c>
      <c r="I70" s="63" t="str">
        <f t="shared" si="79"/>
        <v>-</v>
      </c>
      <c r="J70" s="63" t="str">
        <f t="shared" si="79"/>
        <v>-</v>
      </c>
      <c r="K70" s="168" t="str">
        <f t="shared" si="79"/>
        <v>-</v>
      </c>
      <c r="L70" s="168" t="str">
        <f t="shared" ref="L70" si="80">IF(OR($C69="-",$C69="CET",$C69=""),"-",IF(AND(NOT(L69="-"),NOT(L$5="-"),NOT(L$5="")),L69/L$5,"-"))</f>
        <v>-</v>
      </c>
      <c r="M70" s="63" t="s">
        <v>5</v>
      </c>
      <c r="N70" s="741"/>
      <c r="O70" s="749"/>
      <c r="P70" s="750"/>
      <c r="Q70" s="750"/>
      <c r="R70" s="750"/>
      <c r="S70" s="749"/>
      <c r="T70" s="750"/>
      <c r="U70" s="750"/>
      <c r="V70" s="754"/>
      <c r="W70" s="345"/>
      <c r="X70" s="345"/>
      <c r="Y70" s="743"/>
      <c r="Z70" s="743"/>
      <c r="AA70" s="743"/>
      <c r="AB70" s="743"/>
      <c r="AC70" s="743"/>
      <c r="AD70" s="743"/>
      <c r="AE70" s="743"/>
      <c r="AF70" s="743"/>
      <c r="AG70" s="743"/>
      <c r="AH70" s="743"/>
      <c r="BC70" s="155" t="str">
        <f t="shared" si="17"/>
        <v>-</v>
      </c>
      <c r="BD70" s="151" t="str">
        <f>"1st " &amp; B82</f>
        <v>1st Drive Mode 4</v>
      </c>
      <c r="BE70" s="153" t="str">
        <f t="shared" ref="BE70:BJ70" si="81">IF((OR($C84="-",$C84="CET",$C84="")),"-",IF(AND(OR(F82="-",F82=""),OR(F83="-",F83="")),"-",IF(NOT(OR(F82="-",F82="")),F82/F$5,F83/F$5)))</f>
        <v>-</v>
      </c>
      <c r="BF70" s="153" t="str">
        <f t="shared" si="81"/>
        <v>-</v>
      </c>
      <c r="BG70" s="153" t="str">
        <f t="shared" si="81"/>
        <v>-</v>
      </c>
      <c r="BH70" s="153" t="str">
        <f t="shared" si="81"/>
        <v>-</v>
      </c>
      <c r="BI70" s="153" t="str">
        <f t="shared" si="81"/>
        <v>-</v>
      </c>
      <c r="BJ70" s="153" t="str">
        <f t="shared" si="81"/>
        <v>-</v>
      </c>
      <c r="BK70" s="153" t="str">
        <f t="shared" ref="BK70:BL70" si="82">IF((OR($C84="-",$C84="CET",$C84="")),"-",IF(AND(OR(L82="-",L82=""),OR(L83="-",L83="")),"-",IF(NOT(OR(L82="-",L82="")),L82/L$5,L83/L$5)))</f>
        <v>-</v>
      </c>
      <c r="BL70" s="153" t="str">
        <f t="shared" si="82"/>
        <v>-</v>
      </c>
      <c r="BM70" s="153" t="str">
        <f>IF((OR($C84="-",$C84="CET",$C84="")),"-",IF(AND(OR(N82="-",N82=""),OR(N83="-",N83="")),"-",IF(NOT(OR(N82="-",N82="")),N82/N$5,N83/N$5)))</f>
        <v>-</v>
      </c>
    </row>
    <row r="71" spans="1:72" ht="15" customHeight="1" outlineLevel="1" thickBot="1" x14ac:dyDescent="0.3">
      <c r="A71" s="350"/>
      <c r="B71" s="777"/>
      <c r="C71" s="771"/>
      <c r="D71" s="774"/>
      <c r="E71" s="68" t="s">
        <v>30</v>
      </c>
      <c r="F71" s="62" t="str">
        <f t="shared" ref="F71:L71" si="83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62" t="str">
        <f t="shared" si="83"/>
        <v>-</v>
      </c>
      <c r="H71" s="62" t="str">
        <f t="shared" si="83"/>
        <v>-</v>
      </c>
      <c r="I71" s="62" t="str">
        <f t="shared" si="83"/>
        <v>-</v>
      </c>
      <c r="J71" s="62" t="str">
        <f t="shared" si="83"/>
        <v>-</v>
      </c>
      <c r="K71" s="169" t="str">
        <f t="shared" si="83"/>
        <v>-</v>
      </c>
      <c r="L71" s="169" t="str">
        <f t="shared" si="83"/>
        <v>-</v>
      </c>
      <c r="M71" s="62" t="s">
        <v>5</v>
      </c>
      <c r="N71" s="742"/>
      <c r="O71" s="749"/>
      <c r="P71" s="750"/>
      <c r="Q71" s="750"/>
      <c r="R71" s="750"/>
      <c r="S71" s="749"/>
      <c r="T71" s="750"/>
      <c r="U71" s="750"/>
      <c r="V71" s="754"/>
      <c r="W71" s="345"/>
      <c r="X71" s="345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BC71" s="155" t="str">
        <f t="shared" si="17"/>
        <v>-</v>
      </c>
      <c r="BD71" s="151" t="str">
        <f>"1st " &amp; B87</f>
        <v>1st Drive Mode 5</v>
      </c>
      <c r="BE71" s="153" t="str">
        <f t="shared" ref="BE71:BJ71" si="84">IF((OR($C89="-",$C89="CET",$C89="")),"-",IF(AND(OR(F87="-",F87=""),OR(F88="-",F88="")),"-",IF(NOT(OR(F87="-",F87="")),F87/F$5,F88/F$5)))</f>
        <v>-</v>
      </c>
      <c r="BF71" s="153" t="str">
        <f t="shared" si="84"/>
        <v>-</v>
      </c>
      <c r="BG71" s="153" t="str">
        <f t="shared" si="84"/>
        <v>-</v>
      </c>
      <c r="BH71" s="153" t="str">
        <f t="shared" si="84"/>
        <v>-</v>
      </c>
      <c r="BI71" s="153" t="str">
        <f t="shared" si="84"/>
        <v>-</v>
      </c>
      <c r="BJ71" s="153" t="str">
        <f t="shared" si="84"/>
        <v>-</v>
      </c>
      <c r="BK71" s="153" t="str">
        <f t="shared" ref="BK71:BL71" si="85">IF((OR($C89="-",$C89="CET",$C89="")),"-",IF(AND(OR(L87="-",L87=""),OR(L88="-",L88="")),"-",IF(NOT(OR(L87="-",L87="")),L87/L$5,L88/L$5)))</f>
        <v>-</v>
      </c>
      <c r="BL71" s="153" t="str">
        <f t="shared" si="85"/>
        <v>-</v>
      </c>
      <c r="BM71" s="153" t="str">
        <f>IF((OR($C89="-",$C89="CET",$C89="")),"-",IF(AND(OR(N87="-",N87=""),OR(N88="-",N88="")),"-",IF(NOT(OR(N87="-",N87="")),N87/N$5,N88/N$5)))</f>
        <v>-</v>
      </c>
    </row>
    <row r="72" spans="1:72" ht="15" customHeight="1" outlineLevel="1" x14ac:dyDescent="0.25">
      <c r="A72" s="350"/>
      <c r="B72" s="775" t="s">
        <v>124</v>
      </c>
      <c r="C72" s="770" t="s">
        <v>114</v>
      </c>
      <c r="D72" s="770" t="s">
        <v>113</v>
      </c>
      <c r="E72" s="106" t="s">
        <v>94</v>
      </c>
      <c r="F72" s="98" t="s">
        <v>5</v>
      </c>
      <c r="G72" s="98" t="s">
        <v>5</v>
      </c>
      <c r="H72" s="98" t="s">
        <v>5</v>
      </c>
      <c r="I72" s="98" t="s">
        <v>5</v>
      </c>
      <c r="J72" s="98" t="s">
        <v>5</v>
      </c>
      <c r="K72" s="165" t="s">
        <v>5</v>
      </c>
      <c r="L72" s="165" t="s">
        <v>5</v>
      </c>
      <c r="M72" s="98" t="s">
        <v>5</v>
      </c>
      <c r="N72" s="98" t="s">
        <v>5</v>
      </c>
      <c r="O72" s="749"/>
      <c r="P72" s="750"/>
      <c r="Q72" s="750"/>
      <c r="R72" s="750"/>
      <c r="S72" s="749"/>
      <c r="T72" s="750"/>
      <c r="U72" s="750"/>
      <c r="V72" s="754"/>
      <c r="W72" s="345"/>
      <c r="X72" s="345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BC72" s="155" t="str">
        <f t="shared" si="17"/>
        <v>-</v>
      </c>
      <c r="BD72" s="151" t="str">
        <f>"1st " &amp; B92</f>
        <v>1st Drive Mode 6</v>
      </c>
      <c r="BE72" s="153" t="str">
        <f t="shared" ref="BE72:BJ72" si="86">IF((OR($C94="-",$C94="CET",$C94="")),"-",IF(AND(OR(F92="-",F92=""),OR(F93="-",F93="")),"-",IF(NOT(OR(F92="-",F92="")),F92/F$5,F93/F$5)))</f>
        <v>-</v>
      </c>
      <c r="BF72" s="153" t="str">
        <f t="shared" si="86"/>
        <v>-</v>
      </c>
      <c r="BG72" s="153" t="str">
        <f t="shared" si="86"/>
        <v>-</v>
      </c>
      <c r="BH72" s="153" t="str">
        <f t="shared" si="86"/>
        <v>-</v>
      </c>
      <c r="BI72" s="153" t="str">
        <f t="shared" si="86"/>
        <v>-</v>
      </c>
      <c r="BJ72" s="153" t="str">
        <f t="shared" si="86"/>
        <v>-</v>
      </c>
      <c r="BK72" s="153" t="str">
        <f t="shared" ref="BK72:BL72" si="87">IF((OR($C94="-",$C94="CET",$C94="")),"-",IF(AND(OR(L92="-",L92=""),OR(L93="-",L93="")),"-",IF(NOT(OR(L92="-",L92="")),L92/L$5,L93/L$5)))</f>
        <v>-</v>
      </c>
      <c r="BL72" s="153" t="str">
        <f t="shared" si="87"/>
        <v>-</v>
      </c>
      <c r="BM72" s="153" t="str">
        <f>IF((OR($C94="-",$C94="CET",$C94="")),"-",IF(AND(OR(N92="-",N92=""),OR(N93="-",N93="")),"-",IF(NOT(OR(N92="-",N92="")),N92/N$5,N93/N$5)))</f>
        <v>-</v>
      </c>
    </row>
    <row r="73" spans="1:72" s="50" customFormat="1" ht="15" customHeight="1" outlineLevel="1" thickBot="1" x14ac:dyDescent="0.3">
      <c r="A73" s="53"/>
      <c r="B73" s="776"/>
      <c r="C73" s="741"/>
      <c r="D73" s="742"/>
      <c r="E73" s="104" t="s">
        <v>95</v>
      </c>
      <c r="F73" s="97" t="s">
        <v>5</v>
      </c>
      <c r="G73" s="97" t="s">
        <v>5</v>
      </c>
      <c r="H73" s="97" t="s">
        <v>5</v>
      </c>
      <c r="I73" s="97" t="s">
        <v>5</v>
      </c>
      <c r="J73" s="97" t="s">
        <v>5</v>
      </c>
      <c r="K73" s="166" t="s">
        <v>5</v>
      </c>
      <c r="L73" s="166" t="s">
        <v>5</v>
      </c>
      <c r="M73" s="97" t="s">
        <v>5</v>
      </c>
      <c r="N73" s="97" t="s">
        <v>5</v>
      </c>
      <c r="O73" s="749"/>
      <c r="P73" s="750"/>
      <c r="Q73" s="750"/>
      <c r="R73" s="750"/>
      <c r="S73" s="749"/>
      <c r="T73" s="750"/>
      <c r="U73" s="750"/>
      <c r="V73" s="754"/>
      <c r="W73" s="51"/>
      <c r="X73" s="51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BC73" s="155" t="str">
        <f t="shared" si="17"/>
        <v>-</v>
      </c>
      <c r="BD73" s="151" t="str">
        <f>"0.7*IEF " &amp; (B67)</f>
        <v>0.7*IEF Drive Mode 1</v>
      </c>
      <c r="BE73" s="153">
        <f t="shared" ref="BE73:BM73" si="88">IF(OR($C69="-",$C69="CET",$C69=""),"-",0.7*$C69)</f>
        <v>0.7</v>
      </c>
      <c r="BF73" s="153">
        <f t="shared" si="88"/>
        <v>0.7</v>
      </c>
      <c r="BG73" s="153">
        <f t="shared" si="88"/>
        <v>0.7</v>
      </c>
      <c r="BH73" s="153">
        <f t="shared" si="88"/>
        <v>0.7</v>
      </c>
      <c r="BI73" s="153">
        <f t="shared" si="88"/>
        <v>0.7</v>
      </c>
      <c r="BJ73" s="153">
        <f t="shared" si="88"/>
        <v>0.7</v>
      </c>
      <c r="BK73" s="153">
        <f t="shared" ref="BK73:BL73" si="89">IF(OR($C69="-",$C69="CET",$C69=""),"-",0.7*$C69)</f>
        <v>0.7</v>
      </c>
      <c r="BL73" s="153">
        <f t="shared" si="89"/>
        <v>0.7</v>
      </c>
      <c r="BM73" s="153">
        <f t="shared" si="88"/>
        <v>0.7</v>
      </c>
      <c r="BN73" s="150"/>
      <c r="BO73" s="150"/>
      <c r="BP73" s="150"/>
      <c r="BQ73" s="150"/>
      <c r="BR73" s="150"/>
      <c r="BS73" s="150"/>
      <c r="BT73" s="150"/>
    </row>
    <row r="74" spans="1:72" ht="15" customHeight="1" outlineLevel="1" thickBot="1" x14ac:dyDescent="0.3">
      <c r="A74" s="350"/>
      <c r="B74" s="776"/>
      <c r="C74" s="764">
        <v>1</v>
      </c>
      <c r="D74" s="772" t="str">
        <f>IF(AND(F75="-",G75="-",H75="-",I75="-",J75="-",K75="-",K75="-",L75="-"),"-",MAX(F75,G75,H75,I75,J75,K75,L75,M75))</f>
        <v>-</v>
      </c>
      <c r="E74" s="66" t="s">
        <v>177</v>
      </c>
      <c r="F74" s="65" t="str">
        <f t="shared" ref="F74:K74" si="90">IF(OR(F73="-",F73=""),IF(OR(F72="-",F72=""),"-",F72),IF(OR(F72="-",F72=""),F73,(F72+F73)/2))</f>
        <v>-</v>
      </c>
      <c r="G74" s="65" t="str">
        <f t="shared" si="90"/>
        <v>-</v>
      </c>
      <c r="H74" s="65" t="str">
        <f t="shared" si="90"/>
        <v>-</v>
      </c>
      <c r="I74" s="65" t="str">
        <f t="shared" si="90"/>
        <v>-</v>
      </c>
      <c r="J74" s="65" t="str">
        <f t="shared" si="90"/>
        <v>-</v>
      </c>
      <c r="K74" s="167" t="str">
        <f t="shared" si="90"/>
        <v>-</v>
      </c>
      <c r="L74" s="167" t="str">
        <f t="shared" ref="L74" si="91">IF(OR(L73="-",L73=""),IF(OR(L72="-",L72=""),"-",L72),IF(OR(L72="-",L72=""),L73,(L72+L73)/2))</f>
        <v>-</v>
      </c>
      <c r="M74" s="65" t="s">
        <v>5</v>
      </c>
      <c r="N74" s="740"/>
      <c r="O74" s="749"/>
      <c r="P74" s="750"/>
      <c r="Q74" s="750"/>
      <c r="R74" s="750"/>
      <c r="S74" s="749"/>
      <c r="T74" s="750"/>
      <c r="U74" s="750"/>
      <c r="V74" s="754"/>
      <c r="W74" s="345"/>
      <c r="X74" s="345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BC74" s="155" t="str">
        <f t="shared" si="17"/>
        <v>-</v>
      </c>
      <c r="BD74" s="151" t="str">
        <f>"0.7*IEF " &amp; B72</f>
        <v>0.7*IEF Drive Mode 2</v>
      </c>
      <c r="BE74" s="153">
        <f t="shared" ref="BE74:BM74" si="92">IF(OR($C74="-",$C74="CET",$C74=""),"-",0.7*$C74)</f>
        <v>0.7</v>
      </c>
      <c r="BF74" s="153">
        <f t="shared" si="92"/>
        <v>0.7</v>
      </c>
      <c r="BG74" s="153">
        <f t="shared" si="92"/>
        <v>0.7</v>
      </c>
      <c r="BH74" s="153">
        <f t="shared" si="92"/>
        <v>0.7</v>
      </c>
      <c r="BI74" s="153">
        <f t="shared" si="92"/>
        <v>0.7</v>
      </c>
      <c r="BJ74" s="153">
        <f t="shared" si="92"/>
        <v>0.7</v>
      </c>
      <c r="BK74" s="153">
        <f t="shared" si="92"/>
        <v>0.7</v>
      </c>
      <c r="BL74" s="153">
        <f t="shared" si="92"/>
        <v>0.7</v>
      </c>
      <c r="BM74" s="153">
        <f t="shared" si="92"/>
        <v>0.7</v>
      </c>
    </row>
    <row r="75" spans="1:72" ht="15" customHeight="1" outlineLevel="1" thickBot="1" x14ac:dyDescent="0.3">
      <c r="A75" s="350"/>
      <c r="B75" s="776"/>
      <c r="C75" s="765"/>
      <c r="D75" s="773"/>
      <c r="E75" s="64" t="s">
        <v>97</v>
      </c>
      <c r="F75" s="63" t="str">
        <f t="shared" ref="F75:K75" si="93">IF(OR($C74="-",$C74="CET",$C74=""),"-",IF(AND(NOT(F74="-"),NOT(F$5="-"),NOT(F$5="")),F74/F$5,"-"))</f>
        <v>-</v>
      </c>
      <c r="G75" s="63" t="str">
        <f t="shared" si="93"/>
        <v>-</v>
      </c>
      <c r="H75" s="63" t="str">
        <f t="shared" si="93"/>
        <v>-</v>
      </c>
      <c r="I75" s="63" t="str">
        <f t="shared" si="93"/>
        <v>-</v>
      </c>
      <c r="J75" s="63" t="str">
        <f t="shared" si="93"/>
        <v>-</v>
      </c>
      <c r="K75" s="168" t="str">
        <f t="shared" si="93"/>
        <v>-</v>
      </c>
      <c r="L75" s="168" t="str">
        <f t="shared" ref="L75" si="94">IF(OR($C74="-",$C74="CET",$C74=""),"-",IF(AND(NOT(L74="-"),NOT(L$5="-"),NOT(L$5="")),L74/L$5,"-"))</f>
        <v>-</v>
      </c>
      <c r="M75" s="63" t="s">
        <v>5</v>
      </c>
      <c r="N75" s="741"/>
      <c r="O75" s="749"/>
      <c r="P75" s="750"/>
      <c r="Q75" s="750"/>
      <c r="R75" s="750"/>
      <c r="S75" s="749"/>
      <c r="T75" s="750"/>
      <c r="U75" s="750"/>
      <c r="V75" s="754"/>
      <c r="W75" s="345"/>
      <c r="X75" s="345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BC75" s="155" t="str">
        <f t="shared" si="17"/>
        <v>-</v>
      </c>
      <c r="BD75" s="151" t="str">
        <f>"0.7*IEF " &amp; B77</f>
        <v>0.7*IEF Drive Mode 3</v>
      </c>
      <c r="BE75" s="153">
        <f t="shared" ref="BE75:BM75" si="95">IF(OR($C79="-",$C79="CET",$C79=""),"-",0.7*$C79)</f>
        <v>0.7</v>
      </c>
      <c r="BF75" s="153">
        <f t="shared" si="95"/>
        <v>0.7</v>
      </c>
      <c r="BG75" s="153">
        <f t="shared" si="95"/>
        <v>0.7</v>
      </c>
      <c r="BH75" s="153">
        <f t="shared" si="95"/>
        <v>0.7</v>
      </c>
      <c r="BI75" s="153">
        <f t="shared" si="95"/>
        <v>0.7</v>
      </c>
      <c r="BJ75" s="153">
        <f t="shared" si="95"/>
        <v>0.7</v>
      </c>
      <c r="BK75" s="153">
        <f t="shared" ref="BK75:BL75" si="96">IF(OR($C79="-",$C79="CET",$C79=""),"-",0.7*$C79)</f>
        <v>0.7</v>
      </c>
      <c r="BL75" s="153">
        <f t="shared" si="96"/>
        <v>0.7</v>
      </c>
      <c r="BM75" s="153">
        <f t="shared" si="95"/>
        <v>0.7</v>
      </c>
    </row>
    <row r="76" spans="1:72" ht="15" customHeight="1" outlineLevel="1" thickBot="1" x14ac:dyDescent="0.3">
      <c r="A76" s="40"/>
      <c r="B76" s="777"/>
      <c r="C76" s="771"/>
      <c r="D76" s="774"/>
      <c r="E76" s="62" t="s">
        <v>30</v>
      </c>
      <c r="F76" s="62" t="str">
        <f t="shared" ref="F76:L76" si="97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62" t="str">
        <f t="shared" si="97"/>
        <v>-</v>
      </c>
      <c r="H76" s="62" t="str">
        <f t="shared" si="97"/>
        <v>-</v>
      </c>
      <c r="I76" s="62" t="str">
        <f t="shared" si="97"/>
        <v>-</v>
      </c>
      <c r="J76" s="62" t="str">
        <f t="shared" si="97"/>
        <v>-</v>
      </c>
      <c r="K76" s="169" t="str">
        <f t="shared" si="97"/>
        <v>-</v>
      </c>
      <c r="L76" s="169" t="str">
        <f t="shared" si="97"/>
        <v>-</v>
      </c>
      <c r="M76" s="62" t="s">
        <v>5</v>
      </c>
      <c r="N76" s="742"/>
      <c r="O76" s="749"/>
      <c r="P76" s="750"/>
      <c r="Q76" s="750"/>
      <c r="R76" s="750"/>
      <c r="S76" s="749"/>
      <c r="T76" s="750"/>
      <c r="U76" s="750"/>
      <c r="V76" s="754"/>
      <c r="W76" s="345"/>
      <c r="X76" s="345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BC76" s="155" t="str">
        <f t="shared" si="17"/>
        <v>-</v>
      </c>
      <c r="BD76" s="151" t="str">
        <f>"0.7*IEF " &amp; B82</f>
        <v>0.7*IEF Drive Mode 4</v>
      </c>
      <c r="BE76" s="153">
        <f t="shared" ref="BE76:BM76" si="98">IF(OR($C84="-",$C84="CET",$C84=""),"-",0.7*$C84)</f>
        <v>0.7</v>
      </c>
      <c r="BF76" s="153">
        <f t="shared" si="98"/>
        <v>0.7</v>
      </c>
      <c r="BG76" s="153">
        <f t="shared" si="98"/>
        <v>0.7</v>
      </c>
      <c r="BH76" s="153">
        <f t="shared" si="98"/>
        <v>0.7</v>
      </c>
      <c r="BI76" s="153">
        <f t="shared" si="98"/>
        <v>0.7</v>
      </c>
      <c r="BJ76" s="153">
        <f t="shared" si="98"/>
        <v>0.7</v>
      </c>
      <c r="BK76" s="153">
        <f t="shared" ref="BK76:BL76" si="99">IF(OR($C84="-",$C84="CET",$C84=""),"-",0.7*$C84)</f>
        <v>0.7</v>
      </c>
      <c r="BL76" s="153">
        <f t="shared" si="99"/>
        <v>0.7</v>
      </c>
      <c r="BM76" s="153">
        <f t="shared" si="98"/>
        <v>0.7</v>
      </c>
    </row>
    <row r="77" spans="1:72" ht="15" customHeight="1" outlineLevel="1" x14ac:dyDescent="0.25">
      <c r="A77" s="40"/>
      <c r="B77" s="775" t="s">
        <v>123</v>
      </c>
      <c r="C77" s="770" t="s">
        <v>114</v>
      </c>
      <c r="D77" s="770" t="s">
        <v>113</v>
      </c>
      <c r="E77" s="106" t="s">
        <v>94</v>
      </c>
      <c r="F77" s="98" t="s">
        <v>5</v>
      </c>
      <c r="G77" s="98" t="s">
        <v>5</v>
      </c>
      <c r="H77" s="98" t="s">
        <v>5</v>
      </c>
      <c r="I77" s="98" t="s">
        <v>5</v>
      </c>
      <c r="J77" s="98" t="s">
        <v>5</v>
      </c>
      <c r="K77" s="165" t="s">
        <v>5</v>
      </c>
      <c r="L77" s="165" t="s">
        <v>5</v>
      </c>
      <c r="M77" s="98" t="s">
        <v>5</v>
      </c>
      <c r="N77" s="98" t="s">
        <v>5</v>
      </c>
      <c r="O77" s="749"/>
      <c r="P77" s="750"/>
      <c r="Q77" s="750"/>
      <c r="R77" s="750"/>
      <c r="S77" s="749"/>
      <c r="T77" s="750"/>
      <c r="U77" s="750"/>
      <c r="V77" s="754"/>
      <c r="W77" s="345"/>
      <c r="X77" s="345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BC77" s="155" t="str">
        <f t="shared" si="17"/>
        <v>-</v>
      </c>
      <c r="BD77" s="151" t="str">
        <f>"0.7*IEF " &amp; B87</f>
        <v>0.7*IEF Drive Mode 5</v>
      </c>
      <c r="BE77" s="153">
        <f t="shared" ref="BE77:BM77" si="100">IF(OR($C89="-",$C89="CET",$C89=""),"-",0.7*$C89)</f>
        <v>0.7</v>
      </c>
      <c r="BF77" s="153">
        <f t="shared" si="100"/>
        <v>0.7</v>
      </c>
      <c r="BG77" s="153">
        <f t="shared" si="100"/>
        <v>0.7</v>
      </c>
      <c r="BH77" s="153">
        <f t="shared" si="100"/>
        <v>0.7</v>
      </c>
      <c r="BI77" s="153">
        <f t="shared" si="100"/>
        <v>0.7</v>
      </c>
      <c r="BJ77" s="153">
        <f t="shared" si="100"/>
        <v>0.7</v>
      </c>
      <c r="BK77" s="153">
        <f t="shared" ref="BK77:BL77" si="101">IF(OR($C89="-",$C89="CET",$C89=""),"-",0.7*$C89)</f>
        <v>0.7</v>
      </c>
      <c r="BL77" s="153">
        <f t="shared" si="101"/>
        <v>0.7</v>
      </c>
      <c r="BM77" s="153">
        <f t="shared" si="100"/>
        <v>0.7</v>
      </c>
    </row>
    <row r="78" spans="1:72" s="50" customFormat="1" ht="15" customHeight="1" outlineLevel="1" thickBot="1" x14ac:dyDescent="0.3">
      <c r="A78" s="52"/>
      <c r="B78" s="776"/>
      <c r="C78" s="741"/>
      <c r="D78" s="742"/>
      <c r="E78" s="104" t="s">
        <v>95</v>
      </c>
      <c r="F78" s="97" t="s">
        <v>5</v>
      </c>
      <c r="G78" s="97" t="s">
        <v>5</v>
      </c>
      <c r="H78" s="97" t="s">
        <v>5</v>
      </c>
      <c r="I78" s="97" t="s">
        <v>5</v>
      </c>
      <c r="J78" s="97" t="s">
        <v>5</v>
      </c>
      <c r="K78" s="166" t="s">
        <v>5</v>
      </c>
      <c r="L78" s="166" t="s">
        <v>5</v>
      </c>
      <c r="M78" s="97" t="s">
        <v>5</v>
      </c>
      <c r="N78" s="97" t="s">
        <v>5</v>
      </c>
      <c r="O78" s="749"/>
      <c r="P78" s="750"/>
      <c r="Q78" s="750"/>
      <c r="R78" s="750"/>
      <c r="S78" s="749"/>
      <c r="T78" s="750"/>
      <c r="U78" s="750"/>
      <c r="V78" s="754"/>
      <c r="W78" s="51"/>
      <c r="X78" s="51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BC78" s="155" t="str">
        <f t="shared" si="17"/>
        <v>-</v>
      </c>
      <c r="BD78" s="151" t="str">
        <f>"0.7*IEF " &amp; B92</f>
        <v>0.7*IEF Drive Mode 6</v>
      </c>
      <c r="BE78" s="153">
        <f t="shared" ref="BE78:BM78" si="102">IF(OR($C94="-",$C94="CET",$C94=""),"-",0.7*$C94)</f>
        <v>0.7</v>
      </c>
      <c r="BF78" s="153">
        <f t="shared" si="102"/>
        <v>0.7</v>
      </c>
      <c r="BG78" s="153">
        <f t="shared" si="102"/>
        <v>0.7</v>
      </c>
      <c r="BH78" s="153">
        <f t="shared" si="102"/>
        <v>0.7</v>
      </c>
      <c r="BI78" s="153">
        <f t="shared" si="102"/>
        <v>0.7</v>
      </c>
      <c r="BJ78" s="153">
        <f t="shared" si="102"/>
        <v>0.7</v>
      </c>
      <c r="BK78" s="153">
        <f t="shared" ref="BK78:BL78" si="103">IF(OR($C94="-",$C94="CET",$C94=""),"-",0.7*$C94)</f>
        <v>0.7</v>
      </c>
      <c r="BL78" s="153">
        <f t="shared" si="103"/>
        <v>0.7</v>
      </c>
      <c r="BM78" s="153">
        <f t="shared" si="102"/>
        <v>0.7</v>
      </c>
      <c r="BN78" s="150"/>
      <c r="BO78" s="150"/>
      <c r="BP78" s="150"/>
      <c r="BQ78" s="150"/>
      <c r="BR78" s="150"/>
      <c r="BS78" s="150"/>
      <c r="BT78" s="150"/>
    </row>
    <row r="79" spans="1:72" ht="15" customHeight="1" outlineLevel="1" thickBot="1" x14ac:dyDescent="0.3">
      <c r="A79" s="40"/>
      <c r="B79" s="776"/>
      <c r="C79" s="764">
        <v>1</v>
      </c>
      <c r="D79" s="772" t="str">
        <f>IF(AND(F80="-",G80="-",H80="-",I80="-",J80="-",K80="-",K80="-",L80="-"),"-",MAX(F80,G80,H80,I80,J80,K80,L80,M80))</f>
        <v>-</v>
      </c>
      <c r="E79" s="66" t="s">
        <v>177</v>
      </c>
      <c r="F79" s="65" t="str">
        <f t="shared" ref="F79:K79" si="104">IF(OR(F78="-",F78=""),IF(OR(F77="-",F77=""),"-",F77),IF(OR(F77="-",F77=""),F78,(F77+F78)/2))</f>
        <v>-</v>
      </c>
      <c r="G79" s="65" t="str">
        <f t="shared" si="104"/>
        <v>-</v>
      </c>
      <c r="H79" s="65" t="str">
        <f t="shared" si="104"/>
        <v>-</v>
      </c>
      <c r="I79" s="65" t="str">
        <f t="shared" si="104"/>
        <v>-</v>
      </c>
      <c r="J79" s="65" t="str">
        <f t="shared" si="104"/>
        <v>-</v>
      </c>
      <c r="K79" s="167" t="str">
        <f t="shared" si="104"/>
        <v>-</v>
      </c>
      <c r="L79" s="167" t="str">
        <f t="shared" ref="L79" si="105">IF(OR(L78="-",L78=""),IF(OR(L77="-",L77=""),"-",L77),IF(OR(L77="-",L77=""),L78,(L77+L78)/2))</f>
        <v>-</v>
      </c>
      <c r="M79" s="65" t="s">
        <v>5</v>
      </c>
      <c r="N79" s="740"/>
      <c r="O79" s="749"/>
      <c r="P79" s="750"/>
      <c r="Q79" s="750"/>
      <c r="R79" s="750"/>
      <c r="S79" s="749"/>
      <c r="T79" s="750"/>
      <c r="U79" s="750"/>
      <c r="V79" s="754"/>
      <c r="W79" s="345"/>
      <c r="X79" s="345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BC79" s="155" t="str">
        <f t="shared" si="17"/>
        <v>-</v>
      </c>
      <c r="BD79" s="151" t="str">
        <f>$B67</f>
        <v>Drive Mode 1</v>
      </c>
      <c r="BE79" s="153" t="str">
        <f t="shared" ref="BE79:BJ79" si="106">F70</f>
        <v>-</v>
      </c>
      <c r="BF79" s="153" t="str">
        <f t="shared" si="106"/>
        <v>-</v>
      </c>
      <c r="BG79" s="153" t="str">
        <f t="shared" si="106"/>
        <v>-</v>
      </c>
      <c r="BH79" s="153" t="str">
        <f t="shared" si="106"/>
        <v>-</v>
      </c>
      <c r="BI79" s="153" t="str">
        <f t="shared" si="106"/>
        <v>-</v>
      </c>
      <c r="BJ79" s="153" t="str">
        <f t="shared" si="106"/>
        <v>-</v>
      </c>
      <c r="BK79" s="153" t="str">
        <f t="shared" ref="BK79:BL79" si="107">L70</f>
        <v>-</v>
      </c>
      <c r="BL79" s="153" t="str">
        <f t="shared" si="107"/>
        <v>-</v>
      </c>
      <c r="BM79" s="153">
        <f>N70</f>
        <v>0</v>
      </c>
    </row>
    <row r="80" spans="1:72" ht="15" customHeight="1" outlineLevel="1" thickBot="1" x14ac:dyDescent="0.3">
      <c r="A80" s="40"/>
      <c r="B80" s="776"/>
      <c r="C80" s="765"/>
      <c r="D80" s="773"/>
      <c r="E80" s="64" t="s">
        <v>97</v>
      </c>
      <c r="F80" s="63" t="str">
        <f t="shared" ref="F80:K80" si="108">IF(OR($C79="-",$C79="CET",$C79=""),"-",IF(AND(NOT(F79="-"),NOT(F$5="-"),NOT(F$5="")),F79/F$5,"-"))</f>
        <v>-</v>
      </c>
      <c r="G80" s="63" t="str">
        <f t="shared" si="108"/>
        <v>-</v>
      </c>
      <c r="H80" s="63" t="str">
        <f t="shared" si="108"/>
        <v>-</v>
      </c>
      <c r="I80" s="63" t="str">
        <f t="shared" si="108"/>
        <v>-</v>
      </c>
      <c r="J80" s="63" t="str">
        <f t="shared" si="108"/>
        <v>-</v>
      </c>
      <c r="K80" s="168" t="str">
        <f t="shared" si="108"/>
        <v>-</v>
      </c>
      <c r="L80" s="168" t="str">
        <f t="shared" ref="L80" si="109">IF(OR($C79="-",$C79="CET",$C79=""),"-",IF(AND(NOT(L79="-"),NOT(L$5="-"),NOT(L$5="")),L79/L$5,"-"))</f>
        <v>-</v>
      </c>
      <c r="M80" s="63" t="s">
        <v>5</v>
      </c>
      <c r="N80" s="741"/>
      <c r="O80" s="749"/>
      <c r="P80" s="750"/>
      <c r="Q80" s="750"/>
      <c r="R80" s="750"/>
      <c r="S80" s="749"/>
      <c r="T80" s="750"/>
      <c r="U80" s="750"/>
      <c r="V80" s="754"/>
      <c r="W80" s="345"/>
      <c r="X80" s="345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BC80" s="155" t="str">
        <f t="shared" si="17"/>
        <v>-</v>
      </c>
      <c r="BD80" s="151" t="str">
        <f>$B72</f>
        <v>Drive Mode 2</v>
      </c>
      <c r="BE80" s="153" t="str">
        <f t="shared" ref="BE80:BJ80" si="110">F75</f>
        <v>-</v>
      </c>
      <c r="BF80" s="153" t="str">
        <f t="shared" si="110"/>
        <v>-</v>
      </c>
      <c r="BG80" s="153" t="str">
        <f t="shared" si="110"/>
        <v>-</v>
      </c>
      <c r="BH80" s="153" t="str">
        <f t="shared" si="110"/>
        <v>-</v>
      </c>
      <c r="BI80" s="153" t="str">
        <f t="shared" si="110"/>
        <v>-</v>
      </c>
      <c r="BJ80" s="153" t="str">
        <f t="shared" si="110"/>
        <v>-</v>
      </c>
      <c r="BK80" s="153" t="str">
        <f t="shared" ref="BK80:BL80" si="111">L75</f>
        <v>-</v>
      </c>
      <c r="BL80" s="153" t="str">
        <f t="shared" si="111"/>
        <v>-</v>
      </c>
      <c r="BM80" s="153">
        <f>N75</f>
        <v>0</v>
      </c>
    </row>
    <row r="81" spans="1:72" ht="15" customHeight="1" outlineLevel="1" thickBot="1" x14ac:dyDescent="0.3">
      <c r="A81" s="40"/>
      <c r="B81" s="777"/>
      <c r="C81" s="771"/>
      <c r="D81" s="774"/>
      <c r="E81" s="62" t="s">
        <v>30</v>
      </c>
      <c r="F81" s="62" t="str">
        <f t="shared" ref="F81:L81" si="112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62" t="str">
        <f t="shared" si="112"/>
        <v>-</v>
      </c>
      <c r="H81" s="62" t="str">
        <f t="shared" si="112"/>
        <v>-</v>
      </c>
      <c r="I81" s="62" t="str">
        <f t="shared" si="112"/>
        <v>-</v>
      </c>
      <c r="J81" s="62" t="str">
        <f t="shared" si="112"/>
        <v>-</v>
      </c>
      <c r="K81" s="169" t="str">
        <f t="shared" si="112"/>
        <v>-</v>
      </c>
      <c r="L81" s="169" t="str">
        <f t="shared" si="112"/>
        <v>-</v>
      </c>
      <c r="M81" s="62" t="s">
        <v>5</v>
      </c>
      <c r="N81" s="742"/>
      <c r="O81" s="749"/>
      <c r="P81" s="750"/>
      <c r="Q81" s="750"/>
      <c r="R81" s="750"/>
      <c r="S81" s="749"/>
      <c r="T81" s="750"/>
      <c r="U81" s="750"/>
      <c r="V81" s="754"/>
      <c r="W81" s="345"/>
      <c r="X81" s="345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BC81" s="155" t="str">
        <f t="shared" si="17"/>
        <v>-</v>
      </c>
      <c r="BD81" s="151" t="str">
        <f>$B77</f>
        <v>Drive Mode 3</v>
      </c>
      <c r="BE81" s="153" t="str">
        <f t="shared" ref="BE81:BJ81" si="113">F80</f>
        <v>-</v>
      </c>
      <c r="BF81" s="153" t="str">
        <f t="shared" si="113"/>
        <v>-</v>
      </c>
      <c r="BG81" s="153" t="str">
        <f t="shared" si="113"/>
        <v>-</v>
      </c>
      <c r="BH81" s="153" t="str">
        <f t="shared" si="113"/>
        <v>-</v>
      </c>
      <c r="BI81" s="153" t="str">
        <f t="shared" si="113"/>
        <v>-</v>
      </c>
      <c r="BJ81" s="153" t="str">
        <f t="shared" si="113"/>
        <v>-</v>
      </c>
      <c r="BK81" s="153" t="str">
        <f t="shared" ref="BK81:BL81" si="114">L80</f>
        <v>-</v>
      </c>
      <c r="BL81" s="153" t="str">
        <f t="shared" si="114"/>
        <v>-</v>
      </c>
      <c r="BM81" s="153">
        <f>N80</f>
        <v>0</v>
      </c>
    </row>
    <row r="82" spans="1:72" ht="15" customHeight="1" outlineLevel="1" x14ac:dyDescent="0.25">
      <c r="A82" s="40"/>
      <c r="B82" s="775" t="s">
        <v>122</v>
      </c>
      <c r="C82" s="770" t="s">
        <v>114</v>
      </c>
      <c r="D82" s="770" t="s">
        <v>113</v>
      </c>
      <c r="E82" s="106" t="s">
        <v>94</v>
      </c>
      <c r="F82" s="98" t="s">
        <v>5</v>
      </c>
      <c r="G82" s="98" t="s">
        <v>5</v>
      </c>
      <c r="H82" s="98" t="s">
        <v>5</v>
      </c>
      <c r="I82" s="98" t="s">
        <v>5</v>
      </c>
      <c r="J82" s="98" t="s">
        <v>5</v>
      </c>
      <c r="K82" s="165" t="s">
        <v>5</v>
      </c>
      <c r="L82" s="165" t="s">
        <v>5</v>
      </c>
      <c r="M82" s="98" t="s">
        <v>5</v>
      </c>
      <c r="N82" s="98" t="s">
        <v>5</v>
      </c>
      <c r="O82" s="749"/>
      <c r="P82" s="750"/>
      <c r="Q82" s="750"/>
      <c r="R82" s="750"/>
      <c r="S82" s="749"/>
      <c r="T82" s="750"/>
      <c r="U82" s="750"/>
      <c r="V82" s="754"/>
      <c r="W82" s="345"/>
      <c r="X82" s="345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BC82" s="155" t="str">
        <f t="shared" ref="BC82:BC145" si="115">IF(COUNTIF(F82:M82,"refused")&gt;0,"refused",IF(COUNTIF(F82:M82,"failed")&gt;0,"failed",IF(COUNTIF(F82:M82,"passed")&gt;0,"passed","-")))</f>
        <v>-</v>
      </c>
      <c r="BD82" s="151" t="str">
        <f>$B82</f>
        <v>Drive Mode 4</v>
      </c>
      <c r="BE82" s="153" t="str">
        <f t="shared" ref="BE82:BJ82" si="116">F85</f>
        <v>-</v>
      </c>
      <c r="BF82" s="153" t="str">
        <f t="shared" si="116"/>
        <v>-</v>
      </c>
      <c r="BG82" s="153" t="str">
        <f t="shared" si="116"/>
        <v>-</v>
      </c>
      <c r="BH82" s="153" t="str">
        <f t="shared" si="116"/>
        <v>-</v>
      </c>
      <c r="BI82" s="153" t="str">
        <f t="shared" si="116"/>
        <v>-</v>
      </c>
      <c r="BJ82" s="153" t="str">
        <f t="shared" si="116"/>
        <v>-</v>
      </c>
      <c r="BK82" s="153" t="str">
        <f t="shared" ref="BK82:BL82" si="117">L85</f>
        <v>-</v>
      </c>
      <c r="BL82" s="153" t="str">
        <f t="shared" si="117"/>
        <v>-</v>
      </c>
      <c r="BM82" s="153">
        <f>N85</f>
        <v>0</v>
      </c>
    </row>
    <row r="83" spans="1:72" s="50" customFormat="1" ht="15" customHeight="1" outlineLevel="1" thickBot="1" x14ac:dyDescent="0.3">
      <c r="A83" s="52"/>
      <c r="B83" s="776"/>
      <c r="C83" s="741"/>
      <c r="D83" s="742"/>
      <c r="E83" s="104" t="s">
        <v>95</v>
      </c>
      <c r="F83" s="97" t="s">
        <v>5</v>
      </c>
      <c r="G83" s="97" t="s">
        <v>5</v>
      </c>
      <c r="H83" s="97" t="s">
        <v>5</v>
      </c>
      <c r="I83" s="97" t="s">
        <v>5</v>
      </c>
      <c r="J83" s="97" t="s">
        <v>5</v>
      </c>
      <c r="K83" s="166" t="s">
        <v>5</v>
      </c>
      <c r="L83" s="166" t="s">
        <v>5</v>
      </c>
      <c r="M83" s="97" t="s">
        <v>5</v>
      </c>
      <c r="N83" s="97" t="s">
        <v>5</v>
      </c>
      <c r="O83" s="749"/>
      <c r="P83" s="750"/>
      <c r="Q83" s="750"/>
      <c r="R83" s="750"/>
      <c r="S83" s="749"/>
      <c r="T83" s="750"/>
      <c r="U83" s="750"/>
      <c r="V83" s="754"/>
      <c r="W83" s="51"/>
      <c r="X83" s="51"/>
      <c r="Y83" s="743"/>
      <c r="Z83" s="743"/>
      <c r="AA83" s="743"/>
      <c r="AB83" s="743"/>
      <c r="AC83" s="743"/>
      <c r="AD83" s="743"/>
      <c r="AE83" s="743"/>
      <c r="AF83" s="743"/>
      <c r="AG83" s="743"/>
      <c r="AH83" s="743"/>
      <c r="BC83" s="155" t="str">
        <f t="shared" si="115"/>
        <v>-</v>
      </c>
      <c r="BD83" s="151" t="str">
        <f>$B87</f>
        <v>Drive Mode 5</v>
      </c>
      <c r="BE83" s="153" t="str">
        <f t="shared" ref="BE83:BJ83" si="118">F90</f>
        <v>-</v>
      </c>
      <c r="BF83" s="153" t="str">
        <f t="shared" si="118"/>
        <v>-</v>
      </c>
      <c r="BG83" s="153" t="str">
        <f t="shared" si="118"/>
        <v>-</v>
      </c>
      <c r="BH83" s="153" t="str">
        <f t="shared" si="118"/>
        <v>-</v>
      </c>
      <c r="BI83" s="153" t="str">
        <f t="shared" si="118"/>
        <v>-</v>
      </c>
      <c r="BJ83" s="153" t="str">
        <f t="shared" si="118"/>
        <v>-</v>
      </c>
      <c r="BK83" s="153" t="str">
        <f t="shared" ref="BK83:BL83" si="119">L90</f>
        <v>-</v>
      </c>
      <c r="BL83" s="153" t="str">
        <f t="shared" si="119"/>
        <v>-</v>
      </c>
      <c r="BM83" s="153">
        <f>N90</f>
        <v>0</v>
      </c>
      <c r="BN83" s="150"/>
      <c r="BO83" s="150"/>
      <c r="BP83" s="150"/>
      <c r="BQ83" s="150"/>
      <c r="BR83" s="150"/>
      <c r="BS83" s="150"/>
      <c r="BT83" s="150"/>
    </row>
    <row r="84" spans="1:72" ht="15" customHeight="1" outlineLevel="1" thickBot="1" x14ac:dyDescent="0.3">
      <c r="A84" s="40"/>
      <c r="B84" s="776"/>
      <c r="C84" s="764">
        <v>1</v>
      </c>
      <c r="D84" s="772" t="str">
        <f>IF(AND(F85="-",G85="-",H85="-",I85="-",J85="-",K85="-",K85="-",L85="-"),"-",MAX(F85,G85,H85,I85,J85,K85,L85,M85))</f>
        <v>-</v>
      </c>
      <c r="E84" s="66" t="s">
        <v>177</v>
      </c>
      <c r="F84" s="65" t="str">
        <f t="shared" ref="F84:K84" si="120">IF(OR(F83="-",F83=""),IF(OR(F82="-",F82=""),"-",F82),IF(OR(F82="-",F82=""),F83,(F82+F83)/2))</f>
        <v>-</v>
      </c>
      <c r="G84" s="65" t="str">
        <f t="shared" si="120"/>
        <v>-</v>
      </c>
      <c r="H84" s="65" t="str">
        <f t="shared" si="120"/>
        <v>-</v>
      </c>
      <c r="I84" s="65" t="str">
        <f t="shared" si="120"/>
        <v>-</v>
      </c>
      <c r="J84" s="65" t="str">
        <f t="shared" si="120"/>
        <v>-</v>
      </c>
      <c r="K84" s="167" t="str">
        <f t="shared" si="120"/>
        <v>-</v>
      </c>
      <c r="L84" s="167" t="str">
        <f t="shared" ref="L84" si="121">IF(OR(L83="-",L83=""),IF(OR(L82="-",L82=""),"-",L82),IF(OR(L82="-",L82=""),L83,(L82+L83)/2))</f>
        <v>-</v>
      </c>
      <c r="M84" s="65" t="s">
        <v>5</v>
      </c>
      <c r="N84" s="740"/>
      <c r="O84" s="749"/>
      <c r="P84" s="750"/>
      <c r="Q84" s="750"/>
      <c r="R84" s="750"/>
      <c r="S84" s="749"/>
      <c r="T84" s="750"/>
      <c r="U84" s="750"/>
      <c r="V84" s="754"/>
      <c r="W84" s="345"/>
      <c r="X84" s="345"/>
      <c r="Y84" s="743"/>
      <c r="Z84" s="743"/>
      <c r="AA84" s="743"/>
      <c r="AB84" s="743"/>
      <c r="AC84" s="743"/>
      <c r="AD84" s="743"/>
      <c r="AE84" s="743"/>
      <c r="AF84" s="743"/>
      <c r="AG84" s="743"/>
      <c r="AH84" s="743"/>
      <c r="BC84" s="155" t="str">
        <f t="shared" si="115"/>
        <v>-</v>
      </c>
      <c r="BD84" s="151" t="str">
        <f>$B92</f>
        <v>Drive Mode 6</v>
      </c>
      <c r="BE84" s="153" t="str">
        <f t="shared" ref="BE84:BJ84" si="122">F95</f>
        <v>-</v>
      </c>
      <c r="BF84" s="153" t="str">
        <f t="shared" si="122"/>
        <v>-</v>
      </c>
      <c r="BG84" s="153" t="str">
        <f t="shared" si="122"/>
        <v>-</v>
      </c>
      <c r="BH84" s="153" t="str">
        <f t="shared" si="122"/>
        <v>-</v>
      </c>
      <c r="BI84" s="153" t="str">
        <f t="shared" si="122"/>
        <v>-</v>
      </c>
      <c r="BJ84" s="153" t="str">
        <f t="shared" si="122"/>
        <v>-</v>
      </c>
      <c r="BK84" s="153" t="str">
        <f t="shared" ref="BK84:BL84" si="123">L95</f>
        <v>-</v>
      </c>
      <c r="BL84" s="153" t="str">
        <f t="shared" si="123"/>
        <v>-</v>
      </c>
      <c r="BM84" s="153">
        <f>N95</f>
        <v>0</v>
      </c>
    </row>
    <row r="85" spans="1:72" ht="15" customHeight="1" outlineLevel="1" thickBot="1" x14ac:dyDescent="0.3">
      <c r="A85" s="40"/>
      <c r="B85" s="776"/>
      <c r="C85" s="765"/>
      <c r="D85" s="773"/>
      <c r="E85" s="64" t="s">
        <v>97</v>
      </c>
      <c r="F85" s="63" t="str">
        <f t="shared" ref="F85:K85" si="124">IF(OR($C84="-",$C84="CET",$C84=""),"-",IF(AND(NOT(F84="-"),NOT(F$5="-"),NOT(F$5="")),F84/F$5,"-"))</f>
        <v>-</v>
      </c>
      <c r="G85" s="63" t="str">
        <f t="shared" si="124"/>
        <v>-</v>
      </c>
      <c r="H85" s="63" t="str">
        <f t="shared" si="124"/>
        <v>-</v>
      </c>
      <c r="I85" s="63" t="str">
        <f t="shared" si="124"/>
        <v>-</v>
      </c>
      <c r="J85" s="63" t="str">
        <f t="shared" si="124"/>
        <v>-</v>
      </c>
      <c r="K85" s="168" t="str">
        <f t="shared" si="124"/>
        <v>-</v>
      </c>
      <c r="L85" s="168" t="str">
        <f t="shared" ref="L85" si="125">IF(OR($C84="-",$C84="CET",$C84=""),"-",IF(AND(NOT(L84="-"),NOT(L$5="-"),NOT(L$5="")),L84/L$5,"-"))</f>
        <v>-</v>
      </c>
      <c r="M85" s="63" t="s">
        <v>5</v>
      </c>
      <c r="N85" s="741"/>
      <c r="O85" s="749"/>
      <c r="P85" s="750"/>
      <c r="Q85" s="750"/>
      <c r="R85" s="750"/>
      <c r="S85" s="749"/>
      <c r="T85" s="750"/>
      <c r="U85" s="750"/>
      <c r="V85" s="754"/>
      <c r="W85" s="345"/>
      <c r="X85" s="345"/>
      <c r="Y85" s="743"/>
      <c r="Z85" s="743"/>
      <c r="AA85" s="743"/>
      <c r="AB85" s="743"/>
      <c r="AC85" s="743"/>
      <c r="AD85" s="743"/>
      <c r="AE85" s="743"/>
      <c r="AF85" s="743"/>
      <c r="AG85" s="743"/>
      <c r="AH85" s="743"/>
      <c r="BC85" s="155" t="str">
        <f t="shared" si="115"/>
        <v>-</v>
      </c>
      <c r="BD85" s="151" t="str">
        <f>"IEF " &amp;B67</f>
        <v>IEF Drive Mode 1</v>
      </c>
      <c r="BE85" s="153">
        <f t="shared" ref="BE85:BM85" si="126">IF(OR($C69="CET",$C69="-",$C69=""),"-",$C69)</f>
        <v>1</v>
      </c>
      <c r="BF85" s="153">
        <f t="shared" si="126"/>
        <v>1</v>
      </c>
      <c r="BG85" s="153">
        <f t="shared" si="126"/>
        <v>1</v>
      </c>
      <c r="BH85" s="153">
        <f t="shared" si="126"/>
        <v>1</v>
      </c>
      <c r="BI85" s="153">
        <f t="shared" si="126"/>
        <v>1</v>
      </c>
      <c r="BJ85" s="153">
        <f t="shared" si="126"/>
        <v>1</v>
      </c>
      <c r="BK85" s="153">
        <f t="shared" ref="BK85:BL85" si="127">IF(OR($C69="CET",$C69="-",$C69=""),"-",$C69)</f>
        <v>1</v>
      </c>
      <c r="BL85" s="153">
        <f t="shared" si="127"/>
        <v>1</v>
      </c>
      <c r="BM85" s="153">
        <f t="shared" si="126"/>
        <v>1</v>
      </c>
    </row>
    <row r="86" spans="1:72" ht="15" customHeight="1" outlineLevel="1" thickBot="1" x14ac:dyDescent="0.3">
      <c r="A86" s="40"/>
      <c r="B86" s="777"/>
      <c r="C86" s="771"/>
      <c r="D86" s="774"/>
      <c r="E86" s="62" t="s">
        <v>30</v>
      </c>
      <c r="F86" s="62" t="str">
        <f t="shared" ref="F86:L86" si="128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62" t="str">
        <f t="shared" si="128"/>
        <v>-</v>
      </c>
      <c r="H86" s="62" t="str">
        <f t="shared" si="128"/>
        <v>-</v>
      </c>
      <c r="I86" s="62" t="str">
        <f t="shared" si="128"/>
        <v>-</v>
      </c>
      <c r="J86" s="62" t="str">
        <f t="shared" si="128"/>
        <v>-</v>
      </c>
      <c r="K86" s="169" t="str">
        <f t="shared" si="128"/>
        <v>-</v>
      </c>
      <c r="L86" s="169" t="str">
        <f t="shared" si="128"/>
        <v>-</v>
      </c>
      <c r="M86" s="62" t="s">
        <v>5</v>
      </c>
      <c r="N86" s="742"/>
      <c r="O86" s="749"/>
      <c r="P86" s="750"/>
      <c r="Q86" s="750"/>
      <c r="R86" s="750"/>
      <c r="S86" s="749"/>
      <c r="T86" s="750"/>
      <c r="U86" s="750"/>
      <c r="V86" s="754"/>
      <c r="W86" s="345"/>
      <c r="X86" s="345"/>
      <c r="Y86" s="743"/>
      <c r="Z86" s="743"/>
      <c r="AA86" s="743"/>
      <c r="AB86" s="743"/>
      <c r="AC86" s="743"/>
      <c r="AD86" s="743"/>
      <c r="AE86" s="743"/>
      <c r="AF86" s="743"/>
      <c r="AG86" s="743"/>
      <c r="AH86" s="743"/>
      <c r="BC86" s="155" t="str">
        <f t="shared" si="115"/>
        <v>-</v>
      </c>
      <c r="BD86" s="151" t="str">
        <f>"IEF " &amp; B72</f>
        <v>IEF Drive Mode 2</v>
      </c>
      <c r="BE86" s="153">
        <f t="shared" ref="BE86:BM86" si="129">IF(OR($C74="CET",$C74="-",$C74=""),"-",$C74)</f>
        <v>1</v>
      </c>
      <c r="BF86" s="153">
        <f t="shared" si="129"/>
        <v>1</v>
      </c>
      <c r="BG86" s="153">
        <f t="shared" si="129"/>
        <v>1</v>
      </c>
      <c r="BH86" s="153">
        <f t="shared" si="129"/>
        <v>1</v>
      </c>
      <c r="BI86" s="153">
        <f t="shared" si="129"/>
        <v>1</v>
      </c>
      <c r="BJ86" s="153">
        <f t="shared" si="129"/>
        <v>1</v>
      </c>
      <c r="BK86" s="153">
        <f t="shared" ref="BK86:BL86" si="130">IF(OR($C74="CET",$C74="-",$C74=""),"-",$C74)</f>
        <v>1</v>
      </c>
      <c r="BL86" s="153">
        <f t="shared" si="130"/>
        <v>1</v>
      </c>
      <c r="BM86" s="153">
        <f t="shared" si="129"/>
        <v>1</v>
      </c>
    </row>
    <row r="87" spans="1:72" ht="15" customHeight="1" outlineLevel="1" x14ac:dyDescent="0.25">
      <c r="A87" s="40"/>
      <c r="B87" s="775" t="s">
        <v>121</v>
      </c>
      <c r="C87" s="770" t="s">
        <v>114</v>
      </c>
      <c r="D87" s="770" t="s">
        <v>113</v>
      </c>
      <c r="E87" s="106" t="s">
        <v>94</v>
      </c>
      <c r="F87" s="98" t="s">
        <v>5</v>
      </c>
      <c r="G87" s="98" t="s">
        <v>5</v>
      </c>
      <c r="H87" s="98" t="s">
        <v>5</v>
      </c>
      <c r="I87" s="98" t="s">
        <v>5</v>
      </c>
      <c r="J87" s="98" t="s">
        <v>5</v>
      </c>
      <c r="K87" s="165" t="s">
        <v>5</v>
      </c>
      <c r="L87" s="165" t="s">
        <v>5</v>
      </c>
      <c r="M87" s="98" t="s">
        <v>5</v>
      </c>
      <c r="N87" s="98" t="s">
        <v>5</v>
      </c>
      <c r="O87" s="749"/>
      <c r="P87" s="750"/>
      <c r="Q87" s="750"/>
      <c r="R87" s="750"/>
      <c r="S87" s="749"/>
      <c r="T87" s="750"/>
      <c r="U87" s="750"/>
      <c r="V87" s="754"/>
      <c r="W87" s="345"/>
      <c r="X87" s="345"/>
      <c r="Y87" s="743"/>
      <c r="Z87" s="743"/>
      <c r="AA87" s="743"/>
      <c r="AB87" s="743"/>
      <c r="AC87" s="743"/>
      <c r="AD87" s="743"/>
      <c r="AE87" s="743"/>
      <c r="AF87" s="743"/>
      <c r="AG87" s="743"/>
      <c r="AH87" s="743"/>
      <c r="BC87" s="155" t="str">
        <f t="shared" si="115"/>
        <v>-</v>
      </c>
      <c r="BD87" s="151" t="str">
        <f>"IEF " &amp; B77</f>
        <v>IEF Drive Mode 3</v>
      </c>
      <c r="BE87" s="153">
        <f t="shared" ref="BE87:BM87" si="131">IF(OR($C79="CET",$C79="-",$C79=""),"-",$C79)</f>
        <v>1</v>
      </c>
      <c r="BF87" s="153">
        <f t="shared" si="131"/>
        <v>1</v>
      </c>
      <c r="BG87" s="153">
        <f t="shared" si="131"/>
        <v>1</v>
      </c>
      <c r="BH87" s="153">
        <f t="shared" si="131"/>
        <v>1</v>
      </c>
      <c r="BI87" s="153">
        <f t="shared" si="131"/>
        <v>1</v>
      </c>
      <c r="BJ87" s="153">
        <f t="shared" si="131"/>
        <v>1</v>
      </c>
      <c r="BK87" s="153">
        <f t="shared" ref="BK87:BL87" si="132">IF(OR($C79="CET",$C79="-",$C79=""),"-",$C79)</f>
        <v>1</v>
      </c>
      <c r="BL87" s="153">
        <f t="shared" si="132"/>
        <v>1</v>
      </c>
      <c r="BM87" s="153">
        <f t="shared" si="131"/>
        <v>1</v>
      </c>
    </row>
    <row r="88" spans="1:72" s="50" customFormat="1" ht="15" customHeight="1" outlineLevel="1" thickBot="1" x14ac:dyDescent="0.3">
      <c r="A88" s="52"/>
      <c r="B88" s="776"/>
      <c r="C88" s="741"/>
      <c r="D88" s="742"/>
      <c r="E88" s="104" t="s">
        <v>95</v>
      </c>
      <c r="F88" s="97" t="s">
        <v>5</v>
      </c>
      <c r="G88" s="97" t="s">
        <v>5</v>
      </c>
      <c r="H88" s="97" t="s">
        <v>5</v>
      </c>
      <c r="I88" s="97" t="s">
        <v>5</v>
      </c>
      <c r="J88" s="97" t="s">
        <v>5</v>
      </c>
      <c r="K88" s="166" t="s">
        <v>5</v>
      </c>
      <c r="L88" s="166" t="s">
        <v>5</v>
      </c>
      <c r="M88" s="97" t="s">
        <v>5</v>
      </c>
      <c r="N88" s="97" t="s">
        <v>5</v>
      </c>
      <c r="O88" s="749"/>
      <c r="P88" s="750"/>
      <c r="Q88" s="750"/>
      <c r="R88" s="750"/>
      <c r="S88" s="749"/>
      <c r="T88" s="750"/>
      <c r="U88" s="750"/>
      <c r="V88" s="754"/>
      <c r="W88" s="51"/>
      <c r="X88" s="51"/>
      <c r="Y88" s="743"/>
      <c r="Z88" s="743"/>
      <c r="AA88" s="743"/>
      <c r="AB88" s="743"/>
      <c r="AC88" s="743"/>
      <c r="AD88" s="743"/>
      <c r="AE88" s="743"/>
      <c r="AF88" s="743"/>
      <c r="AG88" s="743"/>
      <c r="AH88" s="743"/>
      <c r="BC88" s="155" t="str">
        <f t="shared" si="115"/>
        <v>-</v>
      </c>
      <c r="BD88" s="151" t="str">
        <f>"IEF " &amp; B82</f>
        <v>IEF Drive Mode 4</v>
      </c>
      <c r="BE88" s="153">
        <f t="shared" ref="BE88:BM88" si="133">IF(OR($C84="CET",$C84="-",$C84=""),"-",$C84)</f>
        <v>1</v>
      </c>
      <c r="BF88" s="153">
        <f t="shared" si="133"/>
        <v>1</v>
      </c>
      <c r="BG88" s="153">
        <f t="shared" si="133"/>
        <v>1</v>
      </c>
      <c r="BH88" s="153">
        <f t="shared" si="133"/>
        <v>1</v>
      </c>
      <c r="BI88" s="153">
        <f t="shared" si="133"/>
        <v>1</v>
      </c>
      <c r="BJ88" s="153">
        <f t="shared" si="133"/>
        <v>1</v>
      </c>
      <c r="BK88" s="153">
        <f t="shared" ref="BK88:BL88" si="134">IF(OR($C84="CET",$C84="-",$C84=""),"-",$C84)</f>
        <v>1</v>
      </c>
      <c r="BL88" s="153">
        <f t="shared" si="134"/>
        <v>1</v>
      </c>
      <c r="BM88" s="153">
        <f t="shared" si="133"/>
        <v>1</v>
      </c>
      <c r="BN88" s="150"/>
      <c r="BO88" s="150"/>
      <c r="BP88" s="150"/>
      <c r="BQ88" s="150"/>
      <c r="BR88" s="150"/>
      <c r="BS88" s="150"/>
      <c r="BT88" s="150"/>
    </row>
    <row r="89" spans="1:72" ht="15" customHeight="1" outlineLevel="1" thickBot="1" x14ac:dyDescent="0.3">
      <c r="A89" s="40"/>
      <c r="B89" s="776"/>
      <c r="C89" s="764">
        <v>1</v>
      </c>
      <c r="D89" s="772" t="str">
        <f>IF(AND(F90="-",G90="-",H90="-",I90="-",J90="-",K90="-",K90="-",L90="-"),"-",MAX(F90,G90,H90,I90,J90,K90,L90,M90))</f>
        <v>-</v>
      </c>
      <c r="E89" s="66" t="s">
        <v>177</v>
      </c>
      <c r="F89" s="65" t="str">
        <f t="shared" ref="F89:K89" si="135">IF(OR(F88="-",F88=""),IF(OR(F87="-",F87=""),"-",F87),IF(OR(F87="-",F87=""),F88,(F87+F88)/2))</f>
        <v>-</v>
      </c>
      <c r="G89" s="65" t="str">
        <f t="shared" si="135"/>
        <v>-</v>
      </c>
      <c r="H89" s="65" t="str">
        <f t="shared" si="135"/>
        <v>-</v>
      </c>
      <c r="I89" s="65" t="str">
        <f t="shared" si="135"/>
        <v>-</v>
      </c>
      <c r="J89" s="65" t="str">
        <f t="shared" si="135"/>
        <v>-</v>
      </c>
      <c r="K89" s="167" t="str">
        <f t="shared" si="135"/>
        <v>-</v>
      </c>
      <c r="L89" s="167" t="str">
        <f t="shared" ref="L89" si="136">IF(OR(L88="-",L88=""),IF(OR(L87="-",L87=""),"-",L87),IF(OR(L87="-",L87=""),L88,(L87+L88)/2))</f>
        <v>-</v>
      </c>
      <c r="M89" s="65" t="s">
        <v>5</v>
      </c>
      <c r="N89" s="740"/>
      <c r="O89" s="749"/>
      <c r="P89" s="750"/>
      <c r="Q89" s="750"/>
      <c r="R89" s="750"/>
      <c r="S89" s="749"/>
      <c r="T89" s="750"/>
      <c r="U89" s="750"/>
      <c r="V89" s="754"/>
      <c r="W89" s="345"/>
      <c r="X89" s="345"/>
      <c r="Y89" s="743"/>
      <c r="Z89" s="743"/>
      <c r="AA89" s="743"/>
      <c r="AB89" s="743"/>
      <c r="AC89" s="743"/>
      <c r="AD89" s="743"/>
      <c r="AE89" s="743"/>
      <c r="AF89" s="743"/>
      <c r="AG89" s="743"/>
      <c r="AH89" s="743"/>
      <c r="BC89" s="155" t="str">
        <f t="shared" si="115"/>
        <v>-</v>
      </c>
      <c r="BD89" s="151" t="str">
        <f>"IEF " &amp; B87</f>
        <v>IEF Drive Mode 5</v>
      </c>
      <c r="BE89" s="153">
        <f t="shared" ref="BE89:BM89" si="137">IF(OR($C89="CET",$C89="-",$C89=""),"-",$C89)</f>
        <v>1</v>
      </c>
      <c r="BF89" s="153">
        <f t="shared" si="137"/>
        <v>1</v>
      </c>
      <c r="BG89" s="153">
        <f t="shared" si="137"/>
        <v>1</v>
      </c>
      <c r="BH89" s="153">
        <f t="shared" si="137"/>
        <v>1</v>
      </c>
      <c r="BI89" s="153">
        <f t="shared" si="137"/>
        <v>1</v>
      </c>
      <c r="BJ89" s="153">
        <f t="shared" si="137"/>
        <v>1</v>
      </c>
      <c r="BK89" s="153">
        <f t="shared" si="137"/>
        <v>1</v>
      </c>
      <c r="BL89" s="153">
        <f t="shared" si="137"/>
        <v>1</v>
      </c>
      <c r="BM89" s="153">
        <f t="shared" si="137"/>
        <v>1</v>
      </c>
    </row>
    <row r="90" spans="1:72" ht="15" customHeight="1" outlineLevel="1" thickBot="1" x14ac:dyDescent="0.3">
      <c r="A90" s="40"/>
      <c r="B90" s="776"/>
      <c r="C90" s="765"/>
      <c r="D90" s="773"/>
      <c r="E90" s="64" t="s">
        <v>97</v>
      </c>
      <c r="F90" s="63" t="str">
        <f t="shared" ref="F90:K90" si="138">IF(OR($C89="-",$C89="CET",$C89=""),"-",IF(AND(NOT(F89="-"),NOT(F$5="-"),NOT(F$5="")),F89/F$5,"-"))</f>
        <v>-</v>
      </c>
      <c r="G90" s="63" t="str">
        <f t="shared" si="138"/>
        <v>-</v>
      </c>
      <c r="H90" s="63" t="str">
        <f t="shared" si="138"/>
        <v>-</v>
      </c>
      <c r="I90" s="63" t="str">
        <f t="shared" si="138"/>
        <v>-</v>
      </c>
      <c r="J90" s="63" t="str">
        <f t="shared" si="138"/>
        <v>-</v>
      </c>
      <c r="K90" s="168" t="str">
        <f t="shared" si="138"/>
        <v>-</v>
      </c>
      <c r="L90" s="168" t="str">
        <f t="shared" ref="L90" si="139">IF(OR($C89="-",$C89="CET",$C89=""),"-",IF(AND(NOT(L89="-"),NOT(L$5="-"),NOT(L$5="")),L89/L$5,"-"))</f>
        <v>-</v>
      </c>
      <c r="M90" s="63" t="s">
        <v>5</v>
      </c>
      <c r="N90" s="741"/>
      <c r="O90" s="749"/>
      <c r="P90" s="750"/>
      <c r="Q90" s="750"/>
      <c r="R90" s="750"/>
      <c r="S90" s="749"/>
      <c r="T90" s="750"/>
      <c r="U90" s="750"/>
      <c r="V90" s="754"/>
      <c r="W90" s="345"/>
      <c r="X90" s="345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BC90" s="155" t="str">
        <f t="shared" si="115"/>
        <v>-</v>
      </c>
      <c r="BD90" s="151" t="str">
        <f>"IEF " &amp; B92</f>
        <v>IEF Drive Mode 6</v>
      </c>
      <c r="BE90" s="153">
        <f t="shared" ref="BE90:BM90" si="140">IF(OR($C94="CET",$C94="-",$C94=""),"-",$C94)</f>
        <v>1</v>
      </c>
      <c r="BF90" s="153">
        <f t="shared" si="140"/>
        <v>1</v>
      </c>
      <c r="BG90" s="153">
        <f t="shared" si="140"/>
        <v>1</v>
      </c>
      <c r="BH90" s="153">
        <f t="shared" si="140"/>
        <v>1</v>
      </c>
      <c r="BI90" s="153">
        <f t="shared" si="140"/>
        <v>1</v>
      </c>
      <c r="BJ90" s="153">
        <f t="shared" si="140"/>
        <v>1</v>
      </c>
      <c r="BK90" s="153">
        <f t="shared" ref="BK90:BL90" si="141">IF(OR($C94="CET",$C94="-",$C94=""),"-",$C94)</f>
        <v>1</v>
      </c>
      <c r="BL90" s="153">
        <f t="shared" si="141"/>
        <v>1</v>
      </c>
      <c r="BM90" s="153">
        <f t="shared" si="140"/>
        <v>1</v>
      </c>
    </row>
    <row r="91" spans="1:72" ht="15" customHeight="1" outlineLevel="1" thickBot="1" x14ac:dyDescent="0.3">
      <c r="A91" s="40"/>
      <c r="B91" s="777"/>
      <c r="C91" s="771"/>
      <c r="D91" s="774"/>
      <c r="E91" s="62" t="s">
        <v>30</v>
      </c>
      <c r="F91" s="62" t="str">
        <f t="shared" ref="F91:L91" si="142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62" t="str">
        <f t="shared" si="142"/>
        <v>-</v>
      </c>
      <c r="H91" s="62" t="str">
        <f t="shared" si="142"/>
        <v>-</v>
      </c>
      <c r="I91" s="62" t="str">
        <f t="shared" si="142"/>
        <v>-</v>
      </c>
      <c r="J91" s="62" t="str">
        <f t="shared" si="142"/>
        <v>-</v>
      </c>
      <c r="K91" s="169" t="str">
        <f t="shared" si="142"/>
        <v>-</v>
      </c>
      <c r="L91" s="169" t="str">
        <f t="shared" si="142"/>
        <v>-</v>
      </c>
      <c r="M91" s="62" t="s">
        <v>5</v>
      </c>
      <c r="N91" s="742"/>
      <c r="O91" s="749"/>
      <c r="P91" s="750"/>
      <c r="Q91" s="750"/>
      <c r="R91" s="750"/>
      <c r="S91" s="749"/>
      <c r="T91" s="750"/>
      <c r="U91" s="750"/>
      <c r="V91" s="754"/>
      <c r="W91" s="345"/>
      <c r="X91" s="345"/>
      <c r="Y91" s="743"/>
      <c r="Z91" s="743"/>
      <c r="AA91" s="743"/>
      <c r="AB91" s="743"/>
      <c r="AC91" s="743"/>
      <c r="AD91" s="743"/>
      <c r="AE91" s="743"/>
      <c r="AF91" s="743"/>
      <c r="AG91" s="743"/>
      <c r="AH91" s="743"/>
      <c r="BC91" s="155" t="str">
        <f t="shared" si="115"/>
        <v>-</v>
      </c>
    </row>
    <row r="92" spans="1:72" ht="15" customHeight="1" outlineLevel="1" x14ac:dyDescent="0.25">
      <c r="A92" s="40"/>
      <c r="B92" s="775" t="s">
        <v>120</v>
      </c>
      <c r="C92" s="814" t="s">
        <v>114</v>
      </c>
      <c r="D92" s="770" t="s">
        <v>113</v>
      </c>
      <c r="E92" s="106" t="s">
        <v>94</v>
      </c>
      <c r="F92" s="98" t="s">
        <v>5</v>
      </c>
      <c r="G92" s="98" t="s">
        <v>5</v>
      </c>
      <c r="H92" s="98" t="s">
        <v>5</v>
      </c>
      <c r="I92" s="98" t="s">
        <v>5</v>
      </c>
      <c r="J92" s="98" t="s">
        <v>5</v>
      </c>
      <c r="K92" s="165" t="s">
        <v>5</v>
      </c>
      <c r="L92" s="165" t="s">
        <v>5</v>
      </c>
      <c r="M92" s="98" t="s">
        <v>5</v>
      </c>
      <c r="N92" s="98" t="s">
        <v>5</v>
      </c>
      <c r="O92" s="749"/>
      <c r="P92" s="750"/>
      <c r="Q92" s="750"/>
      <c r="R92" s="750"/>
      <c r="S92" s="749"/>
      <c r="T92" s="750"/>
      <c r="U92" s="750"/>
      <c r="V92" s="754"/>
      <c r="W92" s="345"/>
      <c r="X92" s="345"/>
      <c r="Y92" s="743"/>
      <c r="Z92" s="743"/>
      <c r="AA92" s="743"/>
      <c r="AB92" s="743"/>
      <c r="AC92" s="743"/>
      <c r="AD92" s="743"/>
      <c r="AE92" s="743"/>
      <c r="AF92" s="743"/>
      <c r="AG92" s="743"/>
      <c r="AH92" s="743"/>
      <c r="BC92" s="155" t="str">
        <f t="shared" si="115"/>
        <v>-</v>
      </c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</row>
    <row r="93" spans="1:72" s="50" customFormat="1" ht="15" customHeight="1" outlineLevel="1" thickBot="1" x14ac:dyDescent="0.3">
      <c r="A93" s="52"/>
      <c r="B93" s="776"/>
      <c r="C93" s="815"/>
      <c r="D93" s="742"/>
      <c r="E93" s="104" t="s">
        <v>95</v>
      </c>
      <c r="F93" s="97" t="s">
        <v>5</v>
      </c>
      <c r="G93" s="97" t="s">
        <v>5</v>
      </c>
      <c r="H93" s="97" t="s">
        <v>5</v>
      </c>
      <c r="I93" s="97" t="s">
        <v>5</v>
      </c>
      <c r="J93" s="97" t="s">
        <v>5</v>
      </c>
      <c r="K93" s="166" t="s">
        <v>5</v>
      </c>
      <c r="L93" s="166" t="s">
        <v>5</v>
      </c>
      <c r="M93" s="97" t="s">
        <v>5</v>
      </c>
      <c r="N93" s="97" t="s">
        <v>5</v>
      </c>
      <c r="O93" s="749"/>
      <c r="P93" s="750"/>
      <c r="Q93" s="750"/>
      <c r="R93" s="750"/>
      <c r="S93" s="749"/>
      <c r="T93" s="750"/>
      <c r="U93" s="750"/>
      <c r="V93" s="754"/>
      <c r="W93" s="51"/>
      <c r="X93" s="51"/>
      <c r="Y93" s="743"/>
      <c r="Z93" s="743"/>
      <c r="AA93" s="743"/>
      <c r="AB93" s="743"/>
      <c r="AC93" s="743"/>
      <c r="AD93" s="743"/>
      <c r="AE93" s="743"/>
      <c r="AF93" s="743"/>
      <c r="AG93" s="743"/>
      <c r="AH93" s="743"/>
      <c r="BC93" s="155" t="str">
        <f t="shared" si="115"/>
        <v>-</v>
      </c>
      <c r="BD93" s="156"/>
      <c r="BE93" s="156"/>
      <c r="BF93" s="156"/>
      <c r="BG93" s="156"/>
      <c r="BH93" s="156"/>
      <c r="BI93" s="156"/>
      <c r="BJ93" s="156"/>
      <c r="BK93" s="156"/>
      <c r="BL93" s="156"/>
      <c r="BM93" s="156"/>
      <c r="BN93" s="150"/>
      <c r="BO93" s="150"/>
      <c r="BP93" s="150"/>
      <c r="BQ93" s="150"/>
      <c r="BR93" s="150"/>
      <c r="BS93" s="150"/>
      <c r="BT93" s="150"/>
    </row>
    <row r="94" spans="1:72" ht="15" customHeight="1" outlineLevel="1" thickBot="1" x14ac:dyDescent="0.3">
      <c r="A94" s="40"/>
      <c r="B94" s="776"/>
      <c r="C94" s="808">
        <v>1</v>
      </c>
      <c r="D94" s="772" t="str">
        <f>IF(AND(F95="-",G95="-",H95="-",I95="-",J95="-",K95="-",K95="-",L95="-"),"-",MAX(F95,G95,H95,I95,J95,K95,L95,M95))</f>
        <v>-</v>
      </c>
      <c r="E94" s="66" t="s">
        <v>177</v>
      </c>
      <c r="F94" s="65" t="str">
        <f t="shared" ref="F94:K94" si="143">IF(OR(F93="-",F93=""),IF(OR(F92="-",F92=""),"-",F92),IF(OR(F92="-",F92=""),F93,(F92+F93)/2))</f>
        <v>-</v>
      </c>
      <c r="G94" s="65" t="str">
        <f t="shared" si="143"/>
        <v>-</v>
      </c>
      <c r="H94" s="65" t="str">
        <f t="shared" si="143"/>
        <v>-</v>
      </c>
      <c r="I94" s="65" t="str">
        <f t="shared" si="143"/>
        <v>-</v>
      </c>
      <c r="J94" s="65" t="str">
        <f t="shared" si="143"/>
        <v>-</v>
      </c>
      <c r="K94" s="167" t="str">
        <f t="shared" si="143"/>
        <v>-</v>
      </c>
      <c r="L94" s="167" t="str">
        <f t="shared" ref="L94" si="144">IF(OR(L93="-",L93=""),IF(OR(L92="-",L92=""),"-",L92),IF(OR(L92="-",L92=""),L93,(L92+L93)/2))</f>
        <v>-</v>
      </c>
      <c r="M94" s="65" t="s">
        <v>5</v>
      </c>
      <c r="N94" s="740"/>
      <c r="O94" s="749"/>
      <c r="P94" s="750"/>
      <c r="Q94" s="750"/>
      <c r="R94" s="750"/>
      <c r="S94" s="749"/>
      <c r="T94" s="750"/>
      <c r="U94" s="750"/>
      <c r="V94" s="754"/>
      <c r="W94" s="345"/>
      <c r="X94" s="345"/>
      <c r="Y94" s="743"/>
      <c r="Z94" s="743"/>
      <c r="AA94" s="743"/>
      <c r="AB94" s="743"/>
      <c r="AC94" s="743"/>
      <c r="AD94" s="743"/>
      <c r="AE94" s="743"/>
      <c r="AF94" s="743"/>
      <c r="AG94" s="743"/>
      <c r="AH94" s="743"/>
      <c r="BC94" s="155" t="str">
        <f t="shared" si="115"/>
        <v>-</v>
      </c>
      <c r="BD94" s="157"/>
      <c r="BE94" s="157"/>
      <c r="BF94" s="157"/>
      <c r="BG94" s="157"/>
      <c r="BH94" s="157"/>
      <c r="BI94" s="157"/>
      <c r="BJ94" s="157"/>
      <c r="BK94" s="157"/>
      <c r="BL94" s="157"/>
      <c r="BM94" s="157"/>
    </row>
    <row r="95" spans="1:72" ht="15" customHeight="1" outlineLevel="1" thickBot="1" x14ac:dyDescent="0.3">
      <c r="A95" s="40"/>
      <c r="B95" s="776"/>
      <c r="C95" s="809"/>
      <c r="D95" s="773"/>
      <c r="E95" s="64" t="s">
        <v>97</v>
      </c>
      <c r="F95" s="63" t="str">
        <f t="shared" ref="F95:K95" si="145">IF(OR($C94="-",$C94="CET",$C94=""),"-",IF(AND(NOT(F94="-"),NOT(F$5="-"),NOT(F$5="")),F94/F$5,"-"))</f>
        <v>-</v>
      </c>
      <c r="G95" s="63" t="str">
        <f t="shared" si="145"/>
        <v>-</v>
      </c>
      <c r="H95" s="63" t="str">
        <f t="shared" si="145"/>
        <v>-</v>
      </c>
      <c r="I95" s="63" t="str">
        <f t="shared" si="145"/>
        <v>-</v>
      </c>
      <c r="J95" s="63" t="str">
        <f t="shared" si="145"/>
        <v>-</v>
      </c>
      <c r="K95" s="168" t="str">
        <f t="shared" si="145"/>
        <v>-</v>
      </c>
      <c r="L95" s="168" t="str">
        <f t="shared" ref="L95" si="146">IF(OR($C94="-",$C94="CET",$C94=""),"-",IF(AND(NOT(L94="-"),NOT(L$5="-"),NOT(L$5="")),L94/L$5,"-"))</f>
        <v>-</v>
      </c>
      <c r="M95" s="63" t="s">
        <v>5</v>
      </c>
      <c r="N95" s="741"/>
      <c r="O95" s="749"/>
      <c r="P95" s="750"/>
      <c r="Q95" s="750"/>
      <c r="R95" s="750"/>
      <c r="S95" s="749"/>
      <c r="T95" s="750"/>
      <c r="U95" s="750"/>
      <c r="V95" s="754"/>
      <c r="W95" s="345"/>
      <c r="X95" s="345"/>
      <c r="Y95" s="743"/>
      <c r="Z95" s="743"/>
      <c r="AA95" s="743"/>
      <c r="AB95" s="743"/>
      <c r="AC95" s="743"/>
      <c r="AD95" s="743"/>
      <c r="AE95" s="743"/>
      <c r="AF95" s="743"/>
      <c r="AG95" s="743"/>
      <c r="AH95" s="743"/>
      <c r="BC95" s="155" t="str">
        <f t="shared" si="115"/>
        <v>-</v>
      </c>
      <c r="BD95" s="157"/>
      <c r="BE95" s="157"/>
      <c r="BF95" s="157"/>
      <c r="BG95" s="157"/>
      <c r="BH95" s="157"/>
      <c r="BI95" s="157"/>
      <c r="BJ95" s="157"/>
      <c r="BK95" s="157"/>
      <c r="BL95" s="157"/>
      <c r="BM95" s="157"/>
    </row>
    <row r="96" spans="1:72" ht="15.75" outlineLevel="1" thickBot="1" x14ac:dyDescent="0.3">
      <c r="B96" s="777"/>
      <c r="C96" s="810"/>
      <c r="D96" s="774"/>
      <c r="E96" s="62" t="s">
        <v>30</v>
      </c>
      <c r="F96" s="62" t="str">
        <f t="shared" ref="F96:L96" si="147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62" t="str">
        <f t="shared" si="147"/>
        <v>-</v>
      </c>
      <c r="H96" s="62" t="str">
        <f t="shared" si="147"/>
        <v>-</v>
      </c>
      <c r="I96" s="62" t="str">
        <f t="shared" si="147"/>
        <v>-</v>
      </c>
      <c r="J96" s="62" t="str">
        <f t="shared" si="147"/>
        <v>-</v>
      </c>
      <c r="K96" s="169" t="str">
        <f t="shared" si="147"/>
        <v>-</v>
      </c>
      <c r="L96" s="169" t="str">
        <f t="shared" si="147"/>
        <v>-</v>
      </c>
      <c r="M96" s="62" t="s">
        <v>5</v>
      </c>
      <c r="N96" s="742"/>
      <c r="O96" s="751"/>
      <c r="P96" s="752"/>
      <c r="Q96" s="752"/>
      <c r="R96" s="752"/>
      <c r="S96" s="751"/>
      <c r="T96" s="752"/>
      <c r="U96" s="752"/>
      <c r="V96" s="755"/>
      <c r="BC96" s="155" t="str">
        <f t="shared" si="115"/>
        <v>-</v>
      </c>
      <c r="BD96" s="157"/>
      <c r="BE96" s="157"/>
      <c r="BF96" s="157"/>
      <c r="BG96" s="157"/>
      <c r="BH96" s="157"/>
      <c r="BI96" s="157"/>
      <c r="BJ96" s="157"/>
      <c r="BK96" s="157"/>
      <c r="BL96" s="157"/>
      <c r="BM96" s="157"/>
    </row>
    <row r="97" spans="1:72" ht="15" customHeight="1" x14ac:dyDescent="0.25">
      <c r="BC97" s="155" t="str">
        <f t="shared" si="115"/>
        <v>-</v>
      </c>
      <c r="BD97" s="156"/>
      <c r="BE97" s="156"/>
      <c r="BF97" s="156"/>
      <c r="BG97" s="156"/>
      <c r="BH97" s="156"/>
      <c r="BI97" s="156"/>
      <c r="BJ97" s="156"/>
      <c r="BK97" s="156"/>
      <c r="BL97" s="156"/>
      <c r="BM97" s="156"/>
    </row>
    <row r="98" spans="1:72" ht="15" customHeight="1" x14ac:dyDescent="0.25">
      <c r="BC98" s="155" t="str">
        <f t="shared" si="115"/>
        <v>-</v>
      </c>
      <c r="BD98" s="156"/>
      <c r="BE98" s="156"/>
      <c r="BF98" s="156"/>
      <c r="BG98" s="156"/>
      <c r="BH98" s="156"/>
      <c r="BI98" s="156"/>
      <c r="BJ98" s="156"/>
      <c r="BK98" s="156"/>
      <c r="BL98" s="156"/>
      <c r="BM98" s="156"/>
    </row>
    <row r="99" spans="1:72" ht="15" customHeight="1" thickBot="1" x14ac:dyDescent="0.3">
      <c r="A99" s="350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BC99" s="155" t="str">
        <f t="shared" si="115"/>
        <v>-</v>
      </c>
      <c r="BD99" s="156"/>
      <c r="BE99" s="156"/>
      <c r="BF99" s="156"/>
      <c r="BG99" s="156"/>
      <c r="BH99" s="156"/>
      <c r="BI99" s="156"/>
      <c r="BJ99" s="156"/>
      <c r="BK99" s="156"/>
      <c r="BL99" s="156"/>
      <c r="BM99" s="156"/>
    </row>
    <row r="100" spans="1:72" ht="24.95" customHeight="1" thickBot="1" x14ac:dyDescent="0.3">
      <c r="A100" s="350"/>
      <c r="B100" s="185">
        <v>4</v>
      </c>
      <c r="C100" s="757" t="s">
        <v>102</v>
      </c>
      <c r="D100" s="758"/>
      <c r="E100" s="758"/>
      <c r="F100" s="758"/>
      <c r="G100" s="758"/>
      <c r="H100" s="758"/>
      <c r="I100" s="758"/>
      <c r="J100" s="758"/>
      <c r="K100" s="758"/>
      <c r="L100" s="758"/>
      <c r="M100" s="758"/>
      <c r="N100" s="759"/>
      <c r="O100" s="49" t="s">
        <v>117</v>
      </c>
      <c r="P100" s="71" t="str">
        <f>IF(COUNTIF(F104:M123,"refused")&gt;0,"refused",IF(COUNTIF(F104:M123,"failed")&gt;0,"failed",IF(COUNTIF(F104:M123,"passed")&gt;0,"passed","-")))</f>
        <v>-</v>
      </c>
      <c r="Q100" s="70" t="s">
        <v>80</v>
      </c>
      <c r="R100" s="70" t="str">
        <f>IF(COUNT(F104:M105)&gt;0,"listed","not listed")</f>
        <v>not listed</v>
      </c>
      <c r="S100" s="344"/>
      <c r="T100" s="43"/>
      <c r="U100" s="43"/>
      <c r="V100" s="44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BC100" s="155" t="str">
        <f t="shared" si="115"/>
        <v>-</v>
      </c>
    </row>
    <row r="101" spans="1:72" ht="15" customHeight="1" outlineLevel="1" thickBot="1" x14ac:dyDescent="0.3">
      <c r="A101" s="350"/>
      <c r="B101" s="346"/>
      <c r="C101" s="347"/>
      <c r="D101" s="347"/>
      <c r="E101" s="347"/>
      <c r="F101" s="347"/>
      <c r="G101" s="347"/>
      <c r="H101" s="347"/>
      <c r="I101" s="347"/>
      <c r="J101" s="347"/>
      <c r="K101" s="162"/>
      <c r="L101" s="162"/>
      <c r="M101" s="347"/>
      <c r="N101" s="347"/>
      <c r="O101" s="347"/>
      <c r="P101" s="347"/>
      <c r="Q101" s="347"/>
      <c r="R101" s="347"/>
      <c r="S101" s="347"/>
      <c r="T101" s="45"/>
      <c r="U101" s="45"/>
      <c r="V101" s="46"/>
      <c r="W101" s="47"/>
      <c r="X101" s="47"/>
      <c r="Y101" s="756"/>
      <c r="Z101" s="756"/>
      <c r="AA101" s="756"/>
      <c r="AB101" s="756"/>
      <c r="AC101" s="756"/>
      <c r="AD101" s="756"/>
      <c r="AE101" s="756"/>
      <c r="AF101" s="756"/>
      <c r="AG101" s="756"/>
      <c r="AH101" s="756"/>
      <c r="BC101" s="155" t="str">
        <f t="shared" si="115"/>
        <v>-</v>
      </c>
    </row>
    <row r="102" spans="1:72" ht="15" customHeight="1" outlineLevel="1" thickBot="1" x14ac:dyDescent="0.3">
      <c r="A102" s="350"/>
      <c r="B102" s="744" t="s">
        <v>81</v>
      </c>
      <c r="C102" s="745"/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6"/>
      <c r="O102" s="744" t="s">
        <v>82</v>
      </c>
      <c r="P102" s="745"/>
      <c r="Q102" s="745"/>
      <c r="R102" s="746"/>
      <c r="S102" s="744" t="s">
        <v>83</v>
      </c>
      <c r="T102" s="745"/>
      <c r="U102" s="745"/>
      <c r="V102" s="746"/>
      <c r="W102" s="345"/>
      <c r="X102" s="345"/>
      <c r="Y102" s="743"/>
      <c r="Z102" s="743"/>
      <c r="AA102" s="743"/>
      <c r="AB102" s="743"/>
      <c r="AC102" s="743"/>
      <c r="AD102" s="743"/>
      <c r="AE102" s="743"/>
      <c r="AF102" s="743"/>
      <c r="AG102" s="743"/>
      <c r="AH102" s="743"/>
      <c r="BC102" s="155" t="str">
        <f t="shared" si="115"/>
        <v>-</v>
      </c>
    </row>
    <row r="103" spans="1:72" ht="35.1" customHeight="1" outlineLevel="1" thickBot="1" x14ac:dyDescent="0.3">
      <c r="A103" s="350"/>
      <c r="B103" s="811" t="s">
        <v>84</v>
      </c>
      <c r="C103" s="812"/>
      <c r="D103" s="812"/>
      <c r="E103" s="813"/>
      <c r="F103" s="69" t="str">
        <f t="shared" ref="F103:L103" si="148">F$4</f>
        <v>NMHC 
[g/km]</v>
      </c>
      <c r="G103" s="69" t="str">
        <f t="shared" si="148"/>
        <v>THC
[g/km]</v>
      </c>
      <c r="H103" s="69" t="str">
        <f t="shared" si="148"/>
        <v>CO
[g/km]</v>
      </c>
      <c r="I103" s="69" t="str">
        <f t="shared" si="148"/>
        <v>NOx
[g/km]</v>
      </c>
      <c r="J103" s="69" t="str">
        <f t="shared" si="148"/>
        <v>PM
[mg/km]</v>
      </c>
      <c r="K103" s="69" t="str">
        <f t="shared" si="148"/>
        <v>PN
[#/km]</v>
      </c>
      <c r="L103" s="366" t="str">
        <f t="shared" si="148"/>
        <v>Additional component</v>
      </c>
      <c r="M103" s="366" t="str">
        <f>M$4</f>
        <v>Additional
component 2</v>
      </c>
      <c r="N103" s="69" t="str">
        <f>N$4</f>
        <v>CO2
[g/km]</v>
      </c>
      <c r="O103" s="747"/>
      <c r="P103" s="748"/>
      <c r="Q103" s="748"/>
      <c r="R103" s="753"/>
      <c r="S103" s="747"/>
      <c r="T103" s="748"/>
      <c r="U103" s="748"/>
      <c r="V103" s="753"/>
      <c r="W103" s="345"/>
      <c r="X103" s="345"/>
      <c r="Y103" s="743"/>
      <c r="Z103" s="743"/>
      <c r="AA103" s="743"/>
      <c r="AB103" s="743"/>
      <c r="AC103" s="743"/>
      <c r="AD103" s="743"/>
      <c r="AE103" s="743"/>
      <c r="AF103" s="743"/>
      <c r="AG103" s="743"/>
      <c r="AH103" s="743"/>
      <c r="BC103" s="155" t="str">
        <f t="shared" si="115"/>
        <v>-</v>
      </c>
    </row>
    <row r="104" spans="1:72" ht="15" customHeight="1" outlineLevel="1" x14ac:dyDescent="0.25">
      <c r="A104" s="350"/>
      <c r="B104" s="797" t="s">
        <v>102</v>
      </c>
      <c r="C104" s="770" t="s">
        <v>114</v>
      </c>
      <c r="D104" s="770" t="s">
        <v>113</v>
      </c>
      <c r="E104" s="106" t="s">
        <v>94</v>
      </c>
      <c r="F104" s="98" t="s">
        <v>5</v>
      </c>
      <c r="G104" s="98" t="s">
        <v>5</v>
      </c>
      <c r="H104" s="98" t="s">
        <v>5</v>
      </c>
      <c r="I104" s="98" t="s">
        <v>5</v>
      </c>
      <c r="J104" s="98" t="s">
        <v>5</v>
      </c>
      <c r="K104" s="165" t="s">
        <v>5</v>
      </c>
      <c r="L104" s="165" t="s">
        <v>5</v>
      </c>
      <c r="M104" s="98" t="s">
        <v>5</v>
      </c>
      <c r="N104" s="98" t="s">
        <v>5</v>
      </c>
      <c r="O104" s="749"/>
      <c r="P104" s="750"/>
      <c r="Q104" s="750"/>
      <c r="R104" s="754"/>
      <c r="S104" s="749"/>
      <c r="T104" s="750"/>
      <c r="U104" s="750"/>
      <c r="V104" s="754"/>
      <c r="W104" s="345"/>
      <c r="X104" s="345"/>
      <c r="Y104" s="743"/>
      <c r="Z104" s="743"/>
      <c r="AA104" s="743"/>
      <c r="AB104" s="743"/>
      <c r="AC104" s="743"/>
      <c r="AD104" s="743"/>
      <c r="AE104" s="743"/>
      <c r="AF104" s="743"/>
      <c r="AG104" s="743"/>
      <c r="AH104" s="743"/>
      <c r="BC104" s="155" t="str">
        <f t="shared" si="115"/>
        <v>-</v>
      </c>
    </row>
    <row r="105" spans="1:72" s="50" customFormat="1" ht="15" customHeight="1" outlineLevel="1" thickBot="1" x14ac:dyDescent="0.3">
      <c r="A105" s="53"/>
      <c r="B105" s="798"/>
      <c r="C105" s="741"/>
      <c r="D105" s="742"/>
      <c r="E105" s="67" t="s">
        <v>95</v>
      </c>
      <c r="F105" s="97" t="s">
        <v>5</v>
      </c>
      <c r="G105" s="97" t="s">
        <v>5</v>
      </c>
      <c r="H105" s="97" t="s">
        <v>5</v>
      </c>
      <c r="I105" s="97" t="s">
        <v>5</v>
      </c>
      <c r="J105" s="97" t="s">
        <v>5</v>
      </c>
      <c r="K105" s="166" t="s">
        <v>5</v>
      </c>
      <c r="L105" s="166" t="s">
        <v>5</v>
      </c>
      <c r="M105" s="97" t="s">
        <v>5</v>
      </c>
      <c r="N105" s="97" t="s">
        <v>5</v>
      </c>
      <c r="O105" s="749"/>
      <c r="P105" s="750"/>
      <c r="Q105" s="750"/>
      <c r="R105" s="754"/>
      <c r="S105" s="749"/>
      <c r="T105" s="750"/>
      <c r="U105" s="750"/>
      <c r="V105" s="754"/>
      <c r="W105" s="51"/>
      <c r="X105" s="51"/>
      <c r="Y105" s="743"/>
      <c r="Z105" s="743"/>
      <c r="AA105" s="743"/>
      <c r="AB105" s="743"/>
      <c r="AC105" s="743"/>
      <c r="AD105" s="743"/>
      <c r="AE105" s="743"/>
      <c r="AF105" s="743"/>
      <c r="AG105" s="743"/>
      <c r="AH105" s="743"/>
      <c r="BC105" s="155" t="str">
        <f t="shared" si="115"/>
        <v>-</v>
      </c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  <c r="BS105" s="150"/>
      <c r="BT105" s="150"/>
    </row>
    <row r="106" spans="1:72" ht="15" customHeight="1" outlineLevel="1" thickBot="1" x14ac:dyDescent="0.3">
      <c r="A106" s="350"/>
      <c r="B106" s="798"/>
      <c r="C106" s="764">
        <v>1</v>
      </c>
      <c r="D106" s="772" t="str">
        <f>IF(AND(F107="-",G107="-",H107="-",I107="-",J107="-",K107="-",K107="-",L107="-"),"-",MAX(F107,G107,H107,I107,J107,K107,L107,M107))</f>
        <v>-</v>
      </c>
      <c r="E106" s="66" t="s">
        <v>177</v>
      </c>
      <c r="F106" s="65" t="str">
        <f t="shared" ref="F106:K106" si="149">IF(OR(F105="-",F105=""),IF(OR(F104="-",F104=""),"-",F104),IF(OR(F104="-",F104=""),F105,(F104+F105)/2))</f>
        <v>-</v>
      </c>
      <c r="G106" s="65" t="str">
        <f t="shared" si="149"/>
        <v>-</v>
      </c>
      <c r="H106" s="65" t="str">
        <f t="shared" si="149"/>
        <v>-</v>
      </c>
      <c r="I106" s="65" t="str">
        <f t="shared" si="149"/>
        <v>-</v>
      </c>
      <c r="J106" s="65" t="str">
        <f t="shared" si="149"/>
        <v>-</v>
      </c>
      <c r="K106" s="167" t="str">
        <f t="shared" si="149"/>
        <v>-</v>
      </c>
      <c r="L106" s="167" t="str">
        <f t="shared" ref="L106" si="150">IF(OR(L105="-",L105=""),IF(OR(L104="-",L104=""),"-",L104),IF(OR(L104="-",L104=""),L105,(L104+L105)/2))</f>
        <v>-</v>
      </c>
      <c r="M106" s="65" t="s">
        <v>5</v>
      </c>
      <c r="N106" s="740"/>
      <c r="O106" s="749"/>
      <c r="P106" s="750"/>
      <c r="Q106" s="750"/>
      <c r="R106" s="754"/>
      <c r="S106" s="749"/>
      <c r="T106" s="750"/>
      <c r="U106" s="750"/>
      <c r="V106" s="754"/>
      <c r="W106" s="345"/>
      <c r="X106" s="345"/>
      <c r="Y106" s="743"/>
      <c r="Z106" s="743"/>
      <c r="AA106" s="743"/>
      <c r="AB106" s="743"/>
      <c r="AC106" s="743"/>
      <c r="AD106" s="743"/>
      <c r="AE106" s="743"/>
      <c r="AF106" s="743"/>
      <c r="AG106" s="743"/>
      <c r="AH106" s="743"/>
      <c r="BC106" s="155" t="str">
        <f t="shared" si="115"/>
        <v>-</v>
      </c>
    </row>
    <row r="107" spans="1:72" ht="15" customHeight="1" outlineLevel="1" thickBot="1" x14ac:dyDescent="0.3">
      <c r="A107" s="350"/>
      <c r="B107" s="798"/>
      <c r="C107" s="765"/>
      <c r="D107" s="773"/>
      <c r="E107" s="64" t="s">
        <v>97</v>
      </c>
      <c r="F107" s="63" t="str">
        <f t="shared" ref="F107:K107" si="151">IF(OR($C106="-",$C106="CET",$C106=""),"-",IF(AND(NOT(F106="-"),NOT(F$5="-"),NOT(F$5="")),F106/F$5,"-"))</f>
        <v>-</v>
      </c>
      <c r="G107" s="63" t="str">
        <f t="shared" si="151"/>
        <v>-</v>
      </c>
      <c r="H107" s="63" t="str">
        <f t="shared" si="151"/>
        <v>-</v>
      </c>
      <c r="I107" s="63" t="str">
        <f t="shared" si="151"/>
        <v>-</v>
      </c>
      <c r="J107" s="63" t="str">
        <f t="shared" si="151"/>
        <v>-</v>
      </c>
      <c r="K107" s="168" t="str">
        <f t="shared" si="151"/>
        <v>-</v>
      </c>
      <c r="L107" s="168" t="str">
        <f t="shared" ref="L107" si="152">IF(OR($C106="-",$C106="CET",$C106=""),"-",IF(AND(NOT(L106="-"),NOT(L$5="-"),NOT(L$5="")),L106/L$5,"-"))</f>
        <v>-</v>
      </c>
      <c r="M107" s="63" t="s">
        <v>5</v>
      </c>
      <c r="N107" s="741"/>
      <c r="O107" s="749"/>
      <c r="P107" s="750"/>
      <c r="Q107" s="750"/>
      <c r="R107" s="754"/>
      <c r="S107" s="749"/>
      <c r="T107" s="750"/>
      <c r="U107" s="750"/>
      <c r="V107" s="754"/>
      <c r="W107" s="345"/>
      <c r="X107" s="345"/>
      <c r="Y107" s="743"/>
      <c r="Z107" s="743"/>
      <c r="AA107" s="743"/>
      <c r="AB107" s="743"/>
      <c r="AC107" s="743"/>
      <c r="AD107" s="743"/>
      <c r="AE107" s="743"/>
      <c r="AF107" s="743"/>
      <c r="AG107" s="743"/>
      <c r="AH107" s="743"/>
      <c r="BC107" s="155" t="str">
        <f t="shared" si="115"/>
        <v>-</v>
      </c>
    </row>
    <row r="108" spans="1:72" ht="15" customHeight="1" outlineLevel="1" thickBot="1" x14ac:dyDescent="0.3">
      <c r="A108" s="350"/>
      <c r="B108" s="804"/>
      <c r="C108" s="766"/>
      <c r="D108" s="774"/>
      <c r="E108" s="68" t="s">
        <v>30</v>
      </c>
      <c r="F108" s="68" t="str">
        <f t="shared" ref="F108:L108" si="153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68" t="str">
        <f t="shared" si="153"/>
        <v>-</v>
      </c>
      <c r="H108" s="68" t="str">
        <f t="shared" si="153"/>
        <v>-</v>
      </c>
      <c r="I108" s="68" t="str">
        <f t="shared" si="153"/>
        <v>-</v>
      </c>
      <c r="J108" s="68" t="str">
        <f t="shared" si="153"/>
        <v>-</v>
      </c>
      <c r="K108" s="341" t="str">
        <f t="shared" si="153"/>
        <v>-</v>
      </c>
      <c r="L108" s="341" t="str">
        <f t="shared" si="153"/>
        <v>-</v>
      </c>
      <c r="M108" s="68" t="s">
        <v>5</v>
      </c>
      <c r="N108" s="742"/>
      <c r="O108" s="749"/>
      <c r="P108" s="750"/>
      <c r="Q108" s="750"/>
      <c r="R108" s="754"/>
      <c r="S108" s="749"/>
      <c r="T108" s="750"/>
      <c r="U108" s="750"/>
      <c r="V108" s="754"/>
      <c r="W108" s="345"/>
      <c r="X108" s="345"/>
      <c r="Y108" s="743"/>
      <c r="Z108" s="743"/>
      <c r="AA108" s="743"/>
      <c r="AB108" s="743"/>
      <c r="AC108" s="743"/>
      <c r="AD108" s="743"/>
      <c r="AE108" s="743"/>
      <c r="AF108" s="743"/>
      <c r="AG108" s="743"/>
      <c r="AH108" s="743"/>
      <c r="BC108" s="155" t="str">
        <f t="shared" si="115"/>
        <v>-</v>
      </c>
      <c r="BD108" s="151" t="s">
        <v>85</v>
      </c>
      <c r="BE108" s="69" t="str">
        <f>$F$4</f>
        <v>NMHC 
[g/km]</v>
      </c>
      <c r="BF108" s="69" t="str">
        <f>$G$4</f>
        <v>THC
[g/km]</v>
      </c>
      <c r="BG108" s="69" t="str">
        <f>$H$4</f>
        <v>CO
[g/km]</v>
      </c>
      <c r="BH108" s="69" t="str">
        <f>$I$4</f>
        <v>NOx
[g/km]</v>
      </c>
      <c r="BI108" s="69" t="str">
        <f>$J$4</f>
        <v>PM
[mg/km]</v>
      </c>
      <c r="BJ108" s="163" t="str">
        <f>K$4</f>
        <v>PN
[#/km]</v>
      </c>
      <c r="BK108" s="163" t="str">
        <f t="shared" ref="BK108:BL108" si="154">L$4</f>
        <v>Additional component</v>
      </c>
      <c r="BL108" s="163" t="str">
        <f t="shared" si="154"/>
        <v>Additional
component 2</v>
      </c>
      <c r="BM108" s="69" t="str">
        <f>$N$4</f>
        <v>CO2
[g/km]</v>
      </c>
    </row>
    <row r="109" spans="1:72" ht="15" customHeight="1" outlineLevel="1" x14ac:dyDescent="0.25">
      <c r="A109" s="350"/>
      <c r="B109" s="762"/>
      <c r="C109" s="763"/>
      <c r="D109" s="351"/>
      <c r="E109" s="351"/>
      <c r="F109" s="90"/>
      <c r="G109" s="90"/>
      <c r="H109" s="90"/>
      <c r="I109" s="90"/>
      <c r="J109" s="90"/>
      <c r="K109" s="176"/>
      <c r="L109" s="176"/>
      <c r="M109" s="90"/>
      <c r="N109" s="89"/>
      <c r="O109" s="749"/>
      <c r="P109" s="750"/>
      <c r="Q109" s="750"/>
      <c r="R109" s="754"/>
      <c r="S109" s="749"/>
      <c r="T109" s="750"/>
      <c r="U109" s="750"/>
      <c r="V109" s="754"/>
      <c r="W109" s="345"/>
      <c r="X109" s="345"/>
      <c r="Y109" s="743"/>
      <c r="Z109" s="743"/>
      <c r="AA109" s="743"/>
      <c r="AB109" s="743"/>
      <c r="AC109" s="743"/>
      <c r="AD109" s="743"/>
      <c r="AE109" s="743"/>
      <c r="AF109" s="743"/>
      <c r="AG109" s="743"/>
      <c r="AH109" s="743"/>
      <c r="BC109" s="155" t="str">
        <f t="shared" si="115"/>
        <v>-</v>
      </c>
      <c r="BD109" s="151" t="str">
        <f>$E$4</f>
        <v>Euro 6c</v>
      </c>
      <c r="BE109" s="153">
        <v>1</v>
      </c>
      <c r="BF109" s="153">
        <v>1</v>
      </c>
      <c r="BG109" s="153">
        <v>1</v>
      </c>
      <c r="BH109" s="153">
        <v>1</v>
      </c>
      <c r="BI109" s="153">
        <v>1</v>
      </c>
      <c r="BJ109" s="153">
        <v>1</v>
      </c>
      <c r="BK109" s="153">
        <v>1</v>
      </c>
      <c r="BL109" s="153">
        <v>1</v>
      </c>
      <c r="BM109" s="153">
        <v>1</v>
      </c>
    </row>
    <row r="110" spans="1:72" ht="15" customHeight="1" outlineLevel="1" x14ac:dyDescent="0.25">
      <c r="A110" s="350"/>
      <c r="B110" s="761"/>
      <c r="C110" s="760"/>
      <c r="D110" s="343"/>
      <c r="E110" s="343"/>
      <c r="F110" s="353"/>
      <c r="G110" s="353"/>
      <c r="H110" s="353"/>
      <c r="I110" s="353"/>
      <c r="J110" s="353"/>
      <c r="K110" s="171"/>
      <c r="L110" s="171"/>
      <c r="M110" s="353"/>
      <c r="N110" s="57"/>
      <c r="O110" s="749"/>
      <c r="P110" s="750"/>
      <c r="Q110" s="750"/>
      <c r="R110" s="754"/>
      <c r="S110" s="749"/>
      <c r="T110" s="750"/>
      <c r="U110" s="750"/>
      <c r="V110" s="754"/>
      <c r="W110" s="345"/>
      <c r="X110" s="345"/>
      <c r="Y110" s="743"/>
      <c r="Z110" s="743"/>
      <c r="AA110" s="743"/>
      <c r="AB110" s="743"/>
      <c r="AC110" s="743"/>
      <c r="AD110" s="743"/>
      <c r="AE110" s="743"/>
      <c r="AF110" s="743"/>
      <c r="AG110" s="743"/>
      <c r="AH110" s="743"/>
      <c r="BC110" s="155" t="str">
        <f t="shared" si="115"/>
        <v>-</v>
      </c>
      <c r="BD110" s="151" t="str">
        <f>"1st " &amp;  B104</f>
        <v>1st WLTC 20°C</v>
      </c>
      <c r="BE110" s="153" t="str">
        <f t="shared" ref="BE110:BJ110" si="155">IF((OR($C106="-",$C106="CET",$C106="")),"-",IF(AND(OR(F104="-",F104=""),OR(F105="-",F105="")),"-",IF(NOT(OR(F104="-",F104="")),F104/F$5,F105/F$5)))</f>
        <v>-</v>
      </c>
      <c r="BF110" s="153" t="str">
        <f t="shared" si="155"/>
        <v>-</v>
      </c>
      <c r="BG110" s="153" t="str">
        <f t="shared" si="155"/>
        <v>-</v>
      </c>
      <c r="BH110" s="153" t="str">
        <f t="shared" si="155"/>
        <v>-</v>
      </c>
      <c r="BI110" s="153" t="str">
        <f t="shared" si="155"/>
        <v>-</v>
      </c>
      <c r="BJ110" s="153" t="str">
        <f t="shared" si="155"/>
        <v>-</v>
      </c>
      <c r="BK110" s="153" t="str">
        <f t="shared" ref="BK110:BL110" si="156">IF((OR($C106="-",$C106="CET",$C106="")),"-",IF(AND(OR(L104="-",L104=""),OR(L105="-",L105="")),"-",IF(NOT(OR(L104="-",L104="")),L104/L$5,L105/L$5)))</f>
        <v>-</v>
      </c>
      <c r="BL110" s="153" t="str">
        <f t="shared" si="156"/>
        <v>-</v>
      </c>
      <c r="BM110" s="153" t="str">
        <f>IF((OR($C106="-",$C106="CET",$C106="")),"-",IF(AND(OR(N104="-",N104=""),OR(N105="-",N105="")),"-",IF(NOT(OR(N104="-",N104="")),N104/N$5,N105/N$5)))</f>
        <v>-</v>
      </c>
    </row>
    <row r="111" spans="1:72" ht="15" customHeight="1" outlineLevel="1" x14ac:dyDescent="0.25">
      <c r="A111" s="350"/>
      <c r="B111" s="761"/>
      <c r="C111" s="760"/>
      <c r="D111" s="343"/>
      <c r="E111" s="343"/>
      <c r="F111" s="56"/>
      <c r="G111" s="56"/>
      <c r="H111" s="56"/>
      <c r="I111" s="56"/>
      <c r="J111" s="56"/>
      <c r="K111" s="171"/>
      <c r="L111" s="171"/>
      <c r="M111" s="56"/>
      <c r="N111" s="55"/>
      <c r="O111" s="749"/>
      <c r="P111" s="750"/>
      <c r="Q111" s="750"/>
      <c r="R111" s="754"/>
      <c r="S111" s="749"/>
      <c r="T111" s="750"/>
      <c r="U111" s="750"/>
      <c r="V111" s="754"/>
      <c r="W111" s="345"/>
      <c r="X111" s="345"/>
      <c r="Y111" s="743"/>
      <c r="Z111" s="743"/>
      <c r="AA111" s="743"/>
      <c r="AB111" s="743"/>
      <c r="AC111" s="743"/>
      <c r="AD111" s="743"/>
      <c r="AE111" s="743"/>
      <c r="AF111" s="743"/>
      <c r="AG111" s="743"/>
      <c r="AH111" s="743"/>
      <c r="BC111" s="155" t="str">
        <f t="shared" si="115"/>
        <v>-</v>
      </c>
      <c r="BD111" s="151"/>
      <c r="BE111" s="153"/>
      <c r="BF111" s="153"/>
      <c r="BG111" s="153"/>
      <c r="BH111" s="153"/>
      <c r="BI111" s="153"/>
      <c r="BJ111" s="153"/>
      <c r="BK111" s="153"/>
      <c r="BL111" s="153"/>
      <c r="BM111" s="153"/>
    </row>
    <row r="112" spans="1:72" ht="15" customHeight="1" outlineLevel="1" x14ac:dyDescent="0.25">
      <c r="A112" s="350"/>
      <c r="B112" s="761"/>
      <c r="C112" s="760"/>
      <c r="D112" s="343"/>
      <c r="E112" s="343"/>
      <c r="F112" s="56"/>
      <c r="G112" s="56"/>
      <c r="H112" s="56"/>
      <c r="I112" s="56"/>
      <c r="J112" s="56"/>
      <c r="K112" s="171"/>
      <c r="L112" s="171"/>
      <c r="M112" s="56"/>
      <c r="N112" s="55"/>
      <c r="O112" s="749"/>
      <c r="P112" s="750"/>
      <c r="Q112" s="750"/>
      <c r="R112" s="754"/>
      <c r="S112" s="749"/>
      <c r="T112" s="750"/>
      <c r="U112" s="750"/>
      <c r="V112" s="754"/>
      <c r="W112" s="345"/>
      <c r="X112" s="345"/>
      <c r="Y112" s="743"/>
      <c r="Z112" s="743"/>
      <c r="AA112" s="743"/>
      <c r="AB112" s="743"/>
      <c r="AC112" s="743"/>
      <c r="AD112" s="743"/>
      <c r="AE112" s="743"/>
      <c r="AF112" s="743"/>
      <c r="AG112" s="743"/>
      <c r="AH112" s="743"/>
      <c r="BC112" s="155" t="str">
        <f t="shared" si="115"/>
        <v>-</v>
      </c>
      <c r="BD112" s="151"/>
      <c r="BE112" s="153"/>
      <c r="BF112" s="153"/>
      <c r="BG112" s="153"/>
      <c r="BH112" s="153"/>
      <c r="BI112" s="153"/>
      <c r="BJ112" s="153"/>
      <c r="BK112" s="153"/>
      <c r="BL112" s="153"/>
      <c r="BM112" s="153"/>
    </row>
    <row r="113" spans="1:65" ht="15" customHeight="1" outlineLevel="1" x14ac:dyDescent="0.25">
      <c r="A113" s="40"/>
      <c r="B113" s="761"/>
      <c r="C113" s="760"/>
      <c r="D113" s="343"/>
      <c r="E113" s="343"/>
      <c r="F113" s="343"/>
      <c r="G113" s="343"/>
      <c r="H113" s="343"/>
      <c r="I113" s="343"/>
      <c r="J113" s="343"/>
      <c r="K113" s="171"/>
      <c r="L113" s="171"/>
      <c r="M113" s="343"/>
      <c r="N113" s="59"/>
      <c r="O113" s="749"/>
      <c r="P113" s="750"/>
      <c r="Q113" s="750"/>
      <c r="R113" s="754"/>
      <c r="S113" s="749"/>
      <c r="T113" s="750"/>
      <c r="U113" s="750"/>
      <c r="V113" s="754"/>
      <c r="W113" s="345"/>
      <c r="X113" s="345"/>
      <c r="Y113" s="743"/>
      <c r="Z113" s="743"/>
      <c r="AA113" s="743"/>
      <c r="AB113" s="743"/>
      <c r="AC113" s="743"/>
      <c r="AD113" s="743"/>
      <c r="AE113" s="743"/>
      <c r="AF113" s="743"/>
      <c r="AG113" s="743"/>
      <c r="AH113" s="743"/>
      <c r="BC113" s="155" t="str">
        <f t="shared" si="115"/>
        <v>-</v>
      </c>
      <c r="BD113" s="151"/>
      <c r="BE113" s="153"/>
      <c r="BF113" s="153"/>
      <c r="BG113" s="153"/>
      <c r="BH113" s="153"/>
      <c r="BI113" s="153"/>
      <c r="BJ113" s="153"/>
      <c r="BK113" s="153"/>
      <c r="BL113" s="153"/>
      <c r="BM113" s="153"/>
    </row>
    <row r="114" spans="1:65" ht="15" customHeight="1" outlineLevel="1" x14ac:dyDescent="0.25">
      <c r="A114" s="40"/>
      <c r="B114" s="761"/>
      <c r="C114" s="760"/>
      <c r="D114" s="343"/>
      <c r="E114" s="343"/>
      <c r="F114" s="353"/>
      <c r="G114" s="353"/>
      <c r="H114" s="353"/>
      <c r="I114" s="353"/>
      <c r="J114" s="353"/>
      <c r="K114" s="171"/>
      <c r="L114" s="171"/>
      <c r="M114" s="353"/>
      <c r="N114" s="57"/>
      <c r="O114" s="749"/>
      <c r="P114" s="750"/>
      <c r="Q114" s="750"/>
      <c r="R114" s="754"/>
      <c r="S114" s="749"/>
      <c r="T114" s="750"/>
      <c r="U114" s="750"/>
      <c r="V114" s="754"/>
      <c r="W114" s="345"/>
      <c r="X114" s="345"/>
      <c r="Y114" s="743"/>
      <c r="Z114" s="743"/>
      <c r="AA114" s="743"/>
      <c r="AB114" s="743"/>
      <c r="AC114" s="743"/>
      <c r="AD114" s="743"/>
      <c r="AE114" s="743"/>
      <c r="AF114" s="743"/>
      <c r="AG114" s="743"/>
      <c r="AH114" s="743"/>
      <c r="BC114" s="155" t="str">
        <f t="shared" si="115"/>
        <v>-</v>
      </c>
      <c r="BD114" s="151" t="str">
        <f>"0.7*IEF " &amp; (B104)</f>
        <v>0.7*IEF WLTC 20°C</v>
      </c>
      <c r="BE114" s="153">
        <f t="shared" ref="BE114:BM114" si="157">IF(OR($C106="-",$C106="CET",$C106=""),"-",0.7*$C106)</f>
        <v>0.7</v>
      </c>
      <c r="BF114" s="153">
        <f t="shared" si="157"/>
        <v>0.7</v>
      </c>
      <c r="BG114" s="153">
        <f t="shared" si="157"/>
        <v>0.7</v>
      </c>
      <c r="BH114" s="153">
        <f t="shared" si="157"/>
        <v>0.7</v>
      </c>
      <c r="BI114" s="153">
        <f t="shared" si="157"/>
        <v>0.7</v>
      </c>
      <c r="BJ114" s="153">
        <f t="shared" si="157"/>
        <v>0.7</v>
      </c>
      <c r="BK114" s="153">
        <f t="shared" ref="BK114:BL114" si="158">IF(OR($C106="-",$C106="CET",$C106=""),"-",0.7*$C106)</f>
        <v>0.7</v>
      </c>
      <c r="BL114" s="153">
        <f t="shared" si="158"/>
        <v>0.7</v>
      </c>
      <c r="BM114" s="153">
        <f t="shared" si="157"/>
        <v>0.7</v>
      </c>
    </row>
    <row r="115" spans="1:65" ht="15" customHeight="1" outlineLevel="1" x14ac:dyDescent="0.25">
      <c r="A115" s="40"/>
      <c r="B115" s="761"/>
      <c r="C115" s="760"/>
      <c r="D115" s="343"/>
      <c r="E115" s="343"/>
      <c r="F115" s="353"/>
      <c r="G115" s="353"/>
      <c r="H115" s="353"/>
      <c r="I115" s="353"/>
      <c r="J115" s="353"/>
      <c r="K115" s="171"/>
      <c r="L115" s="171"/>
      <c r="M115" s="353"/>
      <c r="N115" s="57"/>
      <c r="O115" s="749"/>
      <c r="P115" s="750"/>
      <c r="Q115" s="750"/>
      <c r="R115" s="754"/>
      <c r="S115" s="749"/>
      <c r="T115" s="750"/>
      <c r="U115" s="750"/>
      <c r="V115" s="754"/>
      <c r="W115" s="345"/>
      <c r="X115" s="345"/>
      <c r="Y115" s="743"/>
      <c r="Z115" s="743"/>
      <c r="AA115" s="743"/>
      <c r="AB115" s="743"/>
      <c r="AC115" s="743"/>
      <c r="AD115" s="743"/>
      <c r="AE115" s="743"/>
      <c r="AF115" s="743"/>
      <c r="AG115" s="743"/>
      <c r="AH115" s="743"/>
      <c r="BC115" s="155" t="str">
        <f t="shared" si="115"/>
        <v>-</v>
      </c>
      <c r="BD115" s="151"/>
      <c r="BE115" s="153"/>
      <c r="BF115" s="153"/>
      <c r="BG115" s="153"/>
      <c r="BH115" s="153"/>
      <c r="BI115" s="153"/>
      <c r="BJ115" s="153"/>
      <c r="BK115" s="153"/>
      <c r="BL115" s="153"/>
      <c r="BM115" s="153"/>
    </row>
    <row r="116" spans="1:65" ht="15" customHeight="1" outlineLevel="1" x14ac:dyDescent="0.25">
      <c r="A116" s="40"/>
      <c r="B116" s="761"/>
      <c r="C116" s="760"/>
      <c r="D116" s="343"/>
      <c r="E116" s="343"/>
      <c r="F116" s="56"/>
      <c r="G116" s="56"/>
      <c r="H116" s="56"/>
      <c r="I116" s="56"/>
      <c r="J116" s="56"/>
      <c r="K116" s="171"/>
      <c r="L116" s="171"/>
      <c r="M116" s="56"/>
      <c r="N116" s="55"/>
      <c r="O116" s="749"/>
      <c r="P116" s="750"/>
      <c r="Q116" s="750"/>
      <c r="R116" s="754"/>
      <c r="S116" s="749"/>
      <c r="T116" s="750"/>
      <c r="U116" s="750"/>
      <c r="V116" s="754"/>
      <c r="W116" s="345"/>
      <c r="X116" s="345"/>
      <c r="Y116" s="743"/>
      <c r="Z116" s="743"/>
      <c r="AA116" s="743"/>
      <c r="AB116" s="743"/>
      <c r="AC116" s="743"/>
      <c r="AD116" s="743"/>
      <c r="AE116" s="743"/>
      <c r="AF116" s="743"/>
      <c r="AG116" s="743"/>
      <c r="AH116" s="743"/>
      <c r="BC116" s="155" t="str">
        <f t="shared" si="115"/>
        <v>-</v>
      </c>
      <c r="BD116" s="151"/>
      <c r="BE116" s="153"/>
      <c r="BF116" s="153"/>
      <c r="BG116" s="153"/>
      <c r="BH116" s="153"/>
      <c r="BI116" s="153"/>
      <c r="BJ116" s="153"/>
      <c r="BK116" s="153"/>
      <c r="BL116" s="153"/>
      <c r="BM116" s="153"/>
    </row>
    <row r="117" spans="1:65" ht="15" customHeight="1" outlineLevel="1" x14ac:dyDescent="0.25">
      <c r="A117" s="40"/>
      <c r="B117" s="761"/>
      <c r="C117" s="760"/>
      <c r="D117" s="343"/>
      <c r="E117" s="343"/>
      <c r="F117" s="56"/>
      <c r="G117" s="56"/>
      <c r="H117" s="56"/>
      <c r="I117" s="56"/>
      <c r="J117" s="56"/>
      <c r="K117" s="171"/>
      <c r="L117" s="171"/>
      <c r="M117" s="56"/>
      <c r="N117" s="55"/>
      <c r="O117" s="749"/>
      <c r="P117" s="750"/>
      <c r="Q117" s="750"/>
      <c r="R117" s="754"/>
      <c r="S117" s="749"/>
      <c r="T117" s="750"/>
      <c r="U117" s="750"/>
      <c r="V117" s="754"/>
      <c r="W117" s="345"/>
      <c r="X117" s="345"/>
      <c r="Y117" s="743"/>
      <c r="Z117" s="743"/>
      <c r="AA117" s="743"/>
      <c r="AB117" s="743"/>
      <c r="AC117" s="743"/>
      <c r="AD117" s="743"/>
      <c r="AE117" s="743"/>
      <c r="AF117" s="743"/>
      <c r="AG117" s="743"/>
      <c r="AH117" s="743"/>
      <c r="BC117" s="155" t="str">
        <f t="shared" si="115"/>
        <v>-</v>
      </c>
      <c r="BD117" s="151"/>
      <c r="BE117" s="153"/>
      <c r="BF117" s="153"/>
      <c r="BG117" s="153"/>
      <c r="BH117" s="153"/>
      <c r="BI117" s="153"/>
      <c r="BJ117" s="153"/>
      <c r="BK117" s="153"/>
      <c r="BL117" s="153"/>
      <c r="BM117" s="153"/>
    </row>
    <row r="118" spans="1:65" ht="15" customHeight="1" outlineLevel="1" x14ac:dyDescent="0.25">
      <c r="A118" s="40"/>
      <c r="B118" s="761"/>
      <c r="C118" s="760"/>
      <c r="D118" s="343"/>
      <c r="E118" s="343"/>
      <c r="F118" s="343"/>
      <c r="G118" s="343"/>
      <c r="H118" s="343"/>
      <c r="I118" s="343"/>
      <c r="J118" s="343"/>
      <c r="K118" s="171"/>
      <c r="L118" s="171"/>
      <c r="M118" s="343"/>
      <c r="N118" s="59"/>
      <c r="O118" s="749"/>
      <c r="P118" s="750"/>
      <c r="Q118" s="750"/>
      <c r="R118" s="754"/>
      <c r="S118" s="749"/>
      <c r="T118" s="750"/>
      <c r="U118" s="750"/>
      <c r="V118" s="754"/>
      <c r="W118" s="345"/>
      <c r="X118" s="345"/>
      <c r="Y118" s="743"/>
      <c r="Z118" s="743"/>
      <c r="AA118" s="743"/>
      <c r="AB118" s="743"/>
      <c r="AC118" s="743"/>
      <c r="AD118" s="743"/>
      <c r="AE118" s="743"/>
      <c r="AF118" s="743"/>
      <c r="AG118" s="743"/>
      <c r="AH118" s="743"/>
      <c r="BC118" s="155" t="str">
        <f t="shared" si="115"/>
        <v>-</v>
      </c>
      <c r="BD118" s="151" t="str">
        <f>B104</f>
        <v>WLTC 20°C</v>
      </c>
      <c r="BE118" s="153" t="str">
        <f t="shared" ref="BE118:BJ118" si="159">F107</f>
        <v>-</v>
      </c>
      <c r="BF118" s="153" t="str">
        <f t="shared" si="159"/>
        <v>-</v>
      </c>
      <c r="BG118" s="153" t="str">
        <f t="shared" si="159"/>
        <v>-</v>
      </c>
      <c r="BH118" s="153" t="str">
        <f t="shared" si="159"/>
        <v>-</v>
      </c>
      <c r="BI118" s="153" t="str">
        <f t="shared" si="159"/>
        <v>-</v>
      </c>
      <c r="BJ118" s="153" t="str">
        <f t="shared" si="159"/>
        <v>-</v>
      </c>
      <c r="BK118" s="153" t="str">
        <f t="shared" ref="BK118:BL118" si="160">L107</f>
        <v>-</v>
      </c>
      <c r="BL118" s="153" t="str">
        <f t="shared" si="160"/>
        <v>-</v>
      </c>
      <c r="BM118" s="153">
        <f>N107</f>
        <v>0</v>
      </c>
    </row>
    <row r="119" spans="1:65" ht="15" customHeight="1" outlineLevel="1" x14ac:dyDescent="0.25">
      <c r="A119" s="40"/>
      <c r="B119" s="761"/>
      <c r="C119" s="760"/>
      <c r="D119" s="343"/>
      <c r="E119" s="343"/>
      <c r="F119" s="353"/>
      <c r="G119" s="353"/>
      <c r="H119" s="353"/>
      <c r="I119" s="353"/>
      <c r="J119" s="353"/>
      <c r="K119" s="171"/>
      <c r="L119" s="171"/>
      <c r="M119" s="353"/>
      <c r="N119" s="57"/>
      <c r="O119" s="749"/>
      <c r="P119" s="750"/>
      <c r="Q119" s="750"/>
      <c r="R119" s="754"/>
      <c r="S119" s="749"/>
      <c r="T119" s="750"/>
      <c r="U119" s="750"/>
      <c r="V119" s="754"/>
      <c r="W119" s="345"/>
      <c r="X119" s="345"/>
      <c r="Y119" s="743"/>
      <c r="Z119" s="743"/>
      <c r="AA119" s="743"/>
      <c r="AB119" s="743"/>
      <c r="AC119" s="743"/>
      <c r="AD119" s="743"/>
      <c r="AE119" s="743"/>
      <c r="AF119" s="743"/>
      <c r="AG119" s="743"/>
      <c r="AH119" s="743"/>
      <c r="BC119" s="155" t="str">
        <f t="shared" si="115"/>
        <v>-</v>
      </c>
      <c r="BD119" s="151"/>
      <c r="BE119" s="153"/>
      <c r="BF119" s="153"/>
      <c r="BG119" s="153"/>
      <c r="BH119" s="153"/>
      <c r="BI119" s="153"/>
      <c r="BJ119" s="153"/>
      <c r="BK119" s="153"/>
      <c r="BL119" s="153"/>
      <c r="BM119" s="153"/>
    </row>
    <row r="120" spans="1:65" ht="15" customHeight="1" outlineLevel="1" x14ac:dyDescent="0.25">
      <c r="A120" s="40"/>
      <c r="B120" s="761"/>
      <c r="C120" s="760"/>
      <c r="D120" s="343"/>
      <c r="E120" s="343"/>
      <c r="F120" s="353"/>
      <c r="G120" s="353"/>
      <c r="H120" s="353"/>
      <c r="I120" s="353"/>
      <c r="J120" s="353"/>
      <c r="K120" s="171"/>
      <c r="L120" s="171"/>
      <c r="M120" s="353"/>
      <c r="N120" s="57"/>
      <c r="O120" s="749"/>
      <c r="P120" s="750"/>
      <c r="Q120" s="750"/>
      <c r="R120" s="754"/>
      <c r="S120" s="749"/>
      <c r="T120" s="750"/>
      <c r="U120" s="750"/>
      <c r="V120" s="754"/>
      <c r="W120" s="345"/>
      <c r="X120" s="345"/>
      <c r="Y120" s="743"/>
      <c r="Z120" s="743"/>
      <c r="AA120" s="743"/>
      <c r="AB120" s="743"/>
      <c r="AC120" s="743"/>
      <c r="AD120" s="743"/>
      <c r="AE120" s="743"/>
      <c r="AF120" s="743"/>
      <c r="AG120" s="743"/>
      <c r="AH120" s="743"/>
      <c r="BC120" s="155" t="str">
        <f t="shared" si="115"/>
        <v>-</v>
      </c>
      <c r="BD120" s="151"/>
      <c r="BE120" s="153"/>
      <c r="BF120" s="153"/>
      <c r="BG120" s="153"/>
      <c r="BH120" s="153"/>
      <c r="BI120" s="153"/>
      <c r="BJ120" s="153"/>
      <c r="BK120" s="153"/>
      <c r="BL120" s="153"/>
      <c r="BM120" s="153"/>
    </row>
    <row r="121" spans="1:65" ht="15" customHeight="1" outlineLevel="1" x14ac:dyDescent="0.25">
      <c r="A121" s="40"/>
      <c r="B121" s="761"/>
      <c r="C121" s="760"/>
      <c r="D121" s="343"/>
      <c r="E121" s="343"/>
      <c r="F121" s="56"/>
      <c r="G121" s="56"/>
      <c r="H121" s="56"/>
      <c r="I121" s="56"/>
      <c r="J121" s="56"/>
      <c r="K121" s="171"/>
      <c r="L121" s="171"/>
      <c r="M121" s="56"/>
      <c r="N121" s="55"/>
      <c r="O121" s="749"/>
      <c r="P121" s="750"/>
      <c r="Q121" s="750"/>
      <c r="R121" s="754"/>
      <c r="S121" s="749"/>
      <c r="T121" s="750"/>
      <c r="U121" s="750"/>
      <c r="V121" s="754"/>
      <c r="W121" s="345"/>
      <c r="X121" s="345"/>
      <c r="Y121" s="743"/>
      <c r="Z121" s="743"/>
      <c r="AA121" s="743"/>
      <c r="AB121" s="743"/>
      <c r="AC121" s="743"/>
      <c r="AD121" s="743"/>
      <c r="AE121" s="743"/>
      <c r="AF121" s="743"/>
      <c r="AG121" s="743"/>
      <c r="AH121" s="743"/>
      <c r="BC121" s="155" t="str">
        <f t="shared" si="115"/>
        <v>-</v>
      </c>
      <c r="BD121" s="151"/>
      <c r="BE121" s="153"/>
      <c r="BF121" s="153"/>
      <c r="BG121" s="153"/>
      <c r="BH121" s="153"/>
      <c r="BI121" s="153"/>
      <c r="BJ121" s="153"/>
      <c r="BK121" s="153"/>
      <c r="BL121" s="153"/>
      <c r="BM121" s="153"/>
    </row>
    <row r="122" spans="1:65" ht="15" customHeight="1" outlineLevel="1" x14ac:dyDescent="0.25">
      <c r="A122" s="40"/>
      <c r="B122" s="761"/>
      <c r="C122" s="760"/>
      <c r="D122" s="343"/>
      <c r="E122" s="343"/>
      <c r="F122" s="56"/>
      <c r="G122" s="56"/>
      <c r="H122" s="56"/>
      <c r="I122" s="56"/>
      <c r="J122" s="56"/>
      <c r="K122" s="171"/>
      <c r="L122" s="171"/>
      <c r="M122" s="56"/>
      <c r="N122" s="55"/>
      <c r="O122" s="749"/>
      <c r="P122" s="750"/>
      <c r="Q122" s="750"/>
      <c r="R122" s="754"/>
      <c r="S122" s="749"/>
      <c r="T122" s="750"/>
      <c r="U122" s="750"/>
      <c r="V122" s="754"/>
      <c r="W122" s="345"/>
      <c r="X122" s="345"/>
      <c r="Y122" s="743"/>
      <c r="Z122" s="743"/>
      <c r="AA122" s="743"/>
      <c r="AB122" s="743"/>
      <c r="AC122" s="743"/>
      <c r="AD122" s="743"/>
      <c r="AE122" s="743"/>
      <c r="AF122" s="743"/>
      <c r="AG122" s="743"/>
      <c r="AH122" s="743"/>
      <c r="BC122" s="155" t="str">
        <f t="shared" si="115"/>
        <v>-</v>
      </c>
      <c r="BD122" s="151" t="str">
        <f>"IEF " &amp;B104</f>
        <v>IEF WLTC 20°C</v>
      </c>
      <c r="BE122" s="153">
        <f t="shared" ref="BE122:BM122" si="161">IF(OR($C106="CET",$C106="-",$C106=""),"-",$C106)</f>
        <v>1</v>
      </c>
      <c r="BF122" s="153">
        <f t="shared" si="161"/>
        <v>1</v>
      </c>
      <c r="BG122" s="153">
        <f t="shared" si="161"/>
        <v>1</v>
      </c>
      <c r="BH122" s="153">
        <f t="shared" si="161"/>
        <v>1</v>
      </c>
      <c r="BI122" s="153">
        <f t="shared" si="161"/>
        <v>1</v>
      </c>
      <c r="BJ122" s="153">
        <f t="shared" si="161"/>
        <v>1</v>
      </c>
      <c r="BK122" s="153">
        <f t="shared" ref="BK122:BL122" si="162">IF(OR($C106="CET",$C106="-",$C106=""),"-",$C106)</f>
        <v>1</v>
      </c>
      <c r="BL122" s="153">
        <f t="shared" si="162"/>
        <v>1</v>
      </c>
      <c r="BM122" s="153">
        <f t="shared" si="161"/>
        <v>1</v>
      </c>
    </row>
    <row r="123" spans="1:65" ht="15.75" outlineLevel="1" thickBot="1" x14ac:dyDescent="0.3">
      <c r="B123" s="796"/>
      <c r="C123" s="778"/>
      <c r="D123" s="349"/>
      <c r="E123" s="349"/>
      <c r="F123" s="349"/>
      <c r="G123" s="349"/>
      <c r="H123" s="349"/>
      <c r="I123" s="349"/>
      <c r="J123" s="349"/>
      <c r="K123" s="172"/>
      <c r="L123" s="172"/>
      <c r="M123" s="349"/>
      <c r="N123" s="54"/>
      <c r="O123" s="751"/>
      <c r="P123" s="752"/>
      <c r="Q123" s="752"/>
      <c r="R123" s="755"/>
      <c r="S123" s="751"/>
      <c r="T123" s="752"/>
      <c r="U123" s="752"/>
      <c r="V123" s="755"/>
      <c r="BC123" s="155" t="str">
        <f t="shared" si="115"/>
        <v>-</v>
      </c>
      <c r="BD123" s="156"/>
      <c r="BE123" s="156"/>
      <c r="BF123" s="156"/>
      <c r="BG123" s="156"/>
      <c r="BH123" s="156"/>
      <c r="BI123" s="156"/>
      <c r="BJ123" s="156"/>
      <c r="BK123" s="156"/>
      <c r="BL123" s="156"/>
      <c r="BM123" s="156"/>
    </row>
    <row r="124" spans="1:65" ht="15" customHeight="1" x14ac:dyDescent="0.25">
      <c r="BC124" s="155" t="str">
        <f t="shared" si="115"/>
        <v>-</v>
      </c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</row>
    <row r="125" spans="1:65" ht="15" customHeight="1" x14ac:dyDescent="0.25">
      <c r="BC125" s="155" t="str">
        <f t="shared" si="115"/>
        <v>-</v>
      </c>
      <c r="BD125" s="156"/>
      <c r="BE125" s="156"/>
      <c r="BF125" s="156"/>
      <c r="BG125" s="156"/>
      <c r="BH125" s="156"/>
      <c r="BI125" s="156"/>
      <c r="BJ125" s="156"/>
      <c r="BK125" s="156"/>
      <c r="BL125" s="156"/>
      <c r="BM125" s="156"/>
    </row>
    <row r="126" spans="1:65" ht="15" customHeight="1" thickBot="1" x14ac:dyDescent="0.3">
      <c r="A126" s="350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BC126" s="155" t="str">
        <f t="shared" si="115"/>
        <v>-</v>
      </c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</row>
    <row r="127" spans="1:65" ht="24.95" customHeight="1" thickBot="1" x14ac:dyDescent="0.3">
      <c r="A127" s="350"/>
      <c r="B127" s="185">
        <v>5</v>
      </c>
      <c r="C127" s="757" t="s">
        <v>103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9"/>
      <c r="O127" s="49" t="s">
        <v>117</v>
      </c>
      <c r="P127" s="71" t="str">
        <f>IF(COUNTIF(F132:M151,"refused")&gt;0,"refused",IF(COUNTIF(F132:M151,"failed")&gt;0,"failed",IF(COUNTIF(F132:M151,"passed")&gt;0,"passed","-")))</f>
        <v>-</v>
      </c>
      <c r="Q127" s="70" t="s">
        <v>80</v>
      </c>
      <c r="R127" s="70" t="str">
        <f>IF(COUNT(F132:M133)&gt;0,"listed","not listed")</f>
        <v>not listed</v>
      </c>
      <c r="S127" s="344"/>
      <c r="T127" s="43"/>
      <c r="U127" s="43"/>
      <c r="V127" s="44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BC127" s="155" t="str">
        <f t="shared" si="115"/>
        <v>-</v>
      </c>
    </row>
    <row r="128" spans="1:65" ht="15" customHeight="1" outlineLevel="1" thickBot="1" x14ac:dyDescent="0.3">
      <c r="A128" s="350"/>
      <c r="B128" s="346"/>
      <c r="C128" s="347"/>
      <c r="D128" s="347"/>
      <c r="E128" s="347"/>
      <c r="F128" s="347"/>
      <c r="G128" s="347"/>
      <c r="H128" s="347"/>
      <c r="I128" s="347"/>
      <c r="J128" s="347"/>
      <c r="K128" s="162"/>
      <c r="L128" s="162"/>
      <c r="M128" s="347"/>
      <c r="N128" s="347"/>
      <c r="O128" s="347"/>
      <c r="P128" s="347"/>
      <c r="Q128" s="347"/>
      <c r="R128" s="347"/>
      <c r="S128" s="347"/>
      <c r="T128" s="45"/>
      <c r="U128" s="45"/>
      <c r="V128" s="46"/>
      <c r="W128" s="47"/>
      <c r="X128" s="47"/>
      <c r="Y128" s="756"/>
      <c r="Z128" s="756"/>
      <c r="AA128" s="756"/>
      <c r="AB128" s="756"/>
      <c r="AC128" s="756"/>
      <c r="AD128" s="756"/>
      <c r="AE128" s="756"/>
      <c r="AF128" s="756"/>
      <c r="AG128" s="756"/>
      <c r="AH128" s="756"/>
      <c r="BC128" s="155" t="str">
        <f t="shared" si="115"/>
        <v>-</v>
      </c>
    </row>
    <row r="129" spans="1:73" ht="15" customHeight="1" outlineLevel="1" thickBot="1" x14ac:dyDescent="0.3">
      <c r="A129" s="350"/>
      <c r="B129" s="744" t="s">
        <v>81</v>
      </c>
      <c r="C129" s="745"/>
      <c r="D129" s="745"/>
      <c r="E129" s="745"/>
      <c r="F129" s="745"/>
      <c r="G129" s="745"/>
      <c r="H129" s="745"/>
      <c r="I129" s="745"/>
      <c r="J129" s="745"/>
      <c r="K129" s="745"/>
      <c r="L129" s="745"/>
      <c r="M129" s="745"/>
      <c r="N129" s="746"/>
      <c r="O129" s="744" t="s">
        <v>82</v>
      </c>
      <c r="P129" s="745"/>
      <c r="Q129" s="745"/>
      <c r="R129" s="746"/>
      <c r="S129" s="744" t="s">
        <v>83</v>
      </c>
      <c r="T129" s="745"/>
      <c r="U129" s="745"/>
      <c r="V129" s="746"/>
      <c r="W129" s="345"/>
      <c r="X129" s="345"/>
      <c r="Y129" s="743"/>
      <c r="Z129" s="743"/>
      <c r="AA129" s="743"/>
      <c r="AB129" s="743"/>
      <c r="AC129" s="743"/>
      <c r="AD129" s="743"/>
      <c r="AE129" s="743"/>
      <c r="AF129" s="743"/>
      <c r="AG129" s="743"/>
      <c r="AH129" s="743"/>
      <c r="BC129" s="155" t="str">
        <f t="shared" si="115"/>
        <v>-</v>
      </c>
    </row>
    <row r="130" spans="1:73" ht="35.1" customHeight="1" outlineLevel="1" thickBot="1" x14ac:dyDescent="0.3">
      <c r="A130" s="350"/>
      <c r="B130" s="767" t="s">
        <v>84</v>
      </c>
      <c r="C130" s="768"/>
      <c r="D130" s="768"/>
      <c r="E130" s="769"/>
      <c r="F130" s="69" t="str">
        <f t="shared" ref="F130:L130" si="163">F$4</f>
        <v>NMHC 
[g/km]</v>
      </c>
      <c r="G130" s="69" t="str">
        <f t="shared" si="163"/>
        <v>THC
[g/km]</v>
      </c>
      <c r="H130" s="69" t="str">
        <f t="shared" si="163"/>
        <v>CO
[g/km]</v>
      </c>
      <c r="I130" s="69" t="str">
        <f t="shared" si="163"/>
        <v>NOx
[g/km]</v>
      </c>
      <c r="J130" s="69" t="str">
        <f t="shared" si="163"/>
        <v>PM
[mg/km]</v>
      </c>
      <c r="K130" s="69" t="str">
        <f t="shared" si="163"/>
        <v>PN
[#/km]</v>
      </c>
      <c r="L130" s="366" t="str">
        <f t="shared" si="163"/>
        <v>Additional component</v>
      </c>
      <c r="M130" s="366" t="str">
        <f>M$4</f>
        <v>Additional
component 2</v>
      </c>
      <c r="N130" s="69" t="str">
        <f>N$4</f>
        <v>CO2
[g/km]</v>
      </c>
      <c r="O130" s="747"/>
      <c r="P130" s="748"/>
      <c r="Q130" s="748"/>
      <c r="R130" s="753"/>
      <c r="S130" s="747"/>
      <c r="T130" s="748"/>
      <c r="U130" s="748"/>
      <c r="V130" s="753"/>
      <c r="W130" s="345"/>
      <c r="X130" s="345"/>
      <c r="Y130" s="743"/>
      <c r="Z130" s="743"/>
      <c r="AA130" s="743"/>
      <c r="AB130" s="743"/>
      <c r="AC130" s="743"/>
      <c r="AD130" s="743"/>
      <c r="AE130" s="743"/>
      <c r="AF130" s="743"/>
      <c r="AG130" s="743"/>
      <c r="AH130" s="743"/>
      <c r="BC130" s="155" t="str">
        <f t="shared" si="115"/>
        <v>-</v>
      </c>
    </row>
    <row r="131" spans="1:73" ht="15" customHeight="1" outlineLevel="1" thickBot="1" x14ac:dyDescent="0.3">
      <c r="A131" s="350"/>
      <c r="B131" s="806" t="s">
        <v>103</v>
      </c>
      <c r="C131" s="348" t="s">
        <v>64</v>
      </c>
      <c r="D131" s="767" t="s">
        <v>119</v>
      </c>
      <c r="E131" s="769"/>
      <c r="F131" s="107" t="s">
        <v>64</v>
      </c>
      <c r="G131" s="107" t="s">
        <v>64</v>
      </c>
      <c r="H131" s="107" t="s">
        <v>64</v>
      </c>
      <c r="I131" s="107" t="s">
        <v>64</v>
      </c>
      <c r="J131" s="107" t="s">
        <v>64</v>
      </c>
      <c r="K131" s="164" t="s">
        <v>64</v>
      </c>
      <c r="L131" s="164" t="s">
        <v>64</v>
      </c>
      <c r="M131" s="107" t="s">
        <v>64</v>
      </c>
      <c r="N131" s="107" t="s">
        <v>64</v>
      </c>
      <c r="O131" s="749"/>
      <c r="P131" s="750"/>
      <c r="Q131" s="750"/>
      <c r="R131" s="754"/>
      <c r="S131" s="749"/>
      <c r="T131" s="750"/>
      <c r="U131" s="750"/>
      <c r="V131" s="754"/>
      <c r="W131" s="345"/>
      <c r="X131" s="345"/>
      <c r="Y131" s="743"/>
      <c r="Z131" s="743"/>
      <c r="AA131" s="743"/>
      <c r="AB131" s="743"/>
      <c r="AC131" s="743"/>
      <c r="AD131" s="743"/>
      <c r="AE131" s="743"/>
      <c r="AF131" s="743"/>
      <c r="AG131" s="743"/>
      <c r="AH131" s="743"/>
      <c r="BC131" s="155" t="str">
        <f t="shared" si="115"/>
        <v>-</v>
      </c>
    </row>
    <row r="132" spans="1:73" s="50" customFormat="1" ht="15" customHeight="1" outlineLevel="1" x14ac:dyDescent="0.25">
      <c r="A132" s="53"/>
      <c r="B132" s="807"/>
      <c r="C132" s="95" t="s">
        <v>114</v>
      </c>
      <c r="D132" s="770" t="s">
        <v>113</v>
      </c>
      <c r="E132" s="106" t="s">
        <v>94</v>
      </c>
      <c r="F132" s="105" t="s">
        <v>5</v>
      </c>
      <c r="G132" s="105" t="s">
        <v>5</v>
      </c>
      <c r="H132" s="105" t="s">
        <v>5</v>
      </c>
      <c r="I132" s="105" t="s">
        <v>5</v>
      </c>
      <c r="J132" s="105" t="s">
        <v>5</v>
      </c>
      <c r="K132" s="173" t="s">
        <v>5</v>
      </c>
      <c r="L132" s="173" t="s">
        <v>5</v>
      </c>
      <c r="M132" s="105" t="s">
        <v>5</v>
      </c>
      <c r="N132" s="105" t="s">
        <v>5</v>
      </c>
      <c r="O132" s="749"/>
      <c r="P132" s="750"/>
      <c r="Q132" s="750"/>
      <c r="R132" s="754"/>
      <c r="S132" s="749"/>
      <c r="T132" s="750"/>
      <c r="U132" s="750"/>
      <c r="V132" s="754"/>
      <c r="W132" s="51"/>
      <c r="X132" s="51"/>
      <c r="Y132" s="743"/>
      <c r="Z132" s="743"/>
      <c r="AA132" s="743"/>
      <c r="AB132" s="743"/>
      <c r="AC132" s="743"/>
      <c r="AD132" s="743"/>
      <c r="AE132" s="743"/>
      <c r="AF132" s="743"/>
      <c r="AG132" s="743"/>
      <c r="AH132" s="743"/>
      <c r="BC132" s="155" t="str">
        <f t="shared" si="115"/>
        <v>-</v>
      </c>
      <c r="BD132" s="150"/>
      <c r="BE132" s="150"/>
      <c r="BF132" s="150"/>
      <c r="BG132" s="150"/>
      <c r="BH132" s="150"/>
      <c r="BI132" s="150"/>
      <c r="BJ132" s="150"/>
      <c r="BK132" s="150"/>
      <c r="BL132" s="150"/>
      <c r="BM132" s="150"/>
      <c r="BN132" s="150"/>
      <c r="BO132" s="150"/>
      <c r="BP132" s="150"/>
      <c r="BQ132" s="150"/>
      <c r="BR132" s="150"/>
      <c r="BS132" s="150"/>
      <c r="BT132" s="150"/>
    </row>
    <row r="133" spans="1:73" ht="15" customHeight="1" outlineLevel="1" thickBot="1" x14ac:dyDescent="0.3">
      <c r="A133" s="350"/>
      <c r="B133" s="807"/>
      <c r="C133" s="94"/>
      <c r="D133" s="742"/>
      <c r="E133" s="104" t="s">
        <v>95</v>
      </c>
      <c r="F133" s="103" t="s">
        <v>5</v>
      </c>
      <c r="G133" s="103" t="s">
        <v>5</v>
      </c>
      <c r="H133" s="103" t="s">
        <v>5</v>
      </c>
      <c r="I133" s="103" t="s">
        <v>5</v>
      </c>
      <c r="J133" s="103" t="s">
        <v>5</v>
      </c>
      <c r="K133" s="174" t="s">
        <v>5</v>
      </c>
      <c r="L133" s="174" t="s">
        <v>5</v>
      </c>
      <c r="M133" s="103" t="s">
        <v>5</v>
      </c>
      <c r="N133" s="103" t="s">
        <v>5</v>
      </c>
      <c r="O133" s="749"/>
      <c r="P133" s="750"/>
      <c r="Q133" s="750"/>
      <c r="R133" s="754"/>
      <c r="S133" s="749"/>
      <c r="T133" s="750"/>
      <c r="U133" s="750"/>
      <c r="V133" s="754"/>
      <c r="W133" s="345"/>
      <c r="X133" s="345"/>
      <c r="Y133" s="743"/>
      <c r="Z133" s="743"/>
      <c r="AA133" s="743"/>
      <c r="AB133" s="743"/>
      <c r="AC133" s="743"/>
      <c r="AD133" s="743"/>
      <c r="AE133" s="743"/>
      <c r="AF133" s="743"/>
      <c r="AG133" s="743"/>
      <c r="AH133" s="743"/>
      <c r="BC133" s="155" t="str">
        <f t="shared" si="115"/>
        <v>-</v>
      </c>
    </row>
    <row r="134" spans="1:73" ht="15" customHeight="1" outlineLevel="1" thickBot="1" x14ac:dyDescent="0.3">
      <c r="A134" s="350"/>
      <c r="B134" s="807"/>
      <c r="C134" s="764" t="s">
        <v>5</v>
      </c>
      <c r="D134" s="772" t="str">
        <f>IF(AND(F135="-",G135="-",H135="-",I135="-",J135="-",K135="-",K135="-",L135="-"),"-",MAX(F135,G135,H135,I135,J135,K135,L135,M135))</f>
        <v>-</v>
      </c>
      <c r="E134" s="66" t="s">
        <v>177</v>
      </c>
      <c r="F134" s="65" t="str">
        <f t="shared" ref="F134:K134" si="164">IF(OR(F133="-",F133=""),IF(OR(F132="-",F132=""),"-",F132),IF(OR(F132="-",F132=""),F133,(F132+F133)/2))</f>
        <v>-</v>
      </c>
      <c r="G134" s="65" t="str">
        <f t="shared" si="164"/>
        <v>-</v>
      </c>
      <c r="H134" s="65" t="str">
        <f t="shared" si="164"/>
        <v>-</v>
      </c>
      <c r="I134" s="65" t="str">
        <f t="shared" si="164"/>
        <v>-</v>
      </c>
      <c r="J134" s="65" t="str">
        <f t="shared" si="164"/>
        <v>-</v>
      </c>
      <c r="K134" s="167" t="str">
        <f t="shared" si="164"/>
        <v>-</v>
      </c>
      <c r="L134" s="167" t="str">
        <f t="shared" ref="L134" si="165">IF(OR(L133="-",L133=""),IF(OR(L132="-",L132=""),"-",L132),IF(OR(L132="-",L132=""),L133,(L132+L133)/2))</f>
        <v>-</v>
      </c>
      <c r="M134" s="65" t="s">
        <v>5</v>
      </c>
      <c r="N134" s="740"/>
      <c r="O134" s="749"/>
      <c r="P134" s="750"/>
      <c r="Q134" s="750"/>
      <c r="R134" s="754"/>
      <c r="S134" s="749"/>
      <c r="T134" s="750"/>
      <c r="U134" s="750"/>
      <c r="V134" s="754"/>
      <c r="W134" s="345"/>
      <c r="X134" s="345"/>
      <c r="Y134" s="743"/>
      <c r="Z134" s="743"/>
      <c r="AA134" s="743"/>
      <c r="AB134" s="743"/>
      <c r="AC134" s="743"/>
      <c r="AD134" s="743"/>
      <c r="AE134" s="743"/>
      <c r="AF134" s="743"/>
      <c r="AG134" s="743"/>
      <c r="AH134" s="743"/>
      <c r="BC134" s="155" t="str">
        <f t="shared" si="115"/>
        <v>-</v>
      </c>
    </row>
    <row r="135" spans="1:73" ht="15" customHeight="1" outlineLevel="1" thickBot="1" x14ac:dyDescent="0.3">
      <c r="A135" s="350"/>
      <c r="B135" s="807"/>
      <c r="C135" s="765"/>
      <c r="D135" s="773"/>
      <c r="E135" s="64" t="s">
        <v>97</v>
      </c>
      <c r="F135" s="63" t="str">
        <f t="shared" ref="F135:K135" si="166">IF(AND(OR($C134="-",$C134="CET",$C134=""),OR(F131="-",F131="CET",F131="")),"-",IF(AND(NOT(F134="-"),NOT(F$6="-"),NOT(F$6="")),F134/F$6,"-"))</f>
        <v>-</v>
      </c>
      <c r="G135" s="63" t="str">
        <f t="shared" si="166"/>
        <v>-</v>
      </c>
      <c r="H135" s="63" t="str">
        <f t="shared" si="166"/>
        <v>-</v>
      </c>
      <c r="I135" s="63" t="str">
        <f t="shared" si="166"/>
        <v>-</v>
      </c>
      <c r="J135" s="63" t="str">
        <f t="shared" si="166"/>
        <v>-</v>
      </c>
      <c r="K135" s="168" t="str">
        <f t="shared" si="166"/>
        <v>-</v>
      </c>
      <c r="L135" s="168" t="str">
        <f t="shared" ref="L135" si="167">IF(AND(OR($C134="-",$C134="CET",$C134=""),OR(L131="-",L131="CET",L131="")),"-",IF(AND(NOT(L134="-"),NOT(L$6="-"),NOT(L$6="")),L134/L$6,"-"))</f>
        <v>-</v>
      </c>
      <c r="M135" s="63" t="s">
        <v>5</v>
      </c>
      <c r="N135" s="741"/>
      <c r="O135" s="749"/>
      <c r="P135" s="750"/>
      <c r="Q135" s="750"/>
      <c r="R135" s="754"/>
      <c r="S135" s="749"/>
      <c r="T135" s="750"/>
      <c r="U135" s="750"/>
      <c r="V135" s="754"/>
      <c r="W135" s="345"/>
      <c r="X135" s="345"/>
      <c r="Y135" s="743"/>
      <c r="Z135" s="743"/>
      <c r="AA135" s="743"/>
      <c r="AB135" s="743"/>
      <c r="AC135" s="743"/>
      <c r="AD135" s="743"/>
      <c r="AE135" s="743"/>
      <c r="AF135" s="743"/>
      <c r="AG135" s="743"/>
      <c r="AH135" s="743"/>
      <c r="BC135" s="155" t="str">
        <f t="shared" si="115"/>
        <v>-</v>
      </c>
      <c r="BN135" s="69" t="str">
        <f>$F$4</f>
        <v>NMHC 
[g/km]</v>
      </c>
      <c r="BO135" s="69" t="str">
        <f>$G$4</f>
        <v>THC
[g/km]</v>
      </c>
      <c r="BP135" s="69" t="str">
        <f>$H$4</f>
        <v>CO
[g/km]</v>
      </c>
      <c r="BQ135" s="69" t="str">
        <f>$I$4</f>
        <v>NOx
[g/km]</v>
      </c>
      <c r="BR135" s="69" t="str">
        <f>$J$4</f>
        <v>PM
[mg/km]</v>
      </c>
      <c r="BS135" s="163" t="str">
        <f>$K$4</f>
        <v>PN
[#/km]</v>
      </c>
      <c r="BT135" s="69" t="str">
        <f>$M$4</f>
        <v>Additional
component 2</v>
      </c>
      <c r="BU135" s="69" t="str">
        <f>$N$4</f>
        <v>CO2
[g/km]</v>
      </c>
    </row>
    <row r="136" spans="1:73" ht="15" customHeight="1" outlineLevel="1" thickBot="1" x14ac:dyDescent="0.3">
      <c r="A136" s="350"/>
      <c r="B136" s="807"/>
      <c r="C136" s="766"/>
      <c r="D136" s="774"/>
      <c r="E136" s="68" t="s">
        <v>30</v>
      </c>
      <c r="F136" s="68" t="str">
        <f t="shared" ref="F136:L136" si="168">IF(AND(OR(F132="-",F132=""),OR(F133="-",F133="")),"-",IF(AND(OR(F131="CET",F131="-",F131=""),OR($C134="CET",$C134="-",$C134="")),"-",IF($R$127="not listed","-",IF(AND(NOT(F$6="-"),NOT(F$6="")),IF(AND(AND(NOT(F132=0),NOT(F132="-"),NOT(F132="")),AND(NOT(F133="-"),NOT(F133=0),NOT(F133=""))),IF(AND((F132+F133)/2&lt;1*F$6*IF(OR(F131="CET",F131="-",F131=""),IF(OR($C134="CET",$C134="-",$C134=""),"-",$C134),F131),F132&lt;1.1*F$6*IF(OR(F131="CET",F131="-",F131=""),IF(OR($C134="CET",$C134="-",$C134=""),"-",$C134),F131),F133&lt;1.1*F$6*IF(OR(F131="CET",F131="-",F131=""),IF($C134="CET","-",$C134),F131)),"passed","refused"),IF(IF(OR(F132="-",F132=""),F133,F132)&lt;0.7*F$6*IF(OR(F131="CET",F131="-",F131=""),IF($C134="CET","-",$C134),F131),"passed",IF(IF(OR(F132="-",F132=""),F133,F132)&lt;1.1*IF(OR(F131="CET",F131="-",F131=""),IF($C134="CET","-",$C134),F131)*F$6,"failed","refused"))),"-"))))</f>
        <v>-</v>
      </c>
      <c r="G136" s="68" t="str">
        <f t="shared" si="168"/>
        <v>-</v>
      </c>
      <c r="H136" s="68" t="str">
        <f t="shared" si="168"/>
        <v>-</v>
      </c>
      <c r="I136" s="68" t="str">
        <f t="shared" si="168"/>
        <v>-</v>
      </c>
      <c r="J136" s="68" t="str">
        <f t="shared" si="168"/>
        <v>-</v>
      </c>
      <c r="K136" s="341" t="str">
        <f t="shared" si="168"/>
        <v>-</v>
      </c>
      <c r="L136" s="341" t="str">
        <f t="shared" si="168"/>
        <v>-</v>
      </c>
      <c r="M136" s="68" t="s">
        <v>5</v>
      </c>
      <c r="N136" s="742"/>
      <c r="O136" s="749"/>
      <c r="P136" s="750"/>
      <c r="Q136" s="750"/>
      <c r="R136" s="754"/>
      <c r="S136" s="749"/>
      <c r="T136" s="750"/>
      <c r="U136" s="750"/>
      <c r="V136" s="754"/>
      <c r="W136" s="345"/>
      <c r="X136" s="345"/>
      <c r="Y136" s="743"/>
      <c r="Z136" s="743"/>
      <c r="AA136" s="743"/>
      <c r="AB136" s="743"/>
      <c r="AC136" s="743"/>
      <c r="AD136" s="743"/>
      <c r="AE136" s="743"/>
      <c r="AF136" s="743"/>
      <c r="AG136" s="743"/>
      <c r="AH136" s="743"/>
      <c r="BC136" s="155" t="str">
        <f t="shared" si="115"/>
        <v>-</v>
      </c>
      <c r="BN136" s="153">
        <v>1</v>
      </c>
      <c r="BO136" s="153">
        <v>1</v>
      </c>
      <c r="BP136" s="153">
        <v>1</v>
      </c>
      <c r="BQ136" s="153">
        <v>1</v>
      </c>
      <c r="BR136" s="153">
        <v>1</v>
      </c>
      <c r="BS136" s="153">
        <v>1</v>
      </c>
      <c r="BT136" s="153">
        <v>1</v>
      </c>
      <c r="BU136" s="153">
        <v>1</v>
      </c>
    </row>
    <row r="137" spans="1:73" ht="15" customHeight="1" outlineLevel="1" x14ac:dyDescent="0.25">
      <c r="A137" s="350"/>
      <c r="B137" s="762"/>
      <c r="C137" s="763"/>
      <c r="D137" s="351"/>
      <c r="E137" s="351"/>
      <c r="F137" s="90"/>
      <c r="G137" s="90"/>
      <c r="H137" s="90"/>
      <c r="I137" s="90"/>
      <c r="J137" s="90"/>
      <c r="K137" s="176"/>
      <c r="L137" s="176"/>
      <c r="M137" s="90"/>
      <c r="N137" s="89"/>
      <c r="O137" s="749"/>
      <c r="P137" s="750"/>
      <c r="Q137" s="750"/>
      <c r="R137" s="754"/>
      <c r="S137" s="749"/>
      <c r="T137" s="750"/>
      <c r="U137" s="750"/>
      <c r="V137" s="754"/>
      <c r="W137" s="345"/>
      <c r="X137" s="345"/>
      <c r="Y137" s="743"/>
      <c r="Z137" s="743"/>
      <c r="AA137" s="743"/>
      <c r="AB137" s="743"/>
      <c r="AC137" s="743"/>
      <c r="AD137" s="743"/>
      <c r="AE137" s="743"/>
      <c r="AF137" s="743"/>
      <c r="AG137" s="743"/>
      <c r="AH137" s="743"/>
      <c r="BC137" s="155" t="str">
        <f t="shared" si="115"/>
        <v>-</v>
      </c>
      <c r="BN137" s="153" t="str">
        <f t="shared" ref="BN137:BS137" si="169">IF((OR($C134="-",$C134="CET",$C134="")),"-",IF(AND(OR(F132="-",F132=""),OR(F133="-",F133="")),"-",IF(NOT(OR(F132="-",F132="")),F132/F$6,F133/F$6)))</f>
        <v>-</v>
      </c>
      <c r="BO137" s="153" t="str">
        <f t="shared" si="169"/>
        <v>-</v>
      </c>
      <c r="BP137" s="153" t="str">
        <f t="shared" si="169"/>
        <v>-</v>
      </c>
      <c r="BQ137" s="153" t="str">
        <f t="shared" si="169"/>
        <v>-</v>
      </c>
      <c r="BR137" s="153" t="str">
        <f t="shared" si="169"/>
        <v>-</v>
      </c>
      <c r="BS137" s="153" t="str">
        <f t="shared" si="169"/>
        <v>-</v>
      </c>
      <c r="BT137" s="153" t="str">
        <f t="shared" ref="BT137:BU137" si="170">IF((OR($C134="-",$C134="CET",$C134="")),"-",IF(AND(OR(M132="-",M132=""),OR(M133="-",M133="")),"-",IF(NOT(OR(M132="-",M132="")),M132/M$6,M133/M$6)))</f>
        <v>-</v>
      </c>
      <c r="BU137" s="153" t="str">
        <f t="shared" si="170"/>
        <v>-</v>
      </c>
    </row>
    <row r="138" spans="1:73" ht="15" customHeight="1" outlineLevel="1" x14ac:dyDescent="0.25">
      <c r="A138" s="350"/>
      <c r="B138" s="761"/>
      <c r="C138" s="760"/>
      <c r="D138" s="343"/>
      <c r="E138" s="343"/>
      <c r="F138" s="353"/>
      <c r="G138" s="353"/>
      <c r="H138" s="353"/>
      <c r="I138" s="353"/>
      <c r="J138" s="353"/>
      <c r="K138" s="171"/>
      <c r="L138" s="171"/>
      <c r="M138" s="353"/>
      <c r="N138" s="57"/>
      <c r="O138" s="749"/>
      <c r="P138" s="750"/>
      <c r="Q138" s="750"/>
      <c r="R138" s="754"/>
      <c r="S138" s="749"/>
      <c r="T138" s="750"/>
      <c r="U138" s="750"/>
      <c r="V138" s="754"/>
      <c r="W138" s="345"/>
      <c r="X138" s="345"/>
      <c r="Y138" s="743"/>
      <c r="Z138" s="743"/>
      <c r="AA138" s="743"/>
      <c r="AB138" s="743"/>
      <c r="AC138" s="743"/>
      <c r="AD138" s="743"/>
      <c r="AE138" s="743"/>
      <c r="AF138" s="743"/>
      <c r="AG138" s="743"/>
      <c r="AH138" s="743"/>
      <c r="BC138" s="155" t="str">
        <f t="shared" si="115"/>
        <v>-</v>
      </c>
      <c r="BN138" s="153"/>
      <c r="BO138" s="153"/>
      <c r="BP138" s="153"/>
      <c r="BQ138" s="153"/>
      <c r="BR138" s="153"/>
      <c r="BS138" s="153"/>
      <c r="BT138" s="153"/>
      <c r="BU138" s="153"/>
    </row>
    <row r="139" spans="1:73" ht="15" customHeight="1" outlineLevel="1" x14ac:dyDescent="0.25">
      <c r="A139" s="350"/>
      <c r="B139" s="761"/>
      <c r="C139" s="760"/>
      <c r="D139" s="343"/>
      <c r="E139" s="343"/>
      <c r="F139" s="56"/>
      <c r="G139" s="56"/>
      <c r="H139" s="56"/>
      <c r="I139" s="56"/>
      <c r="J139" s="56"/>
      <c r="K139" s="171"/>
      <c r="L139" s="171"/>
      <c r="M139" s="56"/>
      <c r="N139" s="55"/>
      <c r="O139" s="749"/>
      <c r="P139" s="750"/>
      <c r="Q139" s="750"/>
      <c r="R139" s="754"/>
      <c r="S139" s="749"/>
      <c r="T139" s="750"/>
      <c r="U139" s="750"/>
      <c r="V139" s="754"/>
      <c r="W139" s="345"/>
      <c r="X139" s="345"/>
      <c r="Y139" s="743"/>
      <c r="Z139" s="743"/>
      <c r="AA139" s="743"/>
      <c r="AB139" s="743"/>
      <c r="AC139" s="743"/>
      <c r="AD139" s="743"/>
      <c r="AE139" s="743"/>
      <c r="AF139" s="743"/>
      <c r="AG139" s="743"/>
      <c r="AH139" s="743"/>
      <c r="BC139" s="155" t="str">
        <f t="shared" si="115"/>
        <v>-</v>
      </c>
      <c r="BN139" s="153"/>
      <c r="BO139" s="153"/>
      <c r="BP139" s="153"/>
      <c r="BQ139" s="153"/>
      <c r="BR139" s="153"/>
      <c r="BS139" s="153"/>
      <c r="BT139" s="153"/>
      <c r="BU139" s="153"/>
    </row>
    <row r="140" spans="1:73" ht="15" customHeight="1" outlineLevel="1" x14ac:dyDescent="0.25">
      <c r="A140" s="40"/>
      <c r="B140" s="761"/>
      <c r="C140" s="760"/>
      <c r="D140" s="343"/>
      <c r="E140" s="343"/>
      <c r="F140" s="56"/>
      <c r="G140" s="56"/>
      <c r="H140" s="56"/>
      <c r="I140" s="56"/>
      <c r="J140" s="56"/>
      <c r="K140" s="171"/>
      <c r="L140" s="171"/>
      <c r="M140" s="56"/>
      <c r="N140" s="55"/>
      <c r="O140" s="749"/>
      <c r="P140" s="750"/>
      <c r="Q140" s="750"/>
      <c r="R140" s="754"/>
      <c r="S140" s="749"/>
      <c r="T140" s="750"/>
      <c r="U140" s="750"/>
      <c r="V140" s="754"/>
      <c r="W140" s="345"/>
      <c r="X140" s="345"/>
      <c r="Y140" s="743"/>
      <c r="Z140" s="743"/>
      <c r="AA140" s="743"/>
      <c r="AB140" s="743"/>
      <c r="AC140" s="743"/>
      <c r="AD140" s="743"/>
      <c r="AE140" s="743"/>
      <c r="AF140" s="743"/>
      <c r="AG140" s="743"/>
      <c r="AH140" s="743"/>
      <c r="BC140" s="155" t="str">
        <f t="shared" si="115"/>
        <v>-</v>
      </c>
      <c r="BN140" s="153"/>
      <c r="BO140" s="153"/>
      <c r="BP140" s="153"/>
      <c r="BQ140" s="153"/>
      <c r="BR140" s="153"/>
      <c r="BS140" s="153"/>
      <c r="BT140" s="153"/>
      <c r="BU140" s="153"/>
    </row>
    <row r="141" spans="1:73" ht="15" customHeight="1" outlineLevel="1" x14ac:dyDescent="0.25">
      <c r="A141" s="40"/>
      <c r="B141" s="761"/>
      <c r="C141" s="760"/>
      <c r="D141" s="343"/>
      <c r="E141" s="343"/>
      <c r="F141" s="343"/>
      <c r="G141" s="343"/>
      <c r="H141" s="343"/>
      <c r="I141" s="343"/>
      <c r="J141" s="343"/>
      <c r="K141" s="171"/>
      <c r="L141" s="171"/>
      <c r="M141" s="343"/>
      <c r="N141" s="59"/>
      <c r="O141" s="749"/>
      <c r="P141" s="750"/>
      <c r="Q141" s="750"/>
      <c r="R141" s="754"/>
      <c r="S141" s="749"/>
      <c r="T141" s="750"/>
      <c r="U141" s="750"/>
      <c r="V141" s="754"/>
      <c r="W141" s="345"/>
      <c r="X141" s="345"/>
      <c r="Y141" s="743"/>
      <c r="Z141" s="743"/>
      <c r="AA141" s="743"/>
      <c r="AB141" s="743"/>
      <c r="AC141" s="743"/>
      <c r="AD141" s="743"/>
      <c r="AE141" s="743"/>
      <c r="AF141" s="743"/>
      <c r="AG141" s="743"/>
      <c r="AH141" s="743"/>
      <c r="BC141" s="155" t="str">
        <f t="shared" si="115"/>
        <v>-</v>
      </c>
      <c r="BN141" s="153" t="str">
        <f t="shared" ref="BN141:BS141" si="171">IF(AND(OR($C134="-",$C134="CET",$C134=""),OR(F131="-",F131="CET",F131="")),"-",0.7*IF(OR(F131="CET",F131="-",F131=""),IF(OR($C134="CET",$C134="-",$C134=""),"-",$C134),F131))</f>
        <v>-</v>
      </c>
      <c r="BO141" s="153" t="str">
        <f t="shared" si="171"/>
        <v>-</v>
      </c>
      <c r="BP141" s="153" t="str">
        <f t="shared" si="171"/>
        <v>-</v>
      </c>
      <c r="BQ141" s="153" t="str">
        <f t="shared" si="171"/>
        <v>-</v>
      </c>
      <c r="BR141" s="153" t="str">
        <f t="shared" si="171"/>
        <v>-</v>
      </c>
      <c r="BS141" s="153" t="str">
        <f t="shared" si="171"/>
        <v>-</v>
      </c>
      <c r="BT141" s="153" t="str">
        <f t="shared" ref="BT141:BU141" si="172">IF(AND(OR($C134="-",$C134="CET",$C134=""),OR(M131="-",M131="CET",M131="")),"-",0.7*IF(OR(M131="CET",M131="-",M131=""),IF(OR($C134="CET",$C134="-",$C134=""),"-",$C134),M131))</f>
        <v>-</v>
      </c>
      <c r="BU141" s="153" t="str">
        <f t="shared" si="172"/>
        <v>-</v>
      </c>
    </row>
    <row r="142" spans="1:73" ht="15" customHeight="1" outlineLevel="1" x14ac:dyDescent="0.25">
      <c r="A142" s="40"/>
      <c r="B142" s="761"/>
      <c r="C142" s="760"/>
      <c r="D142" s="343"/>
      <c r="E142" s="343"/>
      <c r="F142" s="353"/>
      <c r="G142" s="353"/>
      <c r="H142" s="353"/>
      <c r="I142" s="353"/>
      <c r="J142" s="353"/>
      <c r="K142" s="171"/>
      <c r="L142" s="171"/>
      <c r="M142" s="353"/>
      <c r="N142" s="57"/>
      <c r="O142" s="749"/>
      <c r="P142" s="750"/>
      <c r="Q142" s="750"/>
      <c r="R142" s="754"/>
      <c r="S142" s="749"/>
      <c r="T142" s="750"/>
      <c r="U142" s="750"/>
      <c r="V142" s="754"/>
      <c r="W142" s="345"/>
      <c r="X142" s="345"/>
      <c r="Y142" s="743"/>
      <c r="Z142" s="743"/>
      <c r="AA142" s="743"/>
      <c r="AB142" s="743"/>
      <c r="AC142" s="743"/>
      <c r="AD142" s="743"/>
      <c r="AE142" s="743"/>
      <c r="AF142" s="743"/>
      <c r="AG142" s="743"/>
      <c r="AH142" s="743"/>
      <c r="BC142" s="155" t="str">
        <f t="shared" si="115"/>
        <v>-</v>
      </c>
      <c r="BN142" s="153"/>
      <c r="BO142" s="153"/>
      <c r="BP142" s="153"/>
      <c r="BQ142" s="153"/>
      <c r="BR142" s="153"/>
      <c r="BS142" s="153"/>
      <c r="BT142" s="153"/>
      <c r="BU142" s="153"/>
    </row>
    <row r="143" spans="1:73" ht="15" customHeight="1" outlineLevel="1" x14ac:dyDescent="0.25">
      <c r="A143" s="40"/>
      <c r="B143" s="761"/>
      <c r="C143" s="760"/>
      <c r="D143" s="343"/>
      <c r="E143" s="343"/>
      <c r="F143" s="353"/>
      <c r="G143" s="353"/>
      <c r="H143" s="353"/>
      <c r="I143" s="353"/>
      <c r="J143" s="353"/>
      <c r="K143" s="171"/>
      <c r="L143" s="171"/>
      <c r="M143" s="353"/>
      <c r="N143" s="57"/>
      <c r="O143" s="749"/>
      <c r="P143" s="750"/>
      <c r="Q143" s="750"/>
      <c r="R143" s="754"/>
      <c r="S143" s="749"/>
      <c r="T143" s="750"/>
      <c r="U143" s="750"/>
      <c r="V143" s="754"/>
      <c r="W143" s="345"/>
      <c r="X143" s="345"/>
      <c r="Y143" s="743"/>
      <c r="Z143" s="743"/>
      <c r="AA143" s="743"/>
      <c r="AB143" s="743"/>
      <c r="AC143" s="743"/>
      <c r="AD143" s="743"/>
      <c r="AE143" s="743"/>
      <c r="AF143" s="743"/>
      <c r="AG143" s="743"/>
      <c r="AH143" s="743"/>
      <c r="BC143" s="155" t="str">
        <f t="shared" si="115"/>
        <v>-</v>
      </c>
      <c r="BN143" s="153"/>
      <c r="BO143" s="153"/>
      <c r="BP143" s="153"/>
      <c r="BQ143" s="153"/>
      <c r="BR143" s="153"/>
      <c r="BS143" s="153"/>
      <c r="BT143" s="153"/>
      <c r="BU143" s="153"/>
    </row>
    <row r="144" spans="1:73" ht="15" customHeight="1" outlineLevel="1" x14ac:dyDescent="0.25">
      <c r="A144" s="40"/>
      <c r="B144" s="761"/>
      <c r="C144" s="760"/>
      <c r="D144" s="343"/>
      <c r="E144" s="343"/>
      <c r="F144" s="56"/>
      <c r="G144" s="56"/>
      <c r="H144" s="56"/>
      <c r="I144" s="56"/>
      <c r="J144" s="56"/>
      <c r="K144" s="171"/>
      <c r="L144" s="171"/>
      <c r="M144" s="56"/>
      <c r="N144" s="55"/>
      <c r="O144" s="749"/>
      <c r="P144" s="750"/>
      <c r="Q144" s="750"/>
      <c r="R144" s="754"/>
      <c r="S144" s="749"/>
      <c r="T144" s="750"/>
      <c r="U144" s="750"/>
      <c r="V144" s="754"/>
      <c r="W144" s="345"/>
      <c r="X144" s="345"/>
      <c r="Y144" s="743"/>
      <c r="Z144" s="743"/>
      <c r="AA144" s="743"/>
      <c r="AB144" s="743"/>
      <c r="AC144" s="743"/>
      <c r="AD144" s="743"/>
      <c r="AE144" s="743"/>
      <c r="AF144" s="743"/>
      <c r="AG144" s="743"/>
      <c r="AH144" s="743"/>
      <c r="BC144" s="155" t="str">
        <f t="shared" si="115"/>
        <v>-</v>
      </c>
      <c r="BN144" s="153"/>
      <c r="BO144" s="153"/>
      <c r="BP144" s="153"/>
      <c r="BQ144" s="153"/>
      <c r="BR144" s="153"/>
      <c r="BS144" s="153"/>
      <c r="BT144" s="153"/>
      <c r="BU144" s="153"/>
    </row>
    <row r="145" spans="1:73" ht="15" customHeight="1" outlineLevel="1" x14ac:dyDescent="0.25">
      <c r="A145" s="40"/>
      <c r="B145" s="761"/>
      <c r="C145" s="760"/>
      <c r="D145" s="343"/>
      <c r="E145" s="343"/>
      <c r="F145" s="56"/>
      <c r="G145" s="56"/>
      <c r="H145" s="56"/>
      <c r="I145" s="56"/>
      <c r="J145" s="56"/>
      <c r="K145" s="171"/>
      <c r="L145" s="171"/>
      <c r="M145" s="56"/>
      <c r="N145" s="55"/>
      <c r="O145" s="749"/>
      <c r="P145" s="750"/>
      <c r="Q145" s="750"/>
      <c r="R145" s="754"/>
      <c r="S145" s="749"/>
      <c r="T145" s="750"/>
      <c r="U145" s="750"/>
      <c r="V145" s="754"/>
      <c r="W145" s="345"/>
      <c r="X145" s="345"/>
      <c r="Y145" s="743"/>
      <c r="Z145" s="743"/>
      <c r="AA145" s="743"/>
      <c r="AB145" s="743"/>
      <c r="AC145" s="743"/>
      <c r="AD145" s="743"/>
      <c r="AE145" s="743"/>
      <c r="AF145" s="743"/>
      <c r="AG145" s="743"/>
      <c r="AH145" s="743"/>
      <c r="BC145" s="155" t="str">
        <f t="shared" si="115"/>
        <v>-</v>
      </c>
      <c r="BN145" s="153" t="str">
        <f t="shared" ref="BN145:BS145" si="173">F135</f>
        <v>-</v>
      </c>
      <c r="BO145" s="153" t="str">
        <f t="shared" si="173"/>
        <v>-</v>
      </c>
      <c r="BP145" s="153" t="str">
        <f t="shared" si="173"/>
        <v>-</v>
      </c>
      <c r="BQ145" s="153" t="str">
        <f t="shared" si="173"/>
        <v>-</v>
      </c>
      <c r="BR145" s="153" t="str">
        <f t="shared" si="173"/>
        <v>-</v>
      </c>
      <c r="BS145" s="153" t="str">
        <f t="shared" si="173"/>
        <v>-</v>
      </c>
      <c r="BT145" s="153" t="str">
        <f t="shared" ref="BT145:BU145" si="174">M135</f>
        <v>-</v>
      </c>
      <c r="BU145" s="153">
        <f t="shared" si="174"/>
        <v>0</v>
      </c>
    </row>
    <row r="146" spans="1:73" ht="15" customHeight="1" outlineLevel="1" x14ac:dyDescent="0.25">
      <c r="A146" s="40"/>
      <c r="B146" s="761"/>
      <c r="C146" s="760"/>
      <c r="D146" s="343"/>
      <c r="E146" s="343"/>
      <c r="F146" s="343"/>
      <c r="G146" s="343"/>
      <c r="H146" s="343"/>
      <c r="I146" s="343"/>
      <c r="J146" s="343"/>
      <c r="K146" s="171"/>
      <c r="L146" s="171"/>
      <c r="M146" s="343"/>
      <c r="N146" s="59"/>
      <c r="O146" s="749"/>
      <c r="P146" s="750"/>
      <c r="Q146" s="750"/>
      <c r="R146" s="754"/>
      <c r="S146" s="749"/>
      <c r="T146" s="750"/>
      <c r="U146" s="750"/>
      <c r="V146" s="754"/>
      <c r="W146" s="345"/>
      <c r="X146" s="345"/>
      <c r="Y146" s="743"/>
      <c r="Z146" s="743"/>
      <c r="AA146" s="743"/>
      <c r="AB146" s="743"/>
      <c r="AC146" s="743"/>
      <c r="AD146" s="743"/>
      <c r="AE146" s="743"/>
      <c r="AF146" s="743"/>
      <c r="AG146" s="743"/>
      <c r="AH146" s="743"/>
      <c r="BC146" s="155" t="str">
        <f t="shared" ref="BC146:BC209" si="175">IF(COUNTIF(F146:M146,"refused")&gt;0,"refused",IF(COUNTIF(F146:M146,"failed")&gt;0,"failed",IF(COUNTIF(F146:M146,"passed")&gt;0,"passed","-")))</f>
        <v>-</v>
      </c>
      <c r="BN146" s="153"/>
      <c r="BO146" s="153"/>
      <c r="BP146" s="153"/>
      <c r="BQ146" s="153"/>
      <c r="BR146" s="153"/>
      <c r="BS146" s="153"/>
      <c r="BT146" s="153"/>
      <c r="BU146" s="153"/>
    </row>
    <row r="147" spans="1:73" ht="15" customHeight="1" outlineLevel="1" x14ac:dyDescent="0.25">
      <c r="A147" s="40"/>
      <c r="B147" s="761"/>
      <c r="C147" s="760"/>
      <c r="D147" s="343"/>
      <c r="E147" s="343"/>
      <c r="F147" s="353"/>
      <c r="G147" s="353"/>
      <c r="H147" s="353"/>
      <c r="I147" s="353"/>
      <c r="J147" s="353"/>
      <c r="K147" s="171"/>
      <c r="L147" s="171"/>
      <c r="M147" s="353"/>
      <c r="N147" s="57"/>
      <c r="O147" s="749"/>
      <c r="P147" s="750"/>
      <c r="Q147" s="750"/>
      <c r="R147" s="754"/>
      <c r="S147" s="749"/>
      <c r="T147" s="750"/>
      <c r="U147" s="750"/>
      <c r="V147" s="754"/>
      <c r="W147" s="345"/>
      <c r="X147" s="345"/>
      <c r="Y147" s="743"/>
      <c r="Z147" s="743"/>
      <c r="AA147" s="743"/>
      <c r="AB147" s="743"/>
      <c r="AC147" s="743"/>
      <c r="AD147" s="743"/>
      <c r="AE147" s="743"/>
      <c r="AF147" s="743"/>
      <c r="AG147" s="743"/>
      <c r="AH147" s="743"/>
      <c r="BC147" s="155" t="str">
        <f t="shared" si="175"/>
        <v>-</v>
      </c>
      <c r="BN147" s="153"/>
      <c r="BO147" s="153"/>
      <c r="BP147" s="153"/>
      <c r="BQ147" s="153"/>
      <c r="BR147" s="153"/>
      <c r="BS147" s="153"/>
      <c r="BT147" s="153"/>
      <c r="BU147" s="153"/>
    </row>
    <row r="148" spans="1:73" ht="15" customHeight="1" outlineLevel="1" x14ac:dyDescent="0.25">
      <c r="A148" s="40"/>
      <c r="B148" s="761"/>
      <c r="C148" s="760"/>
      <c r="D148" s="343"/>
      <c r="E148" s="343"/>
      <c r="F148" s="353"/>
      <c r="G148" s="353"/>
      <c r="H148" s="353"/>
      <c r="I148" s="353"/>
      <c r="J148" s="353"/>
      <c r="K148" s="171"/>
      <c r="L148" s="171"/>
      <c r="M148" s="353"/>
      <c r="N148" s="57"/>
      <c r="O148" s="749"/>
      <c r="P148" s="750"/>
      <c r="Q148" s="750"/>
      <c r="R148" s="754"/>
      <c r="S148" s="749"/>
      <c r="T148" s="750"/>
      <c r="U148" s="750"/>
      <c r="V148" s="754"/>
      <c r="W148" s="345"/>
      <c r="X148" s="345"/>
      <c r="Y148" s="743"/>
      <c r="Z148" s="743"/>
      <c r="AA148" s="743"/>
      <c r="AB148" s="743"/>
      <c r="AC148" s="743"/>
      <c r="AD148" s="743"/>
      <c r="AE148" s="743"/>
      <c r="AF148" s="743"/>
      <c r="AG148" s="743"/>
      <c r="AH148" s="743"/>
      <c r="BC148" s="155" t="str">
        <f t="shared" si="175"/>
        <v>-</v>
      </c>
      <c r="BN148" s="153"/>
      <c r="BO148" s="153"/>
      <c r="BP148" s="153"/>
      <c r="BQ148" s="153"/>
      <c r="BR148" s="153"/>
      <c r="BS148" s="153"/>
      <c r="BT148" s="153"/>
      <c r="BU148" s="153"/>
    </row>
    <row r="149" spans="1:73" ht="15" customHeight="1" outlineLevel="1" x14ac:dyDescent="0.25">
      <c r="A149" s="40"/>
      <c r="B149" s="761"/>
      <c r="C149" s="760"/>
      <c r="D149" s="343"/>
      <c r="E149" s="343"/>
      <c r="F149" s="56"/>
      <c r="G149" s="56"/>
      <c r="H149" s="56"/>
      <c r="I149" s="56"/>
      <c r="J149" s="56"/>
      <c r="K149" s="171"/>
      <c r="L149" s="171"/>
      <c r="M149" s="56"/>
      <c r="N149" s="55"/>
      <c r="O149" s="749"/>
      <c r="P149" s="750"/>
      <c r="Q149" s="750"/>
      <c r="R149" s="754"/>
      <c r="S149" s="749"/>
      <c r="T149" s="750"/>
      <c r="U149" s="750"/>
      <c r="V149" s="754"/>
      <c r="W149" s="345"/>
      <c r="X149" s="345"/>
      <c r="Y149" s="743"/>
      <c r="Z149" s="743"/>
      <c r="AA149" s="743"/>
      <c r="AB149" s="743"/>
      <c r="AC149" s="743"/>
      <c r="AD149" s="743"/>
      <c r="AE149" s="743"/>
      <c r="AF149" s="743"/>
      <c r="AG149" s="743"/>
      <c r="AH149" s="743"/>
      <c r="BC149" s="155" t="str">
        <f t="shared" si="175"/>
        <v>-</v>
      </c>
      <c r="BN149" s="153" t="str">
        <f t="shared" ref="BN149:BS149" si="176">IF(AND(OR($C134="-",$C134="CET",$C134=""),OR(F131="-",F131="CET",F131="")),"-",IF(OR(F131="CET",F131="-",F131=""),IF(OR($C134="CET",$C134="-",$C134=""),"-",$C134),F131))</f>
        <v>-</v>
      </c>
      <c r="BO149" s="153" t="str">
        <f t="shared" si="176"/>
        <v>-</v>
      </c>
      <c r="BP149" s="153" t="str">
        <f t="shared" si="176"/>
        <v>-</v>
      </c>
      <c r="BQ149" s="153" t="str">
        <f t="shared" si="176"/>
        <v>-</v>
      </c>
      <c r="BR149" s="153" t="str">
        <f t="shared" si="176"/>
        <v>-</v>
      </c>
      <c r="BS149" s="153" t="str">
        <f t="shared" si="176"/>
        <v>-</v>
      </c>
      <c r="BT149" s="153" t="str">
        <f t="shared" ref="BT149:BU149" si="177">IF(AND(OR($C134="-",$C134="CET",$C134=""),OR(M131="-",M131="CET",M131="")),"-",IF(OR(M131="CET",M131="-",M131=""),IF(OR($C134="CET",$C134="-",$C134=""),"-",$C134),M131))</f>
        <v>-</v>
      </c>
      <c r="BU149" s="153" t="str">
        <f t="shared" si="177"/>
        <v>-</v>
      </c>
    </row>
    <row r="150" spans="1:73" outlineLevel="1" x14ac:dyDescent="0.25">
      <c r="B150" s="761"/>
      <c r="C150" s="760"/>
      <c r="D150" s="343"/>
      <c r="E150" s="343"/>
      <c r="F150" s="56"/>
      <c r="G150" s="56"/>
      <c r="H150" s="56"/>
      <c r="I150" s="56"/>
      <c r="J150" s="56"/>
      <c r="K150" s="171"/>
      <c r="L150" s="171"/>
      <c r="M150" s="56"/>
      <c r="N150" s="55"/>
      <c r="O150" s="749"/>
      <c r="P150" s="750"/>
      <c r="Q150" s="750"/>
      <c r="R150" s="754"/>
      <c r="S150" s="749"/>
      <c r="T150" s="750"/>
      <c r="U150" s="750"/>
      <c r="V150" s="754"/>
      <c r="BC150" s="155" t="str">
        <f t="shared" si="175"/>
        <v>-</v>
      </c>
      <c r="BD150" s="156"/>
      <c r="BE150" s="156"/>
      <c r="BF150" s="156"/>
      <c r="BG150" s="156"/>
      <c r="BH150" s="156"/>
      <c r="BI150" s="156"/>
      <c r="BJ150" s="156"/>
      <c r="BK150" s="156"/>
      <c r="BL150" s="156"/>
      <c r="BM150" s="156"/>
    </row>
    <row r="151" spans="1:73" ht="15.75" outlineLevel="1" thickBot="1" x14ac:dyDescent="0.3">
      <c r="B151" s="796"/>
      <c r="C151" s="778"/>
      <c r="D151" s="349"/>
      <c r="E151" s="349"/>
      <c r="F151" s="349"/>
      <c r="G151" s="349"/>
      <c r="H151" s="349"/>
      <c r="I151" s="349"/>
      <c r="J151" s="349"/>
      <c r="K151" s="172"/>
      <c r="L151" s="172"/>
      <c r="M151" s="349"/>
      <c r="N151" s="54"/>
      <c r="O151" s="751"/>
      <c r="P151" s="752"/>
      <c r="Q151" s="752"/>
      <c r="R151" s="755"/>
      <c r="S151" s="751"/>
      <c r="T151" s="752"/>
      <c r="U151" s="752"/>
      <c r="V151" s="755"/>
      <c r="BC151" s="155" t="str">
        <f t="shared" si="175"/>
        <v>-</v>
      </c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</row>
    <row r="152" spans="1:73" ht="15" customHeight="1" x14ac:dyDescent="0.25">
      <c r="A152" s="350"/>
      <c r="B152" s="60"/>
      <c r="C152" s="60"/>
      <c r="D152" s="60"/>
      <c r="E152" s="60"/>
      <c r="F152" s="60"/>
      <c r="G152" s="60"/>
      <c r="H152" s="60"/>
      <c r="I152" s="60"/>
      <c r="J152" s="60"/>
      <c r="K152" s="175"/>
      <c r="L152" s="175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BC152" s="155" t="str">
        <f t="shared" si="175"/>
        <v>-</v>
      </c>
      <c r="BD152" s="156"/>
      <c r="BE152" s="156"/>
      <c r="BF152" s="156"/>
      <c r="BG152" s="156"/>
      <c r="BH152" s="156"/>
      <c r="BI152" s="156"/>
      <c r="BJ152" s="156"/>
      <c r="BK152" s="156"/>
      <c r="BL152" s="156"/>
      <c r="BM152" s="156"/>
    </row>
    <row r="153" spans="1:73" ht="15" customHeight="1" x14ac:dyDescent="0.25">
      <c r="A153" s="350"/>
      <c r="B153" s="60"/>
      <c r="C153" s="60"/>
      <c r="D153" s="60"/>
      <c r="E153" s="60"/>
      <c r="F153" s="60"/>
      <c r="G153" s="60"/>
      <c r="H153" s="60"/>
      <c r="I153" s="60"/>
      <c r="J153" s="60"/>
      <c r="K153" s="175"/>
      <c r="L153" s="175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BC153" s="155" t="str">
        <f t="shared" si="175"/>
        <v>-</v>
      </c>
      <c r="BD153" s="156"/>
      <c r="BE153" s="156"/>
      <c r="BF153" s="156"/>
      <c r="BG153" s="156"/>
      <c r="BH153" s="156"/>
      <c r="BI153" s="156"/>
      <c r="BJ153" s="156"/>
      <c r="BK153" s="156"/>
      <c r="BL153" s="156"/>
      <c r="BM153" s="156"/>
    </row>
    <row r="154" spans="1:73" ht="15" customHeight="1" thickBot="1" x14ac:dyDescent="0.3">
      <c r="A154" s="350"/>
      <c r="B154" s="60"/>
      <c r="C154" s="60"/>
      <c r="D154" s="60"/>
      <c r="E154" s="60"/>
      <c r="F154" s="60"/>
      <c r="G154" s="60"/>
      <c r="H154" s="60"/>
      <c r="I154" s="60"/>
      <c r="J154" s="60"/>
      <c r="K154" s="175"/>
      <c r="L154" s="175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BC154" s="155" t="str">
        <f t="shared" si="175"/>
        <v>-</v>
      </c>
    </row>
    <row r="155" spans="1:73" ht="24.95" customHeight="1" thickBot="1" x14ac:dyDescent="0.3">
      <c r="A155" s="350"/>
      <c r="B155" s="185">
        <v>6</v>
      </c>
      <c r="C155" s="757" t="s">
        <v>109</v>
      </c>
      <c r="D155" s="758"/>
      <c r="E155" s="758"/>
      <c r="F155" s="758"/>
      <c r="G155" s="758"/>
      <c r="H155" s="758"/>
      <c r="I155" s="758"/>
      <c r="J155" s="758"/>
      <c r="K155" s="758"/>
      <c r="L155" s="758"/>
      <c r="M155" s="758"/>
      <c r="N155" s="759"/>
      <c r="O155" s="49" t="s">
        <v>117</v>
      </c>
      <c r="P155" s="71" t="str">
        <f>IF(COUNTIF(F159:M178,"refused")&gt;0,"refused",IF(COUNTIF(F159:M178,"failed")&gt;0,"failed",IF(COUNTIF(F159:M178,"passed")&gt;0,"passed","-")))</f>
        <v>-</v>
      </c>
      <c r="Q155" s="70" t="s">
        <v>80</v>
      </c>
      <c r="R155" s="70" t="str">
        <f>IF(COUNT(F159:M160)&gt;0,"listed","not listed")</f>
        <v>not listed</v>
      </c>
      <c r="S155" s="344"/>
      <c r="T155" s="43"/>
      <c r="U155" s="43"/>
      <c r="V155" s="44"/>
      <c r="W155" s="47"/>
      <c r="X155" s="47"/>
      <c r="Y155" s="756"/>
      <c r="Z155" s="756"/>
      <c r="AA155" s="756"/>
      <c r="AB155" s="756"/>
      <c r="AC155" s="756"/>
      <c r="AD155" s="756"/>
      <c r="AE155" s="756"/>
      <c r="AF155" s="756"/>
      <c r="AG155" s="756"/>
      <c r="AH155" s="756"/>
      <c r="BC155" s="155" t="str">
        <f t="shared" si="175"/>
        <v>-</v>
      </c>
    </row>
    <row r="156" spans="1:73" ht="15" customHeight="1" outlineLevel="1" thickBot="1" x14ac:dyDescent="0.3">
      <c r="A156" s="350"/>
      <c r="B156" s="346"/>
      <c r="C156" s="347"/>
      <c r="D156" s="347"/>
      <c r="E156" s="347"/>
      <c r="F156" s="347"/>
      <c r="G156" s="347"/>
      <c r="H156" s="347"/>
      <c r="I156" s="347"/>
      <c r="J156" s="347"/>
      <c r="K156" s="162"/>
      <c r="L156" s="162"/>
      <c r="M156" s="347"/>
      <c r="N156" s="347"/>
      <c r="O156" s="347"/>
      <c r="P156" s="347"/>
      <c r="Q156" s="347"/>
      <c r="R156" s="347"/>
      <c r="S156" s="347"/>
      <c r="T156" s="45"/>
      <c r="U156" s="45"/>
      <c r="V156" s="46"/>
      <c r="W156" s="345"/>
      <c r="X156" s="345"/>
      <c r="Y156" s="743"/>
      <c r="Z156" s="743"/>
      <c r="AA156" s="743"/>
      <c r="AB156" s="743"/>
      <c r="AC156" s="743"/>
      <c r="AD156" s="743"/>
      <c r="AE156" s="743"/>
      <c r="AF156" s="743"/>
      <c r="AG156" s="743"/>
      <c r="AH156" s="743"/>
      <c r="BC156" s="155" t="str">
        <f t="shared" si="175"/>
        <v>-</v>
      </c>
    </row>
    <row r="157" spans="1:73" ht="15" customHeight="1" outlineLevel="1" thickBot="1" x14ac:dyDescent="0.3">
      <c r="A157" s="350"/>
      <c r="B157" s="744" t="s">
        <v>81</v>
      </c>
      <c r="C157" s="745"/>
      <c r="D157" s="745"/>
      <c r="E157" s="745"/>
      <c r="F157" s="745"/>
      <c r="G157" s="745"/>
      <c r="H157" s="745"/>
      <c r="I157" s="745"/>
      <c r="J157" s="745"/>
      <c r="K157" s="745"/>
      <c r="L157" s="745"/>
      <c r="M157" s="745"/>
      <c r="N157" s="746"/>
      <c r="O157" s="744" t="s">
        <v>82</v>
      </c>
      <c r="P157" s="745"/>
      <c r="Q157" s="745"/>
      <c r="R157" s="746"/>
      <c r="S157" s="744" t="s">
        <v>83</v>
      </c>
      <c r="T157" s="745"/>
      <c r="U157" s="745"/>
      <c r="V157" s="746"/>
      <c r="W157" s="345"/>
      <c r="X157" s="345"/>
      <c r="Y157" s="743"/>
      <c r="Z157" s="743"/>
      <c r="AA157" s="743"/>
      <c r="AB157" s="743"/>
      <c r="AC157" s="743"/>
      <c r="AD157" s="743"/>
      <c r="AE157" s="743"/>
      <c r="AF157" s="743"/>
      <c r="AG157" s="743"/>
      <c r="AH157" s="743"/>
      <c r="BC157" s="155" t="str">
        <f t="shared" si="175"/>
        <v>-</v>
      </c>
    </row>
    <row r="158" spans="1:73" ht="35.1" customHeight="1" outlineLevel="1" thickBot="1" x14ac:dyDescent="0.3">
      <c r="A158" s="350"/>
      <c r="B158" s="767" t="s">
        <v>84</v>
      </c>
      <c r="C158" s="768"/>
      <c r="D158" s="768"/>
      <c r="E158" s="769"/>
      <c r="F158" s="69" t="str">
        <f t="shared" ref="F158:L158" si="178">F$4</f>
        <v>NMHC 
[g/km]</v>
      </c>
      <c r="G158" s="69" t="str">
        <f t="shared" si="178"/>
        <v>THC
[g/km]</v>
      </c>
      <c r="H158" s="69" t="str">
        <f t="shared" si="178"/>
        <v>CO
[g/km]</v>
      </c>
      <c r="I158" s="69" t="str">
        <f t="shared" si="178"/>
        <v>NOx
[g/km]</v>
      </c>
      <c r="J158" s="69" t="str">
        <f t="shared" si="178"/>
        <v>PM
[mg/km]</v>
      </c>
      <c r="K158" s="69" t="str">
        <f t="shared" si="178"/>
        <v>PN
[#/km]</v>
      </c>
      <c r="L158" s="366" t="str">
        <f t="shared" si="178"/>
        <v>Additional component</v>
      </c>
      <c r="M158" s="366" t="str">
        <f>M$4</f>
        <v>Additional
component 2</v>
      </c>
      <c r="N158" s="69" t="str">
        <f>N$4</f>
        <v>CO2
[g/km]</v>
      </c>
      <c r="O158" s="747"/>
      <c r="P158" s="748"/>
      <c r="Q158" s="748"/>
      <c r="R158" s="753"/>
      <c r="S158" s="747"/>
      <c r="T158" s="748"/>
      <c r="U158" s="748"/>
      <c r="V158" s="753"/>
      <c r="W158" s="345"/>
      <c r="X158" s="345"/>
      <c r="Y158" s="743"/>
      <c r="Z158" s="743"/>
      <c r="AA158" s="743"/>
      <c r="AB158" s="743"/>
      <c r="AC158" s="743"/>
      <c r="AD158" s="743"/>
      <c r="AE158" s="743"/>
      <c r="AF158" s="743"/>
      <c r="AG158" s="743"/>
      <c r="AH158" s="743"/>
      <c r="BC158" s="155" t="str">
        <f t="shared" si="175"/>
        <v>-</v>
      </c>
    </row>
    <row r="159" spans="1:73" s="50" customFormat="1" ht="15" customHeight="1" outlineLevel="1" x14ac:dyDescent="0.25">
      <c r="A159" s="53"/>
      <c r="B159" s="797" t="s">
        <v>108</v>
      </c>
      <c r="C159" s="770" t="s">
        <v>114</v>
      </c>
      <c r="D159" s="770" t="s">
        <v>113</v>
      </c>
      <c r="E159" s="106" t="s">
        <v>94</v>
      </c>
      <c r="F159" s="105" t="s">
        <v>5</v>
      </c>
      <c r="G159" s="105" t="s">
        <v>5</v>
      </c>
      <c r="H159" s="105" t="s">
        <v>5</v>
      </c>
      <c r="I159" s="105" t="s">
        <v>5</v>
      </c>
      <c r="J159" s="105" t="s">
        <v>5</v>
      </c>
      <c r="K159" s="173" t="s">
        <v>5</v>
      </c>
      <c r="L159" s="173" t="s">
        <v>5</v>
      </c>
      <c r="M159" s="105" t="s">
        <v>5</v>
      </c>
      <c r="N159" s="105" t="s">
        <v>5</v>
      </c>
      <c r="O159" s="749"/>
      <c r="P159" s="750"/>
      <c r="Q159" s="750"/>
      <c r="R159" s="754"/>
      <c r="S159" s="749"/>
      <c r="T159" s="750"/>
      <c r="U159" s="750"/>
      <c r="V159" s="754"/>
      <c r="W159" s="51"/>
      <c r="X159" s="51"/>
      <c r="Y159" s="743"/>
      <c r="Z159" s="743"/>
      <c r="AA159" s="743"/>
      <c r="AB159" s="743"/>
      <c r="AC159" s="743"/>
      <c r="AD159" s="743"/>
      <c r="AE159" s="743"/>
      <c r="AF159" s="743"/>
      <c r="AG159" s="743"/>
      <c r="AH159" s="743"/>
      <c r="BC159" s="155" t="str">
        <f t="shared" si="175"/>
        <v>-</v>
      </c>
      <c r="BD159" s="150"/>
      <c r="BE159" s="150"/>
      <c r="BF159" s="150"/>
      <c r="BG159" s="150"/>
      <c r="BH159" s="150"/>
      <c r="BI159" s="150"/>
      <c r="BJ159" s="150"/>
      <c r="BK159" s="150"/>
      <c r="BL159" s="150"/>
      <c r="BM159" s="150"/>
      <c r="BN159" s="150"/>
      <c r="BO159" s="150"/>
      <c r="BP159" s="150"/>
      <c r="BQ159" s="150"/>
      <c r="BR159" s="150"/>
      <c r="BS159" s="150"/>
      <c r="BT159" s="150"/>
    </row>
    <row r="160" spans="1:73" ht="15" customHeight="1" outlineLevel="1" thickBot="1" x14ac:dyDescent="0.3">
      <c r="A160" s="350"/>
      <c r="B160" s="798"/>
      <c r="C160" s="741"/>
      <c r="D160" s="742"/>
      <c r="E160" s="104" t="s">
        <v>95</v>
      </c>
      <c r="F160" s="103" t="s">
        <v>5</v>
      </c>
      <c r="G160" s="103" t="s">
        <v>5</v>
      </c>
      <c r="H160" s="103" t="s">
        <v>5</v>
      </c>
      <c r="I160" s="103" t="s">
        <v>5</v>
      </c>
      <c r="J160" s="103" t="s">
        <v>5</v>
      </c>
      <c r="K160" s="174" t="s">
        <v>5</v>
      </c>
      <c r="L160" s="174" t="s">
        <v>5</v>
      </c>
      <c r="M160" s="103" t="s">
        <v>5</v>
      </c>
      <c r="N160" s="103" t="s">
        <v>5</v>
      </c>
      <c r="O160" s="749"/>
      <c r="P160" s="750"/>
      <c r="Q160" s="750"/>
      <c r="R160" s="754"/>
      <c r="S160" s="749"/>
      <c r="T160" s="750"/>
      <c r="U160" s="750"/>
      <c r="V160" s="754"/>
      <c r="W160" s="345"/>
      <c r="X160" s="345"/>
      <c r="Y160" s="743"/>
      <c r="Z160" s="743"/>
      <c r="AA160" s="743"/>
      <c r="AB160" s="743"/>
      <c r="AC160" s="743"/>
      <c r="AD160" s="743"/>
      <c r="AE160" s="743"/>
      <c r="AF160" s="743"/>
      <c r="AG160" s="743"/>
      <c r="AH160" s="743"/>
      <c r="BC160" s="155" t="str">
        <f t="shared" si="175"/>
        <v>-</v>
      </c>
    </row>
    <row r="161" spans="1:65" ht="15" customHeight="1" outlineLevel="1" thickBot="1" x14ac:dyDescent="0.3">
      <c r="A161" s="350"/>
      <c r="B161" s="798"/>
      <c r="C161" s="764" t="s">
        <v>5</v>
      </c>
      <c r="D161" s="772" t="str">
        <f>IF(AND(F162="-",G162="-",H162="-",I162="-",J162="-",K162="-",K162="-",L162="-"),"-",MAX(F162,G162,H162,I162,J162,K162,L162,M162))</f>
        <v>-</v>
      </c>
      <c r="E161" s="66" t="s">
        <v>177</v>
      </c>
      <c r="F161" s="65" t="str">
        <f t="shared" ref="F161:K161" si="179">IF(OR(F160="-",F160=""),IF(OR(F159="-",F159=""),"-",F159),IF(OR(F159="-",F159=""),F160,(F159+F160)/2))</f>
        <v>-</v>
      </c>
      <c r="G161" s="65" t="str">
        <f t="shared" si="179"/>
        <v>-</v>
      </c>
      <c r="H161" s="65" t="str">
        <f t="shared" si="179"/>
        <v>-</v>
      </c>
      <c r="I161" s="65" t="str">
        <f t="shared" si="179"/>
        <v>-</v>
      </c>
      <c r="J161" s="65" t="str">
        <f t="shared" si="179"/>
        <v>-</v>
      </c>
      <c r="K161" s="167" t="str">
        <f t="shared" si="179"/>
        <v>-</v>
      </c>
      <c r="L161" s="167" t="str">
        <f t="shared" ref="L161" si="180">IF(OR(L160="-",L160=""),IF(OR(L159="-",L159=""),"-",L159),IF(OR(L159="-",L159=""),L160,(L159+L160)/2))</f>
        <v>-</v>
      </c>
      <c r="M161" s="65" t="s">
        <v>5</v>
      </c>
      <c r="N161" s="740"/>
      <c r="O161" s="749"/>
      <c r="P161" s="750"/>
      <c r="Q161" s="750"/>
      <c r="R161" s="754"/>
      <c r="S161" s="749"/>
      <c r="T161" s="750"/>
      <c r="U161" s="750"/>
      <c r="V161" s="754"/>
      <c r="W161" s="345"/>
      <c r="X161" s="345"/>
      <c r="Y161" s="743"/>
      <c r="Z161" s="743"/>
      <c r="AA161" s="743"/>
      <c r="AB161" s="743"/>
      <c r="AC161" s="743"/>
      <c r="AD161" s="743"/>
      <c r="AE161" s="743"/>
      <c r="AF161" s="743"/>
      <c r="AG161" s="743"/>
      <c r="AH161" s="743"/>
      <c r="BC161" s="155" t="str">
        <f t="shared" si="175"/>
        <v>-</v>
      </c>
    </row>
    <row r="162" spans="1:65" ht="15" customHeight="1" outlineLevel="1" thickBot="1" x14ac:dyDescent="0.3">
      <c r="A162" s="350"/>
      <c r="B162" s="798"/>
      <c r="C162" s="765"/>
      <c r="D162" s="773"/>
      <c r="E162" s="64" t="s">
        <v>97</v>
      </c>
      <c r="F162" s="63" t="str">
        <f t="shared" ref="F162:K162" si="181">IF(OR($C161="-",$C161="CET",$C161=""),"-",IF(AND(NOT(F161="-"),NOT(F$5="-"),NOT(F$5="")),F161/F$5,"-"))</f>
        <v>-</v>
      </c>
      <c r="G162" s="63" t="str">
        <f t="shared" si="181"/>
        <v>-</v>
      </c>
      <c r="H162" s="63" t="str">
        <f t="shared" si="181"/>
        <v>-</v>
      </c>
      <c r="I162" s="63" t="str">
        <f t="shared" si="181"/>
        <v>-</v>
      </c>
      <c r="J162" s="63" t="str">
        <f t="shared" si="181"/>
        <v>-</v>
      </c>
      <c r="K162" s="168" t="str">
        <f t="shared" si="181"/>
        <v>-</v>
      </c>
      <c r="L162" s="168" t="str">
        <f t="shared" ref="L162" si="182">IF(OR($C161="-",$C161="CET",$C161=""),"-",IF(AND(NOT(L161="-"),NOT(L$5="-"),NOT(L$5="")),L161/L$5,"-"))</f>
        <v>-</v>
      </c>
      <c r="M162" s="63" t="s">
        <v>5</v>
      </c>
      <c r="N162" s="741"/>
      <c r="O162" s="749"/>
      <c r="P162" s="750"/>
      <c r="Q162" s="750"/>
      <c r="R162" s="754"/>
      <c r="S162" s="749"/>
      <c r="T162" s="750"/>
      <c r="U162" s="750"/>
      <c r="V162" s="754"/>
      <c r="W162" s="345"/>
      <c r="X162" s="345"/>
      <c r="Y162" s="743"/>
      <c r="Z162" s="743"/>
      <c r="AA162" s="743"/>
      <c r="AB162" s="743"/>
      <c r="AC162" s="743"/>
      <c r="AD162" s="743"/>
      <c r="AE162" s="743"/>
      <c r="AF162" s="743"/>
      <c r="AG162" s="743"/>
      <c r="AH162" s="743"/>
      <c r="BC162" s="155" t="str">
        <f t="shared" si="175"/>
        <v>-</v>
      </c>
      <c r="BD162" s="151" t="s">
        <v>85</v>
      </c>
      <c r="BE162" s="69" t="str">
        <f>$F$4</f>
        <v>NMHC 
[g/km]</v>
      </c>
      <c r="BF162" s="69" t="str">
        <f>$G$4</f>
        <v>THC
[g/km]</v>
      </c>
      <c r="BG162" s="69" t="str">
        <f>$H$4</f>
        <v>CO
[g/km]</v>
      </c>
      <c r="BH162" s="69" t="str">
        <f>$I$4</f>
        <v>NOx
[g/km]</v>
      </c>
      <c r="BI162" s="69" t="str">
        <f>$J$4</f>
        <v>PM
[mg/km]</v>
      </c>
      <c r="BJ162" s="163" t="str">
        <f>K$4</f>
        <v>PN
[#/km]</v>
      </c>
      <c r="BK162" s="163" t="str">
        <f t="shared" ref="BK162:BL162" si="183">L$4</f>
        <v>Additional component</v>
      </c>
      <c r="BL162" s="163" t="str">
        <f t="shared" si="183"/>
        <v>Additional
component 2</v>
      </c>
      <c r="BM162" s="69" t="str">
        <f>$N$4</f>
        <v>CO2
[g/km]</v>
      </c>
    </row>
    <row r="163" spans="1:65" ht="15" customHeight="1" outlineLevel="1" thickBot="1" x14ac:dyDescent="0.3">
      <c r="A163" s="350"/>
      <c r="B163" s="804"/>
      <c r="C163" s="766"/>
      <c r="D163" s="774"/>
      <c r="E163" s="68" t="s">
        <v>30</v>
      </c>
      <c r="F163" s="68" t="str">
        <f t="shared" ref="F163:L163" si="184">IF(AND(OR(F159="-",F159=""),OR(F160="-",F160="")),"-",IF(OR($C161="-",$C161="",$C161="CET"),"-",IF($R$155="not listed","-",IF(NOT(F$5="-"),IF(AND(AND(NOT(F159=0),NOT(F159="-"),NOT(F159="")),AND(NOT(F160="-"),NOT(F160=0),NOT(F160=""))),IF(AND((F159+F160)/2&lt;1*F$5*IF(OR($C161="CET",$C161="-",$C161=""),"-",$C161),F159&lt;1.1*F$5*IF(OR($C161="CET",$C161="-",$C161=""),"-",$C161),F160&lt;1.1*F$5*IF(OR($C161="CET",$C161="-",$C161=""),"-",$C161)),"passed","refused"),IF(IF(OR(F159="-",F159=""),F160,F159)&lt;0.7*F$5*IF(OR($C161="CET",$C161="-",$C161=""),"-",$C161),"passed",IF(IF(OR(F159="-",F159=""),F160,F159)&lt;1.1*IF(OR($C161="CET",$C161="-",$C161=""),"-",$C161)*F$5,"failed","refused"))),"-"))))</f>
        <v>-</v>
      </c>
      <c r="G163" s="68" t="str">
        <f t="shared" si="184"/>
        <v>-</v>
      </c>
      <c r="H163" s="68" t="str">
        <f t="shared" si="184"/>
        <v>-</v>
      </c>
      <c r="I163" s="68" t="str">
        <f t="shared" si="184"/>
        <v>-</v>
      </c>
      <c r="J163" s="68" t="str">
        <f t="shared" si="184"/>
        <v>-</v>
      </c>
      <c r="K163" s="341" t="str">
        <f t="shared" si="184"/>
        <v>-</v>
      </c>
      <c r="L163" s="341" t="str">
        <f t="shared" si="184"/>
        <v>-</v>
      </c>
      <c r="M163" s="68" t="s">
        <v>5</v>
      </c>
      <c r="N163" s="742"/>
      <c r="O163" s="749"/>
      <c r="P163" s="750"/>
      <c r="Q163" s="750"/>
      <c r="R163" s="754"/>
      <c r="S163" s="749"/>
      <c r="T163" s="750"/>
      <c r="U163" s="750"/>
      <c r="V163" s="754"/>
      <c r="W163" s="345"/>
      <c r="X163" s="345"/>
      <c r="Y163" s="743"/>
      <c r="Z163" s="743"/>
      <c r="AA163" s="743"/>
      <c r="AB163" s="743"/>
      <c r="AC163" s="743"/>
      <c r="AD163" s="743"/>
      <c r="AE163" s="743"/>
      <c r="AF163" s="743"/>
      <c r="AG163" s="743"/>
      <c r="AH163" s="743"/>
      <c r="BC163" s="155" t="str">
        <f t="shared" si="175"/>
        <v>-</v>
      </c>
      <c r="BD163" s="151" t="str">
        <f>$E$4</f>
        <v>Euro 6c</v>
      </c>
      <c r="BE163" s="153">
        <v>1</v>
      </c>
      <c r="BF163" s="153">
        <v>1</v>
      </c>
      <c r="BG163" s="153">
        <v>1</v>
      </c>
      <c r="BH163" s="153">
        <v>1</v>
      </c>
      <c r="BI163" s="153">
        <v>1</v>
      </c>
      <c r="BJ163" s="153">
        <v>1</v>
      </c>
      <c r="BK163" s="153">
        <v>1</v>
      </c>
      <c r="BL163" s="153">
        <v>1</v>
      </c>
      <c r="BM163" s="153">
        <v>1</v>
      </c>
    </row>
    <row r="164" spans="1:65" ht="15" customHeight="1" outlineLevel="1" x14ac:dyDescent="0.25">
      <c r="A164" s="350"/>
      <c r="B164" s="762"/>
      <c r="C164" s="763"/>
      <c r="D164" s="351"/>
      <c r="E164" s="351"/>
      <c r="F164" s="90"/>
      <c r="G164" s="90"/>
      <c r="H164" s="90"/>
      <c r="I164" s="90"/>
      <c r="J164" s="90"/>
      <c r="K164" s="176"/>
      <c r="L164" s="176"/>
      <c r="M164" s="90"/>
      <c r="N164" s="89"/>
      <c r="O164" s="749"/>
      <c r="P164" s="750"/>
      <c r="Q164" s="750"/>
      <c r="R164" s="754"/>
      <c r="S164" s="749"/>
      <c r="T164" s="750"/>
      <c r="U164" s="750"/>
      <c r="V164" s="754"/>
      <c r="W164" s="345"/>
      <c r="X164" s="345"/>
      <c r="Y164" s="743"/>
      <c r="Z164" s="743"/>
      <c r="AA164" s="743"/>
      <c r="AB164" s="743"/>
      <c r="AC164" s="743"/>
      <c r="AD164" s="743"/>
      <c r="AE164" s="743"/>
      <c r="AF164" s="743"/>
      <c r="AG164" s="743"/>
      <c r="AH164" s="743"/>
      <c r="BC164" s="155" t="str">
        <f t="shared" si="175"/>
        <v>-</v>
      </c>
      <c r="BD164" s="151" t="str">
        <f>"1st " &amp;  B159</f>
        <v>1st s.s.e.t.</v>
      </c>
      <c r="BE164" s="153" t="str">
        <f t="shared" ref="BE164:BJ164" si="185">IF((OR($C161="-",$C161="CET",$C161="")),"-",IF(AND(OR(F159="-",F159=""),OR(F160="-",F160="")),"-",IF(NOT(OR(F159="-",F159="")),F159/F$5,F160/F$5)))</f>
        <v>-</v>
      </c>
      <c r="BF164" s="153" t="str">
        <f t="shared" si="185"/>
        <v>-</v>
      </c>
      <c r="BG164" s="153" t="str">
        <f t="shared" si="185"/>
        <v>-</v>
      </c>
      <c r="BH164" s="153" t="str">
        <f t="shared" si="185"/>
        <v>-</v>
      </c>
      <c r="BI164" s="153" t="str">
        <f t="shared" si="185"/>
        <v>-</v>
      </c>
      <c r="BJ164" s="153" t="str">
        <f t="shared" si="185"/>
        <v>-</v>
      </c>
      <c r="BK164" s="153" t="str">
        <f t="shared" ref="BK164:BL164" si="186">IF((OR($C161="-",$C161="CET",$C161="")),"-",IF(AND(OR(L159="-",L159=""),OR(L160="-",L160="")),"-",IF(NOT(OR(L159="-",L159="")),L159/L$5,L160/L$5)))</f>
        <v>-</v>
      </c>
      <c r="BL164" s="153" t="str">
        <f t="shared" si="186"/>
        <v>-</v>
      </c>
      <c r="BM164" s="153" t="str">
        <f>IF((OR($C161="-",$C161="CET",$C161="")),"-",IF(AND(OR(N159="-",N159=""),OR(N160="-",N160="")),"-",IF(NOT(OR(N159="-",N159="")),N159/N$5,N160/N$5)))</f>
        <v>-</v>
      </c>
    </row>
    <row r="165" spans="1:65" ht="15" customHeight="1" outlineLevel="1" x14ac:dyDescent="0.25">
      <c r="A165" s="350"/>
      <c r="B165" s="761"/>
      <c r="C165" s="760"/>
      <c r="D165" s="343"/>
      <c r="E165" s="343"/>
      <c r="F165" s="353"/>
      <c r="G165" s="353"/>
      <c r="H165" s="353"/>
      <c r="I165" s="353"/>
      <c r="J165" s="353"/>
      <c r="K165" s="171"/>
      <c r="L165" s="171"/>
      <c r="M165" s="353"/>
      <c r="N165" s="57"/>
      <c r="O165" s="749"/>
      <c r="P165" s="750"/>
      <c r="Q165" s="750"/>
      <c r="R165" s="754"/>
      <c r="S165" s="749"/>
      <c r="T165" s="750"/>
      <c r="U165" s="750"/>
      <c r="V165" s="754"/>
      <c r="W165" s="345"/>
      <c r="X165" s="345"/>
      <c r="Y165" s="743"/>
      <c r="Z165" s="743"/>
      <c r="AA165" s="743"/>
      <c r="AB165" s="743"/>
      <c r="AC165" s="743"/>
      <c r="AD165" s="743"/>
      <c r="AE165" s="743"/>
      <c r="AF165" s="743"/>
      <c r="AG165" s="743"/>
      <c r="AH165" s="743"/>
      <c r="BC165" s="155" t="str">
        <f t="shared" si="175"/>
        <v>-</v>
      </c>
      <c r="BD165" s="151"/>
      <c r="BE165" s="153"/>
      <c r="BF165" s="153"/>
      <c r="BG165" s="153"/>
      <c r="BH165" s="153"/>
      <c r="BI165" s="153"/>
      <c r="BJ165" s="153"/>
      <c r="BK165" s="153"/>
      <c r="BL165" s="153"/>
      <c r="BM165" s="153"/>
    </row>
    <row r="166" spans="1:65" ht="15" customHeight="1" outlineLevel="1" x14ac:dyDescent="0.25">
      <c r="A166" s="350"/>
      <c r="B166" s="761"/>
      <c r="C166" s="760"/>
      <c r="D166" s="343"/>
      <c r="E166" s="343"/>
      <c r="F166" s="56"/>
      <c r="G166" s="56"/>
      <c r="H166" s="56"/>
      <c r="I166" s="56"/>
      <c r="J166" s="56"/>
      <c r="K166" s="171"/>
      <c r="L166" s="171"/>
      <c r="M166" s="56"/>
      <c r="N166" s="55"/>
      <c r="O166" s="749"/>
      <c r="P166" s="750"/>
      <c r="Q166" s="750"/>
      <c r="R166" s="754"/>
      <c r="S166" s="749"/>
      <c r="T166" s="750"/>
      <c r="U166" s="750"/>
      <c r="V166" s="754"/>
      <c r="W166" s="345"/>
      <c r="X166" s="345"/>
      <c r="Y166" s="743"/>
      <c r="Z166" s="743"/>
      <c r="AA166" s="743"/>
      <c r="AB166" s="743"/>
      <c r="AC166" s="743"/>
      <c r="AD166" s="743"/>
      <c r="AE166" s="743"/>
      <c r="AF166" s="743"/>
      <c r="AG166" s="743"/>
      <c r="AH166" s="743"/>
      <c r="BC166" s="155" t="str">
        <f t="shared" si="175"/>
        <v>-</v>
      </c>
      <c r="BD166" s="151"/>
      <c r="BE166" s="153"/>
      <c r="BF166" s="153"/>
      <c r="BG166" s="153"/>
      <c r="BH166" s="153"/>
      <c r="BI166" s="153"/>
      <c r="BJ166" s="153"/>
      <c r="BK166" s="153"/>
      <c r="BL166" s="153"/>
      <c r="BM166" s="153"/>
    </row>
    <row r="167" spans="1:65" ht="15" customHeight="1" outlineLevel="1" x14ac:dyDescent="0.25">
      <c r="A167" s="40"/>
      <c r="B167" s="761"/>
      <c r="C167" s="760"/>
      <c r="D167" s="343"/>
      <c r="E167" s="343"/>
      <c r="F167" s="56"/>
      <c r="G167" s="56"/>
      <c r="H167" s="56"/>
      <c r="I167" s="56"/>
      <c r="J167" s="56"/>
      <c r="K167" s="171"/>
      <c r="L167" s="171"/>
      <c r="M167" s="56"/>
      <c r="N167" s="55"/>
      <c r="O167" s="749"/>
      <c r="P167" s="750"/>
      <c r="Q167" s="750"/>
      <c r="R167" s="754"/>
      <c r="S167" s="749"/>
      <c r="T167" s="750"/>
      <c r="U167" s="750"/>
      <c r="V167" s="754"/>
      <c r="W167" s="345"/>
      <c r="X167" s="345"/>
      <c r="Y167" s="743"/>
      <c r="Z167" s="743"/>
      <c r="AA167" s="743"/>
      <c r="AB167" s="743"/>
      <c r="AC167" s="743"/>
      <c r="AD167" s="743"/>
      <c r="AE167" s="743"/>
      <c r="AF167" s="743"/>
      <c r="AG167" s="743"/>
      <c r="AH167" s="743"/>
      <c r="BC167" s="155" t="str">
        <f t="shared" si="175"/>
        <v>-</v>
      </c>
      <c r="BD167" s="151"/>
      <c r="BE167" s="153"/>
      <c r="BF167" s="153"/>
      <c r="BG167" s="153"/>
      <c r="BH167" s="153"/>
      <c r="BI167" s="153"/>
      <c r="BJ167" s="153"/>
      <c r="BK167" s="153"/>
      <c r="BL167" s="153"/>
      <c r="BM167" s="153"/>
    </row>
    <row r="168" spans="1:65" ht="15" customHeight="1" outlineLevel="1" x14ac:dyDescent="0.25">
      <c r="A168" s="40"/>
      <c r="B168" s="761"/>
      <c r="C168" s="760"/>
      <c r="D168" s="343"/>
      <c r="E168" s="343"/>
      <c r="F168" s="343"/>
      <c r="G168" s="343"/>
      <c r="H168" s="343"/>
      <c r="I168" s="343"/>
      <c r="J168" s="343"/>
      <c r="K168" s="171"/>
      <c r="L168" s="171"/>
      <c r="M168" s="343"/>
      <c r="N168" s="59"/>
      <c r="O168" s="749"/>
      <c r="P168" s="750"/>
      <c r="Q168" s="750"/>
      <c r="R168" s="754"/>
      <c r="S168" s="749"/>
      <c r="T168" s="750"/>
      <c r="U168" s="750"/>
      <c r="V168" s="754"/>
      <c r="W168" s="345"/>
      <c r="X168" s="345"/>
      <c r="Y168" s="743"/>
      <c r="Z168" s="743"/>
      <c r="AA168" s="743"/>
      <c r="AB168" s="743"/>
      <c r="AC168" s="743"/>
      <c r="AD168" s="743"/>
      <c r="AE168" s="743"/>
      <c r="AF168" s="743"/>
      <c r="AG168" s="743"/>
      <c r="AH168" s="743"/>
      <c r="BC168" s="155" t="str">
        <f t="shared" si="175"/>
        <v>-</v>
      </c>
      <c r="BD168" s="151" t="str">
        <f>"0.7*IEF " &amp; (B159)</f>
        <v>0.7*IEF s.s.e.t.</v>
      </c>
      <c r="BE168" s="153" t="str">
        <f t="shared" ref="BE168:BM168" si="187">IF(OR($C161="-",$C161="CET",$C161=""),"-",0.7*$C161)</f>
        <v>-</v>
      </c>
      <c r="BF168" s="153" t="str">
        <f t="shared" si="187"/>
        <v>-</v>
      </c>
      <c r="BG168" s="153" t="str">
        <f t="shared" si="187"/>
        <v>-</v>
      </c>
      <c r="BH168" s="153" t="str">
        <f t="shared" si="187"/>
        <v>-</v>
      </c>
      <c r="BI168" s="153" t="str">
        <f t="shared" si="187"/>
        <v>-</v>
      </c>
      <c r="BJ168" s="153" t="str">
        <f t="shared" si="187"/>
        <v>-</v>
      </c>
      <c r="BK168" s="153" t="str">
        <f t="shared" ref="BK168:BL168" si="188">IF(OR($C161="-",$C161="CET",$C161=""),"-",0.7*$C161)</f>
        <v>-</v>
      </c>
      <c r="BL168" s="153" t="str">
        <f t="shared" si="188"/>
        <v>-</v>
      </c>
      <c r="BM168" s="153" t="str">
        <f t="shared" si="187"/>
        <v>-</v>
      </c>
    </row>
    <row r="169" spans="1:65" ht="15" customHeight="1" outlineLevel="1" x14ac:dyDescent="0.25">
      <c r="A169" s="40"/>
      <c r="B169" s="761"/>
      <c r="C169" s="760"/>
      <c r="D169" s="343"/>
      <c r="E169" s="343"/>
      <c r="F169" s="353"/>
      <c r="G169" s="353"/>
      <c r="H169" s="353"/>
      <c r="I169" s="353"/>
      <c r="J169" s="353"/>
      <c r="K169" s="171"/>
      <c r="L169" s="171"/>
      <c r="M169" s="353"/>
      <c r="N169" s="57"/>
      <c r="O169" s="749"/>
      <c r="P169" s="750"/>
      <c r="Q169" s="750"/>
      <c r="R169" s="754"/>
      <c r="S169" s="749"/>
      <c r="T169" s="750"/>
      <c r="U169" s="750"/>
      <c r="V169" s="754"/>
      <c r="W169" s="345"/>
      <c r="X169" s="345"/>
      <c r="Y169" s="743"/>
      <c r="Z169" s="743"/>
      <c r="AA169" s="743"/>
      <c r="AB169" s="743"/>
      <c r="AC169" s="743"/>
      <c r="AD169" s="743"/>
      <c r="AE169" s="743"/>
      <c r="AF169" s="743"/>
      <c r="AG169" s="743"/>
      <c r="AH169" s="743"/>
      <c r="BC169" s="155" t="str">
        <f t="shared" si="175"/>
        <v>-</v>
      </c>
      <c r="BD169" s="151"/>
      <c r="BE169" s="153"/>
      <c r="BF169" s="153"/>
      <c r="BG169" s="153"/>
      <c r="BH169" s="153"/>
      <c r="BI169" s="153"/>
      <c r="BJ169" s="153"/>
      <c r="BK169" s="153"/>
      <c r="BL169" s="153"/>
      <c r="BM169" s="153"/>
    </row>
    <row r="170" spans="1:65" ht="15" customHeight="1" outlineLevel="1" x14ac:dyDescent="0.25">
      <c r="A170" s="40"/>
      <c r="B170" s="761"/>
      <c r="C170" s="760"/>
      <c r="D170" s="343"/>
      <c r="E170" s="343"/>
      <c r="F170" s="353"/>
      <c r="G170" s="353"/>
      <c r="H170" s="353"/>
      <c r="I170" s="353"/>
      <c r="J170" s="353"/>
      <c r="K170" s="171"/>
      <c r="L170" s="171"/>
      <c r="M170" s="353"/>
      <c r="N170" s="57"/>
      <c r="O170" s="749"/>
      <c r="P170" s="750"/>
      <c r="Q170" s="750"/>
      <c r="R170" s="754"/>
      <c r="S170" s="749"/>
      <c r="T170" s="750"/>
      <c r="U170" s="750"/>
      <c r="V170" s="754"/>
      <c r="W170" s="345"/>
      <c r="X170" s="345"/>
      <c r="Y170" s="743"/>
      <c r="Z170" s="743"/>
      <c r="AA170" s="743"/>
      <c r="AB170" s="743"/>
      <c r="AC170" s="743"/>
      <c r="AD170" s="743"/>
      <c r="AE170" s="743"/>
      <c r="AF170" s="743"/>
      <c r="AG170" s="743"/>
      <c r="AH170" s="743"/>
      <c r="BC170" s="155" t="str">
        <f t="shared" si="175"/>
        <v>-</v>
      </c>
      <c r="BD170" s="151"/>
      <c r="BE170" s="153"/>
      <c r="BF170" s="153"/>
      <c r="BG170" s="153"/>
      <c r="BH170" s="153"/>
      <c r="BI170" s="153"/>
      <c r="BJ170" s="153"/>
      <c r="BK170" s="153"/>
      <c r="BL170" s="153"/>
      <c r="BM170" s="153"/>
    </row>
    <row r="171" spans="1:65" ht="15" customHeight="1" outlineLevel="1" x14ac:dyDescent="0.25">
      <c r="A171" s="40"/>
      <c r="B171" s="761"/>
      <c r="C171" s="760"/>
      <c r="D171" s="343"/>
      <c r="E171" s="343"/>
      <c r="F171" s="56"/>
      <c r="G171" s="56"/>
      <c r="H171" s="56"/>
      <c r="I171" s="56"/>
      <c r="J171" s="56"/>
      <c r="K171" s="171"/>
      <c r="L171" s="171"/>
      <c r="M171" s="56"/>
      <c r="N171" s="55"/>
      <c r="O171" s="749"/>
      <c r="P171" s="750"/>
      <c r="Q171" s="750"/>
      <c r="R171" s="754"/>
      <c r="S171" s="749"/>
      <c r="T171" s="750"/>
      <c r="U171" s="750"/>
      <c r="V171" s="754"/>
      <c r="W171" s="345"/>
      <c r="X171" s="345"/>
      <c r="Y171" s="743"/>
      <c r="Z171" s="743"/>
      <c r="AA171" s="743"/>
      <c r="AB171" s="743"/>
      <c r="AC171" s="743"/>
      <c r="AD171" s="743"/>
      <c r="AE171" s="743"/>
      <c r="AF171" s="743"/>
      <c r="AG171" s="743"/>
      <c r="AH171" s="743"/>
      <c r="BC171" s="155" t="str">
        <f t="shared" si="175"/>
        <v>-</v>
      </c>
      <c r="BD171" s="151"/>
      <c r="BE171" s="153"/>
      <c r="BF171" s="153"/>
      <c r="BG171" s="153"/>
      <c r="BH171" s="153"/>
      <c r="BI171" s="153"/>
      <c r="BJ171" s="153"/>
      <c r="BK171" s="153"/>
      <c r="BL171" s="153"/>
      <c r="BM171" s="153"/>
    </row>
    <row r="172" spans="1:65" ht="15" customHeight="1" outlineLevel="1" x14ac:dyDescent="0.25">
      <c r="A172" s="40"/>
      <c r="B172" s="761"/>
      <c r="C172" s="760"/>
      <c r="D172" s="343"/>
      <c r="E172" s="343"/>
      <c r="F172" s="56"/>
      <c r="G172" s="56"/>
      <c r="H172" s="56"/>
      <c r="I172" s="56"/>
      <c r="J172" s="56"/>
      <c r="K172" s="171"/>
      <c r="L172" s="171"/>
      <c r="M172" s="56"/>
      <c r="N172" s="55"/>
      <c r="O172" s="749"/>
      <c r="P172" s="750"/>
      <c r="Q172" s="750"/>
      <c r="R172" s="754"/>
      <c r="S172" s="749"/>
      <c r="T172" s="750"/>
      <c r="U172" s="750"/>
      <c r="V172" s="754"/>
      <c r="W172" s="345"/>
      <c r="X172" s="345"/>
      <c r="Y172" s="743"/>
      <c r="Z172" s="743"/>
      <c r="AA172" s="743"/>
      <c r="AB172" s="743"/>
      <c r="AC172" s="743"/>
      <c r="AD172" s="743"/>
      <c r="AE172" s="743"/>
      <c r="AF172" s="743"/>
      <c r="AG172" s="743"/>
      <c r="AH172" s="743"/>
      <c r="BC172" s="155" t="str">
        <f t="shared" si="175"/>
        <v>-</v>
      </c>
      <c r="BD172" s="151" t="str">
        <f>B159</f>
        <v>s.s.e.t.</v>
      </c>
      <c r="BE172" s="153" t="str">
        <f t="shared" ref="BE172:BJ172" si="189">F162</f>
        <v>-</v>
      </c>
      <c r="BF172" s="153" t="str">
        <f t="shared" si="189"/>
        <v>-</v>
      </c>
      <c r="BG172" s="153" t="str">
        <f t="shared" si="189"/>
        <v>-</v>
      </c>
      <c r="BH172" s="153" t="str">
        <f t="shared" si="189"/>
        <v>-</v>
      </c>
      <c r="BI172" s="153" t="str">
        <f t="shared" si="189"/>
        <v>-</v>
      </c>
      <c r="BJ172" s="153" t="str">
        <f t="shared" si="189"/>
        <v>-</v>
      </c>
      <c r="BK172" s="153" t="str">
        <f t="shared" ref="BK172:BL172" si="190">L162</f>
        <v>-</v>
      </c>
      <c r="BL172" s="153" t="str">
        <f t="shared" si="190"/>
        <v>-</v>
      </c>
      <c r="BM172" s="153">
        <f>N162</f>
        <v>0</v>
      </c>
    </row>
    <row r="173" spans="1:65" ht="15" customHeight="1" outlineLevel="1" x14ac:dyDescent="0.25">
      <c r="A173" s="40"/>
      <c r="B173" s="761"/>
      <c r="C173" s="760"/>
      <c r="D173" s="343"/>
      <c r="E173" s="343"/>
      <c r="F173" s="343"/>
      <c r="G173" s="343"/>
      <c r="H173" s="343"/>
      <c r="I173" s="343"/>
      <c r="J173" s="343"/>
      <c r="K173" s="171"/>
      <c r="L173" s="171"/>
      <c r="M173" s="343"/>
      <c r="N173" s="59"/>
      <c r="O173" s="749"/>
      <c r="P173" s="750"/>
      <c r="Q173" s="750"/>
      <c r="R173" s="754"/>
      <c r="S173" s="749"/>
      <c r="T173" s="750"/>
      <c r="U173" s="750"/>
      <c r="V173" s="754"/>
      <c r="W173" s="345"/>
      <c r="X173" s="345"/>
      <c r="Y173" s="743"/>
      <c r="Z173" s="743"/>
      <c r="AA173" s="743"/>
      <c r="AB173" s="743"/>
      <c r="AC173" s="743"/>
      <c r="AD173" s="743"/>
      <c r="AE173" s="743"/>
      <c r="AF173" s="743"/>
      <c r="AG173" s="743"/>
      <c r="AH173" s="743"/>
      <c r="BC173" s="155" t="str">
        <f t="shared" si="175"/>
        <v>-</v>
      </c>
      <c r="BD173" s="151"/>
      <c r="BE173" s="153"/>
      <c r="BF173" s="153"/>
      <c r="BG173" s="153"/>
      <c r="BH173" s="153"/>
      <c r="BI173" s="153"/>
      <c r="BJ173" s="153"/>
      <c r="BK173" s="153"/>
      <c r="BL173" s="153"/>
      <c r="BM173" s="153"/>
    </row>
    <row r="174" spans="1:65" ht="15" customHeight="1" outlineLevel="1" x14ac:dyDescent="0.25">
      <c r="A174" s="40"/>
      <c r="B174" s="761"/>
      <c r="C174" s="760"/>
      <c r="D174" s="343"/>
      <c r="E174" s="343"/>
      <c r="F174" s="353"/>
      <c r="G174" s="353"/>
      <c r="H174" s="353"/>
      <c r="I174" s="353"/>
      <c r="J174" s="353"/>
      <c r="K174" s="171"/>
      <c r="L174" s="171"/>
      <c r="M174" s="353"/>
      <c r="N174" s="57"/>
      <c r="O174" s="749"/>
      <c r="P174" s="750"/>
      <c r="Q174" s="750"/>
      <c r="R174" s="754"/>
      <c r="S174" s="749"/>
      <c r="T174" s="750"/>
      <c r="U174" s="750"/>
      <c r="V174" s="754"/>
      <c r="W174" s="345"/>
      <c r="X174" s="345"/>
      <c r="Y174" s="743"/>
      <c r="Z174" s="743"/>
      <c r="AA174" s="743"/>
      <c r="AB174" s="743"/>
      <c r="AC174" s="743"/>
      <c r="AD174" s="743"/>
      <c r="AE174" s="743"/>
      <c r="AF174" s="743"/>
      <c r="AG174" s="743"/>
      <c r="AH174" s="743"/>
      <c r="BC174" s="155" t="str">
        <f t="shared" si="175"/>
        <v>-</v>
      </c>
      <c r="BD174" s="151"/>
      <c r="BE174" s="153"/>
      <c r="BF174" s="153"/>
      <c r="BG174" s="153"/>
      <c r="BH174" s="153"/>
      <c r="BI174" s="153"/>
      <c r="BJ174" s="153"/>
      <c r="BK174" s="153"/>
      <c r="BL174" s="153"/>
      <c r="BM174" s="153"/>
    </row>
    <row r="175" spans="1:65" ht="15" customHeight="1" outlineLevel="1" x14ac:dyDescent="0.25">
      <c r="A175" s="40"/>
      <c r="B175" s="761"/>
      <c r="C175" s="760"/>
      <c r="D175" s="343"/>
      <c r="E175" s="343"/>
      <c r="F175" s="353"/>
      <c r="G175" s="353"/>
      <c r="H175" s="353"/>
      <c r="I175" s="353"/>
      <c r="J175" s="353"/>
      <c r="K175" s="171"/>
      <c r="L175" s="171"/>
      <c r="M175" s="353"/>
      <c r="N175" s="57"/>
      <c r="O175" s="749"/>
      <c r="P175" s="750"/>
      <c r="Q175" s="750"/>
      <c r="R175" s="754"/>
      <c r="S175" s="749"/>
      <c r="T175" s="750"/>
      <c r="U175" s="750"/>
      <c r="V175" s="754"/>
      <c r="W175" s="345"/>
      <c r="X175" s="345"/>
      <c r="Y175" s="743"/>
      <c r="Z175" s="743"/>
      <c r="AA175" s="743"/>
      <c r="AB175" s="743"/>
      <c r="AC175" s="743"/>
      <c r="AD175" s="743"/>
      <c r="AE175" s="743"/>
      <c r="AF175" s="743"/>
      <c r="AG175" s="743"/>
      <c r="AH175" s="743"/>
      <c r="BC175" s="155" t="str">
        <f t="shared" si="175"/>
        <v>-</v>
      </c>
      <c r="BD175" s="151"/>
      <c r="BE175" s="153"/>
      <c r="BF175" s="153"/>
      <c r="BG175" s="153"/>
      <c r="BH175" s="153"/>
      <c r="BI175" s="153"/>
      <c r="BJ175" s="153"/>
      <c r="BK175" s="153"/>
      <c r="BL175" s="153"/>
      <c r="BM175" s="153"/>
    </row>
    <row r="176" spans="1:65" ht="15" customHeight="1" outlineLevel="1" x14ac:dyDescent="0.25">
      <c r="A176" s="40"/>
      <c r="B176" s="761"/>
      <c r="C176" s="760"/>
      <c r="D176" s="343"/>
      <c r="E176" s="343"/>
      <c r="F176" s="56"/>
      <c r="G176" s="56"/>
      <c r="H176" s="56"/>
      <c r="I176" s="56"/>
      <c r="J176" s="56"/>
      <c r="K176" s="171"/>
      <c r="L176" s="171"/>
      <c r="M176" s="56"/>
      <c r="N176" s="55"/>
      <c r="O176" s="749"/>
      <c r="P176" s="750"/>
      <c r="Q176" s="750"/>
      <c r="R176" s="754"/>
      <c r="S176" s="749"/>
      <c r="T176" s="750"/>
      <c r="U176" s="750"/>
      <c r="V176" s="754"/>
      <c r="W176" s="345"/>
      <c r="X176" s="345"/>
      <c r="Y176" s="743"/>
      <c r="Z176" s="743"/>
      <c r="AA176" s="743"/>
      <c r="AB176" s="743"/>
      <c r="AC176" s="743"/>
      <c r="AD176" s="743"/>
      <c r="AE176" s="743"/>
      <c r="AF176" s="743"/>
      <c r="AG176" s="743"/>
      <c r="AH176" s="743"/>
      <c r="BC176" s="155" t="str">
        <f t="shared" si="175"/>
        <v>-</v>
      </c>
      <c r="BD176" s="151" t="str">
        <f>"IEF " &amp;B159</f>
        <v>IEF s.s.e.t.</v>
      </c>
      <c r="BE176" s="153" t="str">
        <f t="shared" ref="BE176:BM176" si="191">IF(OR($C169="-",$C169="CET",$C169=""),"-",$C169)</f>
        <v>-</v>
      </c>
      <c r="BF176" s="153" t="str">
        <f t="shared" si="191"/>
        <v>-</v>
      </c>
      <c r="BG176" s="153" t="str">
        <f t="shared" si="191"/>
        <v>-</v>
      </c>
      <c r="BH176" s="153" t="str">
        <f t="shared" si="191"/>
        <v>-</v>
      </c>
      <c r="BI176" s="153" t="str">
        <f t="shared" si="191"/>
        <v>-</v>
      </c>
      <c r="BJ176" s="153" t="str">
        <f t="shared" si="191"/>
        <v>-</v>
      </c>
      <c r="BK176" s="153" t="str">
        <f t="shared" ref="BK176:BL176" si="192">IF(OR($C169="-",$C169="CET",$C169=""),"-",$C169)</f>
        <v>-</v>
      </c>
      <c r="BL176" s="153" t="str">
        <f t="shared" si="192"/>
        <v>-</v>
      </c>
      <c r="BM176" s="153" t="str">
        <f t="shared" si="191"/>
        <v>-</v>
      </c>
    </row>
    <row r="177" spans="1:72" outlineLevel="1" x14ac:dyDescent="0.25">
      <c r="B177" s="761"/>
      <c r="C177" s="760"/>
      <c r="D177" s="343"/>
      <c r="E177" s="343"/>
      <c r="F177" s="56"/>
      <c r="G177" s="56"/>
      <c r="H177" s="56"/>
      <c r="I177" s="56"/>
      <c r="J177" s="56"/>
      <c r="K177" s="171"/>
      <c r="L177" s="171"/>
      <c r="M177" s="56"/>
      <c r="N177" s="55"/>
      <c r="O177" s="749"/>
      <c r="P177" s="750"/>
      <c r="Q177" s="750"/>
      <c r="R177" s="754"/>
      <c r="S177" s="749"/>
      <c r="T177" s="750"/>
      <c r="U177" s="750"/>
      <c r="V177" s="754"/>
      <c r="BC177" s="155" t="str">
        <f t="shared" si="175"/>
        <v>-</v>
      </c>
      <c r="BD177" s="156"/>
      <c r="BE177" s="156"/>
      <c r="BF177" s="156"/>
      <c r="BG177" s="156"/>
      <c r="BH177" s="156"/>
      <c r="BI177" s="156"/>
      <c r="BJ177" s="156"/>
      <c r="BK177" s="156"/>
      <c r="BL177" s="156"/>
      <c r="BM177" s="156"/>
    </row>
    <row r="178" spans="1:72" ht="15.75" outlineLevel="1" thickBot="1" x14ac:dyDescent="0.3">
      <c r="B178" s="796"/>
      <c r="C178" s="778"/>
      <c r="D178" s="349"/>
      <c r="E178" s="349"/>
      <c r="F178" s="349"/>
      <c r="G178" s="349"/>
      <c r="H178" s="349"/>
      <c r="I178" s="349"/>
      <c r="J178" s="349"/>
      <c r="K178" s="172"/>
      <c r="L178" s="172"/>
      <c r="M178" s="349"/>
      <c r="N178" s="54"/>
      <c r="O178" s="751"/>
      <c r="P178" s="752"/>
      <c r="Q178" s="752"/>
      <c r="R178" s="755"/>
      <c r="S178" s="751"/>
      <c r="T178" s="752"/>
      <c r="U178" s="752"/>
      <c r="V178" s="755"/>
      <c r="BC178" s="155" t="str">
        <f t="shared" si="175"/>
        <v>-</v>
      </c>
      <c r="BD178" s="156"/>
      <c r="BE178" s="156"/>
      <c r="BF178" s="156"/>
      <c r="BG178" s="156"/>
      <c r="BH178" s="156"/>
      <c r="BI178" s="156"/>
      <c r="BJ178" s="156"/>
      <c r="BK178" s="156"/>
      <c r="BL178" s="156"/>
      <c r="BM178" s="156"/>
    </row>
    <row r="179" spans="1:72" ht="15" customHeight="1" x14ac:dyDescent="0.25">
      <c r="A179" s="350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BC179" s="155" t="str">
        <f t="shared" si="175"/>
        <v>-</v>
      </c>
    </row>
    <row r="180" spans="1:72" ht="15" customHeight="1" x14ac:dyDescent="0.25">
      <c r="A180" s="350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BC180" s="155" t="str">
        <f t="shared" si="175"/>
        <v>-</v>
      </c>
    </row>
    <row r="181" spans="1:72" ht="15" customHeight="1" thickBot="1" x14ac:dyDescent="0.3">
      <c r="A181" s="350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BC181" s="155" t="str">
        <f t="shared" si="175"/>
        <v>-</v>
      </c>
    </row>
    <row r="182" spans="1:72" ht="24.95" customHeight="1" thickBot="1" x14ac:dyDescent="0.3">
      <c r="A182" s="350"/>
      <c r="B182" s="185">
        <v>7</v>
      </c>
      <c r="C182" s="757" t="s">
        <v>118</v>
      </c>
      <c r="D182" s="758"/>
      <c r="E182" s="758"/>
      <c r="F182" s="758"/>
      <c r="G182" s="758"/>
      <c r="H182" s="758"/>
      <c r="I182" s="758"/>
      <c r="J182" s="758"/>
      <c r="K182" s="758"/>
      <c r="L182" s="758"/>
      <c r="M182" s="758"/>
      <c r="N182" s="759"/>
      <c r="O182" s="49" t="s">
        <v>117</v>
      </c>
      <c r="P182" s="71" t="str">
        <f>IF(COUNTIF(F186:M205,"refused")&gt;0,"refused",IF(COUNTIF(F186:M205,"failed")&gt;0,"failed",IF(COUNTIF(F186:M205,"passed")&gt;0,"passed","-")))</f>
        <v>-</v>
      </c>
      <c r="Q182" s="70" t="s">
        <v>80</v>
      </c>
      <c r="R182" s="70" t="str">
        <f>IF(COUNT(F186:M187,F191:M192)&gt;0,"listed","not listed")</f>
        <v>not listed</v>
      </c>
      <c r="S182" s="344"/>
      <c r="T182" s="43"/>
      <c r="U182" s="43"/>
      <c r="V182" s="44"/>
      <c r="W182" s="47"/>
      <c r="X182" s="47"/>
      <c r="Y182" s="756"/>
      <c r="Z182" s="756"/>
      <c r="AA182" s="756"/>
      <c r="AB182" s="756"/>
      <c r="AC182" s="756"/>
      <c r="AD182" s="756"/>
      <c r="AE182" s="756"/>
      <c r="AF182" s="756"/>
      <c r="AG182" s="756"/>
      <c r="AH182" s="756"/>
      <c r="BC182" s="155" t="str">
        <f t="shared" si="175"/>
        <v>-</v>
      </c>
    </row>
    <row r="183" spans="1:72" ht="15" customHeight="1" outlineLevel="1" thickBot="1" x14ac:dyDescent="0.3">
      <c r="A183" s="350"/>
      <c r="B183" s="346"/>
      <c r="C183" s="347"/>
      <c r="D183" s="347"/>
      <c r="E183" s="347"/>
      <c r="F183" s="347"/>
      <c r="G183" s="347"/>
      <c r="H183" s="347"/>
      <c r="I183" s="347"/>
      <c r="J183" s="347"/>
      <c r="K183" s="162"/>
      <c r="L183" s="162"/>
      <c r="M183" s="347"/>
      <c r="N183" s="347"/>
      <c r="O183" s="347"/>
      <c r="P183" s="347"/>
      <c r="Q183" s="347"/>
      <c r="R183" s="347"/>
      <c r="S183" s="347"/>
      <c r="T183" s="45"/>
      <c r="U183" s="45"/>
      <c r="V183" s="46"/>
      <c r="W183" s="345"/>
      <c r="X183" s="345"/>
      <c r="Y183" s="743"/>
      <c r="Z183" s="743"/>
      <c r="AA183" s="743"/>
      <c r="AB183" s="743"/>
      <c r="AC183" s="743"/>
      <c r="AD183" s="743"/>
      <c r="AE183" s="743"/>
      <c r="AF183" s="743"/>
      <c r="AG183" s="743"/>
      <c r="AH183" s="743"/>
      <c r="BC183" s="155" t="str">
        <f t="shared" si="175"/>
        <v>-</v>
      </c>
      <c r="BD183" s="151" t="s">
        <v>85</v>
      </c>
      <c r="BE183" s="69" t="str">
        <f>$F$4</f>
        <v>NMHC 
[g/km]</v>
      </c>
      <c r="BF183" s="69" t="str">
        <f>$G$4</f>
        <v>THC
[g/km]</v>
      </c>
      <c r="BG183" s="69" t="str">
        <f>$H$4</f>
        <v>CO
[g/km]</v>
      </c>
      <c r="BH183" s="69" t="str">
        <f>$I$4</f>
        <v>NOx
[g/km]</v>
      </c>
      <c r="BI183" s="69" t="str">
        <f>$J$4</f>
        <v>PM
[mg/km]</v>
      </c>
      <c r="BJ183" s="163" t="str">
        <f>K$4</f>
        <v>PN
[#/km]</v>
      </c>
      <c r="BK183" s="163" t="str">
        <f t="shared" ref="BK183:BL183" si="193">L$4</f>
        <v>Additional component</v>
      </c>
      <c r="BL183" s="163" t="str">
        <f t="shared" si="193"/>
        <v>Additional
component 2</v>
      </c>
      <c r="BM183" s="69" t="str">
        <f>$N$4</f>
        <v>CO2
[g/km]</v>
      </c>
    </row>
    <row r="184" spans="1:72" ht="15" customHeight="1" outlineLevel="1" thickBot="1" x14ac:dyDescent="0.3">
      <c r="A184" s="350"/>
      <c r="B184" s="744" t="s">
        <v>81</v>
      </c>
      <c r="C184" s="745"/>
      <c r="D184" s="745"/>
      <c r="E184" s="745"/>
      <c r="F184" s="745"/>
      <c r="G184" s="745"/>
      <c r="H184" s="745"/>
      <c r="I184" s="745"/>
      <c r="J184" s="745"/>
      <c r="K184" s="745"/>
      <c r="L184" s="745"/>
      <c r="M184" s="745"/>
      <c r="N184" s="746"/>
      <c r="O184" s="744" t="s">
        <v>82</v>
      </c>
      <c r="P184" s="745"/>
      <c r="Q184" s="745"/>
      <c r="R184" s="746"/>
      <c r="S184" s="744" t="s">
        <v>83</v>
      </c>
      <c r="T184" s="745"/>
      <c r="U184" s="745"/>
      <c r="V184" s="746"/>
      <c r="W184" s="345"/>
      <c r="X184" s="345"/>
      <c r="Y184" s="743"/>
      <c r="Z184" s="743"/>
      <c r="AA184" s="743"/>
      <c r="AB184" s="743"/>
      <c r="AC184" s="743"/>
      <c r="AD184" s="743"/>
      <c r="AE184" s="743"/>
      <c r="AF184" s="743"/>
      <c r="AG184" s="743"/>
      <c r="AH184" s="743"/>
      <c r="BC184" s="155" t="str">
        <f t="shared" si="175"/>
        <v>-</v>
      </c>
      <c r="BD184" s="151" t="str">
        <f>$E$4</f>
        <v>Euro 6c</v>
      </c>
      <c r="BE184" s="153">
        <v>1</v>
      </c>
      <c r="BF184" s="153">
        <v>1</v>
      </c>
      <c r="BG184" s="153">
        <v>1</v>
      </c>
      <c r="BH184" s="153">
        <v>1</v>
      </c>
      <c r="BI184" s="153">
        <v>1</v>
      </c>
      <c r="BJ184" s="153">
        <v>1</v>
      </c>
      <c r="BK184" s="153">
        <v>1</v>
      </c>
      <c r="BL184" s="153">
        <v>1</v>
      </c>
      <c r="BM184" s="153">
        <v>1</v>
      </c>
    </row>
    <row r="185" spans="1:72" ht="35.1" customHeight="1" outlineLevel="1" thickBot="1" x14ac:dyDescent="0.3">
      <c r="A185" s="350"/>
      <c r="B185" s="767" t="s">
        <v>84</v>
      </c>
      <c r="C185" s="768"/>
      <c r="D185" s="768"/>
      <c r="E185" s="769"/>
      <c r="F185" s="69" t="str">
        <f t="shared" ref="F185:L185" si="194">F$4</f>
        <v>NMHC 
[g/km]</v>
      </c>
      <c r="G185" s="69" t="str">
        <f t="shared" si="194"/>
        <v>THC
[g/km]</v>
      </c>
      <c r="H185" s="69" t="str">
        <f t="shared" si="194"/>
        <v>CO
[g/km]</v>
      </c>
      <c r="I185" s="69" t="str">
        <f t="shared" si="194"/>
        <v>NOx
[g/km]</v>
      </c>
      <c r="J185" s="69" t="str">
        <f t="shared" si="194"/>
        <v>PM
[mg/km]</v>
      </c>
      <c r="K185" s="69" t="str">
        <f t="shared" si="194"/>
        <v>PN
[#/km]</v>
      </c>
      <c r="L185" s="366" t="str">
        <f t="shared" si="194"/>
        <v>Additional component</v>
      </c>
      <c r="M185" s="366" t="str">
        <f>M$4</f>
        <v>Additional
component 2</v>
      </c>
      <c r="N185" s="69" t="str">
        <f>N$4</f>
        <v>CO2
[g/km]</v>
      </c>
      <c r="O185" s="747"/>
      <c r="P185" s="748"/>
      <c r="Q185" s="748"/>
      <c r="R185" s="753"/>
      <c r="S185" s="747"/>
      <c r="T185" s="748"/>
      <c r="U185" s="748"/>
      <c r="V185" s="753"/>
      <c r="W185" s="345"/>
      <c r="X185" s="345"/>
      <c r="Y185" s="743"/>
      <c r="Z185" s="743"/>
      <c r="AA185" s="743"/>
      <c r="AB185" s="743"/>
      <c r="AC185" s="743"/>
      <c r="AD185" s="743"/>
      <c r="AE185" s="743"/>
      <c r="AF185" s="743"/>
      <c r="AG185" s="743"/>
      <c r="AH185" s="743"/>
      <c r="BC185" s="155" t="str">
        <f t="shared" si="175"/>
        <v>-</v>
      </c>
      <c r="BD185" s="151" t="str">
        <f>"1st " &amp;  B186</f>
        <v>1st normal</v>
      </c>
      <c r="BE185" s="153" t="str">
        <f t="shared" ref="BE185:BJ185" si="195">IF((OR($C188="-",$C188="CET",$C188="")),"-",IF(AND(OR(F186="-",F186=""),OR(F187="-",F187="")),"-",IF(NOT(OR(F186="-",F186="")),F186/F$5,F187/F$5)))</f>
        <v>-</v>
      </c>
      <c r="BF185" s="153" t="str">
        <f t="shared" si="195"/>
        <v>-</v>
      </c>
      <c r="BG185" s="153" t="str">
        <f t="shared" si="195"/>
        <v>-</v>
      </c>
      <c r="BH185" s="153" t="str">
        <f t="shared" si="195"/>
        <v>-</v>
      </c>
      <c r="BI185" s="153" t="str">
        <f t="shared" si="195"/>
        <v>-</v>
      </c>
      <c r="BJ185" s="153" t="str">
        <f t="shared" si="195"/>
        <v>-</v>
      </c>
      <c r="BK185" s="153" t="str">
        <f t="shared" ref="BK185:BL185" si="196">IF((OR($C188="-",$C188="CET",$C188="")),"-",IF(AND(OR(L186="-",L186=""),OR(L187="-",L187="")),"-",IF(NOT(OR(L186="-",L186="")),L186/L$5,L187/L$5)))</f>
        <v>-</v>
      </c>
      <c r="BL185" s="153" t="str">
        <f t="shared" si="196"/>
        <v>-</v>
      </c>
      <c r="BM185" s="153" t="str">
        <f>IF((OR($C188="-",$C188="CET",$C188="")),"-",IF(AND(OR(N186="-",N186=""),OR(N187="-",N187="")),"-",IF(NOT(OR(N186="-",N186="")),N186/N$5,N187/N$5)))</f>
        <v>-</v>
      </c>
    </row>
    <row r="186" spans="1:72" s="50" customFormat="1" ht="15" customHeight="1" outlineLevel="1" x14ac:dyDescent="0.25">
      <c r="A186" s="53"/>
      <c r="B186" s="800" t="s">
        <v>116</v>
      </c>
      <c r="C186" s="770" t="s">
        <v>114</v>
      </c>
      <c r="D186" s="770" t="s">
        <v>113</v>
      </c>
      <c r="E186" s="106" t="s">
        <v>94</v>
      </c>
      <c r="F186" s="105" t="s">
        <v>5</v>
      </c>
      <c r="G186" s="105" t="s">
        <v>5</v>
      </c>
      <c r="H186" s="105" t="s">
        <v>5</v>
      </c>
      <c r="I186" s="105" t="s">
        <v>5</v>
      </c>
      <c r="J186" s="105" t="s">
        <v>5</v>
      </c>
      <c r="K186" s="173" t="s">
        <v>5</v>
      </c>
      <c r="L186" s="173" t="s">
        <v>5</v>
      </c>
      <c r="M186" s="105" t="s">
        <v>5</v>
      </c>
      <c r="N186" s="105" t="s">
        <v>5</v>
      </c>
      <c r="O186" s="749"/>
      <c r="P186" s="750"/>
      <c r="Q186" s="750"/>
      <c r="R186" s="754"/>
      <c r="S186" s="749"/>
      <c r="T186" s="750"/>
      <c r="U186" s="750"/>
      <c r="V186" s="754"/>
      <c r="W186" s="51"/>
      <c r="X186" s="51"/>
      <c r="Y186" s="743"/>
      <c r="Z186" s="743"/>
      <c r="AA186" s="743"/>
      <c r="AB186" s="743"/>
      <c r="AC186" s="743"/>
      <c r="AD186" s="743"/>
      <c r="AE186" s="743"/>
      <c r="AF186" s="743"/>
      <c r="AG186" s="743"/>
      <c r="AH186" s="743"/>
      <c r="BC186" s="155" t="str">
        <f t="shared" si="175"/>
        <v>-</v>
      </c>
      <c r="BD186" s="151" t="str">
        <f>"1st " &amp; B191</f>
        <v>1st aggressive</v>
      </c>
      <c r="BE186" s="153" t="str">
        <f t="shared" ref="BE186:BJ186" si="197">IF((OR($C193="-",$C193="CET",$C193="")),"-",IF(AND(OR(F191="-",F191=""),OR(F192="-",F192="")),"-",IF(NOT(OR(F191="-",F191="")),F191/F$5,F192/F$5)))</f>
        <v>-</v>
      </c>
      <c r="BF186" s="153" t="str">
        <f t="shared" si="197"/>
        <v>-</v>
      </c>
      <c r="BG186" s="153" t="str">
        <f t="shared" si="197"/>
        <v>-</v>
      </c>
      <c r="BH186" s="153" t="str">
        <f t="shared" si="197"/>
        <v>-</v>
      </c>
      <c r="BI186" s="153" t="str">
        <f t="shared" si="197"/>
        <v>-</v>
      </c>
      <c r="BJ186" s="153" t="str">
        <f t="shared" si="197"/>
        <v>-</v>
      </c>
      <c r="BK186" s="153" t="str">
        <f t="shared" ref="BK186:BL186" si="198">IF((OR($C193="-",$C193="CET",$C193="")),"-",IF(AND(OR(L191="-",L191=""),OR(L192="-",L192="")),"-",IF(NOT(OR(L191="-",L191="")),L191/L$5,L192/L$5)))</f>
        <v>-</v>
      </c>
      <c r="BL186" s="153" t="str">
        <f t="shared" si="198"/>
        <v>-</v>
      </c>
      <c r="BM186" s="153" t="str">
        <f>IF((OR($C193="-",$C193="CET",$C193="")),"-",IF(AND(OR(N191="-",N191=""),OR(N192="-",N192="")),"-",IF(NOT(OR(N191="-",N191="")),N191/N$5,N192/N$5)))</f>
        <v>-</v>
      </c>
      <c r="BN186" s="150"/>
      <c r="BO186" s="150"/>
      <c r="BP186" s="150"/>
      <c r="BQ186" s="150"/>
      <c r="BR186" s="150"/>
      <c r="BS186" s="150"/>
      <c r="BT186" s="150"/>
    </row>
    <row r="187" spans="1:72" ht="15" customHeight="1" outlineLevel="1" thickBot="1" x14ac:dyDescent="0.3">
      <c r="A187" s="350"/>
      <c r="B187" s="801"/>
      <c r="C187" s="741"/>
      <c r="D187" s="742"/>
      <c r="E187" s="104" t="s">
        <v>95</v>
      </c>
      <c r="F187" s="103" t="s">
        <v>5</v>
      </c>
      <c r="G187" s="103" t="s">
        <v>5</v>
      </c>
      <c r="H187" s="103" t="s">
        <v>5</v>
      </c>
      <c r="I187" s="103" t="s">
        <v>5</v>
      </c>
      <c r="J187" s="103" t="s">
        <v>5</v>
      </c>
      <c r="K187" s="174" t="s">
        <v>5</v>
      </c>
      <c r="L187" s="174" t="s">
        <v>5</v>
      </c>
      <c r="M187" s="103" t="s">
        <v>5</v>
      </c>
      <c r="N187" s="103" t="s">
        <v>5</v>
      </c>
      <c r="O187" s="749"/>
      <c r="P187" s="750"/>
      <c r="Q187" s="750"/>
      <c r="R187" s="754"/>
      <c r="S187" s="749"/>
      <c r="T187" s="750"/>
      <c r="U187" s="750"/>
      <c r="V187" s="754"/>
      <c r="W187" s="345"/>
      <c r="X187" s="345"/>
      <c r="Y187" s="743"/>
      <c r="Z187" s="743"/>
      <c r="AA187" s="743"/>
      <c r="AB187" s="743"/>
      <c r="AC187" s="743"/>
      <c r="AD187" s="743"/>
      <c r="AE187" s="743"/>
      <c r="AF187" s="743"/>
      <c r="AG187" s="743"/>
      <c r="AH187" s="743"/>
      <c r="BC187" s="155" t="str">
        <f t="shared" si="175"/>
        <v>-</v>
      </c>
      <c r="BD187" s="151"/>
      <c r="BE187" s="153"/>
      <c r="BF187" s="153"/>
      <c r="BG187" s="153"/>
      <c r="BH187" s="153"/>
      <c r="BI187" s="153"/>
      <c r="BJ187" s="153"/>
      <c r="BK187" s="153"/>
      <c r="BL187" s="153"/>
      <c r="BM187" s="153"/>
    </row>
    <row r="188" spans="1:72" ht="15" customHeight="1" outlineLevel="1" thickBot="1" x14ac:dyDescent="0.3">
      <c r="A188" s="350"/>
      <c r="B188" s="801"/>
      <c r="C188" s="764">
        <v>2</v>
      </c>
      <c r="D188" s="772" t="str">
        <f>IF(AND(F189="-",G189="-",H189="-",I189="-",J189="-",K189="-",K189="-",L189="-"),"-",MAX(F189,G189,H189,I189,J189,K189,L189,M189))</f>
        <v>-</v>
      </c>
      <c r="E188" s="66" t="s">
        <v>177</v>
      </c>
      <c r="F188" s="65" t="str">
        <f t="shared" ref="F188:K188" si="199">IF(OR(F187="-",F187=""),IF(OR(F186="-",F186=""),"-",F186),IF(OR(F186="-",F186=""),F187,(F186+F187)/2))</f>
        <v>-</v>
      </c>
      <c r="G188" s="65" t="str">
        <f t="shared" si="199"/>
        <v>-</v>
      </c>
      <c r="H188" s="65" t="str">
        <f t="shared" si="199"/>
        <v>-</v>
      </c>
      <c r="I188" s="65" t="str">
        <f t="shared" si="199"/>
        <v>-</v>
      </c>
      <c r="J188" s="65" t="str">
        <f t="shared" si="199"/>
        <v>-</v>
      </c>
      <c r="K188" s="167" t="str">
        <f t="shared" si="199"/>
        <v>-</v>
      </c>
      <c r="L188" s="167" t="str">
        <f t="shared" ref="L188" si="200">IF(OR(L187="-",L187=""),IF(OR(L186="-",L186=""),"-",L186),IF(OR(L186="-",L186=""),L187,(L186+L187)/2))</f>
        <v>-</v>
      </c>
      <c r="M188" s="65" t="s">
        <v>5</v>
      </c>
      <c r="N188" s="740"/>
      <c r="O188" s="749"/>
      <c r="P188" s="750"/>
      <c r="Q188" s="750"/>
      <c r="R188" s="754"/>
      <c r="S188" s="749"/>
      <c r="T188" s="750"/>
      <c r="U188" s="750"/>
      <c r="V188" s="754"/>
      <c r="W188" s="345"/>
      <c r="X188" s="345"/>
      <c r="Y188" s="743"/>
      <c r="Z188" s="743"/>
      <c r="AA188" s="743"/>
      <c r="AB188" s="743"/>
      <c r="AC188" s="743"/>
      <c r="AD188" s="743"/>
      <c r="AE188" s="743"/>
      <c r="AF188" s="743"/>
      <c r="AG188" s="743"/>
      <c r="AH188" s="743"/>
      <c r="BC188" s="155" t="str">
        <f t="shared" si="175"/>
        <v>-</v>
      </c>
      <c r="BD188" s="151"/>
      <c r="BE188" s="153"/>
      <c r="BF188" s="153"/>
      <c r="BG188" s="153"/>
      <c r="BH188" s="153"/>
      <c r="BI188" s="153"/>
      <c r="BJ188" s="153"/>
      <c r="BK188" s="153"/>
      <c r="BL188" s="153"/>
      <c r="BM188" s="153"/>
    </row>
    <row r="189" spans="1:72" ht="15" customHeight="1" outlineLevel="1" thickBot="1" x14ac:dyDescent="0.3">
      <c r="A189" s="350"/>
      <c r="B189" s="801"/>
      <c r="C189" s="765"/>
      <c r="D189" s="773"/>
      <c r="E189" s="64" t="s">
        <v>97</v>
      </c>
      <c r="F189" s="63" t="str">
        <f t="shared" ref="F189:K189" si="201">IF(OR($C188="-",$C188="CET",$C188=""),"-",IF(AND(NOT(F188="-"),NOT(F$5="-"),NOT(F$5="")),F188/F$5,"-"))</f>
        <v>-</v>
      </c>
      <c r="G189" s="63" t="str">
        <f t="shared" si="201"/>
        <v>-</v>
      </c>
      <c r="H189" s="63" t="str">
        <f t="shared" si="201"/>
        <v>-</v>
      </c>
      <c r="I189" s="63" t="str">
        <f t="shared" si="201"/>
        <v>-</v>
      </c>
      <c r="J189" s="63" t="str">
        <f t="shared" si="201"/>
        <v>-</v>
      </c>
      <c r="K189" s="168" t="str">
        <f t="shared" si="201"/>
        <v>-</v>
      </c>
      <c r="L189" s="168" t="str">
        <f t="shared" ref="L189" si="202">IF(OR($C188="-",$C188="CET",$C188=""),"-",IF(AND(NOT(L188="-"),NOT(L$5="-"),NOT(L$5="")),L188/L$5,"-"))</f>
        <v>-</v>
      </c>
      <c r="M189" s="63" t="s">
        <v>5</v>
      </c>
      <c r="N189" s="741"/>
      <c r="O189" s="749"/>
      <c r="P189" s="750"/>
      <c r="Q189" s="750"/>
      <c r="R189" s="754"/>
      <c r="S189" s="749"/>
      <c r="T189" s="750"/>
      <c r="U189" s="750"/>
      <c r="V189" s="754"/>
      <c r="W189" s="345"/>
      <c r="X189" s="345"/>
      <c r="Y189" s="743"/>
      <c r="Z189" s="743"/>
      <c r="AA189" s="743"/>
      <c r="AB189" s="743"/>
      <c r="AC189" s="743"/>
      <c r="AD189" s="743"/>
      <c r="AE189" s="743"/>
      <c r="AF189" s="743"/>
      <c r="AG189" s="743"/>
      <c r="AH189" s="743"/>
      <c r="BC189" s="155" t="str">
        <f t="shared" si="175"/>
        <v>-</v>
      </c>
      <c r="BD189" s="151"/>
      <c r="BE189" s="153"/>
      <c r="BF189" s="153"/>
      <c r="BG189" s="153"/>
      <c r="BH189" s="153"/>
      <c r="BI189" s="153"/>
      <c r="BJ189" s="153"/>
      <c r="BK189" s="153"/>
      <c r="BL189" s="153"/>
      <c r="BM189" s="153"/>
    </row>
    <row r="190" spans="1:72" ht="15" customHeight="1" outlineLevel="1" thickBot="1" x14ac:dyDescent="0.3">
      <c r="A190" s="350"/>
      <c r="B190" s="802"/>
      <c r="C190" s="771"/>
      <c r="D190" s="774"/>
      <c r="E190" s="68" t="s">
        <v>30</v>
      </c>
      <c r="F190" s="62" t="str">
        <f t="shared" ref="F190:L190" si="203">IF(AND(OR(F186="-",F186=""),OR(F187="-",F187="")),"-",IF(OR($C188="-",$C188="",$C188="CET"),"-",IF($R$182="not listed","-",IF(NOT(F$5="-"),IF(AND(AND(NOT(F186=0),NOT(F186="-"),NOT(F186="")),AND(NOT(F187="-"),NOT(F187=0),NOT(F187=""))),IF(AND((F186+F187)/2&lt;1*F$5*IF(OR($C188="CET",$C188="-",$C188=""),"-",$C188),F186&lt;1.1*F$5*IF(OR($C188="CET",$C188="-",$C188=""),"-",$C188),F187&lt;1.1*F$5*IF(OR($C188="CET",$C188="-",$C188=""),"-",$C188)),"passed","refused"),IF(IF(OR(F186="-",F186=""),F187,F186)&lt;0.7*F$5*IF(OR($C188="CET",$C188="-",$C188=""),"-",$C188),"passed",IF(IF(OR(F186="-",F186=""),F187,F186)&lt;1.1*IF(OR($C188="CET",$C188="-",$C188=""),"-",$C188)*F$5,"failed","refused"))),"-"))))</f>
        <v>-</v>
      </c>
      <c r="G190" s="62" t="str">
        <f t="shared" si="203"/>
        <v>-</v>
      </c>
      <c r="H190" s="62" t="str">
        <f t="shared" si="203"/>
        <v>-</v>
      </c>
      <c r="I190" s="62" t="str">
        <f t="shared" si="203"/>
        <v>-</v>
      </c>
      <c r="J190" s="62" t="str">
        <f t="shared" si="203"/>
        <v>-</v>
      </c>
      <c r="K190" s="169" t="str">
        <f t="shared" si="203"/>
        <v>-</v>
      </c>
      <c r="L190" s="169" t="str">
        <f t="shared" si="203"/>
        <v>-</v>
      </c>
      <c r="M190" s="62" t="s">
        <v>5</v>
      </c>
      <c r="N190" s="742"/>
      <c r="O190" s="749"/>
      <c r="P190" s="750"/>
      <c r="Q190" s="750"/>
      <c r="R190" s="754"/>
      <c r="S190" s="749"/>
      <c r="T190" s="750"/>
      <c r="U190" s="750"/>
      <c r="V190" s="754"/>
      <c r="W190" s="345"/>
      <c r="X190" s="345"/>
      <c r="Y190" s="743"/>
      <c r="Z190" s="743"/>
      <c r="AA190" s="743"/>
      <c r="AB190" s="743"/>
      <c r="AC190" s="743"/>
      <c r="AD190" s="743"/>
      <c r="AE190" s="743"/>
      <c r="AF190" s="743"/>
      <c r="AG190" s="743"/>
      <c r="AH190" s="743"/>
      <c r="BC190" s="155" t="str">
        <f t="shared" si="175"/>
        <v>-</v>
      </c>
      <c r="BD190" s="151"/>
      <c r="BE190" s="153"/>
      <c r="BF190" s="153"/>
      <c r="BG190" s="153"/>
      <c r="BH190" s="153"/>
      <c r="BI190" s="153"/>
      <c r="BJ190" s="153"/>
      <c r="BK190" s="153"/>
      <c r="BL190" s="153"/>
      <c r="BM190" s="153"/>
    </row>
    <row r="191" spans="1:72" s="50" customFormat="1" ht="15" customHeight="1" outlineLevel="1" x14ac:dyDescent="0.25">
      <c r="A191" s="53"/>
      <c r="B191" s="800" t="s">
        <v>115</v>
      </c>
      <c r="C191" s="770" t="s">
        <v>114</v>
      </c>
      <c r="D191" s="770" t="s">
        <v>113</v>
      </c>
      <c r="E191" s="106" t="s">
        <v>94</v>
      </c>
      <c r="F191" s="105" t="s">
        <v>5</v>
      </c>
      <c r="G191" s="105" t="s">
        <v>5</v>
      </c>
      <c r="H191" s="105" t="s">
        <v>5</v>
      </c>
      <c r="I191" s="105" t="s">
        <v>5</v>
      </c>
      <c r="J191" s="105" t="s">
        <v>5</v>
      </c>
      <c r="K191" s="173" t="s">
        <v>5</v>
      </c>
      <c r="L191" s="173" t="s">
        <v>5</v>
      </c>
      <c r="M191" s="105" t="s">
        <v>5</v>
      </c>
      <c r="N191" s="105" t="s">
        <v>5</v>
      </c>
      <c r="O191" s="749"/>
      <c r="P191" s="750"/>
      <c r="Q191" s="750"/>
      <c r="R191" s="754"/>
      <c r="S191" s="749"/>
      <c r="T191" s="750"/>
      <c r="U191" s="750"/>
      <c r="V191" s="754"/>
      <c r="W191" s="51"/>
      <c r="X191" s="51"/>
      <c r="Y191" s="743"/>
      <c r="Z191" s="743"/>
      <c r="AA191" s="743"/>
      <c r="AB191" s="743"/>
      <c r="AC191" s="743"/>
      <c r="AD191" s="743"/>
      <c r="AE191" s="743"/>
      <c r="AF191" s="743"/>
      <c r="AG191" s="743"/>
      <c r="AH191" s="743"/>
      <c r="BC191" s="155" t="str">
        <f t="shared" si="175"/>
        <v>-</v>
      </c>
      <c r="BD191" s="151" t="str">
        <f>"0.7*IEF " &amp; (B186)</f>
        <v>0.7*IEF normal</v>
      </c>
      <c r="BE191" s="153">
        <f t="shared" ref="BE191:BM191" si="204">IF(OR($C188="-",$C188="CET",$C188=""),"-",0.7*$C188)</f>
        <v>1.4</v>
      </c>
      <c r="BF191" s="153">
        <f t="shared" si="204"/>
        <v>1.4</v>
      </c>
      <c r="BG191" s="153">
        <f t="shared" si="204"/>
        <v>1.4</v>
      </c>
      <c r="BH191" s="153">
        <f t="shared" si="204"/>
        <v>1.4</v>
      </c>
      <c r="BI191" s="153">
        <f t="shared" si="204"/>
        <v>1.4</v>
      </c>
      <c r="BJ191" s="153">
        <f t="shared" si="204"/>
        <v>1.4</v>
      </c>
      <c r="BK191" s="153">
        <f t="shared" ref="BK191:BL191" si="205">IF(OR($C188="-",$C188="CET",$C188=""),"-",0.7*$C188)</f>
        <v>1.4</v>
      </c>
      <c r="BL191" s="153">
        <f t="shared" si="205"/>
        <v>1.4</v>
      </c>
      <c r="BM191" s="153">
        <f t="shared" si="204"/>
        <v>1.4</v>
      </c>
      <c r="BN191" s="150"/>
      <c r="BO191" s="150"/>
      <c r="BP191" s="150"/>
      <c r="BQ191" s="150"/>
      <c r="BR191" s="150"/>
      <c r="BS191" s="150"/>
      <c r="BT191" s="150"/>
    </row>
    <row r="192" spans="1:72" ht="15" customHeight="1" outlineLevel="1" thickBot="1" x14ac:dyDescent="0.3">
      <c r="A192" s="350"/>
      <c r="B192" s="801"/>
      <c r="C192" s="741"/>
      <c r="D192" s="742"/>
      <c r="E192" s="104" t="s">
        <v>95</v>
      </c>
      <c r="F192" s="103" t="s">
        <v>5</v>
      </c>
      <c r="G192" s="103" t="s">
        <v>5</v>
      </c>
      <c r="H192" s="103" t="s">
        <v>5</v>
      </c>
      <c r="I192" s="103" t="s">
        <v>5</v>
      </c>
      <c r="J192" s="103" t="s">
        <v>5</v>
      </c>
      <c r="K192" s="174" t="s">
        <v>5</v>
      </c>
      <c r="L192" s="174" t="s">
        <v>5</v>
      </c>
      <c r="M192" s="103" t="s">
        <v>5</v>
      </c>
      <c r="N192" s="103" t="s">
        <v>5</v>
      </c>
      <c r="O192" s="749"/>
      <c r="P192" s="750"/>
      <c r="Q192" s="750"/>
      <c r="R192" s="754"/>
      <c r="S192" s="749"/>
      <c r="T192" s="750"/>
      <c r="U192" s="750"/>
      <c r="V192" s="754"/>
      <c r="W192" s="345"/>
      <c r="X192" s="345"/>
      <c r="Y192" s="743"/>
      <c r="Z192" s="743"/>
      <c r="AA192" s="743"/>
      <c r="AB192" s="743"/>
      <c r="AC192" s="743"/>
      <c r="AD192" s="743"/>
      <c r="AE192" s="743"/>
      <c r="AF192" s="743"/>
      <c r="AG192" s="743"/>
      <c r="AH192" s="743"/>
      <c r="BC192" s="155" t="str">
        <f t="shared" si="175"/>
        <v>-</v>
      </c>
      <c r="BD192" s="151" t="str">
        <f>"0.7*IEF " &amp; B191</f>
        <v>0.7*IEF aggressive</v>
      </c>
      <c r="BE192" s="153">
        <f t="shared" ref="BE192:BM192" si="206">IF(OR($C193="-",$C193="CET",$C193=""),"-",0.7*$C193)</f>
        <v>2.8</v>
      </c>
      <c r="BF192" s="153">
        <f t="shared" si="206"/>
        <v>2.8</v>
      </c>
      <c r="BG192" s="153">
        <f t="shared" si="206"/>
        <v>2.8</v>
      </c>
      <c r="BH192" s="153">
        <f t="shared" si="206"/>
        <v>2.8</v>
      </c>
      <c r="BI192" s="153">
        <f t="shared" si="206"/>
        <v>2.8</v>
      </c>
      <c r="BJ192" s="153">
        <f t="shared" si="206"/>
        <v>2.8</v>
      </c>
      <c r="BK192" s="153">
        <f t="shared" si="206"/>
        <v>2.8</v>
      </c>
      <c r="BL192" s="153">
        <f t="shared" si="206"/>
        <v>2.8</v>
      </c>
      <c r="BM192" s="153">
        <f t="shared" si="206"/>
        <v>2.8</v>
      </c>
    </row>
    <row r="193" spans="1:72" ht="15" customHeight="1" outlineLevel="1" thickBot="1" x14ac:dyDescent="0.3">
      <c r="A193" s="350"/>
      <c r="B193" s="801"/>
      <c r="C193" s="764">
        <v>4</v>
      </c>
      <c r="D193" s="772" t="str">
        <f>IF(AND(F194="-",G194="-",H194="-",I194="-",J194="-",K194="-",K194="-",L194="-"),"-",MAX(F194,G194,H194,I194,J194,K194,L194,M194))</f>
        <v>-</v>
      </c>
      <c r="E193" s="66" t="s">
        <v>177</v>
      </c>
      <c r="F193" s="65" t="str">
        <f t="shared" ref="F193:K193" si="207">IF(OR(F192="-",F192=""),IF(OR(F191="-",F191=""),"-",F191),IF(OR(F191="-",F191=""),F192,(F191+F192)/2))</f>
        <v>-</v>
      </c>
      <c r="G193" s="65" t="str">
        <f t="shared" si="207"/>
        <v>-</v>
      </c>
      <c r="H193" s="65" t="str">
        <f t="shared" si="207"/>
        <v>-</v>
      </c>
      <c r="I193" s="65" t="str">
        <f t="shared" si="207"/>
        <v>-</v>
      </c>
      <c r="J193" s="65" t="str">
        <f t="shared" si="207"/>
        <v>-</v>
      </c>
      <c r="K193" s="167" t="str">
        <f t="shared" si="207"/>
        <v>-</v>
      </c>
      <c r="L193" s="167" t="str">
        <f t="shared" ref="L193" si="208">IF(OR(L192="-",L192=""),IF(OR(L191="-",L191=""),"-",L191),IF(OR(L191="-",L191=""),L192,(L191+L192)/2))</f>
        <v>-</v>
      </c>
      <c r="M193" s="65" t="s">
        <v>5</v>
      </c>
      <c r="N193" s="740"/>
      <c r="O193" s="749"/>
      <c r="P193" s="750"/>
      <c r="Q193" s="750"/>
      <c r="R193" s="754"/>
      <c r="S193" s="749"/>
      <c r="T193" s="750"/>
      <c r="U193" s="750"/>
      <c r="V193" s="754"/>
      <c r="W193" s="345"/>
      <c r="X193" s="345"/>
      <c r="Y193" s="743"/>
      <c r="Z193" s="743"/>
      <c r="AA193" s="743"/>
      <c r="AB193" s="743"/>
      <c r="AC193" s="743"/>
      <c r="AD193" s="743"/>
      <c r="AE193" s="743"/>
      <c r="AF193" s="743"/>
      <c r="AG193" s="743"/>
      <c r="AH193" s="743"/>
      <c r="BC193" s="155" t="str">
        <f t="shared" si="175"/>
        <v>-</v>
      </c>
      <c r="BD193" s="151"/>
      <c r="BE193" s="153"/>
      <c r="BF193" s="153"/>
      <c r="BG193" s="153"/>
      <c r="BH193" s="153"/>
      <c r="BI193" s="153"/>
      <c r="BJ193" s="153"/>
      <c r="BK193" s="153"/>
      <c r="BL193" s="153"/>
      <c r="BM193" s="153"/>
    </row>
    <row r="194" spans="1:72" ht="15" customHeight="1" outlineLevel="1" thickBot="1" x14ac:dyDescent="0.3">
      <c r="A194" s="40"/>
      <c r="B194" s="801"/>
      <c r="C194" s="765"/>
      <c r="D194" s="773"/>
      <c r="E194" s="64" t="s">
        <v>97</v>
      </c>
      <c r="F194" s="63" t="str">
        <f t="shared" ref="F194:K194" si="209">IF(OR($C193="-",$C193="CET",$C193=""),"-",IF(AND(NOT(F193="-"),NOT(F$5="-"),NOT(F$5="")),F193/F$5,"-"))</f>
        <v>-</v>
      </c>
      <c r="G194" s="63" t="str">
        <f t="shared" si="209"/>
        <v>-</v>
      </c>
      <c r="H194" s="63" t="str">
        <f t="shared" si="209"/>
        <v>-</v>
      </c>
      <c r="I194" s="63" t="str">
        <f t="shared" si="209"/>
        <v>-</v>
      </c>
      <c r="J194" s="63" t="str">
        <f t="shared" si="209"/>
        <v>-</v>
      </c>
      <c r="K194" s="168" t="str">
        <f t="shared" si="209"/>
        <v>-</v>
      </c>
      <c r="L194" s="168" t="str">
        <f t="shared" ref="L194" si="210">IF(OR($C193="-",$C193="CET",$C193=""),"-",IF(AND(NOT(L193="-"),NOT(L$5="-"),NOT(L$5="")),L193/L$5,"-"))</f>
        <v>-</v>
      </c>
      <c r="M194" s="63" t="s">
        <v>5</v>
      </c>
      <c r="N194" s="741"/>
      <c r="O194" s="749"/>
      <c r="P194" s="750"/>
      <c r="Q194" s="750"/>
      <c r="R194" s="754"/>
      <c r="S194" s="749"/>
      <c r="T194" s="750"/>
      <c r="U194" s="750"/>
      <c r="V194" s="754"/>
      <c r="W194" s="345"/>
      <c r="X194" s="345"/>
      <c r="Y194" s="743"/>
      <c r="Z194" s="743"/>
      <c r="AA194" s="743"/>
      <c r="AB194" s="743"/>
      <c r="AC194" s="743"/>
      <c r="AD194" s="743"/>
      <c r="AE194" s="743"/>
      <c r="AF194" s="743"/>
      <c r="AG194" s="743"/>
      <c r="AH194" s="743"/>
      <c r="BC194" s="155" t="str">
        <f t="shared" si="175"/>
        <v>-</v>
      </c>
      <c r="BD194" s="151"/>
      <c r="BE194" s="153"/>
      <c r="BF194" s="153"/>
      <c r="BG194" s="153"/>
      <c r="BH194" s="153"/>
      <c r="BI194" s="153"/>
      <c r="BJ194" s="153"/>
      <c r="BK194" s="153"/>
      <c r="BL194" s="153"/>
      <c r="BM194" s="153"/>
    </row>
    <row r="195" spans="1:72" ht="15" customHeight="1" outlineLevel="1" thickBot="1" x14ac:dyDescent="0.3">
      <c r="A195" s="40"/>
      <c r="B195" s="803"/>
      <c r="C195" s="766"/>
      <c r="D195" s="774"/>
      <c r="E195" s="68" t="s">
        <v>30</v>
      </c>
      <c r="F195" s="68" t="str">
        <f t="shared" ref="F195:L195" si="211">IF(AND(OR(F191="-",F191=""),OR(F192="-",F192="")),"-",IF(OR($C193="-",$C193="",$C193="CET"),"-",IF($R$182="not listed","-",IF(NOT(F$5="-"),IF(AND(AND(NOT(F191=0),NOT(F191="-"),NOT(F191="")),AND(NOT(F192="-"),NOT(F192=0),NOT(F192=""))),IF(AND((F191+F192)/2&lt;1*F$5*IF(OR($C193="CET",$C193="-",$C193=""),"-",$C193),F191&lt;1.1*F$5*IF(OR($C193="CET",$C193="-",$C193=""),"-",$C193),F192&lt;1.1*F$5*IF(OR($C193="CET",$C193="-",$C193=""),"-",$C193)),"passed","refused"),IF(IF(OR(F191="-",F191=""),F192,F191)&lt;0.7*F$5*IF(OR($C193="CET",$C193="-",$C193=""),"-",$C193),"passed",IF(IF(OR(F191="-",F191=""),F192,F191)&lt;1.1*IF(OR($C193="CET",$C193="-",$C193=""),"-",$C193)*F$5,"failed","refused"))),"-"))))</f>
        <v>-</v>
      </c>
      <c r="G195" s="68" t="str">
        <f t="shared" si="211"/>
        <v>-</v>
      </c>
      <c r="H195" s="68" t="str">
        <f t="shared" si="211"/>
        <v>-</v>
      </c>
      <c r="I195" s="68" t="str">
        <f t="shared" si="211"/>
        <v>-</v>
      </c>
      <c r="J195" s="68" t="str">
        <f t="shared" si="211"/>
        <v>-</v>
      </c>
      <c r="K195" s="341" t="str">
        <f t="shared" si="211"/>
        <v>-</v>
      </c>
      <c r="L195" s="341" t="str">
        <f t="shared" si="211"/>
        <v>-</v>
      </c>
      <c r="M195" s="68" t="s">
        <v>5</v>
      </c>
      <c r="N195" s="742"/>
      <c r="O195" s="749"/>
      <c r="P195" s="750"/>
      <c r="Q195" s="750"/>
      <c r="R195" s="754"/>
      <c r="S195" s="749"/>
      <c r="T195" s="750"/>
      <c r="U195" s="750"/>
      <c r="V195" s="754"/>
      <c r="W195" s="345"/>
      <c r="X195" s="345"/>
      <c r="Y195" s="743"/>
      <c r="Z195" s="743"/>
      <c r="AA195" s="743"/>
      <c r="AB195" s="743"/>
      <c r="AC195" s="743"/>
      <c r="AD195" s="743"/>
      <c r="AE195" s="743"/>
      <c r="AF195" s="743"/>
      <c r="AG195" s="743"/>
      <c r="AH195" s="743"/>
      <c r="BC195" s="155" t="str">
        <f t="shared" si="175"/>
        <v>-</v>
      </c>
      <c r="BD195" s="151"/>
      <c r="BE195" s="153"/>
      <c r="BF195" s="153"/>
      <c r="BG195" s="153"/>
      <c r="BH195" s="153"/>
      <c r="BI195" s="153"/>
      <c r="BJ195" s="153"/>
      <c r="BK195" s="153"/>
      <c r="BL195" s="153"/>
      <c r="BM195" s="153"/>
    </row>
    <row r="196" spans="1:72" s="50" customFormat="1" ht="15" customHeight="1" outlineLevel="1" x14ac:dyDescent="0.25">
      <c r="A196" s="52"/>
      <c r="B196" s="93"/>
      <c r="C196" s="92"/>
      <c r="D196" s="92"/>
      <c r="E196" s="91"/>
      <c r="F196" s="90"/>
      <c r="G196" s="90"/>
      <c r="H196" s="90"/>
      <c r="I196" s="90"/>
      <c r="J196" s="90"/>
      <c r="K196" s="176"/>
      <c r="L196" s="176"/>
      <c r="M196" s="90"/>
      <c r="N196" s="89"/>
      <c r="O196" s="749"/>
      <c r="P196" s="750"/>
      <c r="Q196" s="750"/>
      <c r="R196" s="754"/>
      <c r="S196" s="749"/>
      <c r="T196" s="750"/>
      <c r="U196" s="750"/>
      <c r="V196" s="754"/>
      <c r="W196" s="51"/>
      <c r="X196" s="51"/>
      <c r="Y196" s="743"/>
      <c r="Z196" s="743"/>
      <c r="AA196" s="743"/>
      <c r="AB196" s="743"/>
      <c r="AC196" s="743"/>
      <c r="AD196" s="743"/>
      <c r="AE196" s="743"/>
      <c r="AF196" s="743"/>
      <c r="AG196" s="743"/>
      <c r="AH196" s="743"/>
      <c r="BC196" s="155" t="str">
        <f t="shared" si="175"/>
        <v>-</v>
      </c>
      <c r="BD196" s="151"/>
      <c r="BE196" s="153"/>
      <c r="BF196" s="153"/>
      <c r="BG196" s="153"/>
      <c r="BH196" s="153"/>
      <c r="BI196" s="153"/>
      <c r="BJ196" s="153"/>
      <c r="BK196" s="153"/>
      <c r="BL196" s="153"/>
      <c r="BM196" s="153"/>
      <c r="BN196" s="150"/>
      <c r="BO196" s="150"/>
      <c r="BP196" s="150"/>
      <c r="BQ196" s="150"/>
      <c r="BR196" s="150"/>
      <c r="BS196" s="150"/>
      <c r="BT196" s="150"/>
    </row>
    <row r="197" spans="1:72" ht="15" customHeight="1" outlineLevel="1" x14ac:dyDescent="0.25">
      <c r="A197" s="40"/>
      <c r="B197" s="86"/>
      <c r="C197" s="78"/>
      <c r="D197" s="78"/>
      <c r="E197" s="77"/>
      <c r="F197" s="353"/>
      <c r="G197" s="353"/>
      <c r="H197" s="353"/>
      <c r="I197" s="353"/>
      <c r="J197" s="353"/>
      <c r="K197" s="171"/>
      <c r="L197" s="171"/>
      <c r="M197" s="353"/>
      <c r="N197" s="57"/>
      <c r="O197" s="749"/>
      <c r="P197" s="750"/>
      <c r="Q197" s="750"/>
      <c r="R197" s="754"/>
      <c r="S197" s="749"/>
      <c r="T197" s="750"/>
      <c r="U197" s="750"/>
      <c r="V197" s="754"/>
      <c r="W197" s="345"/>
      <c r="X197" s="345"/>
      <c r="Y197" s="743"/>
      <c r="Z197" s="743"/>
      <c r="AA197" s="743"/>
      <c r="AB197" s="743"/>
      <c r="AC197" s="743"/>
      <c r="AD197" s="743"/>
      <c r="AE197" s="743"/>
      <c r="AF197" s="743"/>
      <c r="AG197" s="743"/>
      <c r="AH197" s="743"/>
      <c r="BC197" s="155" t="str">
        <f t="shared" si="175"/>
        <v>-</v>
      </c>
      <c r="BD197" s="151" t="str">
        <f>$B186</f>
        <v>normal</v>
      </c>
      <c r="BE197" s="153" t="str">
        <f t="shared" ref="BE197:BJ197" si="212">F189</f>
        <v>-</v>
      </c>
      <c r="BF197" s="153" t="str">
        <f t="shared" si="212"/>
        <v>-</v>
      </c>
      <c r="BG197" s="153" t="str">
        <f t="shared" si="212"/>
        <v>-</v>
      </c>
      <c r="BH197" s="153" t="str">
        <f t="shared" si="212"/>
        <v>-</v>
      </c>
      <c r="BI197" s="153" t="str">
        <f t="shared" si="212"/>
        <v>-</v>
      </c>
      <c r="BJ197" s="153" t="str">
        <f t="shared" si="212"/>
        <v>-</v>
      </c>
      <c r="BK197" s="153" t="str">
        <f t="shared" ref="BK197:BL197" si="213">L189</f>
        <v>-</v>
      </c>
      <c r="BL197" s="153" t="str">
        <f t="shared" si="213"/>
        <v>-</v>
      </c>
      <c r="BM197" s="153">
        <f>N189</f>
        <v>0</v>
      </c>
    </row>
    <row r="198" spans="1:72" ht="15" customHeight="1" outlineLevel="1" x14ac:dyDescent="0.25">
      <c r="A198" s="40"/>
      <c r="B198" s="86"/>
      <c r="C198" s="75"/>
      <c r="D198" s="74"/>
      <c r="E198" s="352"/>
      <c r="F198" s="352"/>
      <c r="G198" s="352"/>
      <c r="H198" s="352"/>
      <c r="I198" s="352"/>
      <c r="J198" s="352"/>
      <c r="K198" s="177"/>
      <c r="L198" s="177"/>
      <c r="M198" s="352"/>
      <c r="N198" s="87"/>
      <c r="O198" s="749"/>
      <c r="P198" s="750"/>
      <c r="Q198" s="750"/>
      <c r="R198" s="754"/>
      <c r="S198" s="749"/>
      <c r="T198" s="750"/>
      <c r="U198" s="750"/>
      <c r="V198" s="754"/>
      <c r="W198" s="345"/>
      <c r="X198" s="345"/>
      <c r="Y198" s="743"/>
      <c r="Z198" s="743"/>
      <c r="AA198" s="743"/>
      <c r="AB198" s="743"/>
      <c r="AC198" s="743"/>
      <c r="AD198" s="743"/>
      <c r="AE198" s="743"/>
      <c r="AF198" s="743"/>
      <c r="AG198" s="743"/>
      <c r="AH198" s="743"/>
      <c r="BC198" s="155" t="str">
        <f t="shared" si="175"/>
        <v>-</v>
      </c>
      <c r="BD198" s="151" t="str">
        <f>$B191</f>
        <v>aggressive</v>
      </c>
      <c r="BE198" s="153" t="str">
        <f t="shared" ref="BE198:BJ198" si="214">F194</f>
        <v>-</v>
      </c>
      <c r="BF198" s="153" t="str">
        <f t="shared" si="214"/>
        <v>-</v>
      </c>
      <c r="BG198" s="153" t="str">
        <f t="shared" si="214"/>
        <v>-</v>
      </c>
      <c r="BH198" s="153" t="str">
        <f t="shared" si="214"/>
        <v>-</v>
      </c>
      <c r="BI198" s="153" t="str">
        <f t="shared" si="214"/>
        <v>-</v>
      </c>
      <c r="BJ198" s="153" t="str">
        <f t="shared" si="214"/>
        <v>-</v>
      </c>
      <c r="BK198" s="153" t="str">
        <f t="shared" ref="BK198:BL198" si="215">L194</f>
        <v>-</v>
      </c>
      <c r="BL198" s="153" t="str">
        <f t="shared" si="215"/>
        <v>-</v>
      </c>
      <c r="BM198" s="153">
        <f>N194</f>
        <v>0</v>
      </c>
    </row>
    <row r="199" spans="1:72" ht="15" customHeight="1" outlineLevel="1" x14ac:dyDescent="0.25">
      <c r="A199" s="40"/>
      <c r="B199" s="86"/>
      <c r="C199" s="75"/>
      <c r="D199" s="74"/>
      <c r="E199" s="77"/>
      <c r="F199" s="85"/>
      <c r="G199" s="85"/>
      <c r="H199" s="85"/>
      <c r="I199" s="85"/>
      <c r="J199" s="85"/>
      <c r="K199" s="177"/>
      <c r="L199" s="177"/>
      <c r="M199" s="85"/>
      <c r="N199" s="84"/>
      <c r="O199" s="749"/>
      <c r="P199" s="750"/>
      <c r="Q199" s="750"/>
      <c r="R199" s="754"/>
      <c r="S199" s="749"/>
      <c r="T199" s="750"/>
      <c r="U199" s="750"/>
      <c r="V199" s="754"/>
      <c r="W199" s="345"/>
      <c r="X199" s="345"/>
      <c r="Y199" s="743"/>
      <c r="Z199" s="743"/>
      <c r="AA199" s="743"/>
      <c r="AB199" s="743"/>
      <c r="AC199" s="743"/>
      <c r="AD199" s="743"/>
      <c r="AE199" s="743"/>
      <c r="AF199" s="743"/>
      <c r="AG199" s="743"/>
      <c r="AH199" s="743"/>
      <c r="BC199" s="155" t="str">
        <f t="shared" si="175"/>
        <v>-</v>
      </c>
      <c r="BD199" s="151"/>
      <c r="BE199" s="153"/>
      <c r="BF199" s="153"/>
      <c r="BG199" s="153"/>
      <c r="BH199" s="153"/>
      <c r="BI199" s="153"/>
      <c r="BJ199" s="153"/>
      <c r="BK199" s="153"/>
      <c r="BL199" s="153"/>
      <c r="BM199" s="153"/>
    </row>
    <row r="200" spans="1:72" ht="15" customHeight="1" outlineLevel="1" x14ac:dyDescent="0.25">
      <c r="A200" s="40"/>
      <c r="B200" s="86"/>
      <c r="C200" s="75"/>
      <c r="D200" s="74"/>
      <c r="E200" s="77"/>
      <c r="F200" s="77"/>
      <c r="G200" s="77"/>
      <c r="H200" s="77"/>
      <c r="I200" s="77"/>
      <c r="J200" s="77"/>
      <c r="K200" s="177"/>
      <c r="L200" s="177"/>
      <c r="M200" s="77"/>
      <c r="N200" s="88"/>
      <c r="O200" s="749"/>
      <c r="P200" s="750"/>
      <c r="Q200" s="750"/>
      <c r="R200" s="754"/>
      <c r="S200" s="749"/>
      <c r="T200" s="750"/>
      <c r="U200" s="750"/>
      <c r="V200" s="754"/>
      <c r="W200" s="345"/>
      <c r="X200" s="345"/>
      <c r="Y200" s="743"/>
      <c r="Z200" s="743"/>
      <c r="AA200" s="743"/>
      <c r="AB200" s="743"/>
      <c r="AC200" s="743"/>
      <c r="AD200" s="743"/>
      <c r="AE200" s="743"/>
      <c r="AF200" s="743"/>
      <c r="AG200" s="743"/>
      <c r="AH200" s="743"/>
      <c r="BC200" s="155" t="str">
        <f t="shared" si="175"/>
        <v>-</v>
      </c>
      <c r="BD200" s="151"/>
      <c r="BE200" s="153"/>
      <c r="BF200" s="153"/>
      <c r="BG200" s="153"/>
      <c r="BH200" s="153"/>
      <c r="BI200" s="153"/>
      <c r="BJ200" s="153"/>
      <c r="BK200" s="153"/>
      <c r="BL200" s="153"/>
      <c r="BM200" s="153"/>
    </row>
    <row r="201" spans="1:72" s="50" customFormat="1" ht="15" customHeight="1" outlineLevel="1" x14ac:dyDescent="0.25">
      <c r="A201" s="52"/>
      <c r="B201" s="86"/>
      <c r="C201" s="78"/>
      <c r="D201" s="78"/>
      <c r="E201" s="77"/>
      <c r="F201" s="353"/>
      <c r="G201" s="353"/>
      <c r="H201" s="353"/>
      <c r="I201" s="353"/>
      <c r="J201" s="353"/>
      <c r="K201" s="171"/>
      <c r="L201" s="171"/>
      <c r="M201" s="353"/>
      <c r="N201" s="57"/>
      <c r="O201" s="749"/>
      <c r="P201" s="750"/>
      <c r="Q201" s="750"/>
      <c r="R201" s="754"/>
      <c r="S201" s="749"/>
      <c r="T201" s="750"/>
      <c r="U201" s="750"/>
      <c r="V201" s="754"/>
      <c r="W201" s="51"/>
      <c r="X201" s="51"/>
      <c r="Y201" s="743"/>
      <c r="Z201" s="743"/>
      <c r="AA201" s="743"/>
      <c r="AB201" s="743"/>
      <c r="AC201" s="743"/>
      <c r="AD201" s="743"/>
      <c r="AE201" s="743"/>
      <c r="AF201" s="743"/>
      <c r="AG201" s="743"/>
      <c r="AH201" s="743"/>
      <c r="BC201" s="155" t="str">
        <f t="shared" si="175"/>
        <v>-</v>
      </c>
      <c r="BD201" s="151"/>
      <c r="BE201" s="153"/>
      <c r="BF201" s="153"/>
      <c r="BG201" s="153"/>
      <c r="BH201" s="153"/>
      <c r="BI201" s="153"/>
      <c r="BJ201" s="153"/>
      <c r="BK201" s="153"/>
      <c r="BL201" s="153"/>
      <c r="BM201" s="153"/>
      <c r="BN201" s="150"/>
      <c r="BO201" s="150"/>
      <c r="BP201" s="150"/>
      <c r="BQ201" s="150"/>
      <c r="BR201" s="150"/>
      <c r="BS201" s="150"/>
      <c r="BT201" s="150"/>
    </row>
    <row r="202" spans="1:72" ht="15" customHeight="1" outlineLevel="1" x14ac:dyDescent="0.25">
      <c r="A202" s="40"/>
      <c r="B202" s="86"/>
      <c r="C202" s="78"/>
      <c r="D202" s="78"/>
      <c r="E202" s="77"/>
      <c r="F202" s="353"/>
      <c r="G202" s="353"/>
      <c r="H202" s="353"/>
      <c r="I202" s="353"/>
      <c r="J202" s="353"/>
      <c r="K202" s="171"/>
      <c r="L202" s="171"/>
      <c r="M202" s="353"/>
      <c r="N202" s="57"/>
      <c r="O202" s="749"/>
      <c r="P202" s="750"/>
      <c r="Q202" s="750"/>
      <c r="R202" s="754"/>
      <c r="S202" s="749"/>
      <c r="T202" s="750"/>
      <c r="U202" s="750"/>
      <c r="V202" s="754"/>
      <c r="W202" s="345"/>
      <c r="X202" s="345"/>
      <c r="Y202" s="743"/>
      <c r="Z202" s="743"/>
      <c r="AA202" s="743"/>
      <c r="AB202" s="743"/>
      <c r="AC202" s="743"/>
      <c r="AD202" s="743"/>
      <c r="AE202" s="743"/>
      <c r="AF202" s="743"/>
      <c r="AG202" s="743"/>
      <c r="AH202" s="743"/>
      <c r="BC202" s="155" t="str">
        <f t="shared" si="175"/>
        <v>-</v>
      </c>
      <c r="BD202" s="151"/>
      <c r="BE202" s="153"/>
      <c r="BF202" s="153"/>
      <c r="BG202" s="153"/>
      <c r="BH202" s="153"/>
      <c r="BI202" s="153"/>
      <c r="BJ202" s="153"/>
      <c r="BK202" s="153"/>
      <c r="BL202" s="153"/>
      <c r="BM202" s="153"/>
    </row>
    <row r="203" spans="1:72" ht="15" customHeight="1" outlineLevel="1" x14ac:dyDescent="0.25">
      <c r="A203" s="40"/>
      <c r="B203" s="86"/>
      <c r="C203" s="75"/>
      <c r="D203" s="74"/>
      <c r="E203" s="352"/>
      <c r="F203" s="352"/>
      <c r="G203" s="352"/>
      <c r="H203" s="352"/>
      <c r="I203" s="352"/>
      <c r="J203" s="352"/>
      <c r="K203" s="177"/>
      <c r="L203" s="177"/>
      <c r="M203" s="352"/>
      <c r="N203" s="87"/>
      <c r="O203" s="749"/>
      <c r="P203" s="750"/>
      <c r="Q203" s="750"/>
      <c r="R203" s="754"/>
      <c r="S203" s="749"/>
      <c r="T203" s="750"/>
      <c r="U203" s="750"/>
      <c r="V203" s="754"/>
      <c r="W203" s="345"/>
      <c r="X203" s="345"/>
      <c r="Y203" s="743"/>
      <c r="Z203" s="743"/>
      <c r="AA203" s="743"/>
      <c r="AB203" s="743"/>
      <c r="AC203" s="743"/>
      <c r="AD203" s="743"/>
      <c r="AE203" s="743"/>
      <c r="AF203" s="743"/>
      <c r="AG203" s="743"/>
      <c r="AH203" s="743"/>
      <c r="BC203" s="155" t="str">
        <f t="shared" si="175"/>
        <v>-</v>
      </c>
      <c r="BD203" s="151" t="str">
        <f>"IEF " &amp;B186</f>
        <v>IEF normal</v>
      </c>
      <c r="BE203" s="153">
        <f t="shared" ref="BE203:BM203" si="216">IF(OR($C188="-",$C188="CET",$C188=""),"-",$C188)</f>
        <v>2</v>
      </c>
      <c r="BF203" s="153">
        <f t="shared" si="216"/>
        <v>2</v>
      </c>
      <c r="BG203" s="153">
        <f t="shared" si="216"/>
        <v>2</v>
      </c>
      <c r="BH203" s="153">
        <f t="shared" si="216"/>
        <v>2</v>
      </c>
      <c r="BI203" s="153">
        <f t="shared" si="216"/>
        <v>2</v>
      </c>
      <c r="BJ203" s="153">
        <f t="shared" si="216"/>
        <v>2</v>
      </c>
      <c r="BK203" s="153">
        <f t="shared" ref="BK203:BL203" si="217">IF(OR($C188="-",$C188="CET",$C188=""),"-",$C188)</f>
        <v>2</v>
      </c>
      <c r="BL203" s="153">
        <f t="shared" si="217"/>
        <v>2</v>
      </c>
      <c r="BM203" s="153">
        <f t="shared" si="216"/>
        <v>2</v>
      </c>
    </row>
    <row r="204" spans="1:72" ht="15" customHeight="1" outlineLevel="1" x14ac:dyDescent="0.25">
      <c r="A204" s="40"/>
      <c r="B204" s="86"/>
      <c r="C204" s="75"/>
      <c r="D204" s="74"/>
      <c r="E204" s="77"/>
      <c r="F204" s="85"/>
      <c r="G204" s="85"/>
      <c r="H204" s="85"/>
      <c r="I204" s="85"/>
      <c r="J204" s="85"/>
      <c r="K204" s="177"/>
      <c r="L204" s="177"/>
      <c r="M204" s="85"/>
      <c r="N204" s="84"/>
      <c r="O204" s="749"/>
      <c r="P204" s="750"/>
      <c r="Q204" s="750"/>
      <c r="R204" s="754"/>
      <c r="S204" s="749"/>
      <c r="T204" s="750"/>
      <c r="U204" s="750"/>
      <c r="V204" s="754"/>
      <c r="W204" s="345"/>
      <c r="X204" s="345"/>
      <c r="Y204" s="743"/>
      <c r="Z204" s="743"/>
      <c r="AA204" s="743"/>
      <c r="AB204" s="743"/>
      <c r="AC204" s="743"/>
      <c r="AD204" s="743"/>
      <c r="AE204" s="743"/>
      <c r="AF204" s="743"/>
      <c r="AG204" s="743"/>
      <c r="AH204" s="743"/>
      <c r="BC204" s="155" t="str">
        <f t="shared" si="175"/>
        <v>-</v>
      </c>
      <c r="BD204" s="151" t="str">
        <f>"IEF " &amp; B191</f>
        <v>IEF aggressive</v>
      </c>
      <c r="BE204" s="153">
        <f t="shared" ref="BE204:BM204" si="218">IF(OR($C193="-",$C193="CET",$C193=""),"-",$C193)</f>
        <v>4</v>
      </c>
      <c r="BF204" s="153">
        <f t="shared" si="218"/>
        <v>4</v>
      </c>
      <c r="BG204" s="153">
        <f t="shared" si="218"/>
        <v>4</v>
      </c>
      <c r="BH204" s="153">
        <f t="shared" si="218"/>
        <v>4</v>
      </c>
      <c r="BI204" s="153">
        <f t="shared" si="218"/>
        <v>4</v>
      </c>
      <c r="BJ204" s="153">
        <f t="shared" si="218"/>
        <v>4</v>
      </c>
      <c r="BK204" s="153">
        <f t="shared" ref="BK204:BL204" si="219">IF(OR($C193="-",$C193="CET",$C193=""),"-",$C193)</f>
        <v>4</v>
      </c>
      <c r="BL204" s="153">
        <f t="shared" si="219"/>
        <v>4</v>
      </c>
      <c r="BM204" s="153">
        <f t="shared" si="218"/>
        <v>4</v>
      </c>
    </row>
    <row r="205" spans="1:72" ht="15" customHeight="1" outlineLevel="1" thickBot="1" x14ac:dyDescent="0.3">
      <c r="A205" s="40"/>
      <c r="B205" s="83"/>
      <c r="C205" s="82"/>
      <c r="D205" s="81"/>
      <c r="E205" s="80"/>
      <c r="F205" s="80"/>
      <c r="G205" s="80"/>
      <c r="H205" s="80"/>
      <c r="I205" s="80"/>
      <c r="J205" s="80"/>
      <c r="K205" s="178"/>
      <c r="L205" s="178"/>
      <c r="M205" s="80"/>
      <c r="N205" s="79"/>
      <c r="O205" s="751"/>
      <c r="P205" s="752"/>
      <c r="Q205" s="752"/>
      <c r="R205" s="755"/>
      <c r="S205" s="751"/>
      <c r="T205" s="752"/>
      <c r="U205" s="752"/>
      <c r="V205" s="755"/>
      <c r="W205" s="345"/>
      <c r="X205" s="345"/>
      <c r="Y205" s="743"/>
      <c r="Z205" s="743"/>
      <c r="AA205" s="743"/>
      <c r="AB205" s="743"/>
      <c r="AC205" s="743"/>
      <c r="AD205" s="743"/>
      <c r="AE205" s="743"/>
      <c r="AF205" s="743"/>
      <c r="AG205" s="743"/>
      <c r="AH205" s="743"/>
      <c r="BC205" s="155" t="str">
        <f t="shared" si="175"/>
        <v>-</v>
      </c>
      <c r="BD205" s="156"/>
      <c r="BE205" s="156"/>
      <c r="BF205" s="156"/>
      <c r="BG205" s="156"/>
      <c r="BH205" s="156"/>
      <c r="BI205" s="156"/>
      <c r="BJ205" s="156"/>
      <c r="BK205" s="156"/>
      <c r="BL205" s="156"/>
      <c r="BM205" s="156"/>
    </row>
    <row r="206" spans="1:72" s="50" customFormat="1" ht="15" customHeight="1" x14ac:dyDescent="0.25">
      <c r="A206" s="52"/>
      <c r="B206" s="76"/>
      <c r="C206" s="78"/>
      <c r="D206" s="78"/>
      <c r="E206" s="77"/>
      <c r="F206" s="353"/>
      <c r="G206" s="353"/>
      <c r="H206" s="353"/>
      <c r="I206" s="353"/>
      <c r="J206" s="353"/>
      <c r="K206" s="171"/>
      <c r="L206" s="171"/>
      <c r="M206" s="353"/>
      <c r="N206" s="353"/>
      <c r="O206" s="72"/>
      <c r="P206" s="72"/>
      <c r="Q206" s="72"/>
      <c r="R206" s="72"/>
      <c r="S206" s="72"/>
      <c r="T206" s="72"/>
      <c r="U206" s="72"/>
      <c r="V206" s="72"/>
      <c r="W206" s="51"/>
      <c r="X206" s="51"/>
      <c r="Y206" s="743"/>
      <c r="Z206" s="743"/>
      <c r="AA206" s="743"/>
      <c r="AB206" s="743"/>
      <c r="AC206" s="743"/>
      <c r="AD206" s="743"/>
      <c r="AE206" s="743"/>
      <c r="AF206" s="743"/>
      <c r="AG206" s="743"/>
      <c r="AH206" s="743"/>
      <c r="BC206" s="155" t="str">
        <f t="shared" si="175"/>
        <v>-</v>
      </c>
      <c r="BD206" s="156"/>
      <c r="BE206" s="156"/>
      <c r="BF206" s="156"/>
      <c r="BG206" s="156"/>
      <c r="BH206" s="156"/>
      <c r="BI206" s="156"/>
      <c r="BJ206" s="156"/>
      <c r="BK206" s="156"/>
      <c r="BL206" s="156"/>
      <c r="BM206" s="156"/>
      <c r="BN206" s="150"/>
      <c r="BO206" s="150"/>
      <c r="BP206" s="150"/>
      <c r="BQ206" s="150"/>
      <c r="BR206" s="150"/>
      <c r="BS206" s="150"/>
      <c r="BT206" s="150"/>
    </row>
    <row r="207" spans="1:72" ht="15" customHeight="1" x14ac:dyDescent="0.25">
      <c r="A207" s="40"/>
      <c r="B207" s="76"/>
      <c r="C207" s="78"/>
      <c r="D207" s="78"/>
      <c r="E207" s="77"/>
      <c r="F207" s="353"/>
      <c r="G207" s="353"/>
      <c r="H207" s="353"/>
      <c r="I207" s="353"/>
      <c r="J207" s="353"/>
      <c r="K207" s="171"/>
      <c r="L207" s="171"/>
      <c r="M207" s="353"/>
      <c r="N207" s="353"/>
      <c r="O207" s="72"/>
      <c r="P207" s="72"/>
      <c r="Q207" s="72"/>
      <c r="R207" s="72"/>
      <c r="S207" s="72"/>
      <c r="T207" s="72"/>
      <c r="U207" s="72"/>
      <c r="V207" s="72"/>
      <c r="W207" s="345"/>
      <c r="X207" s="345"/>
      <c r="Y207" s="743"/>
      <c r="Z207" s="743"/>
      <c r="AA207" s="743"/>
      <c r="AB207" s="743"/>
      <c r="AC207" s="743"/>
      <c r="AD207" s="743"/>
      <c r="AE207" s="743"/>
      <c r="AF207" s="743"/>
      <c r="AG207" s="743"/>
      <c r="AH207" s="743"/>
      <c r="BC207" s="155" t="str">
        <f t="shared" si="175"/>
        <v>-</v>
      </c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6"/>
    </row>
    <row r="208" spans="1:72" ht="15" customHeight="1" thickBot="1" x14ac:dyDescent="0.3">
      <c r="A208" s="40"/>
      <c r="B208" s="76"/>
      <c r="C208" s="75"/>
      <c r="D208" s="74"/>
      <c r="E208" s="352"/>
      <c r="F208" s="352"/>
      <c r="G208" s="352"/>
      <c r="H208" s="352"/>
      <c r="I208" s="352"/>
      <c r="J208" s="352"/>
      <c r="K208" s="177"/>
      <c r="L208" s="177"/>
      <c r="M208" s="352"/>
      <c r="N208" s="352"/>
      <c r="O208" s="72"/>
      <c r="P208" s="72"/>
      <c r="Q208" s="72"/>
      <c r="R208" s="72"/>
      <c r="S208" s="72"/>
      <c r="T208" s="72"/>
      <c r="U208" s="72"/>
      <c r="V208" s="72"/>
      <c r="W208" s="345"/>
      <c r="X208" s="345"/>
      <c r="Y208" s="743"/>
      <c r="Z208" s="743"/>
      <c r="AA208" s="743"/>
      <c r="AB208" s="743"/>
      <c r="AC208" s="743"/>
      <c r="AD208" s="743"/>
      <c r="AE208" s="743"/>
      <c r="AF208" s="743"/>
      <c r="AG208" s="743"/>
      <c r="AH208" s="743"/>
      <c r="BC208" s="155" t="str">
        <f t="shared" si="175"/>
        <v>-</v>
      </c>
      <c r="BD208" s="156"/>
      <c r="BE208" s="156"/>
      <c r="BF208" s="156"/>
      <c r="BG208" s="156"/>
      <c r="BH208" s="156"/>
      <c r="BI208" s="156"/>
      <c r="BJ208" s="156"/>
      <c r="BK208" s="156"/>
      <c r="BL208" s="156"/>
      <c r="BM208" s="156"/>
    </row>
    <row r="209" spans="1:72" ht="24.95" customHeight="1" thickBot="1" x14ac:dyDescent="0.3">
      <c r="A209" s="350"/>
      <c r="B209" s="185">
        <v>8</v>
      </c>
      <c r="C209" s="757" t="s">
        <v>52</v>
      </c>
      <c r="D209" s="758"/>
      <c r="E209" s="758"/>
      <c r="F209" s="758"/>
      <c r="G209" s="758"/>
      <c r="H209" s="758"/>
      <c r="I209" s="758"/>
      <c r="J209" s="758"/>
      <c r="K209" s="758"/>
      <c r="L209" s="758"/>
      <c r="M209" s="758"/>
      <c r="N209" s="759"/>
      <c r="O209" s="49" t="s">
        <v>79</v>
      </c>
      <c r="P209" s="71" t="str">
        <f>IF(COUNTIF(F213:M242,"refused")&gt;0,"refused",IF(COUNTIF(F213:M242,"failed")&gt;0,"failed",IF(COUNTIF(F213:M242,"passed")&gt;0,"passed","-")))</f>
        <v>-</v>
      </c>
      <c r="Q209" s="70" t="s">
        <v>80</v>
      </c>
      <c r="R209" s="70" t="str">
        <f>IF(COUNT(F213:M214,F218:M219,F223:M224,F228:M229,F233:M234,F238:M239)&gt;0,"listed","not listed")</f>
        <v>not listed</v>
      </c>
      <c r="S209" s="114">
        <f>MAX(D215,D220,D225,D230,D235,D240)</f>
        <v>0</v>
      </c>
      <c r="T209" s="43"/>
      <c r="U209" s="43"/>
      <c r="V209" s="44"/>
      <c r="W209" s="47"/>
      <c r="X209" s="47"/>
      <c r="Y209" s="756"/>
      <c r="Z209" s="756"/>
      <c r="AA209" s="756"/>
      <c r="AB209" s="756"/>
      <c r="AC209" s="756"/>
      <c r="AD209" s="756"/>
      <c r="AE209" s="756"/>
      <c r="AF209" s="756"/>
      <c r="AG209" s="756"/>
      <c r="AH209" s="756"/>
      <c r="BC209" s="155" t="str">
        <f t="shared" si="175"/>
        <v>-</v>
      </c>
    </row>
    <row r="210" spans="1:72" ht="15" customHeight="1" outlineLevel="1" thickBot="1" x14ac:dyDescent="0.3">
      <c r="A210" s="350"/>
      <c r="B210" s="346"/>
      <c r="C210" s="347"/>
      <c r="D210" s="347"/>
      <c r="E210" s="347"/>
      <c r="F210" s="347"/>
      <c r="G210" s="347"/>
      <c r="H210" s="347"/>
      <c r="I210" s="347"/>
      <c r="J210" s="347"/>
      <c r="K210" s="162"/>
      <c r="L210" s="162"/>
      <c r="M210" s="347"/>
      <c r="N210" s="347"/>
      <c r="O210" s="347"/>
      <c r="P210" s="347"/>
      <c r="Q210" s="347"/>
      <c r="R210" s="347"/>
      <c r="S210" s="347"/>
      <c r="T210" s="45"/>
      <c r="U210" s="45"/>
      <c r="V210" s="46"/>
      <c r="W210" s="345"/>
      <c r="X210" s="345"/>
      <c r="Y210" s="743"/>
      <c r="Z210" s="743"/>
      <c r="AA210" s="743"/>
      <c r="AB210" s="743"/>
      <c r="AC210" s="743"/>
      <c r="AD210" s="743"/>
      <c r="AE210" s="743"/>
      <c r="AF210" s="743"/>
      <c r="AG210" s="743"/>
      <c r="AH210" s="743"/>
      <c r="BC210" s="155" t="str">
        <f t="shared" ref="BC210:BC242" si="220">IF(COUNTIF(F210:M210,"refused")&gt;0,"refused",IF(COUNTIF(F210:M210,"failed")&gt;0,"failed",IF(COUNTIF(F210:M210,"passed")&gt;0,"passed","-")))</f>
        <v>-</v>
      </c>
      <c r="BD210" s="151" t="s">
        <v>85</v>
      </c>
      <c r="BE210" s="69" t="str">
        <f>$F$4</f>
        <v>NMHC 
[g/km]</v>
      </c>
      <c r="BF210" s="69" t="str">
        <f>$G$4</f>
        <v>THC
[g/km]</v>
      </c>
      <c r="BG210" s="69" t="str">
        <f>$H$4</f>
        <v>CO
[g/km]</v>
      </c>
      <c r="BH210" s="69" t="str">
        <f>$I$4</f>
        <v>NOx
[g/km]</v>
      </c>
      <c r="BI210" s="69" t="str">
        <f>$J$4</f>
        <v>PM
[mg/km]</v>
      </c>
      <c r="BJ210" s="163" t="str">
        <f>K$4</f>
        <v>PN
[#/km]</v>
      </c>
      <c r="BK210" s="163" t="str">
        <f t="shared" ref="BK210:BL210" si="221">L$4</f>
        <v>Additional component</v>
      </c>
      <c r="BL210" s="163" t="str">
        <f t="shared" si="221"/>
        <v>Additional
component 2</v>
      </c>
      <c r="BM210" s="69" t="str">
        <f>$N$4</f>
        <v>CO2
[g/km]</v>
      </c>
    </row>
    <row r="211" spans="1:72" ht="15" customHeight="1" outlineLevel="1" thickBot="1" x14ac:dyDescent="0.3">
      <c r="A211" s="350"/>
      <c r="B211" s="744" t="s">
        <v>81</v>
      </c>
      <c r="C211" s="745"/>
      <c r="D211" s="745"/>
      <c r="E211" s="745"/>
      <c r="F211" s="745"/>
      <c r="G211" s="745"/>
      <c r="H211" s="745"/>
      <c r="I211" s="745"/>
      <c r="J211" s="745"/>
      <c r="K211" s="745"/>
      <c r="L211" s="745"/>
      <c r="M211" s="745"/>
      <c r="N211" s="746"/>
      <c r="O211" s="744" t="s">
        <v>82</v>
      </c>
      <c r="P211" s="745"/>
      <c r="Q211" s="745"/>
      <c r="R211" s="746"/>
      <c r="S211" s="744" t="s">
        <v>83</v>
      </c>
      <c r="T211" s="745"/>
      <c r="U211" s="745"/>
      <c r="V211" s="746"/>
      <c r="W211" s="345"/>
      <c r="X211" s="345"/>
      <c r="Y211" s="743"/>
      <c r="Z211" s="743"/>
      <c r="AA211" s="743"/>
      <c r="AB211" s="743"/>
      <c r="AC211" s="743"/>
      <c r="AD211" s="743"/>
      <c r="AE211" s="743"/>
      <c r="AF211" s="743"/>
      <c r="AG211" s="743"/>
      <c r="AH211" s="743"/>
      <c r="BC211" s="155" t="str">
        <f t="shared" si="220"/>
        <v>-</v>
      </c>
      <c r="BD211" s="151" t="str">
        <f>$E$4</f>
        <v>Euro 6c</v>
      </c>
      <c r="BE211" s="153">
        <v>1</v>
      </c>
      <c r="BF211" s="153">
        <v>1</v>
      </c>
      <c r="BG211" s="153">
        <v>1</v>
      </c>
      <c r="BH211" s="153">
        <v>1</v>
      </c>
      <c r="BI211" s="153">
        <v>1</v>
      </c>
      <c r="BJ211" s="153">
        <v>1</v>
      </c>
      <c r="BK211" s="153">
        <v>1</v>
      </c>
      <c r="BL211" s="153">
        <v>1</v>
      </c>
      <c r="BM211" s="153">
        <v>1</v>
      </c>
    </row>
    <row r="212" spans="1:72" ht="35.1" customHeight="1" outlineLevel="1" thickBot="1" x14ac:dyDescent="0.3">
      <c r="A212" s="350"/>
      <c r="B212" s="767" t="s">
        <v>84</v>
      </c>
      <c r="C212" s="768"/>
      <c r="D212" s="768"/>
      <c r="E212" s="769"/>
      <c r="F212" s="69" t="str">
        <f t="shared" ref="F212:L212" si="222">F$4</f>
        <v>NMHC 
[g/km]</v>
      </c>
      <c r="G212" s="69" t="str">
        <f t="shared" si="222"/>
        <v>THC
[g/km]</v>
      </c>
      <c r="H212" s="69" t="str">
        <f t="shared" si="222"/>
        <v>CO
[g/km]</v>
      </c>
      <c r="I212" s="69" t="str">
        <f t="shared" si="222"/>
        <v>NOx
[g/km]</v>
      </c>
      <c r="J212" s="69" t="str">
        <f t="shared" si="222"/>
        <v>PM
[mg/km]</v>
      </c>
      <c r="K212" s="69" t="str">
        <f t="shared" si="222"/>
        <v>PN
[#/km]</v>
      </c>
      <c r="L212" s="366" t="str">
        <f t="shared" si="222"/>
        <v>Additional component</v>
      </c>
      <c r="M212" s="366" t="str">
        <f>M$4</f>
        <v>Additional
component 2</v>
      </c>
      <c r="N212" s="69" t="str">
        <f>N$4</f>
        <v>CO2
[g/km]</v>
      </c>
      <c r="O212" s="747"/>
      <c r="P212" s="748"/>
      <c r="Q212" s="748"/>
      <c r="R212" s="748"/>
      <c r="S212" s="747"/>
      <c r="T212" s="748"/>
      <c r="U212" s="748"/>
      <c r="V212" s="753"/>
      <c r="W212" s="345"/>
      <c r="X212" s="345"/>
      <c r="Y212" s="743"/>
      <c r="Z212" s="743"/>
      <c r="AA212" s="743"/>
      <c r="AB212" s="743"/>
      <c r="AC212" s="743"/>
      <c r="AD212" s="743"/>
      <c r="AE212" s="743"/>
      <c r="AF212" s="743"/>
      <c r="AG212" s="743"/>
      <c r="AH212" s="743"/>
      <c r="BC212" s="155" t="str">
        <f t="shared" si="220"/>
        <v>-</v>
      </c>
      <c r="BD212" s="151" t="str">
        <f>"1st " &amp;  B213</f>
        <v>1st City (unweighted)</v>
      </c>
      <c r="BE212" s="153" t="str">
        <f t="shared" ref="BE212:BJ212" si="223">IF((OR($C215="-",$C215="CET",$C215="")),"-",IF(AND(OR(F213="-",F213=""),OR(F214="-",F214="")),"-",IF(NOT(OR(F213="-",F213="")),F213/F$5,F214/F$5)))</f>
        <v>-</v>
      </c>
      <c r="BF212" s="153" t="str">
        <f t="shared" si="223"/>
        <v>-</v>
      </c>
      <c r="BG212" s="153" t="str">
        <f t="shared" si="223"/>
        <v>-</v>
      </c>
      <c r="BH212" s="153" t="str">
        <f t="shared" si="223"/>
        <v>-</v>
      </c>
      <c r="BI212" s="153" t="str">
        <f t="shared" si="223"/>
        <v>-</v>
      </c>
      <c r="BJ212" s="153" t="str">
        <f t="shared" si="223"/>
        <v>-</v>
      </c>
      <c r="BK212" s="153" t="str">
        <f t="shared" ref="BK212:BL212" si="224">IF((OR($C215="-",$C215="CET",$C215="")),"-",IF(AND(OR(L213="-",L213=""),OR(L214="-",L214="")),"-",IF(NOT(OR(L213="-",L213="")),L213/L$5,L214/L$5)))</f>
        <v>-</v>
      </c>
      <c r="BL212" s="153" t="str">
        <f t="shared" si="224"/>
        <v>-</v>
      </c>
      <c r="BM212" s="153" t="str">
        <f>IF((OR($C215="-",$C215="CET",$C215="")),"-",IF(AND(OR(N213="-",N213=""),OR(N214="-",N214="")),"-",IF(NOT(OR(N213="-",N213="")),N213/N$5,N214/N$5)))</f>
        <v>-</v>
      </c>
    </row>
    <row r="213" spans="1:72" s="50" customFormat="1" ht="15" customHeight="1" outlineLevel="1" x14ac:dyDescent="0.25">
      <c r="A213" s="53"/>
      <c r="B213" s="800" t="s">
        <v>107</v>
      </c>
      <c r="C213" s="770" t="s">
        <v>114</v>
      </c>
      <c r="D213" s="770" t="s">
        <v>113</v>
      </c>
      <c r="E213" s="106" t="s">
        <v>94</v>
      </c>
      <c r="F213" s="105" t="s">
        <v>5</v>
      </c>
      <c r="G213" s="105" t="s">
        <v>5</v>
      </c>
      <c r="H213" s="105" t="s">
        <v>5</v>
      </c>
      <c r="I213" s="105" t="s">
        <v>5</v>
      </c>
      <c r="J213" s="105" t="s">
        <v>5</v>
      </c>
      <c r="K213" s="173" t="s">
        <v>5</v>
      </c>
      <c r="L213" s="173" t="s">
        <v>5</v>
      </c>
      <c r="M213" s="105" t="s">
        <v>5</v>
      </c>
      <c r="N213" s="105" t="s">
        <v>5</v>
      </c>
      <c r="O213" s="749"/>
      <c r="P213" s="750"/>
      <c r="Q213" s="750"/>
      <c r="R213" s="750"/>
      <c r="S213" s="749"/>
      <c r="T213" s="750"/>
      <c r="U213" s="750"/>
      <c r="V213" s="754"/>
      <c r="W213" s="51"/>
      <c r="X213" s="51"/>
      <c r="Y213" s="743"/>
      <c r="Z213" s="743"/>
      <c r="AA213" s="743"/>
      <c r="AB213" s="743"/>
      <c r="AC213" s="743"/>
      <c r="AD213" s="743"/>
      <c r="AE213" s="743"/>
      <c r="AF213" s="743"/>
      <c r="AG213" s="743"/>
      <c r="AH213" s="743"/>
      <c r="BC213" s="155" t="str">
        <f t="shared" si="220"/>
        <v>-</v>
      </c>
      <c r="BD213" s="151" t="str">
        <f>"1st " &amp; B218</f>
        <v>1st City (EMROAD)</v>
      </c>
      <c r="BE213" s="153" t="str">
        <f t="shared" ref="BE213:BJ213" si="225">IF((OR($C220="-",$C220="CET",$C220="")),"-",IF(AND(OR(F218="-",F218=""),OR(F219="-",F219="")),"-",IF(NOT(OR(F218="-",F218="")),F218/F$5,F219/F$5)))</f>
        <v>-</v>
      </c>
      <c r="BF213" s="153" t="str">
        <f t="shared" si="225"/>
        <v>-</v>
      </c>
      <c r="BG213" s="153" t="str">
        <f t="shared" si="225"/>
        <v>-</v>
      </c>
      <c r="BH213" s="153" t="str">
        <f t="shared" si="225"/>
        <v>-</v>
      </c>
      <c r="BI213" s="153" t="str">
        <f t="shared" si="225"/>
        <v>-</v>
      </c>
      <c r="BJ213" s="153" t="str">
        <f t="shared" si="225"/>
        <v>-</v>
      </c>
      <c r="BK213" s="153" t="str">
        <f t="shared" ref="BK213:BL213" si="226">IF((OR($C220="-",$C220="CET",$C220="")),"-",IF(AND(OR(L218="-",L218=""),OR(L219="-",L219="")),"-",IF(NOT(OR(L218="-",L218="")),L218/L$5,L219/L$5)))</f>
        <v>-</v>
      </c>
      <c r="BL213" s="153" t="str">
        <f t="shared" si="226"/>
        <v>-</v>
      </c>
      <c r="BM213" s="153" t="str">
        <f>IF((OR($C220="-",$C220="CET",$C220="")),"-",IF(AND(OR(N218="-",N218=""),OR(N219="-",N219="")),"-",IF(NOT(OR(N218="-",N218="")),N218/N$5,N219/N$5)))</f>
        <v>-</v>
      </c>
      <c r="BN213" s="150"/>
      <c r="BO213" s="150"/>
      <c r="BP213" s="150"/>
      <c r="BQ213" s="150"/>
      <c r="BR213" s="150"/>
      <c r="BS213" s="150"/>
      <c r="BT213" s="150"/>
    </row>
    <row r="214" spans="1:72" ht="15" customHeight="1" outlineLevel="1" thickBot="1" x14ac:dyDescent="0.3">
      <c r="A214" s="350"/>
      <c r="B214" s="801"/>
      <c r="C214" s="741"/>
      <c r="D214" s="742"/>
      <c r="E214" s="104" t="s">
        <v>95</v>
      </c>
      <c r="F214" s="103" t="s">
        <v>5</v>
      </c>
      <c r="G214" s="103" t="s">
        <v>5</v>
      </c>
      <c r="H214" s="103" t="s">
        <v>5</v>
      </c>
      <c r="I214" s="103" t="s">
        <v>5</v>
      </c>
      <c r="J214" s="103" t="s">
        <v>5</v>
      </c>
      <c r="K214" s="174" t="s">
        <v>5</v>
      </c>
      <c r="L214" s="174" t="s">
        <v>5</v>
      </c>
      <c r="M214" s="103" t="s">
        <v>5</v>
      </c>
      <c r="N214" s="103" t="s">
        <v>5</v>
      </c>
      <c r="O214" s="749"/>
      <c r="P214" s="750"/>
      <c r="Q214" s="750"/>
      <c r="R214" s="750"/>
      <c r="S214" s="749"/>
      <c r="T214" s="750"/>
      <c r="U214" s="750"/>
      <c r="V214" s="754"/>
      <c r="W214" s="345"/>
      <c r="X214" s="345"/>
      <c r="Y214" s="743"/>
      <c r="Z214" s="743"/>
      <c r="AA214" s="743"/>
      <c r="AB214" s="743"/>
      <c r="AC214" s="743"/>
      <c r="AD214" s="743"/>
      <c r="AE214" s="743"/>
      <c r="AF214" s="743"/>
      <c r="AG214" s="743"/>
      <c r="AH214" s="743"/>
      <c r="BC214" s="155" t="str">
        <f t="shared" si="220"/>
        <v>-</v>
      </c>
      <c r="BD214" s="151" t="str">
        <f>"1st " &amp; B223</f>
        <v>1st City
 (SPF)</v>
      </c>
      <c r="BE214" s="153" t="str">
        <f t="shared" ref="BE214:BJ214" si="227">IF((OR($C225="-",$C225="CET",$C225="")),"-",IF(AND(OR(F223="-",F223=""),OR(F224="-",F224="")),"-",IF(NOT(OR(F223="-",F223="")),F223/F$5,F224/F$5)))</f>
        <v>-</v>
      </c>
      <c r="BF214" s="153" t="str">
        <f t="shared" si="227"/>
        <v>-</v>
      </c>
      <c r="BG214" s="153" t="str">
        <f t="shared" si="227"/>
        <v>-</v>
      </c>
      <c r="BH214" s="153" t="str">
        <f t="shared" si="227"/>
        <v>-</v>
      </c>
      <c r="BI214" s="153" t="str">
        <f t="shared" si="227"/>
        <v>-</v>
      </c>
      <c r="BJ214" s="153" t="str">
        <f t="shared" si="227"/>
        <v>-</v>
      </c>
      <c r="BK214" s="153" t="str">
        <f t="shared" ref="BK214:BL214" si="228">IF((OR($C225="-",$C225="CET",$C225="")),"-",IF(AND(OR(L223="-",L223=""),OR(L224="-",L224="")),"-",IF(NOT(OR(L223="-",L223="")),L223/L$5,L224/L$5)))</f>
        <v>-</v>
      </c>
      <c r="BL214" s="153" t="str">
        <f t="shared" si="228"/>
        <v>-</v>
      </c>
      <c r="BM214" s="153" t="str">
        <f>IF((OR($C225="-",$C225="CET",$C225="")),"-",IF(AND(OR(N223="-",N223=""),OR(N224="-",N224="")),"-",IF(NOT(OR(N223="-",N223="")),N223/N$5,N224/N$5)))</f>
        <v>-</v>
      </c>
    </row>
    <row r="215" spans="1:72" ht="15" customHeight="1" outlineLevel="1" thickBot="1" x14ac:dyDescent="0.3">
      <c r="A215" s="350"/>
      <c r="B215" s="801"/>
      <c r="C215" s="764">
        <v>4</v>
      </c>
      <c r="D215" s="772" t="str">
        <f>IF(AND(F216="-",G216="-",H216="-",I216="-",J216="-",K216="-",K216="-",L216="-"),"-",MAX(F216,G216,H216,I216,J216,K216,L216,M216))</f>
        <v>-</v>
      </c>
      <c r="E215" s="66" t="s">
        <v>177</v>
      </c>
      <c r="F215" s="65" t="str">
        <f t="shared" ref="F215:K215" si="229">IF(OR(F214="-",F214=""),IF(OR(F213="-",F213=""),"-",F213),IF(OR(F213="-",F213=""),F214,(F213+F214)/2))</f>
        <v>-</v>
      </c>
      <c r="G215" s="65" t="str">
        <f t="shared" si="229"/>
        <v>-</v>
      </c>
      <c r="H215" s="65" t="str">
        <f t="shared" si="229"/>
        <v>-</v>
      </c>
      <c r="I215" s="65" t="str">
        <f t="shared" si="229"/>
        <v>-</v>
      </c>
      <c r="J215" s="65" t="str">
        <f t="shared" si="229"/>
        <v>-</v>
      </c>
      <c r="K215" s="167" t="str">
        <f t="shared" si="229"/>
        <v>-</v>
      </c>
      <c r="L215" s="167" t="str">
        <f t="shared" ref="L215" si="230">IF(OR(L214="-",L214=""),IF(OR(L213="-",L213=""),"-",L213),IF(OR(L213="-",L213=""),L214,(L213+L214)/2))</f>
        <v>-</v>
      </c>
      <c r="M215" s="65" t="s">
        <v>5</v>
      </c>
      <c r="N215" s="740"/>
      <c r="O215" s="749"/>
      <c r="P215" s="750"/>
      <c r="Q215" s="750"/>
      <c r="R215" s="750"/>
      <c r="S215" s="749"/>
      <c r="T215" s="750"/>
      <c r="U215" s="750"/>
      <c r="V215" s="754"/>
      <c r="W215" s="345"/>
      <c r="X215" s="345"/>
      <c r="Y215" s="743"/>
      <c r="Z215" s="743"/>
      <c r="AA215" s="743"/>
      <c r="AB215" s="743"/>
      <c r="AC215" s="743"/>
      <c r="AD215" s="743"/>
      <c r="AE215" s="743"/>
      <c r="AF215" s="743"/>
      <c r="AG215" s="743"/>
      <c r="AH215" s="743"/>
      <c r="BC215" s="155" t="str">
        <f>IF(COUNTIF(F215:M215,"refused")&gt;0,"refused",IF(COUNTIF(F215:M215,"failed")&gt;0,"failed",IF(COUNTIF(F215:M215,"passed")&gt;0,"passed","-")))</f>
        <v>-</v>
      </c>
      <c r="BD215" s="151" t="str">
        <f>"1st " &amp; B228</f>
        <v>1st Total (unweighted)</v>
      </c>
      <c r="BE215" s="153" t="str">
        <f t="shared" ref="BE215:BJ215" si="231">IF((OR($C230="-",$C230="CET",$C230="")),"-",IF(AND(OR(F228="-",F228=""),OR(F229="-",F229="")),"-",IF(NOT(OR(F228="-",F228="")),F228/F$5,F229/F$5)))</f>
        <v>-</v>
      </c>
      <c r="BF215" s="153" t="str">
        <f t="shared" si="231"/>
        <v>-</v>
      </c>
      <c r="BG215" s="153" t="str">
        <f t="shared" si="231"/>
        <v>-</v>
      </c>
      <c r="BH215" s="153" t="str">
        <f t="shared" si="231"/>
        <v>-</v>
      </c>
      <c r="BI215" s="153" t="str">
        <f t="shared" si="231"/>
        <v>-</v>
      </c>
      <c r="BJ215" s="153" t="str">
        <f t="shared" si="231"/>
        <v>-</v>
      </c>
      <c r="BK215" s="153" t="str">
        <f t="shared" ref="BK215:BL215" si="232">IF((OR($C230="-",$C230="CET",$C230="")),"-",IF(AND(OR(L228="-",L228=""),OR(L229="-",L229="")),"-",IF(NOT(OR(L228="-",L228="")),L228/L$5,L229/L$5)))</f>
        <v>-</v>
      </c>
      <c r="BL215" s="153" t="str">
        <f t="shared" si="232"/>
        <v>-</v>
      </c>
      <c r="BM215" s="153" t="str">
        <f>IF((OR($C230="-",$C230="CET",$C230="")),"-",IF(AND(OR(N228="-",N228=""),OR(N229="-",N229="")),"-",IF(NOT(OR(N228="-",N228="")),N228/N$5,N229/N$5)))</f>
        <v>-</v>
      </c>
    </row>
    <row r="216" spans="1:72" ht="15" customHeight="1" outlineLevel="1" thickBot="1" x14ac:dyDescent="0.3">
      <c r="A216" s="350"/>
      <c r="B216" s="801"/>
      <c r="C216" s="765"/>
      <c r="D216" s="773"/>
      <c r="E216" s="64" t="s">
        <v>97</v>
      </c>
      <c r="F216" s="63" t="str">
        <f t="shared" ref="F216:K216" si="233">IF(OR($C215="-",$C215="CET",$C215=""),"-",IF(AND(NOT(F215="-"),NOT(F$5="-"),NOT(F$5="")),F215/F$5,"-"))</f>
        <v>-</v>
      </c>
      <c r="G216" s="63" t="str">
        <f t="shared" si="233"/>
        <v>-</v>
      </c>
      <c r="H216" s="63" t="str">
        <f t="shared" si="233"/>
        <v>-</v>
      </c>
      <c r="I216" s="63" t="str">
        <f t="shared" si="233"/>
        <v>-</v>
      </c>
      <c r="J216" s="63" t="str">
        <f t="shared" si="233"/>
        <v>-</v>
      </c>
      <c r="K216" s="168" t="str">
        <f t="shared" si="233"/>
        <v>-</v>
      </c>
      <c r="L216" s="168" t="str">
        <f t="shared" ref="L216" si="234">IF(OR($C215="-",$C215="CET",$C215=""),"-",IF(AND(NOT(L215="-"),NOT(L$5="-"),NOT(L$5="")),L215/L$5,"-"))</f>
        <v>-</v>
      </c>
      <c r="M216" s="63" t="s">
        <v>5</v>
      </c>
      <c r="N216" s="741"/>
      <c r="O216" s="749"/>
      <c r="P216" s="750"/>
      <c r="Q216" s="750"/>
      <c r="R216" s="750"/>
      <c r="S216" s="749"/>
      <c r="T216" s="750"/>
      <c r="U216" s="750"/>
      <c r="V216" s="754"/>
      <c r="W216" s="345"/>
      <c r="X216" s="345"/>
      <c r="Y216" s="743"/>
      <c r="Z216" s="743"/>
      <c r="AA216" s="743"/>
      <c r="AB216" s="743"/>
      <c r="AC216" s="743"/>
      <c r="AD216" s="743"/>
      <c r="AE216" s="743"/>
      <c r="AF216" s="743"/>
      <c r="AG216" s="743"/>
      <c r="AH216" s="743"/>
      <c r="BC216" s="155" t="str">
        <f t="shared" si="220"/>
        <v>-</v>
      </c>
      <c r="BD216" s="151" t="str">
        <f>"1st " &amp; B233</f>
        <v>1st Total (EMROAD)</v>
      </c>
      <c r="BE216" s="153" t="str">
        <f t="shared" ref="BE216:BJ216" si="235">IF((OR($C235="-",$C235="CET",$C235="")),"-",IF(AND(OR(F233="-",F233=""),OR(F234="-",F234="")),"-",IF(NOT(OR(F233="-",F233="")),F233/F$5,F234/F$5)))</f>
        <v>-</v>
      </c>
      <c r="BF216" s="153" t="str">
        <f t="shared" si="235"/>
        <v>-</v>
      </c>
      <c r="BG216" s="153" t="str">
        <f t="shared" si="235"/>
        <v>-</v>
      </c>
      <c r="BH216" s="153" t="str">
        <f t="shared" si="235"/>
        <v>-</v>
      </c>
      <c r="BI216" s="153" t="str">
        <f t="shared" si="235"/>
        <v>-</v>
      </c>
      <c r="BJ216" s="153" t="str">
        <f t="shared" si="235"/>
        <v>-</v>
      </c>
      <c r="BK216" s="153" t="str">
        <f t="shared" ref="BK216:BL216" si="236">IF((OR($C235="-",$C235="CET",$C235="")),"-",IF(AND(OR(L233="-",L233=""),OR(L234="-",L234="")),"-",IF(NOT(OR(L233="-",L233="")),L233/L$5,L234/L$5)))</f>
        <v>-</v>
      </c>
      <c r="BL216" s="153" t="str">
        <f t="shared" si="236"/>
        <v>-</v>
      </c>
      <c r="BM216" s="153" t="str">
        <f>IF((OR($C235="-",$C235="CET",$C235="")),"-",IF(AND(OR(N233="-",N233=""),OR(N234="-",N234="")),"-",IF(NOT(OR(N233="-",N233="")),N233/N$5,N234/N$5)))</f>
        <v>-</v>
      </c>
    </row>
    <row r="217" spans="1:72" ht="15" customHeight="1" outlineLevel="1" thickBot="1" x14ac:dyDescent="0.3">
      <c r="A217" s="350"/>
      <c r="B217" s="802"/>
      <c r="C217" s="771"/>
      <c r="D217" s="774"/>
      <c r="E217" s="68" t="s">
        <v>30</v>
      </c>
      <c r="F217" s="62" t="str">
        <f t="shared" ref="F217:L217" si="237">IF(AND(OR(F213="-",F213=""),OR(F214="-",F214="")),"-",IF(OR($C215="-",$C215="",$C215="CET"),"-",IF($R$209="not listed","-",IF(NOT(F$5="-"),IF(AND(AND(NOT(F213=0),NOT(F213="-"),NOT(F213="")),AND(NOT(F214="-"),NOT(F214=0),NOT(F214=""))),IF(AND((F213+F214)/2&lt;1*F$5*IF(OR($C215="CET",$C215="-",$C215=""),"-",$C215),F213&lt;1.1*F$5*IF(OR($C215="CET",$C215="-",$C215=""),"-",$C215),F214&lt;1.1*F$5*IF(OR($C215="CET",$C215="-",$C215=""),"-",$C215)),"passed","refused"),IF(IF(OR(F213="-",F213=""),F214,F213)&lt;0.7*F$5*IF(OR($C215="CET",$C215="-",$C215=""),"-",$C215),"passed",IF(IF(OR(F213="-",F213=""),F214,F213)&lt;1.1*IF(OR($C215="CET",$C215="-",$C215=""),"-",$C215)*F$5,"failed","refused"))),"-"))))</f>
        <v>-</v>
      </c>
      <c r="G217" s="62" t="str">
        <f t="shared" si="237"/>
        <v>-</v>
      </c>
      <c r="H217" s="62" t="str">
        <f t="shared" si="237"/>
        <v>-</v>
      </c>
      <c r="I217" s="62" t="str">
        <f t="shared" si="237"/>
        <v>-</v>
      </c>
      <c r="J217" s="62" t="str">
        <f t="shared" si="237"/>
        <v>-</v>
      </c>
      <c r="K217" s="169" t="str">
        <f t="shared" si="237"/>
        <v>-</v>
      </c>
      <c r="L217" s="169" t="str">
        <f t="shared" si="237"/>
        <v>-</v>
      </c>
      <c r="M217" s="62" t="s">
        <v>5</v>
      </c>
      <c r="N217" s="742"/>
      <c r="O217" s="749"/>
      <c r="P217" s="750"/>
      <c r="Q217" s="750"/>
      <c r="R217" s="750"/>
      <c r="S217" s="749"/>
      <c r="T217" s="750"/>
      <c r="U217" s="750"/>
      <c r="V217" s="754"/>
      <c r="W217" s="345"/>
      <c r="X217" s="345"/>
      <c r="Y217" s="743"/>
      <c r="Z217" s="743"/>
      <c r="AA217" s="743"/>
      <c r="AB217" s="743"/>
      <c r="AC217" s="743"/>
      <c r="AD217" s="743"/>
      <c r="AE217" s="743"/>
      <c r="AF217" s="743"/>
      <c r="AG217" s="743"/>
      <c r="AH217" s="743"/>
      <c r="BC217" s="155" t="str">
        <f t="shared" si="220"/>
        <v>-</v>
      </c>
      <c r="BD217" s="151" t="str">
        <f>"1st " &amp; B238</f>
        <v>1st Total (SPF)</v>
      </c>
      <c r="BE217" s="153" t="str">
        <f t="shared" ref="BE217:BJ217" si="238">IF((OR($C240="-",$C240="CET",$C240="")),"-",IF(AND(OR(F238="-",F238=""),OR(F239="-",F239="")),"-",IF(NOT(OR(F238="-",F238="")),F238/F$5,F239/F$5)))</f>
        <v>-</v>
      </c>
      <c r="BF217" s="153" t="str">
        <f t="shared" si="238"/>
        <v>-</v>
      </c>
      <c r="BG217" s="153" t="str">
        <f t="shared" si="238"/>
        <v>-</v>
      </c>
      <c r="BH217" s="153" t="str">
        <f t="shared" si="238"/>
        <v>-</v>
      </c>
      <c r="BI217" s="153" t="str">
        <f t="shared" si="238"/>
        <v>-</v>
      </c>
      <c r="BJ217" s="153" t="str">
        <f t="shared" si="238"/>
        <v>-</v>
      </c>
      <c r="BK217" s="153" t="str">
        <f t="shared" ref="BK217:BL217" si="239">IF((OR($C240="-",$C240="CET",$C240="")),"-",IF(AND(OR(L238="-",L238=""),OR(L239="-",L239="")),"-",IF(NOT(OR(L238="-",L238="")),L238/L$5,L239/L$5)))</f>
        <v>-</v>
      </c>
      <c r="BL217" s="153" t="str">
        <f t="shared" si="239"/>
        <v>-</v>
      </c>
      <c r="BM217" s="153" t="str">
        <f>IF((OR($C240="-",$C240="CET",$C240="")),"-",IF(AND(OR(N238="-",N238=""),OR(N239="-",N239="")),"-",IF(NOT(OR(N238="-",N238="")),N238/N$5,N239/N$5)))</f>
        <v>-</v>
      </c>
    </row>
    <row r="218" spans="1:72" s="50" customFormat="1" ht="15" customHeight="1" outlineLevel="1" x14ac:dyDescent="0.25">
      <c r="A218" s="53"/>
      <c r="B218" s="800" t="s">
        <v>106</v>
      </c>
      <c r="C218" s="770" t="s">
        <v>114</v>
      </c>
      <c r="D218" s="770" t="s">
        <v>113</v>
      </c>
      <c r="E218" s="106" t="s">
        <v>94</v>
      </c>
      <c r="F218" s="105" t="s">
        <v>5</v>
      </c>
      <c r="G218" s="105" t="s">
        <v>5</v>
      </c>
      <c r="H218" s="105" t="s">
        <v>5</v>
      </c>
      <c r="I218" s="105" t="s">
        <v>5</v>
      </c>
      <c r="J218" s="105" t="s">
        <v>5</v>
      </c>
      <c r="K218" s="173" t="s">
        <v>5</v>
      </c>
      <c r="L218" s="173" t="s">
        <v>5</v>
      </c>
      <c r="M218" s="105" t="s">
        <v>5</v>
      </c>
      <c r="N218" s="105" t="s">
        <v>5</v>
      </c>
      <c r="O218" s="749"/>
      <c r="P218" s="750"/>
      <c r="Q218" s="750"/>
      <c r="R218" s="750"/>
      <c r="S218" s="749"/>
      <c r="T218" s="750"/>
      <c r="U218" s="750"/>
      <c r="V218" s="754"/>
      <c r="W218" s="51"/>
      <c r="X218" s="51"/>
      <c r="Y218" s="743"/>
      <c r="Z218" s="743"/>
      <c r="AA218" s="743"/>
      <c r="AB218" s="743"/>
      <c r="AC218" s="743"/>
      <c r="AD218" s="743"/>
      <c r="AE218" s="743"/>
      <c r="AF218" s="743"/>
      <c r="AG218" s="743"/>
      <c r="AH218" s="743"/>
      <c r="BC218" s="155" t="str">
        <f t="shared" si="220"/>
        <v>-</v>
      </c>
      <c r="BD218" s="151" t="str">
        <f>"0.7*IEF " &amp; (B213)</f>
        <v>0.7*IEF City (unweighted)</v>
      </c>
      <c r="BE218" s="153">
        <f t="shared" ref="BE218:BM218" si="240">IF(OR($C215="-",$C215="CET",$C215=""),"-",0.7*$C215)</f>
        <v>2.8</v>
      </c>
      <c r="BF218" s="153">
        <f t="shared" si="240"/>
        <v>2.8</v>
      </c>
      <c r="BG218" s="153">
        <f t="shared" si="240"/>
        <v>2.8</v>
      </c>
      <c r="BH218" s="153">
        <f t="shared" si="240"/>
        <v>2.8</v>
      </c>
      <c r="BI218" s="153">
        <f t="shared" si="240"/>
        <v>2.8</v>
      </c>
      <c r="BJ218" s="153">
        <f t="shared" si="240"/>
        <v>2.8</v>
      </c>
      <c r="BK218" s="153">
        <f t="shared" ref="BK218:BL218" si="241">IF(OR($C215="-",$C215="CET",$C215=""),"-",0.7*$C215)</f>
        <v>2.8</v>
      </c>
      <c r="BL218" s="153">
        <f t="shared" si="241"/>
        <v>2.8</v>
      </c>
      <c r="BM218" s="153">
        <f t="shared" si="240"/>
        <v>2.8</v>
      </c>
      <c r="BN218" s="150"/>
      <c r="BO218" s="150"/>
      <c r="BP218" s="150"/>
      <c r="BQ218" s="150"/>
      <c r="BR218" s="150"/>
      <c r="BS218" s="150"/>
      <c r="BT218" s="150"/>
    </row>
    <row r="219" spans="1:72" ht="15" customHeight="1" outlineLevel="1" thickBot="1" x14ac:dyDescent="0.3">
      <c r="A219" s="350"/>
      <c r="B219" s="801"/>
      <c r="C219" s="741"/>
      <c r="D219" s="742"/>
      <c r="E219" s="104" t="s">
        <v>95</v>
      </c>
      <c r="F219" s="103" t="s">
        <v>5</v>
      </c>
      <c r="G219" s="103" t="s">
        <v>5</v>
      </c>
      <c r="H219" s="103" t="s">
        <v>5</v>
      </c>
      <c r="I219" s="103" t="s">
        <v>5</v>
      </c>
      <c r="J219" s="103" t="s">
        <v>5</v>
      </c>
      <c r="K219" s="174" t="s">
        <v>5</v>
      </c>
      <c r="L219" s="174" t="s">
        <v>5</v>
      </c>
      <c r="M219" s="103" t="s">
        <v>5</v>
      </c>
      <c r="N219" s="103" t="s">
        <v>5</v>
      </c>
      <c r="O219" s="749"/>
      <c r="P219" s="750"/>
      <c r="Q219" s="750"/>
      <c r="R219" s="750"/>
      <c r="S219" s="749"/>
      <c r="T219" s="750"/>
      <c r="U219" s="750"/>
      <c r="V219" s="754"/>
      <c r="W219" s="345"/>
      <c r="X219" s="345"/>
      <c r="Y219" s="743"/>
      <c r="Z219" s="743"/>
      <c r="AA219" s="743"/>
      <c r="AB219" s="743"/>
      <c r="AC219" s="743"/>
      <c r="AD219" s="743"/>
      <c r="AE219" s="743"/>
      <c r="AF219" s="743"/>
      <c r="AG219" s="743"/>
      <c r="AH219" s="743"/>
      <c r="BC219" s="155" t="str">
        <f t="shared" si="220"/>
        <v>-</v>
      </c>
      <c r="BD219" s="151" t="str">
        <f>"0.7*IEF " &amp; B218</f>
        <v>0.7*IEF City (EMROAD)</v>
      </c>
      <c r="BE219" s="153">
        <f t="shared" ref="BE219:BM219" si="242">IF(OR($C220="-",$C220="CET",$C220=""),"-",0.7*$C220)</f>
        <v>2.8</v>
      </c>
      <c r="BF219" s="153">
        <f t="shared" si="242"/>
        <v>2.8</v>
      </c>
      <c r="BG219" s="153">
        <f t="shared" si="242"/>
        <v>2.8</v>
      </c>
      <c r="BH219" s="153">
        <f t="shared" si="242"/>
        <v>2.8</v>
      </c>
      <c r="BI219" s="153">
        <f t="shared" si="242"/>
        <v>2.8</v>
      </c>
      <c r="BJ219" s="153">
        <f t="shared" si="242"/>
        <v>2.8</v>
      </c>
      <c r="BK219" s="153">
        <f t="shared" si="242"/>
        <v>2.8</v>
      </c>
      <c r="BL219" s="153">
        <f t="shared" si="242"/>
        <v>2.8</v>
      </c>
      <c r="BM219" s="153">
        <f t="shared" si="242"/>
        <v>2.8</v>
      </c>
    </row>
    <row r="220" spans="1:72" ht="15" customHeight="1" outlineLevel="1" thickBot="1" x14ac:dyDescent="0.3">
      <c r="A220" s="350"/>
      <c r="B220" s="801"/>
      <c r="C220" s="764">
        <v>4</v>
      </c>
      <c r="D220" s="772" t="str">
        <f>IF(AND(F221="-",G221="-",H221="-",I221="-",J221="-",K221="-",K221="-",L221="-"),"-",MAX(F221,G221,H221,I221,J221,K221,L221,M221))</f>
        <v>-</v>
      </c>
      <c r="E220" s="66" t="s">
        <v>177</v>
      </c>
      <c r="F220" s="65" t="str">
        <f t="shared" ref="F220:K220" si="243">IF(OR(F219="-",F219=""),IF(OR(F218="-",F218=""),"-",F218),IF(OR(F218="-",F218=""),F219,(F218+F219)/2))</f>
        <v>-</v>
      </c>
      <c r="G220" s="65" t="str">
        <f t="shared" si="243"/>
        <v>-</v>
      </c>
      <c r="H220" s="65" t="str">
        <f t="shared" si="243"/>
        <v>-</v>
      </c>
      <c r="I220" s="65" t="str">
        <f t="shared" si="243"/>
        <v>-</v>
      </c>
      <c r="J220" s="65" t="str">
        <f t="shared" si="243"/>
        <v>-</v>
      </c>
      <c r="K220" s="167" t="str">
        <f t="shared" si="243"/>
        <v>-</v>
      </c>
      <c r="L220" s="167" t="str">
        <f t="shared" ref="L220" si="244">IF(OR(L219="-",L219=""),IF(OR(L218="-",L218=""),"-",L218),IF(OR(L218="-",L218=""),L219,(L218+L219)/2))</f>
        <v>-</v>
      </c>
      <c r="M220" s="65" t="s">
        <v>5</v>
      </c>
      <c r="N220" s="740"/>
      <c r="O220" s="749"/>
      <c r="P220" s="750"/>
      <c r="Q220" s="750"/>
      <c r="R220" s="750"/>
      <c r="S220" s="749"/>
      <c r="T220" s="750"/>
      <c r="U220" s="750"/>
      <c r="V220" s="754"/>
      <c r="W220" s="345"/>
      <c r="X220" s="345"/>
      <c r="Y220" s="743"/>
      <c r="Z220" s="743"/>
      <c r="AA220" s="743"/>
      <c r="AB220" s="743"/>
      <c r="AC220" s="743"/>
      <c r="AD220" s="743"/>
      <c r="AE220" s="743"/>
      <c r="AF220" s="743"/>
      <c r="AG220" s="743"/>
      <c r="AH220" s="743"/>
      <c r="BC220" s="155" t="str">
        <f t="shared" si="220"/>
        <v>-</v>
      </c>
      <c r="BD220" s="151" t="str">
        <f>"0.7*IEF " &amp; B223</f>
        <v>0.7*IEF City
 (SPF)</v>
      </c>
      <c r="BE220" s="153">
        <f t="shared" ref="BE220:BM220" si="245">IF(OR($C225="-",$C225="CET",$C225=""),"-",0.7*$C225)</f>
        <v>2.8</v>
      </c>
      <c r="BF220" s="153">
        <f t="shared" si="245"/>
        <v>2.8</v>
      </c>
      <c r="BG220" s="153">
        <f t="shared" si="245"/>
        <v>2.8</v>
      </c>
      <c r="BH220" s="153">
        <f t="shared" si="245"/>
        <v>2.8</v>
      </c>
      <c r="BI220" s="153">
        <f t="shared" si="245"/>
        <v>2.8</v>
      </c>
      <c r="BJ220" s="153">
        <f t="shared" si="245"/>
        <v>2.8</v>
      </c>
      <c r="BK220" s="153">
        <f t="shared" ref="BK220:BL220" si="246">IF(OR($C225="-",$C225="CET",$C225=""),"-",0.7*$C225)</f>
        <v>2.8</v>
      </c>
      <c r="BL220" s="153">
        <f t="shared" si="246"/>
        <v>2.8</v>
      </c>
      <c r="BM220" s="153">
        <f t="shared" si="245"/>
        <v>2.8</v>
      </c>
    </row>
    <row r="221" spans="1:72" ht="15" customHeight="1" outlineLevel="1" thickBot="1" x14ac:dyDescent="0.3">
      <c r="A221" s="40"/>
      <c r="B221" s="801"/>
      <c r="C221" s="765"/>
      <c r="D221" s="773"/>
      <c r="E221" s="64" t="s">
        <v>97</v>
      </c>
      <c r="F221" s="63" t="str">
        <f t="shared" ref="F221:K221" si="247">IF(OR($C220="-",$C220="CET",$C220=""),"-",IF(AND(NOT(F220="-"),NOT(F$5="-"),NOT(F$5="")),F220/F$5,"-"))</f>
        <v>-</v>
      </c>
      <c r="G221" s="63" t="str">
        <f t="shared" si="247"/>
        <v>-</v>
      </c>
      <c r="H221" s="63" t="str">
        <f t="shared" si="247"/>
        <v>-</v>
      </c>
      <c r="I221" s="63" t="str">
        <f t="shared" si="247"/>
        <v>-</v>
      </c>
      <c r="J221" s="63" t="str">
        <f t="shared" si="247"/>
        <v>-</v>
      </c>
      <c r="K221" s="168" t="str">
        <f t="shared" si="247"/>
        <v>-</v>
      </c>
      <c r="L221" s="168" t="str">
        <f t="shared" ref="L221" si="248">IF(OR($C220="-",$C220="CET",$C220=""),"-",IF(AND(NOT(L220="-"),NOT(L$5="-"),NOT(L$5="")),L220/L$5,"-"))</f>
        <v>-</v>
      </c>
      <c r="M221" s="63" t="s">
        <v>5</v>
      </c>
      <c r="N221" s="741"/>
      <c r="O221" s="749"/>
      <c r="P221" s="750"/>
      <c r="Q221" s="750"/>
      <c r="R221" s="750"/>
      <c r="S221" s="749"/>
      <c r="T221" s="750"/>
      <c r="U221" s="750"/>
      <c r="V221" s="754"/>
      <c r="W221" s="345"/>
      <c r="X221" s="345"/>
      <c r="Y221" s="743"/>
      <c r="Z221" s="743"/>
      <c r="AA221" s="743"/>
      <c r="AB221" s="743"/>
      <c r="AC221" s="743"/>
      <c r="AD221" s="743"/>
      <c r="AE221" s="743"/>
      <c r="AF221" s="743"/>
      <c r="AG221" s="743"/>
      <c r="AH221" s="743"/>
      <c r="BC221" s="155" t="str">
        <f t="shared" si="220"/>
        <v>-</v>
      </c>
      <c r="BD221" s="151" t="str">
        <f>"0.7*IEF " &amp; B228</f>
        <v>0.7*IEF Total (unweighted)</v>
      </c>
      <c r="BE221" s="153">
        <f t="shared" ref="BE221:BM221" si="249">IF(OR($C230="-",$C230="CET",$C230=""),"-",0.7*$C230)</f>
        <v>2.8</v>
      </c>
      <c r="BF221" s="153">
        <f t="shared" si="249"/>
        <v>2.8</v>
      </c>
      <c r="BG221" s="153">
        <f t="shared" si="249"/>
        <v>2.8</v>
      </c>
      <c r="BH221" s="153">
        <f t="shared" si="249"/>
        <v>2.8</v>
      </c>
      <c r="BI221" s="153">
        <f t="shared" si="249"/>
        <v>2.8</v>
      </c>
      <c r="BJ221" s="153">
        <f t="shared" si="249"/>
        <v>2.8</v>
      </c>
      <c r="BK221" s="153">
        <f t="shared" ref="BK221:BL221" si="250">IF(OR($C230="-",$C230="CET",$C230=""),"-",0.7*$C230)</f>
        <v>2.8</v>
      </c>
      <c r="BL221" s="153">
        <f t="shared" si="250"/>
        <v>2.8</v>
      </c>
      <c r="BM221" s="153">
        <f t="shared" si="249"/>
        <v>2.8</v>
      </c>
    </row>
    <row r="222" spans="1:72" ht="15" customHeight="1" outlineLevel="1" thickBot="1" x14ac:dyDescent="0.3">
      <c r="A222" s="40"/>
      <c r="B222" s="802"/>
      <c r="C222" s="771"/>
      <c r="D222" s="774"/>
      <c r="E222" s="62" t="s">
        <v>30</v>
      </c>
      <c r="F222" s="62" t="str">
        <f t="shared" ref="F222:L222" si="251">IF(AND(OR(F218="-",F218=""),OR(F219="-",F219="")),"-",IF(OR($C220="-",$C220="",$C220="CET"),"-",IF($R$209="not listed","-",IF(NOT(F$5="-"),IF(AND(AND(NOT(F218=0),NOT(F218="-"),NOT(F218="")),AND(NOT(F219="-"),NOT(F219=0),NOT(F219=""))),IF(AND((F218+F219)/2&lt;1*F$5*IF(OR($C220="CET",$C220="-",$C220=""),"-",$C220),F218&lt;1.1*F$5*IF(OR($C220="CET",$C220="-",$C220=""),"-",$C220),F219&lt;1.1*F$5*IF(OR($C220="CET",$C220="-",$C220=""),"-",$C220)),"passed","refused"),IF(IF(OR(F218="-",F218=""),F219,F218)&lt;0.7*F$5*IF(OR($C220="CET",$C220="-",$C220=""),"-",$C220),"passed",IF(IF(OR(F218="-",F218=""),F219,F218)&lt;1.1*IF(OR($C220="CET",$C220="-",$C220=""),"-",$C220)*F$5,"failed","refused"))),"-"))))</f>
        <v>-</v>
      </c>
      <c r="G222" s="62" t="str">
        <f t="shared" si="251"/>
        <v>-</v>
      </c>
      <c r="H222" s="62" t="str">
        <f t="shared" si="251"/>
        <v>-</v>
      </c>
      <c r="I222" s="62" t="str">
        <f t="shared" si="251"/>
        <v>-</v>
      </c>
      <c r="J222" s="62" t="str">
        <f t="shared" si="251"/>
        <v>-</v>
      </c>
      <c r="K222" s="169" t="str">
        <f t="shared" si="251"/>
        <v>-</v>
      </c>
      <c r="L222" s="169" t="str">
        <f t="shared" si="251"/>
        <v>-</v>
      </c>
      <c r="M222" s="62" t="s">
        <v>5</v>
      </c>
      <c r="N222" s="742"/>
      <c r="O222" s="749"/>
      <c r="P222" s="750"/>
      <c r="Q222" s="750"/>
      <c r="R222" s="750"/>
      <c r="S222" s="749"/>
      <c r="T222" s="750"/>
      <c r="U222" s="750"/>
      <c r="V222" s="754"/>
      <c r="W222" s="345"/>
      <c r="X222" s="345"/>
      <c r="Y222" s="743"/>
      <c r="Z222" s="743"/>
      <c r="AA222" s="743"/>
      <c r="AB222" s="743"/>
      <c r="AC222" s="743"/>
      <c r="AD222" s="743"/>
      <c r="AE222" s="743"/>
      <c r="AF222" s="743"/>
      <c r="AG222" s="743"/>
      <c r="AH222" s="743"/>
      <c r="BC222" s="155" t="str">
        <f t="shared" si="220"/>
        <v>-</v>
      </c>
      <c r="BD222" s="151" t="str">
        <f>"0.7*IEF " &amp; B233</f>
        <v>0.7*IEF Total (EMROAD)</v>
      </c>
      <c r="BE222" s="153">
        <f t="shared" ref="BE222:BM222" si="252">IF(OR($C235="-",$C235="CET",$C235=""),"-",0.7*$C235)</f>
        <v>2.8</v>
      </c>
      <c r="BF222" s="153">
        <f t="shared" si="252"/>
        <v>2.8</v>
      </c>
      <c r="BG222" s="153">
        <f t="shared" si="252"/>
        <v>2.8</v>
      </c>
      <c r="BH222" s="153">
        <f t="shared" si="252"/>
        <v>2.8</v>
      </c>
      <c r="BI222" s="153">
        <f t="shared" si="252"/>
        <v>2.8</v>
      </c>
      <c r="BJ222" s="153">
        <f t="shared" si="252"/>
        <v>2.8</v>
      </c>
      <c r="BK222" s="153">
        <f t="shared" ref="BK222:BL222" si="253">IF(OR($C235="-",$C235="CET",$C235=""),"-",0.7*$C235)</f>
        <v>2.8</v>
      </c>
      <c r="BL222" s="153">
        <f t="shared" si="253"/>
        <v>2.8</v>
      </c>
      <c r="BM222" s="153">
        <f t="shared" si="252"/>
        <v>2.8</v>
      </c>
    </row>
    <row r="223" spans="1:72" s="50" customFormat="1" ht="15" customHeight="1" outlineLevel="1" x14ac:dyDescent="0.25">
      <c r="A223" s="52"/>
      <c r="B223" s="797" t="s">
        <v>141</v>
      </c>
      <c r="C223" s="770" t="s">
        <v>114</v>
      </c>
      <c r="D223" s="770" t="s">
        <v>113</v>
      </c>
      <c r="E223" s="106" t="s">
        <v>94</v>
      </c>
      <c r="F223" s="105" t="s">
        <v>5</v>
      </c>
      <c r="G223" s="105" t="s">
        <v>5</v>
      </c>
      <c r="H223" s="105" t="s">
        <v>5</v>
      </c>
      <c r="I223" s="105" t="s">
        <v>5</v>
      </c>
      <c r="J223" s="105" t="s">
        <v>5</v>
      </c>
      <c r="K223" s="173" t="s">
        <v>5</v>
      </c>
      <c r="L223" s="173" t="s">
        <v>5</v>
      </c>
      <c r="M223" s="105" t="s">
        <v>5</v>
      </c>
      <c r="N223" s="105" t="s">
        <v>5</v>
      </c>
      <c r="O223" s="749"/>
      <c r="P223" s="750"/>
      <c r="Q223" s="750"/>
      <c r="R223" s="750"/>
      <c r="S223" s="749"/>
      <c r="T223" s="750"/>
      <c r="U223" s="750"/>
      <c r="V223" s="754"/>
      <c r="W223" s="51"/>
      <c r="X223" s="51"/>
      <c r="Y223" s="743"/>
      <c r="Z223" s="743"/>
      <c r="AA223" s="743"/>
      <c r="AB223" s="743"/>
      <c r="AC223" s="743"/>
      <c r="AD223" s="743"/>
      <c r="AE223" s="743"/>
      <c r="AF223" s="743"/>
      <c r="AG223" s="743"/>
      <c r="AH223" s="743"/>
      <c r="BC223" s="155" t="str">
        <f t="shared" si="220"/>
        <v>-</v>
      </c>
      <c r="BD223" s="151" t="str">
        <f>"0.7*IEF " &amp; B238</f>
        <v>0.7*IEF Total (SPF)</v>
      </c>
      <c r="BE223" s="153">
        <f t="shared" ref="BE223:BM223" si="254">IF(OR($C240="-",$C240="CET",$C240=""),"-",0.7*$C240)</f>
        <v>2.8</v>
      </c>
      <c r="BF223" s="153">
        <f t="shared" si="254"/>
        <v>2.8</v>
      </c>
      <c r="BG223" s="153">
        <f t="shared" si="254"/>
        <v>2.8</v>
      </c>
      <c r="BH223" s="153">
        <f t="shared" si="254"/>
        <v>2.8</v>
      </c>
      <c r="BI223" s="153">
        <f t="shared" si="254"/>
        <v>2.8</v>
      </c>
      <c r="BJ223" s="153">
        <f t="shared" si="254"/>
        <v>2.8</v>
      </c>
      <c r="BK223" s="153">
        <f t="shared" ref="BK223:BL223" si="255">IF(OR($C240="-",$C240="CET",$C240=""),"-",0.7*$C240)</f>
        <v>2.8</v>
      </c>
      <c r="BL223" s="153">
        <f t="shared" si="255"/>
        <v>2.8</v>
      </c>
      <c r="BM223" s="153">
        <f t="shared" si="254"/>
        <v>2.8</v>
      </c>
      <c r="BN223" s="150"/>
      <c r="BO223" s="150"/>
      <c r="BP223" s="150"/>
      <c r="BQ223" s="150"/>
      <c r="BR223" s="150"/>
      <c r="BS223" s="150"/>
      <c r="BT223" s="150"/>
    </row>
    <row r="224" spans="1:72" ht="15" customHeight="1" outlineLevel="1" thickBot="1" x14ac:dyDescent="0.3">
      <c r="A224" s="40"/>
      <c r="B224" s="798"/>
      <c r="C224" s="741"/>
      <c r="D224" s="742"/>
      <c r="E224" s="104" t="s">
        <v>95</v>
      </c>
      <c r="F224" s="103" t="s">
        <v>5</v>
      </c>
      <c r="G224" s="103" t="s">
        <v>5</v>
      </c>
      <c r="H224" s="103" t="s">
        <v>5</v>
      </c>
      <c r="I224" s="103" t="s">
        <v>5</v>
      </c>
      <c r="J224" s="103" t="s">
        <v>5</v>
      </c>
      <c r="K224" s="174" t="s">
        <v>5</v>
      </c>
      <c r="L224" s="174" t="s">
        <v>5</v>
      </c>
      <c r="M224" s="103" t="s">
        <v>5</v>
      </c>
      <c r="N224" s="103" t="s">
        <v>5</v>
      </c>
      <c r="O224" s="749"/>
      <c r="P224" s="750"/>
      <c r="Q224" s="750"/>
      <c r="R224" s="750"/>
      <c r="S224" s="749"/>
      <c r="T224" s="750"/>
      <c r="U224" s="750"/>
      <c r="V224" s="754"/>
      <c r="W224" s="345"/>
      <c r="X224" s="345"/>
      <c r="Y224" s="743"/>
      <c r="Z224" s="743"/>
      <c r="AA224" s="743"/>
      <c r="AB224" s="743"/>
      <c r="AC224" s="743"/>
      <c r="AD224" s="743"/>
      <c r="AE224" s="743"/>
      <c r="AF224" s="743"/>
      <c r="AG224" s="743"/>
      <c r="AH224" s="743"/>
      <c r="BC224" s="155" t="str">
        <f t="shared" si="220"/>
        <v>-</v>
      </c>
      <c r="BD224" s="151" t="str">
        <f>$B213</f>
        <v>City (unweighted)</v>
      </c>
      <c r="BE224" s="153" t="str">
        <f t="shared" ref="BE224:BJ224" si="256">F216</f>
        <v>-</v>
      </c>
      <c r="BF224" s="153" t="str">
        <f t="shared" si="256"/>
        <v>-</v>
      </c>
      <c r="BG224" s="153" t="str">
        <f t="shared" si="256"/>
        <v>-</v>
      </c>
      <c r="BH224" s="153" t="str">
        <f t="shared" si="256"/>
        <v>-</v>
      </c>
      <c r="BI224" s="153" t="str">
        <f t="shared" si="256"/>
        <v>-</v>
      </c>
      <c r="BJ224" s="153" t="str">
        <f t="shared" si="256"/>
        <v>-</v>
      </c>
      <c r="BK224" s="153" t="str">
        <f t="shared" ref="BK224:BL224" si="257">L216</f>
        <v>-</v>
      </c>
      <c r="BL224" s="153" t="str">
        <f t="shared" si="257"/>
        <v>-</v>
      </c>
      <c r="BM224" s="153">
        <f>N216</f>
        <v>0</v>
      </c>
    </row>
    <row r="225" spans="1:72" ht="15" customHeight="1" outlineLevel="1" thickBot="1" x14ac:dyDescent="0.3">
      <c r="A225" s="40"/>
      <c r="B225" s="798"/>
      <c r="C225" s="764">
        <v>4</v>
      </c>
      <c r="D225" s="772" t="str">
        <f>IF(AND(F226="-",G226="-",H226="-",I226="-",J226="-",K226="-",K226="-",L226="-"),"-",MAX(F226,G226,H226,I226,J226,K226,L226,M226))</f>
        <v>-</v>
      </c>
      <c r="E225" s="66" t="s">
        <v>177</v>
      </c>
      <c r="F225" s="65" t="str">
        <f t="shared" ref="F225:K225" si="258">IF(OR(F224="-",F224=""),IF(OR(F223="-",F223=""),"-",F223),IF(OR(F223="-",F223=""),F224,(F223+F224)/2))</f>
        <v>-</v>
      </c>
      <c r="G225" s="65" t="str">
        <f t="shared" si="258"/>
        <v>-</v>
      </c>
      <c r="H225" s="65" t="str">
        <f t="shared" si="258"/>
        <v>-</v>
      </c>
      <c r="I225" s="65" t="str">
        <f t="shared" si="258"/>
        <v>-</v>
      </c>
      <c r="J225" s="65" t="str">
        <f t="shared" si="258"/>
        <v>-</v>
      </c>
      <c r="K225" s="167" t="str">
        <f t="shared" si="258"/>
        <v>-</v>
      </c>
      <c r="L225" s="167" t="str">
        <f t="shared" ref="L225" si="259">IF(OR(L224="-",L224=""),IF(OR(L223="-",L223=""),"-",L223),IF(OR(L223="-",L223=""),L224,(L223+L224)/2))</f>
        <v>-</v>
      </c>
      <c r="M225" s="65" t="s">
        <v>5</v>
      </c>
      <c r="N225" s="740"/>
      <c r="O225" s="749"/>
      <c r="P225" s="750"/>
      <c r="Q225" s="750"/>
      <c r="R225" s="750"/>
      <c r="S225" s="749"/>
      <c r="T225" s="750"/>
      <c r="U225" s="750"/>
      <c r="V225" s="754"/>
      <c r="W225" s="345"/>
      <c r="X225" s="345"/>
      <c r="Y225" s="743"/>
      <c r="Z225" s="743"/>
      <c r="AA225" s="743"/>
      <c r="AB225" s="743"/>
      <c r="AC225" s="743"/>
      <c r="AD225" s="743"/>
      <c r="AE225" s="743"/>
      <c r="AF225" s="743"/>
      <c r="AG225" s="743"/>
      <c r="AH225" s="743"/>
      <c r="BC225" s="155" t="str">
        <f t="shared" si="220"/>
        <v>-</v>
      </c>
      <c r="BD225" s="151" t="str">
        <f>$B218</f>
        <v>City (EMROAD)</v>
      </c>
      <c r="BE225" s="153" t="str">
        <f t="shared" ref="BE225:BJ225" si="260">F221</f>
        <v>-</v>
      </c>
      <c r="BF225" s="153" t="str">
        <f t="shared" si="260"/>
        <v>-</v>
      </c>
      <c r="BG225" s="153" t="str">
        <f t="shared" si="260"/>
        <v>-</v>
      </c>
      <c r="BH225" s="153" t="str">
        <f t="shared" si="260"/>
        <v>-</v>
      </c>
      <c r="BI225" s="153" t="str">
        <f t="shared" si="260"/>
        <v>-</v>
      </c>
      <c r="BJ225" s="153" t="str">
        <f t="shared" si="260"/>
        <v>-</v>
      </c>
      <c r="BK225" s="153" t="str">
        <f t="shared" ref="BK225:BL225" si="261">L221</f>
        <v>-</v>
      </c>
      <c r="BL225" s="153" t="str">
        <f t="shared" si="261"/>
        <v>-</v>
      </c>
      <c r="BM225" s="153">
        <f>N221</f>
        <v>0</v>
      </c>
    </row>
    <row r="226" spans="1:72" ht="15" customHeight="1" outlineLevel="1" thickBot="1" x14ac:dyDescent="0.3">
      <c r="A226" s="40"/>
      <c r="B226" s="798"/>
      <c r="C226" s="765"/>
      <c r="D226" s="773"/>
      <c r="E226" s="64" t="s">
        <v>97</v>
      </c>
      <c r="F226" s="63" t="str">
        <f t="shared" ref="F226:K226" si="262">IF(OR($C225="-",$C225="CET",$C225=""),"-",IF(AND(NOT(F225="-"),NOT(F$5="-"),NOT(F$5="")),F225/F$5,"-"))</f>
        <v>-</v>
      </c>
      <c r="G226" s="63" t="str">
        <f t="shared" si="262"/>
        <v>-</v>
      </c>
      <c r="H226" s="63" t="str">
        <f t="shared" si="262"/>
        <v>-</v>
      </c>
      <c r="I226" s="63" t="str">
        <f t="shared" si="262"/>
        <v>-</v>
      </c>
      <c r="J226" s="63" t="str">
        <f t="shared" si="262"/>
        <v>-</v>
      </c>
      <c r="K226" s="168" t="str">
        <f t="shared" si="262"/>
        <v>-</v>
      </c>
      <c r="L226" s="168" t="str">
        <f t="shared" ref="L226" si="263">IF(OR($C225="-",$C225="CET",$C225=""),"-",IF(AND(NOT(L225="-"),NOT(L$5="-"),NOT(L$5="")),L225/L$5,"-"))</f>
        <v>-</v>
      </c>
      <c r="M226" s="63" t="s">
        <v>5</v>
      </c>
      <c r="N226" s="741"/>
      <c r="O226" s="749"/>
      <c r="P226" s="750"/>
      <c r="Q226" s="750"/>
      <c r="R226" s="750"/>
      <c r="S226" s="749"/>
      <c r="T226" s="750"/>
      <c r="U226" s="750"/>
      <c r="V226" s="754"/>
      <c r="W226" s="345"/>
      <c r="X226" s="345"/>
      <c r="Y226" s="743"/>
      <c r="Z226" s="743"/>
      <c r="AA226" s="743"/>
      <c r="AB226" s="743"/>
      <c r="AC226" s="743"/>
      <c r="AD226" s="743"/>
      <c r="AE226" s="743"/>
      <c r="AF226" s="743"/>
      <c r="AG226" s="743"/>
      <c r="AH226" s="743"/>
      <c r="BC226" s="155" t="str">
        <f t="shared" si="220"/>
        <v>-</v>
      </c>
      <c r="BD226" s="151" t="str">
        <f>$B223</f>
        <v>City
 (SPF)</v>
      </c>
      <c r="BE226" s="153" t="str">
        <f t="shared" ref="BE226:BJ226" si="264">F226</f>
        <v>-</v>
      </c>
      <c r="BF226" s="153" t="str">
        <f t="shared" si="264"/>
        <v>-</v>
      </c>
      <c r="BG226" s="153" t="str">
        <f t="shared" si="264"/>
        <v>-</v>
      </c>
      <c r="BH226" s="153" t="str">
        <f t="shared" si="264"/>
        <v>-</v>
      </c>
      <c r="BI226" s="153" t="str">
        <f t="shared" si="264"/>
        <v>-</v>
      </c>
      <c r="BJ226" s="153" t="str">
        <f t="shared" si="264"/>
        <v>-</v>
      </c>
      <c r="BK226" s="153" t="str">
        <f t="shared" ref="BK226:BL226" si="265">L226</f>
        <v>-</v>
      </c>
      <c r="BL226" s="153" t="str">
        <f t="shared" si="265"/>
        <v>-</v>
      </c>
      <c r="BM226" s="153">
        <f>N226</f>
        <v>0</v>
      </c>
    </row>
    <row r="227" spans="1:72" ht="15" customHeight="1" outlineLevel="1" thickBot="1" x14ac:dyDescent="0.3">
      <c r="A227" s="40"/>
      <c r="B227" s="799"/>
      <c r="C227" s="771"/>
      <c r="D227" s="774"/>
      <c r="E227" s="62" t="s">
        <v>30</v>
      </c>
      <c r="F227" s="62" t="str">
        <f t="shared" ref="F227:L227" si="266">IF(AND(OR(F223="-",F223=""),OR(F224="-",F224="")),"-",IF(OR($C225="-",$C225="",$C225="CET"),"-",IF($R$209="not listed","-",IF(NOT(F$5="-"),IF(AND(AND(NOT(F223=0),NOT(F223="-"),NOT(F223="")),AND(NOT(F224="-"),NOT(F224=0),NOT(F224=""))),IF(AND((F223+F224)/2&lt;1*F$5*IF(OR($C225="CET",$C225="-",$C225=""),"-",$C225),F223&lt;1.1*F$5*IF(OR($C225="CET",$C225="-",$C225=""),"-",$C225),F224&lt;1.1*F$5*IF(OR($C225="CET",$C225="-",$C225=""),"-",$C225)),"passed","refused"),IF(IF(OR(F223="-",F223=""),F224,F223)&lt;0.7*F$5*IF(OR($C225="CET",$C225="-",$C225=""),"-",$C225),"passed",IF(IF(OR(F223="-",F223=""),F224,F223)&lt;1.1*IF(OR($C225="CET",$C225="-",$C225=""),"-",$C225)*F$5,"failed","refused"))),"-"))))</f>
        <v>-</v>
      </c>
      <c r="G227" s="62" t="str">
        <f t="shared" si="266"/>
        <v>-</v>
      </c>
      <c r="H227" s="62" t="str">
        <f t="shared" si="266"/>
        <v>-</v>
      </c>
      <c r="I227" s="62" t="str">
        <f t="shared" si="266"/>
        <v>-</v>
      </c>
      <c r="J227" s="62" t="str">
        <f t="shared" si="266"/>
        <v>-</v>
      </c>
      <c r="K227" s="169" t="str">
        <f t="shared" si="266"/>
        <v>-</v>
      </c>
      <c r="L227" s="169" t="str">
        <f t="shared" si="266"/>
        <v>-</v>
      </c>
      <c r="M227" s="62" t="s">
        <v>5</v>
      </c>
      <c r="N227" s="742"/>
      <c r="O227" s="749"/>
      <c r="P227" s="750"/>
      <c r="Q227" s="750"/>
      <c r="R227" s="750"/>
      <c r="S227" s="749"/>
      <c r="T227" s="750"/>
      <c r="U227" s="750"/>
      <c r="V227" s="754"/>
      <c r="W227" s="345"/>
      <c r="X227" s="345"/>
      <c r="Y227" s="743"/>
      <c r="Z227" s="743"/>
      <c r="AA227" s="743"/>
      <c r="AB227" s="743"/>
      <c r="AC227" s="743"/>
      <c r="AD227" s="743"/>
      <c r="AE227" s="743"/>
      <c r="AF227" s="743"/>
      <c r="AG227" s="743"/>
      <c r="AH227" s="743"/>
      <c r="BC227" s="155" t="str">
        <f t="shared" si="220"/>
        <v>-</v>
      </c>
      <c r="BD227" s="151" t="str">
        <f>$B228</f>
        <v>Total (unweighted)</v>
      </c>
      <c r="BE227" s="153" t="str">
        <f t="shared" ref="BE227:BJ227" si="267">F231</f>
        <v>-</v>
      </c>
      <c r="BF227" s="153" t="str">
        <f t="shared" si="267"/>
        <v>-</v>
      </c>
      <c r="BG227" s="153" t="str">
        <f t="shared" si="267"/>
        <v>-</v>
      </c>
      <c r="BH227" s="153" t="str">
        <f t="shared" si="267"/>
        <v>-</v>
      </c>
      <c r="BI227" s="153" t="str">
        <f t="shared" si="267"/>
        <v>-</v>
      </c>
      <c r="BJ227" s="153" t="str">
        <f t="shared" si="267"/>
        <v>-</v>
      </c>
      <c r="BK227" s="153" t="str">
        <f t="shared" ref="BK227:BL227" si="268">L231</f>
        <v>-</v>
      </c>
      <c r="BL227" s="153" t="str">
        <f t="shared" si="268"/>
        <v>-</v>
      </c>
      <c r="BM227" s="153">
        <f>N231</f>
        <v>0</v>
      </c>
    </row>
    <row r="228" spans="1:72" s="50" customFormat="1" ht="15" customHeight="1" outlineLevel="1" x14ac:dyDescent="0.25">
      <c r="A228" s="52"/>
      <c r="B228" s="800" t="s">
        <v>105</v>
      </c>
      <c r="C228" s="770" t="s">
        <v>114</v>
      </c>
      <c r="D228" s="770" t="s">
        <v>113</v>
      </c>
      <c r="E228" s="106" t="s">
        <v>94</v>
      </c>
      <c r="F228" s="105" t="s">
        <v>5</v>
      </c>
      <c r="G228" s="105" t="s">
        <v>5</v>
      </c>
      <c r="H228" s="105" t="s">
        <v>5</v>
      </c>
      <c r="I228" s="105" t="s">
        <v>5</v>
      </c>
      <c r="J228" s="105" t="s">
        <v>5</v>
      </c>
      <c r="K228" s="173" t="s">
        <v>5</v>
      </c>
      <c r="L228" s="173" t="s">
        <v>5</v>
      </c>
      <c r="M228" s="105" t="s">
        <v>5</v>
      </c>
      <c r="N228" s="105" t="s">
        <v>5</v>
      </c>
      <c r="O228" s="749"/>
      <c r="P228" s="750"/>
      <c r="Q228" s="750"/>
      <c r="R228" s="750"/>
      <c r="S228" s="749"/>
      <c r="T228" s="750"/>
      <c r="U228" s="750"/>
      <c r="V228" s="754"/>
      <c r="W228" s="51"/>
      <c r="X228" s="51"/>
      <c r="Y228" s="743"/>
      <c r="Z228" s="743"/>
      <c r="AA228" s="743"/>
      <c r="AB228" s="743"/>
      <c r="AC228" s="743"/>
      <c r="AD228" s="743"/>
      <c r="AE228" s="743"/>
      <c r="AF228" s="743"/>
      <c r="AG228" s="743"/>
      <c r="AH228" s="743"/>
      <c r="BC228" s="155" t="str">
        <f t="shared" si="220"/>
        <v>-</v>
      </c>
      <c r="BD228" s="151" t="str">
        <f>$B233</f>
        <v>Total (EMROAD)</v>
      </c>
      <c r="BE228" s="153" t="str">
        <f t="shared" ref="BE228:BJ228" si="269">F236</f>
        <v>-</v>
      </c>
      <c r="BF228" s="153" t="str">
        <f t="shared" si="269"/>
        <v>-</v>
      </c>
      <c r="BG228" s="153" t="str">
        <f t="shared" si="269"/>
        <v>-</v>
      </c>
      <c r="BH228" s="153" t="str">
        <f t="shared" si="269"/>
        <v>-</v>
      </c>
      <c r="BI228" s="153" t="str">
        <f t="shared" si="269"/>
        <v>-</v>
      </c>
      <c r="BJ228" s="153" t="str">
        <f t="shared" si="269"/>
        <v>-</v>
      </c>
      <c r="BK228" s="153" t="str">
        <f t="shared" ref="BK228:BL228" si="270">L236</f>
        <v>-</v>
      </c>
      <c r="BL228" s="153" t="str">
        <f t="shared" si="270"/>
        <v>-</v>
      </c>
      <c r="BM228" s="153">
        <f>N236</f>
        <v>0</v>
      </c>
      <c r="BN228" s="150"/>
      <c r="BO228" s="150"/>
      <c r="BP228" s="150"/>
      <c r="BQ228" s="150"/>
      <c r="BR228" s="150"/>
      <c r="BS228" s="150"/>
      <c r="BT228" s="150"/>
    </row>
    <row r="229" spans="1:72" ht="15" customHeight="1" outlineLevel="1" thickBot="1" x14ac:dyDescent="0.3">
      <c r="A229" s="40"/>
      <c r="B229" s="801"/>
      <c r="C229" s="741"/>
      <c r="D229" s="742"/>
      <c r="E229" s="104" t="s">
        <v>95</v>
      </c>
      <c r="F229" s="103" t="s">
        <v>5</v>
      </c>
      <c r="G229" s="103" t="s">
        <v>5</v>
      </c>
      <c r="H229" s="103" t="s">
        <v>5</v>
      </c>
      <c r="I229" s="103" t="s">
        <v>5</v>
      </c>
      <c r="J229" s="103" t="s">
        <v>5</v>
      </c>
      <c r="K229" s="174" t="s">
        <v>5</v>
      </c>
      <c r="L229" s="174" t="s">
        <v>5</v>
      </c>
      <c r="M229" s="103" t="s">
        <v>5</v>
      </c>
      <c r="N229" s="103" t="s">
        <v>5</v>
      </c>
      <c r="O229" s="749"/>
      <c r="P229" s="750"/>
      <c r="Q229" s="750"/>
      <c r="R229" s="750"/>
      <c r="S229" s="749"/>
      <c r="T229" s="750"/>
      <c r="U229" s="750"/>
      <c r="V229" s="754"/>
      <c r="W229" s="345"/>
      <c r="X229" s="345"/>
      <c r="Y229" s="743"/>
      <c r="Z229" s="743"/>
      <c r="AA229" s="743"/>
      <c r="AB229" s="743"/>
      <c r="AC229" s="743"/>
      <c r="AD229" s="743"/>
      <c r="AE229" s="743"/>
      <c r="AF229" s="743"/>
      <c r="AG229" s="743"/>
      <c r="AH229" s="743"/>
      <c r="BC229" s="155" t="str">
        <f t="shared" si="220"/>
        <v>-</v>
      </c>
      <c r="BD229" s="151" t="str">
        <f>$B238</f>
        <v>Total (SPF)</v>
      </c>
      <c r="BE229" s="153" t="str">
        <f t="shared" ref="BE229:BJ229" si="271">F241</f>
        <v>-</v>
      </c>
      <c r="BF229" s="153" t="str">
        <f t="shared" si="271"/>
        <v>-</v>
      </c>
      <c r="BG229" s="153" t="str">
        <f t="shared" si="271"/>
        <v>-</v>
      </c>
      <c r="BH229" s="153" t="str">
        <f t="shared" si="271"/>
        <v>-</v>
      </c>
      <c r="BI229" s="153" t="str">
        <f t="shared" si="271"/>
        <v>-</v>
      </c>
      <c r="BJ229" s="153" t="str">
        <f t="shared" si="271"/>
        <v>-</v>
      </c>
      <c r="BK229" s="153" t="str">
        <f t="shared" ref="BK229:BL229" si="272">L241</f>
        <v>-</v>
      </c>
      <c r="BL229" s="153" t="str">
        <f t="shared" si="272"/>
        <v>-</v>
      </c>
      <c r="BM229" s="153">
        <f>N241</f>
        <v>0</v>
      </c>
    </row>
    <row r="230" spans="1:72" ht="15" customHeight="1" outlineLevel="1" thickBot="1" x14ac:dyDescent="0.3">
      <c r="A230" s="40"/>
      <c r="B230" s="801"/>
      <c r="C230" s="764">
        <v>4</v>
      </c>
      <c r="D230" s="772" t="str">
        <f>IF(AND(F231="-",G231="-",H231="-",I231="-",J231="-",K231="-",K231="-",L231="-"),"-",MAX(F231,G231,H231,I231,J231,K231,L231,M231))</f>
        <v>-</v>
      </c>
      <c r="E230" s="66" t="s">
        <v>177</v>
      </c>
      <c r="F230" s="65" t="str">
        <f t="shared" ref="F230:K230" si="273">IF(OR(F229="-",F229=""),IF(OR(F228="-",F228=""),"-",F228),IF(OR(F228="-",F228=""),F229,(F228+F229)/2))</f>
        <v>-</v>
      </c>
      <c r="G230" s="65" t="str">
        <f t="shared" si="273"/>
        <v>-</v>
      </c>
      <c r="H230" s="65" t="str">
        <f t="shared" si="273"/>
        <v>-</v>
      </c>
      <c r="I230" s="65" t="str">
        <f t="shared" si="273"/>
        <v>-</v>
      </c>
      <c r="J230" s="65" t="str">
        <f t="shared" si="273"/>
        <v>-</v>
      </c>
      <c r="K230" s="167" t="str">
        <f t="shared" si="273"/>
        <v>-</v>
      </c>
      <c r="L230" s="167" t="str">
        <f t="shared" ref="L230" si="274">IF(OR(L229="-",L229=""),IF(OR(L228="-",L228=""),"-",L228),IF(OR(L228="-",L228=""),L229,(L228+L229)/2))</f>
        <v>-</v>
      </c>
      <c r="M230" s="65" t="s">
        <v>5</v>
      </c>
      <c r="N230" s="740"/>
      <c r="O230" s="749"/>
      <c r="P230" s="750"/>
      <c r="Q230" s="750"/>
      <c r="R230" s="750"/>
      <c r="S230" s="749"/>
      <c r="T230" s="750"/>
      <c r="U230" s="750"/>
      <c r="V230" s="754"/>
      <c r="W230" s="345"/>
      <c r="X230" s="345"/>
      <c r="Y230" s="743"/>
      <c r="Z230" s="743"/>
      <c r="AA230" s="743"/>
      <c r="AB230" s="743"/>
      <c r="AC230" s="743"/>
      <c r="AD230" s="743"/>
      <c r="AE230" s="743"/>
      <c r="AF230" s="743"/>
      <c r="AG230" s="743"/>
      <c r="AH230" s="743"/>
      <c r="BC230" s="155" t="str">
        <f t="shared" si="220"/>
        <v>-</v>
      </c>
      <c r="BD230" s="151" t="str">
        <f>"IEF " &amp;B213</f>
        <v>IEF City (unweighted)</v>
      </c>
      <c r="BE230" s="153">
        <f t="shared" ref="BE230:BM230" si="275">IF(OR($C215="-",$C215="CET",$C215=""),"-",$C215)</f>
        <v>4</v>
      </c>
      <c r="BF230" s="153">
        <f t="shared" si="275"/>
        <v>4</v>
      </c>
      <c r="BG230" s="153">
        <f t="shared" si="275"/>
        <v>4</v>
      </c>
      <c r="BH230" s="153">
        <f t="shared" si="275"/>
        <v>4</v>
      </c>
      <c r="BI230" s="153">
        <f t="shared" si="275"/>
        <v>4</v>
      </c>
      <c r="BJ230" s="153">
        <f t="shared" si="275"/>
        <v>4</v>
      </c>
      <c r="BK230" s="153">
        <f t="shared" ref="BK230:BL230" si="276">IF(OR($C215="-",$C215="CET",$C215=""),"-",$C215)</f>
        <v>4</v>
      </c>
      <c r="BL230" s="153">
        <f t="shared" si="276"/>
        <v>4</v>
      </c>
      <c r="BM230" s="153">
        <f t="shared" si="275"/>
        <v>4</v>
      </c>
    </row>
    <row r="231" spans="1:72" ht="15" customHeight="1" outlineLevel="1" thickBot="1" x14ac:dyDescent="0.3">
      <c r="A231" s="40"/>
      <c r="B231" s="801"/>
      <c r="C231" s="765"/>
      <c r="D231" s="773"/>
      <c r="E231" s="64" t="s">
        <v>97</v>
      </c>
      <c r="F231" s="63" t="str">
        <f t="shared" ref="F231:K231" si="277">IF(OR($C230="-",$C230="CET",$C230=""),"-",IF(AND(NOT(F230="-"),NOT(F$5="-"),NOT(F$5="")),F230/F$5,"-"))</f>
        <v>-</v>
      </c>
      <c r="G231" s="63" t="str">
        <f t="shared" si="277"/>
        <v>-</v>
      </c>
      <c r="H231" s="63" t="str">
        <f t="shared" si="277"/>
        <v>-</v>
      </c>
      <c r="I231" s="63" t="str">
        <f t="shared" si="277"/>
        <v>-</v>
      </c>
      <c r="J231" s="63" t="str">
        <f t="shared" si="277"/>
        <v>-</v>
      </c>
      <c r="K231" s="168" t="str">
        <f t="shared" si="277"/>
        <v>-</v>
      </c>
      <c r="L231" s="168" t="str">
        <f t="shared" ref="L231" si="278">IF(OR($C230="-",$C230="CET",$C230=""),"-",IF(AND(NOT(L230="-"),NOT(L$5="-"),NOT(L$5="")),L230/L$5,"-"))</f>
        <v>-</v>
      </c>
      <c r="M231" s="63" t="s">
        <v>5</v>
      </c>
      <c r="N231" s="741"/>
      <c r="O231" s="749"/>
      <c r="P231" s="750"/>
      <c r="Q231" s="750"/>
      <c r="R231" s="750"/>
      <c r="S231" s="749"/>
      <c r="T231" s="750"/>
      <c r="U231" s="750"/>
      <c r="V231" s="754"/>
      <c r="W231" s="345"/>
      <c r="X231" s="345"/>
      <c r="Y231" s="743"/>
      <c r="Z231" s="743"/>
      <c r="AA231" s="743"/>
      <c r="AB231" s="743"/>
      <c r="AC231" s="743"/>
      <c r="AD231" s="743"/>
      <c r="AE231" s="743"/>
      <c r="AF231" s="743"/>
      <c r="AG231" s="743"/>
      <c r="AH231" s="743"/>
      <c r="BC231" s="155" t="str">
        <f t="shared" si="220"/>
        <v>-</v>
      </c>
      <c r="BD231" s="151" t="str">
        <f>"IEF " &amp; B218</f>
        <v>IEF City (EMROAD)</v>
      </c>
      <c r="BE231" s="153">
        <f t="shared" ref="BE231:BM231" si="279">IF(OR($C220="-",$C220="CET",$C220=""),"-",$C220)</f>
        <v>4</v>
      </c>
      <c r="BF231" s="153">
        <f t="shared" si="279"/>
        <v>4</v>
      </c>
      <c r="BG231" s="153">
        <f t="shared" si="279"/>
        <v>4</v>
      </c>
      <c r="BH231" s="153">
        <f t="shared" si="279"/>
        <v>4</v>
      </c>
      <c r="BI231" s="153">
        <f t="shared" si="279"/>
        <v>4</v>
      </c>
      <c r="BJ231" s="153">
        <f t="shared" si="279"/>
        <v>4</v>
      </c>
      <c r="BK231" s="153">
        <f t="shared" ref="BK231:BL231" si="280">IF(OR($C220="-",$C220="CET",$C220=""),"-",$C220)</f>
        <v>4</v>
      </c>
      <c r="BL231" s="153">
        <f t="shared" si="280"/>
        <v>4</v>
      </c>
      <c r="BM231" s="153">
        <f t="shared" si="279"/>
        <v>4</v>
      </c>
    </row>
    <row r="232" spans="1:72" ht="15" customHeight="1" outlineLevel="1" thickBot="1" x14ac:dyDescent="0.3">
      <c r="A232" s="40"/>
      <c r="B232" s="802"/>
      <c r="C232" s="771"/>
      <c r="D232" s="774"/>
      <c r="E232" s="62" t="s">
        <v>30</v>
      </c>
      <c r="F232" s="62" t="str">
        <f t="shared" ref="F232:L232" si="281">IF(AND(OR(F228="-",F228=""),OR(F229="-",F229="")),"-",IF(OR($C230="-",$C230="",$C230="CET"),"-",IF($R$209="not listed","-",IF(NOT(F$5="-"),IF(AND(AND(NOT(F228=0),NOT(F228="-"),NOT(F228="")),AND(NOT(F229="-"),NOT(F229=0),NOT(F229=""))),IF(AND((F228+F229)/2&lt;1*F$5*IF(OR($C230="CET",$C230="-",$C230=""),"-",$C230),F228&lt;1.1*F$5*IF(OR($C230="CET",$C230="-",$C230=""),"-",$C230),F229&lt;1.1*F$5*IF(OR($C230="CET",$C230="-",$C230=""),"-",$C230)),"passed","refused"),IF(IF(OR(F228="-",F228=""),F229,F228)&lt;0.7*F$5*IF(OR($C230="CET",$C230="-",$C230=""),"-",$C230),"passed",IF(IF(OR(F228="-",F228=""),F229,F228)&lt;1.1*IF(OR($C230="CET",$C230="-",$C230=""),"-",$C230)*F$5,"failed","refused"))),"-"))))</f>
        <v>-</v>
      </c>
      <c r="G232" s="62" t="str">
        <f t="shared" si="281"/>
        <v>-</v>
      </c>
      <c r="H232" s="62" t="str">
        <f t="shared" si="281"/>
        <v>-</v>
      </c>
      <c r="I232" s="62" t="str">
        <f t="shared" si="281"/>
        <v>-</v>
      </c>
      <c r="J232" s="62" t="str">
        <f t="shared" si="281"/>
        <v>-</v>
      </c>
      <c r="K232" s="169" t="str">
        <f t="shared" si="281"/>
        <v>-</v>
      </c>
      <c r="L232" s="169" t="str">
        <f t="shared" si="281"/>
        <v>-</v>
      </c>
      <c r="M232" s="62" t="s">
        <v>5</v>
      </c>
      <c r="N232" s="742"/>
      <c r="O232" s="749"/>
      <c r="P232" s="750"/>
      <c r="Q232" s="750"/>
      <c r="R232" s="750"/>
      <c r="S232" s="749"/>
      <c r="T232" s="750"/>
      <c r="U232" s="750"/>
      <c r="V232" s="754"/>
      <c r="W232" s="345"/>
      <c r="X232" s="345"/>
      <c r="Y232" s="743"/>
      <c r="Z232" s="743"/>
      <c r="AA232" s="743"/>
      <c r="AB232" s="743"/>
      <c r="AC232" s="743"/>
      <c r="AD232" s="743"/>
      <c r="AE232" s="743"/>
      <c r="AF232" s="743"/>
      <c r="AG232" s="743"/>
      <c r="AH232" s="743"/>
      <c r="BC232" s="155" t="str">
        <f t="shared" si="220"/>
        <v>-</v>
      </c>
      <c r="BD232" s="151" t="str">
        <f>"IEF " &amp; B223</f>
        <v>IEF City
 (SPF)</v>
      </c>
      <c r="BE232" s="153">
        <f t="shared" ref="BE232:BM232" si="282">IF(OR($C225="-",$C225="CET",$C225=""),"-",$C225)</f>
        <v>4</v>
      </c>
      <c r="BF232" s="153">
        <f t="shared" si="282"/>
        <v>4</v>
      </c>
      <c r="BG232" s="153">
        <f t="shared" si="282"/>
        <v>4</v>
      </c>
      <c r="BH232" s="153">
        <f t="shared" si="282"/>
        <v>4</v>
      </c>
      <c r="BI232" s="153">
        <f t="shared" si="282"/>
        <v>4</v>
      </c>
      <c r="BJ232" s="153">
        <f t="shared" si="282"/>
        <v>4</v>
      </c>
      <c r="BK232" s="153">
        <f t="shared" ref="BK232:BL232" si="283">IF(OR($C225="-",$C225="CET",$C225=""),"-",$C225)</f>
        <v>4</v>
      </c>
      <c r="BL232" s="153">
        <f t="shared" si="283"/>
        <v>4</v>
      </c>
      <c r="BM232" s="153">
        <f t="shared" si="282"/>
        <v>4</v>
      </c>
    </row>
    <row r="233" spans="1:72" s="50" customFormat="1" ht="15" customHeight="1" outlineLevel="1" x14ac:dyDescent="0.25">
      <c r="A233" s="52"/>
      <c r="B233" s="800" t="s">
        <v>104</v>
      </c>
      <c r="C233" s="770" t="s">
        <v>114</v>
      </c>
      <c r="D233" s="770" t="s">
        <v>113</v>
      </c>
      <c r="E233" s="106" t="s">
        <v>94</v>
      </c>
      <c r="F233" s="105" t="s">
        <v>5</v>
      </c>
      <c r="G233" s="105" t="s">
        <v>5</v>
      </c>
      <c r="H233" s="105" t="s">
        <v>5</v>
      </c>
      <c r="I233" s="105" t="s">
        <v>5</v>
      </c>
      <c r="J233" s="105" t="s">
        <v>5</v>
      </c>
      <c r="K233" s="173" t="s">
        <v>5</v>
      </c>
      <c r="L233" s="173" t="s">
        <v>5</v>
      </c>
      <c r="M233" s="105" t="s">
        <v>5</v>
      </c>
      <c r="N233" s="105" t="s">
        <v>5</v>
      </c>
      <c r="O233" s="749"/>
      <c r="P233" s="750"/>
      <c r="Q233" s="750"/>
      <c r="R233" s="750"/>
      <c r="S233" s="749"/>
      <c r="T233" s="750"/>
      <c r="U233" s="750"/>
      <c r="V233" s="754"/>
      <c r="W233" s="51"/>
      <c r="X233" s="51"/>
      <c r="Y233" s="743"/>
      <c r="Z233" s="743"/>
      <c r="AA233" s="743"/>
      <c r="AB233" s="743"/>
      <c r="AC233" s="743"/>
      <c r="AD233" s="743"/>
      <c r="AE233" s="743"/>
      <c r="AF233" s="743"/>
      <c r="AG233" s="743"/>
      <c r="AH233" s="743"/>
      <c r="BC233" s="155" t="str">
        <f>IF(COUNTIF(F233:M233,"refused")&gt;0,"refused",IF(COUNTIF(F233:M233,"failed")&gt;0,"failed",IF(COUNTIF(F233:M233,"passed")&gt;0,"passed","-")))</f>
        <v>-</v>
      </c>
      <c r="BD233" s="151" t="str">
        <f>"IEF " &amp; B228</f>
        <v>IEF Total (unweighted)</v>
      </c>
      <c r="BE233" s="153">
        <f t="shared" ref="BE233:BM233" si="284">IF(OR($C230="-",$C230="CET",$C230=""),"-",$C230)</f>
        <v>4</v>
      </c>
      <c r="BF233" s="153">
        <f t="shared" si="284"/>
        <v>4</v>
      </c>
      <c r="BG233" s="153">
        <f t="shared" si="284"/>
        <v>4</v>
      </c>
      <c r="BH233" s="153">
        <f t="shared" si="284"/>
        <v>4</v>
      </c>
      <c r="BI233" s="153">
        <f t="shared" si="284"/>
        <v>4</v>
      </c>
      <c r="BJ233" s="153">
        <f t="shared" si="284"/>
        <v>4</v>
      </c>
      <c r="BK233" s="153">
        <f t="shared" ref="BK233:BL233" si="285">IF(OR($C230="-",$C230="CET",$C230=""),"-",$C230)</f>
        <v>4</v>
      </c>
      <c r="BL233" s="153">
        <f t="shared" si="285"/>
        <v>4</v>
      </c>
      <c r="BM233" s="153">
        <f t="shared" si="284"/>
        <v>4</v>
      </c>
      <c r="BN233" s="150"/>
      <c r="BO233" s="150"/>
      <c r="BP233" s="150"/>
      <c r="BQ233" s="150"/>
      <c r="BR233" s="150"/>
      <c r="BS233" s="150"/>
      <c r="BT233" s="150"/>
    </row>
    <row r="234" spans="1:72" ht="15" customHeight="1" outlineLevel="1" thickBot="1" x14ac:dyDescent="0.3">
      <c r="A234" s="40"/>
      <c r="B234" s="801"/>
      <c r="C234" s="741"/>
      <c r="D234" s="742"/>
      <c r="E234" s="104" t="s">
        <v>95</v>
      </c>
      <c r="F234" s="103" t="s">
        <v>5</v>
      </c>
      <c r="G234" s="103" t="s">
        <v>5</v>
      </c>
      <c r="H234" s="103" t="s">
        <v>5</v>
      </c>
      <c r="I234" s="103" t="s">
        <v>5</v>
      </c>
      <c r="J234" s="103" t="s">
        <v>5</v>
      </c>
      <c r="K234" s="174" t="s">
        <v>5</v>
      </c>
      <c r="L234" s="174" t="s">
        <v>5</v>
      </c>
      <c r="M234" s="103" t="s">
        <v>5</v>
      </c>
      <c r="N234" s="103" t="s">
        <v>5</v>
      </c>
      <c r="O234" s="749"/>
      <c r="P234" s="750"/>
      <c r="Q234" s="750"/>
      <c r="R234" s="750"/>
      <c r="S234" s="749"/>
      <c r="T234" s="750"/>
      <c r="U234" s="750"/>
      <c r="V234" s="754"/>
      <c r="W234" s="345"/>
      <c r="X234" s="345"/>
      <c r="Y234" s="743"/>
      <c r="Z234" s="743"/>
      <c r="AA234" s="743"/>
      <c r="AB234" s="743"/>
      <c r="AC234" s="743"/>
      <c r="AD234" s="743"/>
      <c r="AE234" s="743"/>
      <c r="AF234" s="743"/>
      <c r="AG234" s="743"/>
      <c r="AH234" s="743"/>
      <c r="BC234" s="155" t="str">
        <f t="shared" si="220"/>
        <v>-</v>
      </c>
      <c r="BD234" s="151" t="str">
        <f>"IEF " &amp; B233</f>
        <v>IEF Total (EMROAD)</v>
      </c>
      <c r="BE234" s="153">
        <f t="shared" ref="BE234:BM234" si="286">IF(OR($C235="-",$C235="CET",$C235=""),"-",$C235)</f>
        <v>4</v>
      </c>
      <c r="BF234" s="153">
        <f t="shared" si="286"/>
        <v>4</v>
      </c>
      <c r="BG234" s="153">
        <f t="shared" si="286"/>
        <v>4</v>
      </c>
      <c r="BH234" s="153">
        <f t="shared" si="286"/>
        <v>4</v>
      </c>
      <c r="BI234" s="153">
        <f t="shared" si="286"/>
        <v>4</v>
      </c>
      <c r="BJ234" s="153">
        <f t="shared" si="286"/>
        <v>4</v>
      </c>
      <c r="BK234" s="153">
        <f t="shared" si="286"/>
        <v>4</v>
      </c>
      <c r="BL234" s="153">
        <f t="shared" si="286"/>
        <v>4</v>
      </c>
      <c r="BM234" s="153">
        <f t="shared" si="286"/>
        <v>4</v>
      </c>
    </row>
    <row r="235" spans="1:72" ht="15" customHeight="1" outlineLevel="1" thickBot="1" x14ac:dyDescent="0.3">
      <c r="A235" s="40"/>
      <c r="B235" s="801"/>
      <c r="C235" s="764">
        <v>4</v>
      </c>
      <c r="D235" s="772" t="str">
        <f>IF(AND(F236="-",G236="-",H236="-",I236="-",J236="-",K236="-",K236="-",L236="-"),"-",MAX(F236,G236,H236,I236,J236,K236,L236,M236))</f>
        <v>-</v>
      </c>
      <c r="E235" s="66" t="s">
        <v>177</v>
      </c>
      <c r="F235" s="65" t="str">
        <f t="shared" ref="F235:K235" si="287">IF(OR(F234="-",F234=""),IF(OR(F233="-",F233=""),"-",F233),IF(OR(F233="-",F233=""),F234,(F233+F234)/2))</f>
        <v>-</v>
      </c>
      <c r="G235" s="65" t="str">
        <f t="shared" si="287"/>
        <v>-</v>
      </c>
      <c r="H235" s="65" t="str">
        <f t="shared" si="287"/>
        <v>-</v>
      </c>
      <c r="I235" s="65" t="str">
        <f t="shared" si="287"/>
        <v>-</v>
      </c>
      <c r="J235" s="65" t="str">
        <f t="shared" si="287"/>
        <v>-</v>
      </c>
      <c r="K235" s="167" t="str">
        <f t="shared" si="287"/>
        <v>-</v>
      </c>
      <c r="L235" s="167" t="str">
        <f t="shared" ref="L235" si="288">IF(OR(L234="-",L234=""),IF(OR(L233="-",L233=""),"-",L233),IF(OR(L233="-",L233=""),L234,(L233+L234)/2))</f>
        <v>-</v>
      </c>
      <c r="M235" s="65" t="s">
        <v>5</v>
      </c>
      <c r="N235" s="740"/>
      <c r="O235" s="749"/>
      <c r="P235" s="750"/>
      <c r="Q235" s="750"/>
      <c r="R235" s="750"/>
      <c r="S235" s="749"/>
      <c r="T235" s="750"/>
      <c r="U235" s="750"/>
      <c r="V235" s="754"/>
      <c r="W235" s="345"/>
      <c r="X235" s="345"/>
      <c r="Y235" s="743"/>
      <c r="Z235" s="743"/>
      <c r="AA235" s="743"/>
      <c r="AB235" s="743"/>
      <c r="AC235" s="743"/>
      <c r="AD235" s="743"/>
      <c r="AE235" s="743"/>
      <c r="AF235" s="743"/>
      <c r="AG235" s="743"/>
      <c r="AH235" s="743"/>
      <c r="BC235" s="155" t="str">
        <f t="shared" si="220"/>
        <v>-</v>
      </c>
      <c r="BD235" s="151" t="str">
        <f>"IEF " &amp; B238</f>
        <v>IEF Total (SPF)</v>
      </c>
      <c r="BE235" s="153">
        <f t="shared" ref="BE235:BM235" si="289">IF(OR($C240="-",$C240="CET",$C240=""),"-",$C240)</f>
        <v>4</v>
      </c>
      <c r="BF235" s="153">
        <f t="shared" si="289"/>
        <v>4</v>
      </c>
      <c r="BG235" s="153">
        <f t="shared" si="289"/>
        <v>4</v>
      </c>
      <c r="BH235" s="153">
        <f t="shared" si="289"/>
        <v>4</v>
      </c>
      <c r="BI235" s="153">
        <f t="shared" si="289"/>
        <v>4</v>
      </c>
      <c r="BJ235" s="153">
        <f t="shared" si="289"/>
        <v>4</v>
      </c>
      <c r="BK235" s="153">
        <f t="shared" ref="BK235:BL235" si="290">IF(OR($C240="-",$C240="CET",$C240=""),"-",$C240)</f>
        <v>4</v>
      </c>
      <c r="BL235" s="153">
        <f t="shared" si="290"/>
        <v>4</v>
      </c>
      <c r="BM235" s="153">
        <f t="shared" si="289"/>
        <v>4</v>
      </c>
    </row>
    <row r="236" spans="1:72" ht="15" customHeight="1" outlineLevel="1" thickBot="1" x14ac:dyDescent="0.3">
      <c r="A236" s="40"/>
      <c r="B236" s="801"/>
      <c r="C236" s="765"/>
      <c r="D236" s="773"/>
      <c r="E236" s="64" t="s">
        <v>97</v>
      </c>
      <c r="F236" s="63" t="str">
        <f t="shared" ref="F236:K236" si="291">IF(OR($C235="-",$C235="CET",$C235=""),"-",IF(AND(NOT(F235="-"),NOT(F$5="-"),NOT(F$5="")),F235/F$5,"-"))</f>
        <v>-</v>
      </c>
      <c r="G236" s="63" t="str">
        <f t="shared" si="291"/>
        <v>-</v>
      </c>
      <c r="H236" s="63" t="str">
        <f t="shared" si="291"/>
        <v>-</v>
      </c>
      <c r="I236" s="63" t="str">
        <f t="shared" si="291"/>
        <v>-</v>
      </c>
      <c r="J236" s="63" t="str">
        <f t="shared" si="291"/>
        <v>-</v>
      </c>
      <c r="K236" s="168" t="str">
        <f t="shared" si="291"/>
        <v>-</v>
      </c>
      <c r="L236" s="168" t="str">
        <f t="shared" ref="L236" si="292">IF(OR($C235="-",$C235="CET",$C235=""),"-",IF(AND(NOT(L235="-"),NOT(L$5="-"),NOT(L$5="")),L235/L$5,"-"))</f>
        <v>-</v>
      </c>
      <c r="M236" s="63" t="s">
        <v>5</v>
      </c>
      <c r="N236" s="741"/>
      <c r="O236" s="749"/>
      <c r="P236" s="750"/>
      <c r="Q236" s="750"/>
      <c r="R236" s="750"/>
      <c r="S236" s="749"/>
      <c r="T236" s="750"/>
      <c r="U236" s="750"/>
      <c r="V236" s="754"/>
      <c r="W236" s="345"/>
      <c r="X236" s="345"/>
      <c r="Y236" s="743"/>
      <c r="Z236" s="743"/>
      <c r="AA236" s="743"/>
      <c r="AB236" s="743"/>
      <c r="AC236" s="743"/>
      <c r="AD236" s="743"/>
      <c r="AE236" s="743"/>
      <c r="AF236" s="743"/>
      <c r="AG236" s="743"/>
      <c r="AH236" s="743"/>
      <c r="BC236" s="155" t="str">
        <f t="shared" si="220"/>
        <v>-</v>
      </c>
    </row>
    <row r="237" spans="1:72" ht="15" customHeight="1" outlineLevel="1" thickBot="1" x14ac:dyDescent="0.3">
      <c r="A237" s="40"/>
      <c r="B237" s="802"/>
      <c r="C237" s="771"/>
      <c r="D237" s="774"/>
      <c r="E237" s="62" t="s">
        <v>30</v>
      </c>
      <c r="F237" s="62" t="str">
        <f t="shared" ref="F237:L237" si="293">IF(AND(OR(F233="-",F233=""),OR(F234="-",F234="")),"-",IF(OR($C235="-",$C235="",$C235="CET"),"-",IF($R$209="not listed","-",IF(NOT(F$5="-"),IF(AND(AND(NOT(F233=0),NOT(F233="-"),NOT(F233="")),AND(NOT(F234="-"),NOT(F234=0),NOT(F234=""))),IF(AND((F233+F234)/2&lt;1*F$5*IF(OR($C235="CET",$C235="-",$C235=""),"-",$C235),F233&lt;1.1*F$5*IF(OR($C235="CET",$C235="-",$C235=""),"-",$C235),F234&lt;1.1*F$5*IF(OR($C235="CET",$C235="-",$C235=""),"-",$C235)),"passed","refused"),IF(IF(OR(F233="-",F233=""),F234,F233)&lt;0.7*F$5*IF(OR($C235="CET",$C235="-",$C235=""),"-",$C235),"passed",IF(IF(OR(F233="-",F233=""),F234,F233)&lt;1.1*IF(OR($C235="CET",$C235="-",$C235=""),"-",$C235)*F$5,"failed","refused"))),"-"))))</f>
        <v>-</v>
      </c>
      <c r="G237" s="62" t="str">
        <f t="shared" si="293"/>
        <v>-</v>
      </c>
      <c r="H237" s="62" t="str">
        <f t="shared" si="293"/>
        <v>-</v>
      </c>
      <c r="I237" s="62" t="str">
        <f t="shared" si="293"/>
        <v>-</v>
      </c>
      <c r="J237" s="62" t="str">
        <f t="shared" si="293"/>
        <v>-</v>
      </c>
      <c r="K237" s="169" t="str">
        <f t="shared" si="293"/>
        <v>-</v>
      </c>
      <c r="L237" s="169" t="str">
        <f t="shared" si="293"/>
        <v>-</v>
      </c>
      <c r="M237" s="62" t="s">
        <v>5</v>
      </c>
      <c r="N237" s="742"/>
      <c r="O237" s="749"/>
      <c r="P237" s="750"/>
      <c r="Q237" s="750"/>
      <c r="R237" s="750"/>
      <c r="S237" s="749"/>
      <c r="T237" s="750"/>
      <c r="U237" s="750"/>
      <c r="V237" s="754"/>
      <c r="W237" s="345"/>
      <c r="X237" s="345"/>
      <c r="Y237" s="743"/>
      <c r="Z237" s="743"/>
      <c r="AA237" s="743"/>
      <c r="AB237" s="743"/>
      <c r="AC237" s="743"/>
      <c r="AD237" s="743"/>
      <c r="AE237" s="743"/>
      <c r="AF237" s="743"/>
      <c r="AG237" s="743"/>
      <c r="AH237" s="743"/>
      <c r="BC237" s="155" t="str">
        <f t="shared" si="220"/>
        <v>-</v>
      </c>
      <c r="BD237" s="156"/>
      <c r="BE237" s="156"/>
      <c r="BF237" s="156"/>
      <c r="BG237" s="156"/>
      <c r="BH237" s="156"/>
      <c r="BI237" s="156"/>
      <c r="BJ237" s="156"/>
      <c r="BK237" s="156"/>
      <c r="BL237" s="156"/>
      <c r="BM237" s="156"/>
    </row>
    <row r="238" spans="1:72" s="50" customFormat="1" ht="15" customHeight="1" outlineLevel="1" x14ac:dyDescent="0.25">
      <c r="A238" s="52"/>
      <c r="B238" s="797" t="s">
        <v>140</v>
      </c>
      <c r="C238" s="770" t="s">
        <v>114</v>
      </c>
      <c r="D238" s="770" t="s">
        <v>113</v>
      </c>
      <c r="E238" s="106" t="s">
        <v>94</v>
      </c>
      <c r="F238" s="105" t="s">
        <v>5</v>
      </c>
      <c r="G238" s="105" t="s">
        <v>5</v>
      </c>
      <c r="H238" s="105" t="s">
        <v>5</v>
      </c>
      <c r="I238" s="105" t="s">
        <v>5</v>
      </c>
      <c r="J238" s="105" t="s">
        <v>5</v>
      </c>
      <c r="K238" s="173" t="s">
        <v>5</v>
      </c>
      <c r="L238" s="173" t="s">
        <v>5</v>
      </c>
      <c r="M238" s="105" t="s">
        <v>5</v>
      </c>
      <c r="N238" s="105" t="s">
        <v>5</v>
      </c>
      <c r="O238" s="749"/>
      <c r="P238" s="750"/>
      <c r="Q238" s="750"/>
      <c r="R238" s="750"/>
      <c r="S238" s="749"/>
      <c r="T238" s="750"/>
      <c r="U238" s="750"/>
      <c r="V238" s="754"/>
      <c r="W238" s="51"/>
      <c r="X238" s="51"/>
      <c r="Y238" s="743"/>
      <c r="Z238" s="743"/>
      <c r="AA238" s="743"/>
      <c r="AB238" s="743"/>
      <c r="AC238" s="743"/>
      <c r="AD238" s="743"/>
      <c r="AE238" s="743"/>
      <c r="AF238" s="743"/>
      <c r="AG238" s="743"/>
      <c r="AH238" s="743"/>
      <c r="BC238" s="155" t="str">
        <f t="shared" si="220"/>
        <v>-</v>
      </c>
      <c r="BD238" s="156"/>
      <c r="BE238" s="156"/>
      <c r="BF238" s="156"/>
      <c r="BG238" s="156"/>
      <c r="BH238" s="156"/>
      <c r="BI238" s="156"/>
      <c r="BJ238" s="156"/>
      <c r="BK238" s="156"/>
      <c r="BL238" s="156"/>
      <c r="BM238" s="156"/>
      <c r="BN238" s="150"/>
      <c r="BO238" s="150"/>
      <c r="BP238" s="150"/>
      <c r="BQ238" s="150"/>
      <c r="BR238" s="150"/>
      <c r="BS238" s="150"/>
      <c r="BT238" s="150"/>
    </row>
    <row r="239" spans="1:72" ht="15" customHeight="1" outlineLevel="1" thickBot="1" x14ac:dyDescent="0.3">
      <c r="A239" s="40"/>
      <c r="B239" s="798"/>
      <c r="C239" s="741"/>
      <c r="D239" s="742"/>
      <c r="E239" s="104" t="s">
        <v>95</v>
      </c>
      <c r="F239" s="103" t="s">
        <v>5</v>
      </c>
      <c r="G239" s="103" t="s">
        <v>5</v>
      </c>
      <c r="H239" s="103" t="s">
        <v>5</v>
      </c>
      <c r="I239" s="103" t="s">
        <v>5</v>
      </c>
      <c r="J239" s="103" t="s">
        <v>5</v>
      </c>
      <c r="K239" s="174" t="s">
        <v>5</v>
      </c>
      <c r="L239" s="174" t="s">
        <v>5</v>
      </c>
      <c r="M239" s="103" t="s">
        <v>5</v>
      </c>
      <c r="N239" s="103" t="s">
        <v>5</v>
      </c>
      <c r="O239" s="749"/>
      <c r="P239" s="750"/>
      <c r="Q239" s="750"/>
      <c r="R239" s="750"/>
      <c r="S239" s="749"/>
      <c r="T239" s="750"/>
      <c r="U239" s="750"/>
      <c r="V239" s="754"/>
      <c r="W239" s="345"/>
      <c r="X239" s="345"/>
      <c r="Y239" s="743"/>
      <c r="Z239" s="743"/>
      <c r="AA239" s="743"/>
      <c r="AB239" s="743"/>
      <c r="AC239" s="743"/>
      <c r="AD239" s="743"/>
      <c r="AE239" s="743"/>
      <c r="AF239" s="743"/>
      <c r="AG239" s="743"/>
      <c r="AH239" s="743"/>
      <c r="BC239" s="155" t="str">
        <f t="shared" si="220"/>
        <v>-</v>
      </c>
      <c r="BD239" s="157"/>
      <c r="BE239" s="157"/>
      <c r="BF239" s="157"/>
      <c r="BG239" s="157"/>
      <c r="BH239" s="157"/>
      <c r="BI239" s="157"/>
      <c r="BJ239" s="157"/>
      <c r="BK239" s="157"/>
      <c r="BL239" s="157"/>
      <c r="BM239" s="157"/>
    </row>
    <row r="240" spans="1:72" ht="15" customHeight="1" outlineLevel="1" thickBot="1" x14ac:dyDescent="0.3">
      <c r="A240" s="40"/>
      <c r="B240" s="798"/>
      <c r="C240" s="764">
        <v>4</v>
      </c>
      <c r="D240" s="772" t="str">
        <f>IF(AND(F241="-",G241="-",H241="-",I241="-",J241="-",K241="-",K241="-",L241="-"),"-",MAX(F241,G241,H241,I241,J241,K241,L241,M241))</f>
        <v>-</v>
      </c>
      <c r="E240" s="66" t="s">
        <v>177</v>
      </c>
      <c r="F240" s="65" t="str">
        <f t="shared" ref="F240:K240" si="294">IF(OR(F239="-",F239=""),IF(OR(F238="-",F238=""),"-",F238),IF(OR(F238="-",F238=""),F239,(F238+F239)/2))</f>
        <v>-</v>
      </c>
      <c r="G240" s="65" t="str">
        <f t="shared" si="294"/>
        <v>-</v>
      </c>
      <c r="H240" s="65" t="str">
        <f t="shared" si="294"/>
        <v>-</v>
      </c>
      <c r="I240" s="65" t="str">
        <f t="shared" si="294"/>
        <v>-</v>
      </c>
      <c r="J240" s="65" t="str">
        <f t="shared" si="294"/>
        <v>-</v>
      </c>
      <c r="K240" s="167" t="str">
        <f t="shared" si="294"/>
        <v>-</v>
      </c>
      <c r="L240" s="167" t="str">
        <f t="shared" ref="L240" si="295">IF(OR(L239="-",L239=""),IF(OR(L238="-",L238=""),"-",L238),IF(OR(L238="-",L238=""),L239,(L238+L239)/2))</f>
        <v>-</v>
      </c>
      <c r="M240" s="65" t="s">
        <v>5</v>
      </c>
      <c r="N240" s="740"/>
      <c r="O240" s="749"/>
      <c r="P240" s="750"/>
      <c r="Q240" s="750"/>
      <c r="R240" s="750"/>
      <c r="S240" s="749"/>
      <c r="T240" s="750"/>
      <c r="U240" s="750"/>
      <c r="V240" s="754"/>
      <c r="W240" s="345"/>
      <c r="X240" s="345"/>
      <c r="Y240" s="743"/>
      <c r="Z240" s="743"/>
      <c r="AA240" s="743"/>
      <c r="AB240" s="743"/>
      <c r="AC240" s="743"/>
      <c r="AD240" s="743"/>
      <c r="AE240" s="743"/>
      <c r="AF240" s="743"/>
      <c r="AG240" s="743"/>
      <c r="AH240" s="743"/>
      <c r="BC240" s="155" t="str">
        <f t="shared" si="220"/>
        <v>-</v>
      </c>
      <c r="BD240" s="157"/>
      <c r="BE240" s="157"/>
      <c r="BF240" s="157"/>
      <c r="BG240" s="157"/>
      <c r="BH240" s="157"/>
      <c r="BI240" s="157"/>
      <c r="BJ240" s="157"/>
      <c r="BK240" s="157"/>
      <c r="BL240" s="157"/>
      <c r="BM240" s="157"/>
    </row>
    <row r="241" spans="2:55" ht="15.75" outlineLevel="1" thickBot="1" x14ac:dyDescent="0.3">
      <c r="B241" s="798"/>
      <c r="C241" s="765"/>
      <c r="D241" s="773"/>
      <c r="E241" s="64" t="s">
        <v>97</v>
      </c>
      <c r="F241" s="63" t="str">
        <f t="shared" ref="F241:K241" si="296">IF(OR($C240="-",$C240="CET",$C240=""),"-",IF(AND(NOT(F240="-"),NOT(F$5="-"),NOT(F$5="")),F240/F$5,"-"))</f>
        <v>-</v>
      </c>
      <c r="G241" s="63" t="str">
        <f t="shared" si="296"/>
        <v>-</v>
      </c>
      <c r="H241" s="63" t="str">
        <f t="shared" si="296"/>
        <v>-</v>
      </c>
      <c r="I241" s="63" t="str">
        <f t="shared" si="296"/>
        <v>-</v>
      </c>
      <c r="J241" s="63" t="str">
        <f t="shared" si="296"/>
        <v>-</v>
      </c>
      <c r="K241" s="168" t="str">
        <f t="shared" si="296"/>
        <v>-</v>
      </c>
      <c r="L241" s="168" t="str">
        <f t="shared" ref="L241" si="297">IF(OR($C240="-",$C240="CET",$C240=""),"-",IF(AND(NOT(L240="-"),NOT(L$5="-"),NOT(L$5="")),L240/L$5,"-"))</f>
        <v>-</v>
      </c>
      <c r="M241" s="63" t="s">
        <v>5</v>
      </c>
      <c r="N241" s="741"/>
      <c r="O241" s="749"/>
      <c r="P241" s="750"/>
      <c r="Q241" s="750"/>
      <c r="R241" s="750"/>
      <c r="S241" s="749"/>
      <c r="T241" s="750"/>
      <c r="U241" s="750"/>
      <c r="V241" s="754"/>
      <c r="BC241" s="155" t="str">
        <f t="shared" si="220"/>
        <v>-</v>
      </c>
    </row>
    <row r="242" spans="2:55" ht="15.75" outlineLevel="1" thickBot="1" x14ac:dyDescent="0.3">
      <c r="B242" s="799"/>
      <c r="C242" s="771"/>
      <c r="D242" s="774"/>
      <c r="E242" s="62" t="s">
        <v>30</v>
      </c>
      <c r="F242" s="62" t="str">
        <f t="shared" ref="F242:L242" si="298">IF(AND(OR(F238="-",F238=""),OR(F239="-",F239="")),"-",IF(OR($C240="-",$C240="",$C240="CET"),"-",IF($R$209="not listed","-",IF(NOT(F$5="-"),IF(AND(AND(NOT(F238=0),NOT(F238="-"),NOT(F238="")),AND(NOT(F239="-"),NOT(F239=0),NOT(F239=""))),IF(AND((F238+F239)/2&lt;1*F$5*IF(OR($C240="CET",$C240="-",$C240=""),"-",$C240),F238&lt;1.1*F$5*IF(OR($C240="CET",$C240="-",$C240=""),"-",$C240),F239&lt;1.1*F$5*IF(OR($C240="CET",$C240="-",$C240=""),"-",$C240)),"passed","refused"),IF(IF(OR(F238="-",F238=""),F239,F238)&lt;0.7*F$5*IF(OR($C240="CET",$C240="-",$C240=""),"-",$C240),"passed",IF(IF(OR(F238="-",F238=""),F239,F238)&lt;1.1*IF(OR($C240="CET",$C240="-",$C240=""),"-",$C240)*F$5,"failed","refused"))),"-"))))</f>
        <v>-</v>
      </c>
      <c r="G242" s="62" t="str">
        <f t="shared" si="298"/>
        <v>-</v>
      </c>
      <c r="H242" s="62" t="str">
        <f t="shared" si="298"/>
        <v>-</v>
      </c>
      <c r="I242" s="62" t="str">
        <f t="shared" si="298"/>
        <v>-</v>
      </c>
      <c r="J242" s="62" t="str">
        <f t="shared" si="298"/>
        <v>-</v>
      </c>
      <c r="K242" s="169" t="str">
        <f t="shared" si="298"/>
        <v>-</v>
      </c>
      <c r="L242" s="169" t="str">
        <f t="shared" si="298"/>
        <v>-</v>
      </c>
      <c r="M242" s="62" t="s">
        <v>5</v>
      </c>
      <c r="N242" s="742"/>
      <c r="O242" s="751"/>
      <c r="P242" s="752"/>
      <c r="Q242" s="752"/>
      <c r="R242" s="752"/>
      <c r="S242" s="751"/>
      <c r="T242" s="752"/>
      <c r="U242" s="752"/>
      <c r="V242" s="755"/>
      <c r="BC242" s="155" t="str">
        <f t="shared" si="220"/>
        <v>-</v>
      </c>
    </row>
  </sheetData>
  <sheetProtection algorithmName="SHA-512" hashValue="Y3LXrQckhil9gRE96Xad3+3GKr1wBmaYuBt4uuO+gf90UAk6yRZW/XOtivsQ7ZU+Cjwk9KvJhVRjzI7DnOOU4w==" saltValue="BAeqjTOOQOjHH+z+CJ6nZQ==" spinCount="100000" sheet="1" objects="1" scenarios="1" selectLockedCells="1"/>
  <mergeCells count="248">
    <mergeCell ref="K1:Q2"/>
    <mergeCell ref="B130:E130"/>
    <mergeCell ref="C82:C83"/>
    <mergeCell ref="C84:C86"/>
    <mergeCell ref="D72:D73"/>
    <mergeCell ref="B72:B76"/>
    <mergeCell ref="B87:B91"/>
    <mergeCell ref="C87:C88"/>
    <mergeCell ref="C89:C91"/>
    <mergeCell ref="B92:B96"/>
    <mergeCell ref="C92:C93"/>
    <mergeCell ref="D74:D76"/>
    <mergeCell ref="C42:C44"/>
    <mergeCell ref="B45:B49"/>
    <mergeCell ref="C45:C46"/>
    <mergeCell ref="C47:C49"/>
    <mergeCell ref="B50:B54"/>
    <mergeCell ref="C50:C51"/>
    <mergeCell ref="C52:C54"/>
    <mergeCell ref="B40:B44"/>
    <mergeCell ref="B55:B59"/>
    <mergeCell ref="A1:J2"/>
    <mergeCell ref="B28:B32"/>
    <mergeCell ref="C28:C29"/>
    <mergeCell ref="B147:B151"/>
    <mergeCell ref="C147:C148"/>
    <mergeCell ref="C149:C151"/>
    <mergeCell ref="D134:D136"/>
    <mergeCell ref="D131:E131"/>
    <mergeCell ref="D132:D133"/>
    <mergeCell ref="B67:B71"/>
    <mergeCell ref="B131:B136"/>
    <mergeCell ref="B104:B108"/>
    <mergeCell ref="B119:B123"/>
    <mergeCell ref="C119:C120"/>
    <mergeCell ref="C121:C123"/>
    <mergeCell ref="C94:C96"/>
    <mergeCell ref="C72:C73"/>
    <mergeCell ref="C74:C76"/>
    <mergeCell ref="B77:B81"/>
    <mergeCell ref="B103:E103"/>
    <mergeCell ref="D104:D105"/>
    <mergeCell ref="C104:C105"/>
    <mergeCell ref="C106:C108"/>
    <mergeCell ref="D106:D108"/>
    <mergeCell ref="D82:D83"/>
    <mergeCell ref="C137:C138"/>
    <mergeCell ref="B102:N102"/>
    <mergeCell ref="B213:B217"/>
    <mergeCell ref="C213:C214"/>
    <mergeCell ref="C215:C217"/>
    <mergeCell ref="C164:C165"/>
    <mergeCell ref="C166:C168"/>
    <mergeCell ref="O158:R178"/>
    <mergeCell ref="S158:V178"/>
    <mergeCell ref="C182:N182"/>
    <mergeCell ref="Y155:AH155"/>
    <mergeCell ref="Y156:AH176"/>
    <mergeCell ref="S157:V157"/>
    <mergeCell ref="O157:R157"/>
    <mergeCell ref="C155:N155"/>
    <mergeCell ref="B157:N157"/>
    <mergeCell ref="B159:B163"/>
    <mergeCell ref="C159:C160"/>
    <mergeCell ref="C161:C163"/>
    <mergeCell ref="B158:E158"/>
    <mergeCell ref="D240:D242"/>
    <mergeCell ref="D188:D190"/>
    <mergeCell ref="D193:D195"/>
    <mergeCell ref="D215:D217"/>
    <mergeCell ref="D220:D222"/>
    <mergeCell ref="D225:D227"/>
    <mergeCell ref="D213:D214"/>
    <mergeCell ref="D218:D219"/>
    <mergeCell ref="D223:D224"/>
    <mergeCell ref="D228:D229"/>
    <mergeCell ref="B212:E212"/>
    <mergeCell ref="D191:D192"/>
    <mergeCell ref="C228:C229"/>
    <mergeCell ref="B218:B222"/>
    <mergeCell ref="B233:B237"/>
    <mergeCell ref="C235:C237"/>
    <mergeCell ref="B238:B242"/>
    <mergeCell ref="C238:C239"/>
    <mergeCell ref="C240:C242"/>
    <mergeCell ref="B228:B232"/>
    <mergeCell ref="C233:C234"/>
    <mergeCell ref="C193:C195"/>
    <mergeCell ref="D238:D239"/>
    <mergeCell ref="D230:D232"/>
    <mergeCell ref="D235:D237"/>
    <mergeCell ref="D159:D160"/>
    <mergeCell ref="D161:D163"/>
    <mergeCell ref="B169:B173"/>
    <mergeCell ref="C169:C170"/>
    <mergeCell ref="C171:C173"/>
    <mergeCell ref="B174:B178"/>
    <mergeCell ref="C174:C175"/>
    <mergeCell ref="C176:C178"/>
    <mergeCell ref="B185:E185"/>
    <mergeCell ref="D186:D187"/>
    <mergeCell ref="D233:D234"/>
    <mergeCell ref="B164:B168"/>
    <mergeCell ref="C230:C232"/>
    <mergeCell ref="C218:C219"/>
    <mergeCell ref="C220:C222"/>
    <mergeCell ref="B223:B227"/>
    <mergeCell ref="C223:C224"/>
    <mergeCell ref="C225:C227"/>
    <mergeCell ref="B186:B190"/>
    <mergeCell ref="C186:C187"/>
    <mergeCell ref="C188:C190"/>
    <mergeCell ref="B191:B195"/>
    <mergeCell ref="C191:C192"/>
    <mergeCell ref="O102:R102"/>
    <mergeCell ref="N15:N17"/>
    <mergeCell ref="N20:N22"/>
    <mergeCell ref="N25:N27"/>
    <mergeCell ref="N30:N32"/>
    <mergeCell ref="N42:N44"/>
    <mergeCell ref="N69:N71"/>
    <mergeCell ref="N74:N76"/>
    <mergeCell ref="N79:N81"/>
    <mergeCell ref="N84:N86"/>
    <mergeCell ref="C63:N63"/>
    <mergeCell ref="D18:D19"/>
    <mergeCell ref="N89:N91"/>
    <mergeCell ref="N94:N96"/>
    <mergeCell ref="C30:C32"/>
    <mergeCell ref="D23:D24"/>
    <mergeCell ref="D28:D29"/>
    <mergeCell ref="D30:D32"/>
    <mergeCell ref="D94:D96"/>
    <mergeCell ref="D77:D78"/>
    <mergeCell ref="C20:C22"/>
    <mergeCell ref="B23:B27"/>
    <mergeCell ref="C23:C24"/>
    <mergeCell ref="C25:C27"/>
    <mergeCell ref="D20:D22"/>
    <mergeCell ref="D25:D27"/>
    <mergeCell ref="O4:P4"/>
    <mergeCell ref="O5:P5"/>
    <mergeCell ref="C8:N8"/>
    <mergeCell ref="B10:N10"/>
    <mergeCell ref="O10:R10"/>
    <mergeCell ref="B11:E11"/>
    <mergeCell ref="B4:D4"/>
    <mergeCell ref="B5:E5"/>
    <mergeCell ref="B6:E6"/>
    <mergeCell ref="D12:E12"/>
    <mergeCell ref="B12:B17"/>
    <mergeCell ref="D15:D17"/>
    <mergeCell ref="S10:V10"/>
    <mergeCell ref="Y10:AH10"/>
    <mergeCell ref="O11:R32"/>
    <mergeCell ref="S11:V32"/>
    <mergeCell ref="Y11:AH31"/>
    <mergeCell ref="C36:N36"/>
    <mergeCell ref="Y37:AH37"/>
    <mergeCell ref="B38:N38"/>
    <mergeCell ref="O38:R38"/>
    <mergeCell ref="S38:V38"/>
    <mergeCell ref="Y38:AH58"/>
    <mergeCell ref="O39:R59"/>
    <mergeCell ref="S39:V59"/>
    <mergeCell ref="D42:D44"/>
    <mergeCell ref="D40:D41"/>
    <mergeCell ref="C15:C17"/>
    <mergeCell ref="D13:D14"/>
    <mergeCell ref="C13:C14"/>
    <mergeCell ref="C40:C41"/>
    <mergeCell ref="C55:C56"/>
    <mergeCell ref="C57:C59"/>
    <mergeCell ref="B39:E39"/>
    <mergeCell ref="B18:B22"/>
    <mergeCell ref="C18:C19"/>
    <mergeCell ref="C134:C136"/>
    <mergeCell ref="B137:B141"/>
    <mergeCell ref="Y64:AH64"/>
    <mergeCell ref="B65:N65"/>
    <mergeCell ref="O65:R65"/>
    <mergeCell ref="S65:V65"/>
    <mergeCell ref="Y65:AH95"/>
    <mergeCell ref="O66:R96"/>
    <mergeCell ref="S66:V96"/>
    <mergeCell ref="C100:N100"/>
    <mergeCell ref="Y101:AH101"/>
    <mergeCell ref="B66:E66"/>
    <mergeCell ref="D67:D68"/>
    <mergeCell ref="C67:C68"/>
    <mergeCell ref="C69:C71"/>
    <mergeCell ref="D69:D71"/>
    <mergeCell ref="D87:D88"/>
    <mergeCell ref="D92:D93"/>
    <mergeCell ref="D89:D91"/>
    <mergeCell ref="C77:C78"/>
    <mergeCell ref="C79:C81"/>
    <mergeCell ref="B82:B86"/>
    <mergeCell ref="D79:D81"/>
    <mergeCell ref="D84:D86"/>
    <mergeCell ref="N235:N237"/>
    <mergeCell ref="N240:N242"/>
    <mergeCell ref="S102:V102"/>
    <mergeCell ref="Y102:AH122"/>
    <mergeCell ref="O103:R123"/>
    <mergeCell ref="S103:V123"/>
    <mergeCell ref="C127:N127"/>
    <mergeCell ref="Y128:AH128"/>
    <mergeCell ref="B129:N129"/>
    <mergeCell ref="O129:R129"/>
    <mergeCell ref="S129:V129"/>
    <mergeCell ref="Y129:AH149"/>
    <mergeCell ref="O130:R151"/>
    <mergeCell ref="S130:V151"/>
    <mergeCell ref="C139:C141"/>
    <mergeCell ref="B142:B146"/>
    <mergeCell ref="C142:C143"/>
    <mergeCell ref="C144:C146"/>
    <mergeCell ref="B109:B113"/>
    <mergeCell ref="C109:C110"/>
    <mergeCell ref="C111:C113"/>
    <mergeCell ref="B114:B118"/>
    <mergeCell ref="C114:C115"/>
    <mergeCell ref="C116:C118"/>
    <mergeCell ref="N106:N108"/>
    <mergeCell ref="N134:N136"/>
    <mergeCell ref="N161:N163"/>
    <mergeCell ref="N188:N190"/>
    <mergeCell ref="N193:N195"/>
    <mergeCell ref="N215:N217"/>
    <mergeCell ref="Y210:AH240"/>
    <mergeCell ref="B211:N211"/>
    <mergeCell ref="O211:R211"/>
    <mergeCell ref="S211:V211"/>
    <mergeCell ref="O212:R242"/>
    <mergeCell ref="S212:V242"/>
    <mergeCell ref="Y182:AH182"/>
    <mergeCell ref="Y183:AH208"/>
    <mergeCell ref="B184:N184"/>
    <mergeCell ref="O184:R184"/>
    <mergeCell ref="S184:V184"/>
    <mergeCell ref="O185:R205"/>
    <mergeCell ref="S185:V205"/>
    <mergeCell ref="C209:N209"/>
    <mergeCell ref="Y209:AH209"/>
    <mergeCell ref="N220:N222"/>
    <mergeCell ref="N225:N227"/>
    <mergeCell ref="N230:N232"/>
  </mergeCells>
  <conditionalFormatting sqref="A3 P8 F205:N205 F200:N200 P36 P63 P100 P127 P155 P182 P209 F17:M17 F32:M32 F27:M27 F22:M22 F44:M44 F71:M71 F76:M76 F81:M81 F86:M86 F91:M91 F96:M96 F217:M217 F222:M222 F227:M227 F232:M232 F237:M237 F242:M242 F190:M190 F195:M195 F163:M163 F136:M136 F108:M108">
    <cfRule type="containsText" dxfId="2518" priority="63" operator="containsText" text="passed">
      <formula>NOT(ISERROR(SEARCH("passed",A3)))</formula>
    </cfRule>
    <cfRule type="containsText" dxfId="2517" priority="64" operator="containsText" text="failed">
      <formula>NOT(ISERROR(SEARCH("failed",A3)))</formula>
    </cfRule>
    <cfRule type="containsText" dxfId="2516" priority="65" operator="containsText" text="refused">
      <formula>NOT(ISERROR(SEARCH("refused",A3)))</formula>
    </cfRule>
  </conditionalFormatting>
  <conditionalFormatting sqref="M77:M78 F77:K78">
    <cfRule type="expression" dxfId="2515" priority="56">
      <formula>IF(AND(NOT(F77=""),NOT(F77="-")),F77&gt;=1.1*F$5*BE$87,"-")</formula>
    </cfRule>
  </conditionalFormatting>
  <conditionalFormatting sqref="M82:M83 F82:K83">
    <cfRule type="expression" dxfId="2514" priority="55">
      <formula>IF(AND(NOT(F82=""),NOT(F82="-")),F82&gt;=1.1*F$5*BE$88,"-")</formula>
    </cfRule>
  </conditionalFormatting>
  <conditionalFormatting sqref="N77:N78 M72:N73 N82:N83 N87:N88 N92:N93 F72:K73">
    <cfRule type="expression" dxfId="2513" priority="54">
      <formula>IF(AND(NOT(F72=""),NOT(F72="-")),F72&gt;=1.1*F$5*BE$86,"-")</formula>
    </cfRule>
  </conditionalFormatting>
  <conditionalFormatting sqref="M87:M88 F87:K88">
    <cfRule type="expression" dxfId="2512" priority="53">
      <formula>IF(AND(NOT(F87=""),NOT(F87="-")),F87&gt;=1.1*F$5*BE$89,"-")</formula>
    </cfRule>
  </conditionalFormatting>
  <conditionalFormatting sqref="M92:M93 F92:K93">
    <cfRule type="expression" dxfId="2511" priority="52">
      <formula>IF(AND(NOT(F92=""),NOT(F92="-")),F92&gt;=1.1*F$5*BE$90,"-")</formula>
    </cfRule>
  </conditionalFormatting>
  <conditionalFormatting sqref="M218:M219 F218:K219">
    <cfRule type="expression" dxfId="2510" priority="48">
      <formula>IF(AND(NOT(F218=""),NOT(F218="-")),F218&gt;=1.1*F$5*BE$231,"-")</formula>
    </cfRule>
  </conditionalFormatting>
  <conditionalFormatting sqref="M132:N133">
    <cfRule type="expression" dxfId="2509" priority="41">
      <formula>IF(AND(NOT(M132=""),NOT(M132="-")),M132&gt;=1.1*M$6*BT$149,"-")</formula>
    </cfRule>
  </conditionalFormatting>
  <conditionalFormatting sqref="M13:N14 F13:K14">
    <cfRule type="expression" dxfId="2508" priority="436376">
      <formula>IF(AND(NOT(F13=""),NOT(F13="-")),F13&gt;=1.1*F$5*BE$25,"-")</formula>
    </cfRule>
  </conditionalFormatting>
  <conditionalFormatting sqref="M18:N19">
    <cfRule type="expression" dxfId="2507" priority="436378">
      <formula>IF(AND(NOT(M18=""),NOT(M18="-")),M18&gt;=1.1*M$5*BL$26,"-")</formula>
    </cfRule>
  </conditionalFormatting>
  <conditionalFormatting sqref="M23:N24 F23:K24">
    <cfRule type="expression" dxfId="2506" priority="436380">
      <formula>IF(AND(NOT(F23=""),NOT(F23="-")),F23&gt;=1.1*F$5*BE$27,"-")</formula>
    </cfRule>
  </conditionalFormatting>
  <conditionalFormatting sqref="M28:N29 F28:K29">
    <cfRule type="expression" dxfId="2505" priority="436382">
      <formula>IF(AND(NOT(F28=""),NOT(F28="-")),F28&gt;=1.1*F$5*BE$28,"-")</formula>
    </cfRule>
  </conditionalFormatting>
  <conditionalFormatting sqref="M40:N41 F40:K41">
    <cfRule type="expression" dxfId="2504" priority="436384">
      <formula>IF(AND(NOT(F40=""),NOT(F40="-")),F40&gt;=1.1*F$5*BE$52,"-")</formula>
    </cfRule>
  </conditionalFormatting>
  <conditionalFormatting sqref="M67:N68 F67:K68">
    <cfRule type="expression" dxfId="2503" priority="436386">
      <formula>IF(AND(NOT(F67=""),NOT(F67="-")),F67&gt;=1.1*F$5*BE$85,"-")</formula>
    </cfRule>
  </conditionalFormatting>
  <conditionalFormatting sqref="M104:N105 F104:K105">
    <cfRule type="expression" dxfId="2502" priority="436398">
      <formula>IF(AND(NOT(F104=""),NOT(F104="-")),F104&gt;=1.1*F$5*BE$122,"-")</formula>
    </cfRule>
  </conditionalFormatting>
  <conditionalFormatting sqref="M186:N187 F186:K187">
    <cfRule type="expression" dxfId="2501" priority="436400">
      <formula>IF(AND(NOT(F186=""),NOT(F186="-")),F186&gt;=1.1*F$5*BE$203,"-")</formula>
    </cfRule>
  </conditionalFormatting>
  <conditionalFormatting sqref="F213:K214 M213:N214 N223:N224 N228:N229 N233:N234 N238:N239">
    <cfRule type="expression" dxfId="2500" priority="436402">
      <formula>IF(AND(NOT(F213=""),NOT(F213="-")),F213&gt;=1.1*F$5*BE$230,"-")</formula>
    </cfRule>
  </conditionalFormatting>
  <conditionalFormatting sqref="M223:M224 F223:K224">
    <cfRule type="expression" dxfId="2499" priority="436423">
      <formula>IF(AND(NOT(F223=""),NOT(F223="-")),F223&gt;=1.1*F$5*BE$232,"-")</formula>
    </cfRule>
  </conditionalFormatting>
  <conditionalFormatting sqref="M228:M229 F228:K229">
    <cfRule type="expression" dxfId="2498" priority="436424">
      <formula>IF(AND(NOT(F228=""),NOT(F228="-")),F228&gt;=1.1*F$5*BE$233,"-")</formula>
    </cfRule>
  </conditionalFormatting>
  <conditionalFormatting sqref="M233:M234 F233:K234">
    <cfRule type="expression" dxfId="2497" priority="436425">
      <formula>IF(AND(NOT(F233=""),NOT(F233="-")),F233&gt;=1.1*F$5*BE$234,"-")</formula>
    </cfRule>
  </conditionalFormatting>
  <conditionalFormatting sqref="M238:M239 F238:K239">
    <cfRule type="expression" dxfId="2496" priority="436426">
      <formula>IF(AND(NOT(F238=""),NOT(F238="-")),F238&gt;=1.1*F$5*BE$235,"-")</formula>
    </cfRule>
  </conditionalFormatting>
  <conditionalFormatting sqref="M159:N160 F159:K160">
    <cfRule type="expression" dxfId="2495" priority="436437">
      <formula>IF(AND(NOT(F159=""),NOT(F159="-")),F159&gt;=1.1*F$5*BE$176,"-")</formula>
    </cfRule>
  </conditionalFormatting>
  <conditionalFormatting sqref="M191:N192 F191:K192">
    <cfRule type="expression" dxfId="2494" priority="436439">
      <formula>IF(AND(NOT(F191=""),NOT(F191="-")),F191&gt;=1.1*F$5*BE$204,"-")</formula>
    </cfRule>
  </conditionalFormatting>
  <conditionalFormatting sqref="N218:N219">
    <cfRule type="expression" dxfId="2493" priority="436508">
      <formula>IF(AND(NOT(N218=""),NOT(N218="-")),N218&gt;=1.1*N$5*BM$230,"-")</formula>
    </cfRule>
  </conditionalFormatting>
  <conditionalFormatting sqref="F132:L133">
    <cfRule type="expression" dxfId="2492" priority="436538">
      <formula>IF(AND(NOT(F132=""),NOT(F132="-")),F132&gt;=1.1*F$6*BN$149,"-")</formula>
    </cfRule>
  </conditionalFormatting>
  <conditionalFormatting sqref="L13:L14">
    <cfRule type="expression" dxfId="2491" priority="436540">
      <formula>IF(AND(NOT(L13=""),NOT(L13="-")),L13&gt;=1.1*L$5*BL$25,"-")</formula>
    </cfRule>
  </conditionalFormatting>
  <conditionalFormatting sqref="L18:L19">
    <cfRule type="expression" dxfId="2490" priority="436542">
      <formula>IF(AND(NOT(L18=""),NOT(L18="-")),L18&gt;=1.1*L$5*BL$26,"-")</formula>
    </cfRule>
  </conditionalFormatting>
  <conditionalFormatting sqref="L23:L24">
    <cfRule type="expression" dxfId="2489" priority="436544">
      <formula>IF(AND(NOT(L23=""),NOT(L23="-")),L23&gt;=1.1*L$5*BL$27,"-")</formula>
    </cfRule>
  </conditionalFormatting>
  <conditionalFormatting sqref="L28:L29">
    <cfRule type="expression" dxfId="2488" priority="436546">
      <formula>IF(AND(NOT(L28=""),NOT(L28="-")),L28&gt;=1.1*L$5*BL$28,"-")</formula>
    </cfRule>
  </conditionalFormatting>
  <conditionalFormatting sqref="L40:L41">
    <cfRule type="expression" dxfId="2487" priority="436548">
      <formula>IF(AND(NOT(L40=""),NOT(L40="-")),L40&gt;=1.1*L$5*BL$52,"-")</formula>
    </cfRule>
  </conditionalFormatting>
  <conditionalFormatting sqref="L67:L68">
    <cfRule type="expression" dxfId="2486" priority="436550">
      <formula>IF(AND(NOT(L67=""),NOT(L67="-")),L67&gt;=1.1*L$5*BL$85,"-")</formula>
    </cfRule>
  </conditionalFormatting>
  <conditionalFormatting sqref="L77:L78">
    <cfRule type="expression" dxfId="2485" priority="436552">
      <formula>IF(AND(NOT(L77=""),NOT(L77="-")),L77&gt;=1.1*L$5*BL$87,"-")</formula>
    </cfRule>
  </conditionalFormatting>
  <conditionalFormatting sqref="L82:L83">
    <cfRule type="expression" dxfId="2484" priority="436554">
      <formula>IF(AND(NOT(L82=""),NOT(L82="-")),L82&gt;=1.1*L$5*BL$88,"-")</formula>
    </cfRule>
  </conditionalFormatting>
  <conditionalFormatting sqref="L72:L73">
    <cfRule type="expression" dxfId="2483" priority="436556">
      <formula>IF(AND(NOT(L72=""),NOT(L72="-")),L72&gt;=1.1*L$5*BL$86,"-")</formula>
    </cfRule>
  </conditionalFormatting>
  <conditionalFormatting sqref="L87:L88">
    <cfRule type="expression" dxfId="2482" priority="436558">
      <formula>IF(AND(NOT(L87=""),NOT(L87="-")),L87&gt;=1.1*L$5*BL$89,"-")</formula>
    </cfRule>
  </conditionalFormatting>
  <conditionalFormatting sqref="L92:L93">
    <cfRule type="expression" dxfId="2481" priority="436560">
      <formula>IF(AND(NOT(L92=""),NOT(L92="-")),L92&gt;=1.1*L$5*BL$90,"-")</formula>
    </cfRule>
  </conditionalFormatting>
  <conditionalFormatting sqref="L104:L105">
    <cfRule type="expression" dxfId="2480" priority="436562">
      <formula>IF(AND(NOT(L104=""),NOT(L104="-")),L104&gt;=1.1*L$5*BL$122,"-")</formula>
    </cfRule>
  </conditionalFormatting>
  <conditionalFormatting sqref="L186:L187">
    <cfRule type="expression" dxfId="2479" priority="436564">
      <formula>IF(AND(NOT(L186=""),NOT(L186="-")),L186&gt;=1.1*L$5*BL$203,"-")</formula>
    </cfRule>
  </conditionalFormatting>
  <conditionalFormatting sqref="L213:L214">
    <cfRule type="expression" dxfId="2478" priority="436566">
      <formula>IF(AND(NOT(L213=""),NOT(L213="-")),L213&gt;=1.1*L$5*BL$230,"-")</formula>
    </cfRule>
  </conditionalFormatting>
  <conditionalFormatting sqref="L218:L219">
    <cfRule type="expression" dxfId="2477" priority="436568">
      <formula>IF(AND(NOT(L218=""),NOT(L218="-")),L218&gt;=1.1*L$5*BL$231,"-")</formula>
    </cfRule>
  </conditionalFormatting>
  <conditionalFormatting sqref="L159:L160">
    <cfRule type="expression" dxfId="2476" priority="436572">
      <formula>IF(AND(NOT(L159=""),NOT(L159="-")),L159&gt;=1.1*L$5*BL$176,"-")</formula>
    </cfRule>
  </conditionalFormatting>
  <conditionalFormatting sqref="L191:L192">
    <cfRule type="expression" dxfId="2475" priority="436574">
      <formula>IF(AND(NOT(L191=""),NOT(L191="-")),L191&gt;=1.1*L$5*BL$204,"-")</formula>
    </cfRule>
  </conditionalFormatting>
  <conditionalFormatting sqref="L223:L224">
    <cfRule type="expression" dxfId="2474" priority="436576">
      <formula>IF(AND(NOT(L223=""),NOT(L223="-")),L223&gt;=1.1*L$5*BL$232,"-")</formula>
    </cfRule>
  </conditionalFormatting>
  <conditionalFormatting sqref="L228:L229">
    <cfRule type="expression" dxfId="2473" priority="436578">
      <formula>IF(AND(NOT(L228=""),NOT(L228="-")),L228&gt;=1.1*L$5*BL$233,"-")</formula>
    </cfRule>
  </conditionalFormatting>
  <conditionalFormatting sqref="L233:L234">
    <cfRule type="expression" dxfId="2472" priority="436580">
      <formula>IF(AND(NOT(L233=""),NOT(L233="-")),L233&gt;=1.1*L$5*BL$234,"-")</formula>
    </cfRule>
  </conditionalFormatting>
  <conditionalFormatting sqref="L238:L239">
    <cfRule type="expression" dxfId="2471" priority="436582">
      <formula>IF(AND(NOT(L238=""),NOT(L238="-")),L238&gt;=1.1*L$5*BL$235,"-")</formula>
    </cfRule>
  </conditionalFormatting>
  <conditionalFormatting sqref="F18:K19">
    <cfRule type="expression" dxfId="0" priority="1">
      <formula>IF(AND(NOT(F18=""),NOT(F18="-")),F18&gt;=1.1*F$5*BE$25,"-")</formula>
    </cfRule>
  </conditionalFormatting>
  <pageMargins left="0.7" right="0.7" top="0.75" bottom="0.75" header="0.3" footer="0.3"/>
  <pageSetup paperSize="9" scale="45" fitToHeight="0" orientation="landscape" r:id="rId1"/>
  <rowBreaks count="5" manualBreakCount="5">
    <brk id="33" max="19" man="1"/>
    <brk id="60" max="19" man="1"/>
    <brk id="98" max="19" man="1"/>
    <brk id="179" max="19" man="1"/>
    <brk id="206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Gasoline'!$AG$14:$AG$24</xm:f>
          </x14:formula1>
          <xm:sqref>E4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>
    <pageSetUpPr fitToPage="1"/>
  </sheetPr>
  <dimension ref="A1:BS243"/>
  <sheetViews>
    <sheetView showGridLines="0" topLeftCell="B1" zoomScale="90" zoomScaleNormal="90" workbookViewId="0">
      <selection activeCell="C79" sqref="C79:C81"/>
    </sheetView>
  </sheetViews>
  <sheetFormatPr baseColWidth="10" defaultColWidth="9.140625" defaultRowHeight="15" outlineLevelRow="1" x14ac:dyDescent="0.25"/>
  <cols>
    <col min="1" max="1" width="2.85546875" style="41" customWidth="1"/>
    <col min="2" max="2" width="14.85546875" style="41" customWidth="1"/>
    <col min="3" max="3" width="12.140625" style="41" bestFit="1" customWidth="1"/>
    <col min="4" max="4" width="12.28515625" style="41" bestFit="1" customWidth="1"/>
    <col min="5" max="5" width="25.7109375" style="41" customWidth="1"/>
    <col min="6" max="10" width="9.7109375" style="41" customWidth="1"/>
    <col min="11" max="11" width="9.7109375" style="170" customWidth="1"/>
    <col min="12" max="12" width="11.28515625" style="170" customWidth="1"/>
    <col min="13" max="13" width="11.140625" style="41" customWidth="1"/>
    <col min="14" max="14" width="9.85546875" style="41" customWidth="1"/>
    <col min="15" max="16" width="17.7109375" style="41" customWidth="1"/>
    <col min="17" max="17" width="19.28515625" style="41" bestFit="1" customWidth="1"/>
    <col min="18" max="18" width="12.28515625" style="41" bestFit="1" customWidth="1"/>
    <col min="19" max="22" width="17.7109375" style="41" customWidth="1"/>
    <col min="23" max="24" width="7.7109375" style="41" customWidth="1"/>
    <col min="25" max="28" width="20.7109375" style="41" customWidth="1"/>
    <col min="29" max="34" width="7.7109375" style="41" customWidth="1"/>
    <col min="35" max="54" width="10.7109375" style="41" customWidth="1"/>
    <col min="55" max="55" width="12.7109375" style="155" customWidth="1"/>
    <col min="56" max="56" width="25.7109375" style="150" bestFit="1" customWidth="1"/>
    <col min="57" max="62" width="7.85546875" style="150" customWidth="1"/>
    <col min="63" max="63" width="7.85546875" style="150" hidden="1" customWidth="1"/>
    <col min="64" max="65" width="13.42578125" style="150" hidden="1" customWidth="1"/>
    <col min="66" max="66" width="4.5703125" style="150" hidden="1" customWidth="1"/>
    <col min="67" max="70" width="2.140625" style="150" hidden="1" customWidth="1"/>
    <col min="71" max="71" width="6" style="50" hidden="1" customWidth="1"/>
    <col min="72" max="72" width="0" style="41" hidden="1" customWidth="1"/>
    <col min="73" max="16384" width="9.140625" style="41"/>
  </cols>
  <sheetData>
    <row r="1" spans="1:70" ht="24.95" customHeight="1" x14ac:dyDescent="0.25">
      <c r="A1" s="816" t="s">
        <v>126</v>
      </c>
      <c r="B1" s="817"/>
      <c r="C1" s="817"/>
      <c r="D1" s="817"/>
      <c r="E1" s="817"/>
      <c r="F1" s="817"/>
      <c r="G1" s="817"/>
      <c r="H1" s="817"/>
      <c r="I1" s="817"/>
      <c r="J1" s="818"/>
      <c r="K1" s="734" t="str">
        <f>'Variant 1 - NEDC (Fuel1)'!K1:O2</f>
        <v>[e.g. Ferrari F150 MEDC17] [Chassis name] [Engine description]</v>
      </c>
      <c r="L1" s="735"/>
      <c r="M1" s="735"/>
      <c r="N1" s="735"/>
      <c r="O1" s="735"/>
      <c r="P1" s="735"/>
      <c r="Q1" s="736"/>
      <c r="R1" s="324"/>
      <c r="S1" s="324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</row>
    <row r="2" spans="1:70" ht="24.95" customHeight="1" thickBot="1" x14ac:dyDescent="0.3">
      <c r="A2" s="819"/>
      <c r="B2" s="820"/>
      <c r="C2" s="820"/>
      <c r="D2" s="820"/>
      <c r="E2" s="820"/>
      <c r="F2" s="820"/>
      <c r="G2" s="820"/>
      <c r="H2" s="820"/>
      <c r="I2" s="820"/>
      <c r="J2" s="821"/>
      <c r="K2" s="737"/>
      <c r="L2" s="738"/>
      <c r="M2" s="738"/>
      <c r="N2" s="738"/>
      <c r="O2" s="738"/>
      <c r="P2" s="738"/>
      <c r="Q2" s="739"/>
      <c r="R2" s="324"/>
      <c r="S2" s="324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70" ht="24.95" customHeight="1" thickBot="1" x14ac:dyDescent="0.3">
      <c r="A3" s="324"/>
      <c r="B3" s="324"/>
      <c r="C3" s="324"/>
      <c r="D3" s="324"/>
      <c r="E3" s="324"/>
      <c r="F3" s="324"/>
      <c r="G3" s="324"/>
      <c r="H3" s="324"/>
      <c r="I3" s="324"/>
      <c r="J3" s="324"/>
      <c r="K3" s="160"/>
      <c r="L3" s="160"/>
      <c r="M3" s="324"/>
      <c r="N3" s="335"/>
      <c r="O3" s="324"/>
      <c r="P3" s="324"/>
      <c r="Q3" s="324"/>
      <c r="R3" s="324"/>
      <c r="S3" s="324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</row>
    <row r="4" spans="1:70" ht="39.950000000000003" customHeight="1" thickBot="1" x14ac:dyDescent="0.3">
      <c r="A4" s="324"/>
      <c r="B4" s="664" t="s">
        <v>71</v>
      </c>
      <c r="C4" s="665"/>
      <c r="D4" s="666"/>
      <c r="E4" s="358" t="str">
        <f>'Variant 1 - NEDC (Fuel1)'!E4</f>
        <v>Euro 6c</v>
      </c>
      <c r="F4" s="359" t="str">
        <f>'Variant 1 - NEDC (Fuel1)'!F4</f>
        <v>NMHC 
[g/km]</v>
      </c>
      <c r="G4" s="359" t="str">
        <f>'Variant 1 - NEDC (Fuel1)'!G4</f>
        <v>THC
[g/km]</v>
      </c>
      <c r="H4" s="359" t="str">
        <f>'Variant 1 - NEDC (Fuel1)'!H4</f>
        <v>CO
[g/km]</v>
      </c>
      <c r="I4" s="359" t="str">
        <f>'Variant 1 - NEDC (Fuel1)'!I4</f>
        <v>NOx
[g/km]</v>
      </c>
      <c r="J4" s="359" t="str">
        <f>'Variant 1 - NEDC (Fuel1)'!J4</f>
        <v>PM
[mg/km]</v>
      </c>
      <c r="K4" s="359" t="str">
        <f>'Variant 1 - NEDC (Fuel1)'!K4</f>
        <v>PN
[#/km]</v>
      </c>
      <c r="L4" s="367" t="str">
        <f>'Variant 1 - NEDC (Fuel1)'!L4</f>
        <v>Additional component</v>
      </c>
      <c r="M4" s="367" t="str">
        <f>'Variant 1 - NEDC (Fuel1)'!M4</f>
        <v>Additional
component 2</v>
      </c>
      <c r="N4" s="359" t="str">
        <f>'Variant 1 - NEDC (Fuel1)'!N4</f>
        <v>CO2
[g/km]</v>
      </c>
      <c r="O4" s="782"/>
      <c r="P4" s="783"/>
      <c r="Q4" s="324"/>
      <c r="R4" s="324"/>
      <c r="S4" s="324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</row>
    <row r="5" spans="1:70" ht="24.95" customHeight="1" thickBot="1" x14ac:dyDescent="0.3">
      <c r="A5" s="324"/>
      <c r="B5" s="825" t="s">
        <v>143</v>
      </c>
      <c r="C5" s="826"/>
      <c r="D5" s="826"/>
      <c r="E5" s="827"/>
      <c r="F5" s="360">
        <f>'Variant 1 - NEDC (Fuel1)'!F5</f>
        <v>6.8000000000000005E-2</v>
      </c>
      <c r="G5" s="360">
        <f>'Variant 1 - NEDC (Fuel1)'!G5</f>
        <v>0.1</v>
      </c>
      <c r="H5" s="360">
        <f>'Variant 1 - NEDC (Fuel1)'!H5</f>
        <v>1</v>
      </c>
      <c r="I5" s="360">
        <f>'Variant 1 - NEDC (Fuel1)'!I5</f>
        <v>0.06</v>
      </c>
      <c r="J5" s="360">
        <f>'Variant 1 - NEDC (Fuel1)'!J5</f>
        <v>4.5</v>
      </c>
      <c r="K5" s="360">
        <f>'Variant 1 - NEDC (Fuel1)'!K5</f>
        <v>600000000000</v>
      </c>
      <c r="L5" s="360" t="str">
        <f>'Variant 1 - NEDC (Fuel1)'!L5</f>
        <v>-</v>
      </c>
      <c r="M5" s="360" t="str">
        <f>'Variant 1 - NEDC (Fuel1)'!M5</f>
        <v>-</v>
      </c>
      <c r="N5" s="360" t="str">
        <f>'Variant 1 - NEDC (Fuel1)'!N5</f>
        <v>-</v>
      </c>
      <c r="O5" s="760"/>
      <c r="P5" s="760"/>
      <c r="Q5" s="324"/>
      <c r="R5" s="324"/>
      <c r="S5" s="324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70" ht="24.95" customHeight="1" thickBot="1" x14ac:dyDescent="0.3">
      <c r="A6" s="324"/>
      <c r="B6" s="664" t="s">
        <v>142</v>
      </c>
      <c r="C6" s="665"/>
      <c r="D6" s="665"/>
      <c r="E6" s="666"/>
      <c r="F6" s="361" t="str">
        <f>'Variant 1 - NEDC (Fuel1)'!F6</f>
        <v>-</v>
      </c>
      <c r="G6" s="361" t="str">
        <f>'Variant 1 - NEDC (Fuel1)'!G6</f>
        <v>-</v>
      </c>
      <c r="H6" s="361" t="str">
        <f>'Variant 1 - NEDC (Fuel1)'!H6</f>
        <v>-</v>
      </c>
      <c r="I6" s="361" t="str">
        <f>'Variant 1 - NEDC (Fuel1)'!I6</f>
        <v>-</v>
      </c>
      <c r="J6" s="361" t="str">
        <f>'Variant 1 - NEDC (Fuel1)'!J6</f>
        <v>-</v>
      </c>
      <c r="K6" s="361" t="str">
        <f>'Variant 1 - NEDC (Fuel1)'!K6</f>
        <v>-</v>
      </c>
      <c r="L6" s="361" t="str">
        <f>'Variant 1 - NEDC (Fuel1)'!L6</f>
        <v>-</v>
      </c>
      <c r="M6" s="361" t="str">
        <f>'Variant 1 - NEDC (Fuel1)'!M6</f>
        <v>-</v>
      </c>
      <c r="N6" s="361" t="str">
        <f>'Variant 1 - NEDC (Fuel1)'!N6</f>
        <v>-</v>
      </c>
      <c r="O6" s="323"/>
      <c r="P6" s="323"/>
      <c r="Q6" s="324"/>
      <c r="R6" s="324"/>
      <c r="S6" s="324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70" ht="24.95" customHeight="1" thickBot="1" x14ac:dyDescent="0.3">
      <c r="A7" s="324"/>
      <c r="B7" s="324"/>
      <c r="C7" s="324"/>
      <c r="D7" s="324"/>
      <c r="E7" s="324"/>
      <c r="F7" s="324"/>
      <c r="G7" s="324"/>
      <c r="H7" s="61"/>
      <c r="I7" s="324"/>
      <c r="J7" s="324"/>
      <c r="K7" s="160"/>
      <c r="L7" s="160"/>
      <c r="M7" s="324"/>
      <c r="N7" s="335"/>
      <c r="O7" s="324"/>
      <c r="P7" s="324"/>
      <c r="Q7" s="324"/>
      <c r="R7" s="324"/>
      <c r="S7" s="324"/>
      <c r="T7" s="40"/>
      <c r="U7" s="40"/>
      <c r="V7" s="40"/>
      <c r="W7" s="42"/>
      <c r="X7" s="42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70" ht="24.95" customHeight="1" thickBot="1" x14ac:dyDescent="0.3">
      <c r="A8" s="324"/>
      <c r="B8" s="185">
        <v>1</v>
      </c>
      <c r="C8" s="784" t="s">
        <v>78</v>
      </c>
      <c r="D8" s="785"/>
      <c r="E8" s="785"/>
      <c r="F8" s="785"/>
      <c r="G8" s="785"/>
      <c r="H8" s="785"/>
      <c r="I8" s="785"/>
      <c r="J8" s="785"/>
      <c r="K8" s="785"/>
      <c r="L8" s="785"/>
      <c r="M8" s="785"/>
      <c r="N8" s="786"/>
      <c r="O8" s="49" t="s">
        <v>117</v>
      </c>
      <c r="P8" s="71" t="str">
        <f>IF(COUNTIF(F17:M32,"refused")&gt;0,"refused",IF(COUNTIF(F17:M32,"failed")&gt;0,"failed",IF(COUNTIF(F17:M32,"passed")&gt;0,"passed","-")))</f>
        <v>-</v>
      </c>
      <c r="Q8" s="70" t="s">
        <v>80</v>
      </c>
      <c r="R8" s="70" t="str">
        <f>IF(COUNT(F13:M14,F18:M19,F23:M24,F28:M29)&gt;0,"listed","not listed")</f>
        <v>not listed</v>
      </c>
      <c r="S8" s="344"/>
      <c r="T8" s="357"/>
      <c r="U8" s="43"/>
      <c r="V8" s="44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70" ht="15" customHeight="1" outlineLevel="1" thickBot="1" x14ac:dyDescent="0.3">
      <c r="A9" s="324"/>
      <c r="B9" s="346"/>
      <c r="C9" s="347"/>
      <c r="D9" s="347"/>
      <c r="E9" s="347"/>
      <c r="F9" s="347"/>
      <c r="G9" s="347"/>
      <c r="H9" s="347"/>
      <c r="I9" s="347"/>
      <c r="J9" s="347"/>
      <c r="K9" s="162"/>
      <c r="L9" s="162"/>
      <c r="M9" s="347"/>
      <c r="N9" s="347"/>
      <c r="O9" s="347"/>
      <c r="P9" s="347"/>
      <c r="Q9" s="347"/>
      <c r="R9" s="347"/>
      <c r="S9" s="347"/>
      <c r="T9" s="45"/>
      <c r="U9" s="45"/>
      <c r="V9" s="46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70" ht="15" customHeight="1" outlineLevel="1" thickBot="1" x14ac:dyDescent="0.3">
      <c r="A10" s="324"/>
      <c r="B10" s="744" t="s">
        <v>81</v>
      </c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745"/>
      <c r="N10" s="746"/>
      <c r="O10" s="744" t="s">
        <v>82</v>
      </c>
      <c r="P10" s="745"/>
      <c r="Q10" s="745"/>
      <c r="R10" s="746"/>
      <c r="S10" s="745" t="s">
        <v>83</v>
      </c>
      <c r="T10" s="745"/>
      <c r="U10" s="745"/>
      <c r="V10" s="746"/>
      <c r="W10" s="47"/>
      <c r="X10" s="47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</row>
    <row r="11" spans="1:70" ht="35.1" customHeight="1" outlineLevel="1" thickBot="1" x14ac:dyDescent="0.3">
      <c r="A11" s="324"/>
      <c r="B11" s="787" t="s">
        <v>84</v>
      </c>
      <c r="C11" s="788"/>
      <c r="D11" s="788"/>
      <c r="E11" s="789"/>
      <c r="F11" s="69" t="str">
        <f t="shared" ref="F11:K11" si="0">F4</f>
        <v>NMHC 
[g/km]</v>
      </c>
      <c r="G11" s="69" t="str">
        <f t="shared" si="0"/>
        <v>THC
[g/km]</v>
      </c>
      <c r="H11" s="69" t="str">
        <f t="shared" si="0"/>
        <v>CO
[g/km]</v>
      </c>
      <c r="I11" s="69" t="str">
        <f t="shared" si="0"/>
        <v>NOx
[g/km]</v>
      </c>
      <c r="J11" s="69" t="str">
        <f t="shared" si="0"/>
        <v>PM
[mg/km]</v>
      </c>
      <c r="K11" s="69" t="str">
        <f t="shared" si="0"/>
        <v>PN
[#/km]</v>
      </c>
      <c r="L11" s="366" t="str">
        <f>L4</f>
        <v>Additional component</v>
      </c>
      <c r="M11" s="366" t="str">
        <f>M4</f>
        <v>Additional
component 2</v>
      </c>
      <c r="N11" s="69" t="str">
        <f>N$4</f>
        <v>CO2
[g/km]</v>
      </c>
      <c r="O11" s="747"/>
      <c r="P11" s="748"/>
      <c r="Q11" s="748"/>
      <c r="R11" s="753"/>
      <c r="S11" s="747"/>
      <c r="T11" s="748"/>
      <c r="U11" s="748"/>
      <c r="V11" s="753"/>
      <c r="W11" s="320"/>
      <c r="X11" s="320"/>
      <c r="Y11" s="743"/>
      <c r="Z11" s="743"/>
      <c r="AA11" s="743"/>
      <c r="AB11" s="743"/>
      <c r="AC11" s="743"/>
      <c r="AD11" s="743"/>
      <c r="AE11" s="743"/>
      <c r="AF11" s="743"/>
      <c r="AG11" s="743"/>
      <c r="AH11" s="743"/>
      <c r="BD11" s="151" t="s">
        <v>85</v>
      </c>
      <c r="BE11" s="69" t="str">
        <f>$F$4</f>
        <v>NMHC 
[g/km]</v>
      </c>
      <c r="BF11" s="69" t="str">
        <f>$G$4</f>
        <v>THC
[g/km]</v>
      </c>
      <c r="BG11" s="69" t="str">
        <f>$H$4</f>
        <v>CO
[g/km]</v>
      </c>
      <c r="BH11" s="69" t="str">
        <f>$I$4</f>
        <v>NOx
[g/km]</v>
      </c>
      <c r="BI11" s="69" t="str">
        <f>$J$4</f>
        <v>PM
[mg/km]</v>
      </c>
      <c r="BJ11" s="163" t="str">
        <f>K$4</f>
        <v>PN
[#/km]</v>
      </c>
      <c r="BK11" s="163" t="str">
        <f t="shared" ref="BK11" si="1">L$4</f>
        <v>Additional component</v>
      </c>
      <c r="BL11" s="163" t="str">
        <f>M$4</f>
        <v>Additional
component 2</v>
      </c>
      <c r="BM11" s="163" t="str">
        <f>N$4</f>
        <v>CO2
[g/km]</v>
      </c>
    </row>
    <row r="12" spans="1:70" ht="15" customHeight="1" outlineLevel="1" thickBot="1" x14ac:dyDescent="0.3">
      <c r="A12" s="324"/>
      <c r="B12" s="779" t="s">
        <v>93</v>
      </c>
      <c r="C12" s="48" t="s">
        <v>64</v>
      </c>
      <c r="D12" s="768" t="s">
        <v>119</v>
      </c>
      <c r="E12" s="769"/>
      <c r="F12" s="107" t="s">
        <v>64</v>
      </c>
      <c r="G12" s="107" t="s">
        <v>64</v>
      </c>
      <c r="H12" s="107" t="s">
        <v>64</v>
      </c>
      <c r="I12" s="107" t="s">
        <v>64</v>
      </c>
      <c r="J12" s="107" t="s">
        <v>64</v>
      </c>
      <c r="K12" s="164" t="s">
        <v>64</v>
      </c>
      <c r="L12" s="107" t="s">
        <v>64</v>
      </c>
      <c r="M12" s="107" t="s">
        <v>64</v>
      </c>
      <c r="N12" s="107" t="s">
        <v>64</v>
      </c>
      <c r="O12" s="749"/>
      <c r="P12" s="750"/>
      <c r="Q12" s="750"/>
      <c r="R12" s="754"/>
      <c r="S12" s="749"/>
      <c r="T12" s="750"/>
      <c r="U12" s="750"/>
      <c r="V12" s="754"/>
      <c r="W12" s="320"/>
      <c r="X12" s="320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BD12" s="151" t="str">
        <f>$E$4</f>
        <v>Euro 6c</v>
      </c>
      <c r="BE12" s="153">
        <v>1</v>
      </c>
      <c r="BF12" s="153">
        <v>1</v>
      </c>
      <c r="BG12" s="153">
        <v>1</v>
      </c>
      <c r="BH12" s="153">
        <v>1</v>
      </c>
      <c r="BI12" s="153">
        <v>1</v>
      </c>
      <c r="BJ12" s="153">
        <v>1</v>
      </c>
      <c r="BK12" s="153">
        <v>1</v>
      </c>
      <c r="BL12" s="153">
        <v>1</v>
      </c>
      <c r="BM12" s="153">
        <v>1</v>
      </c>
    </row>
    <row r="13" spans="1:70" ht="15" customHeight="1" outlineLevel="1" x14ac:dyDescent="0.25">
      <c r="A13" s="324"/>
      <c r="B13" s="780"/>
      <c r="C13" s="770" t="s">
        <v>114</v>
      </c>
      <c r="D13" s="770" t="s">
        <v>113</v>
      </c>
      <c r="E13" s="110" t="s">
        <v>94</v>
      </c>
      <c r="F13" s="97" t="s">
        <v>5</v>
      </c>
      <c r="G13" s="98" t="s">
        <v>5</v>
      </c>
      <c r="H13" s="98" t="s">
        <v>5</v>
      </c>
      <c r="I13" s="98" t="s">
        <v>5</v>
      </c>
      <c r="J13" s="98" t="s">
        <v>5</v>
      </c>
      <c r="K13" s="165" t="s">
        <v>5</v>
      </c>
      <c r="L13" s="165" t="s">
        <v>5</v>
      </c>
      <c r="M13" s="98" t="s">
        <v>5</v>
      </c>
      <c r="N13" s="98" t="s">
        <v>5</v>
      </c>
      <c r="O13" s="749"/>
      <c r="P13" s="750"/>
      <c r="Q13" s="750"/>
      <c r="R13" s="754"/>
      <c r="S13" s="749"/>
      <c r="T13" s="750"/>
      <c r="U13" s="750"/>
      <c r="V13" s="754"/>
      <c r="W13" s="320"/>
      <c r="X13" s="320"/>
      <c r="Y13" s="743"/>
      <c r="Z13" s="743"/>
      <c r="AA13" s="743"/>
      <c r="AB13" s="743"/>
      <c r="AC13" s="743"/>
      <c r="AD13" s="743"/>
      <c r="AE13" s="743"/>
      <c r="AF13" s="743"/>
      <c r="AG13" s="743"/>
      <c r="AH13" s="743"/>
      <c r="BD13" s="151" t="str">
        <f>"1st " &amp;  B12</f>
        <v>1st Cold</v>
      </c>
      <c r="BE13" s="153" t="str">
        <f t="shared" ref="BE13:BJ13" si="2">IF(AND(OR($C15="-",$C15="CET",$C15=""),OR(F12="-",F12="CET",F12="")),"-",IF(AND(OR(F13="-",F13=""),OR(F14="-",F14="")),"-",IF(NOT(OR(F13="-",F13="")),F13/F$5,F14/F$5)))</f>
        <v>-</v>
      </c>
      <c r="BF13" s="153" t="str">
        <f t="shared" si="2"/>
        <v>-</v>
      </c>
      <c r="BG13" s="153" t="str">
        <f t="shared" si="2"/>
        <v>-</v>
      </c>
      <c r="BH13" s="153" t="str">
        <f t="shared" si="2"/>
        <v>-</v>
      </c>
      <c r="BI13" s="153" t="str">
        <f t="shared" si="2"/>
        <v>-</v>
      </c>
      <c r="BJ13" s="153" t="str">
        <f t="shared" si="2"/>
        <v>-</v>
      </c>
      <c r="BK13" s="153" t="str">
        <f t="shared" ref="BK13" si="3">IF(AND(OR($C15="-",$C15="CET",$C15=""),OR(L12="-",L12="CET",L12="")),"-",IF(AND(OR(L13="-",L13=""),OR(L14="-",L14="")),"-",IF(NOT(OR(L13="-",L13="")),L13/L$5,L14/L$5)))</f>
        <v>-</v>
      </c>
      <c r="BL13" s="153" t="str">
        <f>IF(AND(OR($C15="-",$C15="CET",$C15=""),OR(M12="-",M12="CET",M12="")),"-",IF(AND(OR(M13="-",M13=""),OR(M14="-",M14="")),"-",IF(NOT(OR(M13="-",M13="")),M13/M$5,M14/M$5)))</f>
        <v>-</v>
      </c>
      <c r="BM13" s="153" t="str">
        <f>IF(AND(OR($C15="-",$C15="CET",$C15=""),OR(N12="-",N12="CET",N12="")),"-",IF(AND(OR(N13="-",N13=""),OR(N14="-",N14="")),"-",IF(NOT(OR(N13="-",N13="")),N13/N$5,N14/N$5)))</f>
        <v>-</v>
      </c>
    </row>
    <row r="14" spans="1:70" s="50" customFormat="1" ht="15" customHeight="1" outlineLevel="1" thickBot="1" x14ac:dyDescent="0.3">
      <c r="A14" s="53"/>
      <c r="B14" s="780"/>
      <c r="C14" s="742"/>
      <c r="D14" s="742"/>
      <c r="E14" s="104" t="s">
        <v>95</v>
      </c>
      <c r="F14" s="97" t="s">
        <v>5</v>
      </c>
      <c r="G14" s="97" t="s">
        <v>5</v>
      </c>
      <c r="H14" s="97" t="s">
        <v>5</v>
      </c>
      <c r="I14" s="97" t="s">
        <v>5</v>
      </c>
      <c r="J14" s="97" t="s">
        <v>5</v>
      </c>
      <c r="K14" s="166" t="s">
        <v>5</v>
      </c>
      <c r="L14" s="166" t="s">
        <v>5</v>
      </c>
      <c r="M14" s="97" t="s">
        <v>5</v>
      </c>
      <c r="N14" s="97" t="s">
        <v>5</v>
      </c>
      <c r="O14" s="749"/>
      <c r="P14" s="750"/>
      <c r="Q14" s="750"/>
      <c r="R14" s="754"/>
      <c r="S14" s="749"/>
      <c r="T14" s="750"/>
      <c r="U14" s="750"/>
      <c r="V14" s="754"/>
      <c r="W14" s="51"/>
      <c r="X14" s="51"/>
      <c r="Y14" s="743"/>
      <c r="Z14" s="743"/>
      <c r="AA14" s="743"/>
      <c r="AB14" s="743"/>
      <c r="AC14" s="743"/>
      <c r="AD14" s="743"/>
      <c r="AE14" s="743"/>
      <c r="AF14" s="743"/>
      <c r="AG14" s="743"/>
      <c r="AH14" s="743"/>
      <c r="BC14" s="155"/>
      <c r="BD14" s="151" t="str">
        <f>"1st " &amp; B18</f>
        <v>1st Warm</v>
      </c>
      <c r="BE14" s="153" t="str">
        <f t="shared" ref="BE14:BJ14" si="4">IF((OR($C20="-",$C20="CET",$C20="")),"-",IF(AND(OR(F18="-",F18=""),OR(F19="-",F19="")),"-",IF(NOT(OR(F18="-",F18="")),F18/F$5,F19/F$5)))</f>
        <v>-</v>
      </c>
      <c r="BF14" s="153" t="str">
        <f t="shared" si="4"/>
        <v>-</v>
      </c>
      <c r="BG14" s="153" t="str">
        <f t="shared" si="4"/>
        <v>-</v>
      </c>
      <c r="BH14" s="153" t="str">
        <f t="shared" si="4"/>
        <v>-</v>
      </c>
      <c r="BI14" s="153" t="str">
        <f t="shared" si="4"/>
        <v>-</v>
      </c>
      <c r="BJ14" s="153" t="str">
        <f t="shared" si="4"/>
        <v>-</v>
      </c>
      <c r="BK14" s="153" t="str">
        <f t="shared" ref="BK14" si="5">IF((OR($C20="-",$C20="CET",$C20="")),"-",IF(AND(OR(L18="-",L18=""),OR(L19="-",L19="")),"-",IF(NOT(OR(L18="-",L18="")),L18/L$5,L19/L$5)))</f>
        <v>-</v>
      </c>
      <c r="BL14" s="153" t="str">
        <f>IF((OR($C20="-",$C20="CET",$C20="")),"-",IF(AND(OR(M18="-",M18=""),OR(M19="-",M19="")),"-",IF(NOT(OR(M18="-",M18="")),M18/M$5,M19/M$5)))</f>
        <v>-</v>
      </c>
      <c r="BM14" s="153" t="str">
        <f>IF((OR($C20="-",$C20="CET",$C20="")),"-",IF(AND(OR(N18="-",N18=""),OR(N19="-",N19="")),"-",IF(NOT(OR(N18="-",N18="")),N18/N$5,N19/N$5)))</f>
        <v>-</v>
      </c>
      <c r="BN14" s="150"/>
      <c r="BO14" s="150"/>
      <c r="BP14" s="150"/>
      <c r="BQ14" s="150"/>
      <c r="BR14" s="150"/>
    </row>
    <row r="15" spans="1:70" ht="15" customHeight="1" outlineLevel="1" thickBot="1" x14ac:dyDescent="0.3">
      <c r="A15" s="324"/>
      <c r="B15" s="780"/>
      <c r="C15" s="764">
        <v>1</v>
      </c>
      <c r="D15" s="772" t="str">
        <f>IF(AND(F16="-",G16="-",H16="-",I16="-",J16="-",K16="-",L16="-",M16="-"),"-",MAX(F16,G16,H16,I16,J16,K16,L16,M16))</f>
        <v>-</v>
      </c>
      <c r="E15" s="66" t="s">
        <v>177</v>
      </c>
      <c r="F15" s="65" t="str">
        <f t="shared" ref="F15:H15" si="6">IF(OR(F14="-",F14=""),IF(OR(F13="-",F13=""),"-",F13),IF(OR(F13="-",F13=""),F14,(F13+F14)/2))</f>
        <v>-</v>
      </c>
      <c r="G15" s="65" t="str">
        <f t="shared" si="6"/>
        <v>-</v>
      </c>
      <c r="H15" s="65" t="str">
        <f t="shared" si="6"/>
        <v>-</v>
      </c>
      <c r="I15" s="65" t="str">
        <f>IF(OR(I14="-",I14=""),IF(OR(I13="-",I13=""),"-",I13),IF(OR(I13="-",I13=""),I14,(I13+I14)/2))</f>
        <v>-</v>
      </c>
      <c r="J15" s="65" t="str">
        <f>IF(OR(J14="-",J14=""),IF(OR(J13="-",J13=""),"-",J13),IF(OR(J13="-",J13=""),J14,(J13+J14)/2))</f>
        <v>-</v>
      </c>
      <c r="K15" s="167" t="str">
        <f>IF(OR(K14="-",K14=""),IF(OR(K13="-",K13=""),"-",K13),IF(OR(K13="-",K13=""),K14,(K13+K14)/2))</f>
        <v>-</v>
      </c>
      <c r="L15" s="167" t="str">
        <f>IF(OR(L14="-",L14=""),IF(OR(L13="-",L13=""),"-",L13),IF(OR(L13="-",L13=""),L14,(L13+L14)/2))</f>
        <v>-</v>
      </c>
      <c r="M15" s="65" t="str">
        <f>IF(OR(M14="-",M14=""),IF(OR(M13="-",M13=""),"-",M13),IF(OR(M13="-",M13=""),M14,(M13+M14)/2))</f>
        <v>-</v>
      </c>
      <c r="N15" s="822"/>
      <c r="O15" s="749"/>
      <c r="P15" s="750"/>
      <c r="Q15" s="750"/>
      <c r="R15" s="754"/>
      <c r="S15" s="749"/>
      <c r="T15" s="750"/>
      <c r="U15" s="750"/>
      <c r="V15" s="754"/>
      <c r="W15" s="320"/>
      <c r="X15" s="320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BD15" s="151" t="str">
        <f>"1st " &amp; B23</f>
        <v>1st Hot 1</v>
      </c>
      <c r="BE15" s="153" t="str">
        <f t="shared" ref="BE15:BJ15" si="7">IF((OR($C25="-",$C25="CET",$C25="")),"-",IF(AND(OR(F23="-",F23=""),OR(F24="-",F24="")),"-",IF(NOT(OR(F23="-",F23="")),F23/F$5,F24/F$5)))</f>
        <v>-</v>
      </c>
      <c r="BF15" s="153" t="str">
        <f t="shared" si="7"/>
        <v>-</v>
      </c>
      <c r="BG15" s="153" t="str">
        <f t="shared" si="7"/>
        <v>-</v>
      </c>
      <c r="BH15" s="153" t="str">
        <f t="shared" si="7"/>
        <v>-</v>
      </c>
      <c r="BI15" s="153" t="str">
        <f t="shared" si="7"/>
        <v>-</v>
      </c>
      <c r="BJ15" s="153" t="str">
        <f t="shared" si="7"/>
        <v>-</v>
      </c>
      <c r="BK15" s="153" t="str">
        <f t="shared" ref="BK15" si="8">IF((OR($C25="-",$C25="CET",$C25="")),"-",IF(AND(OR(L23="-",L23=""),OR(L24="-",L24="")),"-",IF(NOT(OR(L23="-",L23="")),L23/L$5,L24/L$5)))</f>
        <v>-</v>
      </c>
      <c r="BL15" s="153" t="str">
        <f>IF((OR($C25="-",$C25="CET",$C25="")),"-",IF(AND(OR(M23="-",M23=""),OR(M24="-",M24="")),"-",IF(NOT(OR(M23="-",M23="")),M23/M$5,M24/M$5)))</f>
        <v>-</v>
      </c>
      <c r="BM15" s="153" t="str">
        <f>IF((OR($C25="-",$C25="CET",$C25="")),"-",IF(AND(OR(N23="-",N23=""),OR(N24="-",N24="")),"-",IF(NOT(OR(N23="-",N23="")),N23/N$5,N24/N$5)))</f>
        <v>-</v>
      </c>
    </row>
    <row r="16" spans="1:70" ht="15" customHeight="1" outlineLevel="1" thickBot="1" x14ac:dyDescent="0.3">
      <c r="A16" s="324"/>
      <c r="B16" s="780"/>
      <c r="C16" s="765"/>
      <c r="D16" s="773"/>
      <c r="E16" s="64" t="s">
        <v>97</v>
      </c>
      <c r="F16" s="63" t="str">
        <f t="shared" ref="F16:M16" si="9">IF(AND(OR($C15="-",$C15="CET",$C15=""),OR(F12="-",F12="CET",F12="")),"-",IF(AND(NOT(F15="-"),NOT(F$5="-"),NOT(F$5="")),F15/F$5,"-"))</f>
        <v>-</v>
      </c>
      <c r="G16" s="63" t="str">
        <f t="shared" si="9"/>
        <v>-</v>
      </c>
      <c r="H16" s="63" t="str">
        <f t="shared" si="9"/>
        <v>-</v>
      </c>
      <c r="I16" s="63" t="str">
        <f>IF(AND(OR($C15="-",$C15="CET",$C15=""),OR(I12="-",I12="CET",I12="")),"-",IF(AND(NOT(I15="-"),NOT(I$5="-"),NOT(I$5="")),I15/I$5,"-"))</f>
        <v>-</v>
      </c>
      <c r="J16" s="63" t="str">
        <f t="shared" si="9"/>
        <v>-</v>
      </c>
      <c r="K16" s="168" t="str">
        <f>IF(AND(OR($C15="-",$C15="CET",$C15=""),OR(K12="-",K12="CET",K12="")),"-",IF(AND(NOT(K15="-"),NOT(K$5="-"),NOT(K$5="")),K15/K$5,"-"))</f>
        <v>-</v>
      </c>
      <c r="L16" s="168" t="str">
        <f>IF(AND(OR($C15="-",$C15="CET",$C15=""),OR(L12="-",L12="CET",L12="")),"-",IF(AND(NOT(L15="-"),NOT(L$5="-"),NOT(L$5="")),L15/L$5,"-"))</f>
        <v>-</v>
      </c>
      <c r="M16" s="63" t="str">
        <f t="shared" si="9"/>
        <v>-</v>
      </c>
      <c r="N16" s="823"/>
      <c r="O16" s="749"/>
      <c r="P16" s="750"/>
      <c r="Q16" s="750"/>
      <c r="R16" s="754"/>
      <c r="S16" s="749"/>
      <c r="T16" s="750"/>
      <c r="U16" s="750"/>
      <c r="V16" s="754"/>
      <c r="W16" s="320"/>
      <c r="X16" s="320"/>
      <c r="Y16" s="743"/>
      <c r="Z16" s="743"/>
      <c r="AA16" s="743"/>
      <c r="AB16" s="743"/>
      <c r="AC16" s="743"/>
      <c r="AD16" s="743"/>
      <c r="AE16" s="743"/>
      <c r="AF16" s="743"/>
      <c r="AG16" s="743"/>
      <c r="AH16" s="743"/>
      <c r="BD16" s="151" t="str">
        <f>"1st " &amp; B28</f>
        <v>1st Hot 2</v>
      </c>
      <c r="BE16" s="153" t="str">
        <f t="shared" ref="BE16:BJ16" si="10">IF((OR($C30="-",$C30="CET",$C30="")),"-",IF(AND(OR(F28="-",F28=""),OR(F29="-",F29="")),"-",IF(NOT(OR(F28="-",F28="")),F28/F$5,F29/F$5)))</f>
        <v>-</v>
      </c>
      <c r="BF16" s="153" t="str">
        <f t="shared" si="10"/>
        <v>-</v>
      </c>
      <c r="BG16" s="153" t="str">
        <f t="shared" si="10"/>
        <v>-</v>
      </c>
      <c r="BH16" s="153" t="str">
        <f t="shared" si="10"/>
        <v>-</v>
      </c>
      <c r="BI16" s="153" t="str">
        <f t="shared" si="10"/>
        <v>-</v>
      </c>
      <c r="BJ16" s="153" t="str">
        <f t="shared" si="10"/>
        <v>-</v>
      </c>
      <c r="BK16" s="153" t="str">
        <f t="shared" ref="BK16" si="11">IF((OR($C30="-",$C30="CET",$C30="")),"-",IF(AND(OR(L28="-",L28=""),OR(L29="-",L29="")),"-",IF(NOT(OR(L28="-",L28="")),L28/L$5,L29/L$5)))</f>
        <v>-</v>
      </c>
      <c r="BL16" s="153" t="str">
        <f>IF((OR($C30="-",$C30="CET",$C30="")),"-",IF(AND(OR(M28="-",M28=""),OR(M29="-",M29="")),"-",IF(NOT(OR(M28="-",M28="")),M28/M$5,M29/M$5)))</f>
        <v>-</v>
      </c>
      <c r="BM16" s="153" t="str">
        <f>IF((OR($C30="-",$C30="CET",$C30="")),"-",IF(AND(OR(N28="-",N28=""),OR(N29="-",N29="")),"-",IF(NOT(OR(N28="-",N28="")),N28/N$5,N29/N$5)))</f>
        <v>-</v>
      </c>
    </row>
    <row r="17" spans="1:70" ht="15" customHeight="1" outlineLevel="1" thickBot="1" x14ac:dyDescent="0.3">
      <c r="A17" s="324"/>
      <c r="B17" s="781"/>
      <c r="C17" s="771"/>
      <c r="D17" s="774"/>
      <c r="E17" s="68" t="s">
        <v>30</v>
      </c>
      <c r="F17" s="62" t="str">
        <f t="shared" ref="F17:M17" si="12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62" t="str">
        <f t="shared" si="12"/>
        <v>-</v>
      </c>
      <c r="H17" s="62" t="str">
        <f t="shared" si="12"/>
        <v>-</v>
      </c>
      <c r="I17" s="62" t="str">
        <f t="shared" si="12"/>
        <v>-</v>
      </c>
      <c r="J17" s="62" t="str">
        <f t="shared" si="12"/>
        <v>-</v>
      </c>
      <c r="K17" s="169" t="str">
        <f t="shared" si="12"/>
        <v>-</v>
      </c>
      <c r="L17" s="169" t="str">
        <f t="shared" si="12"/>
        <v>-</v>
      </c>
      <c r="M17" s="62" t="str">
        <f t="shared" si="12"/>
        <v>-</v>
      </c>
      <c r="N17" s="824"/>
      <c r="O17" s="749"/>
      <c r="P17" s="750"/>
      <c r="Q17" s="750"/>
      <c r="R17" s="754"/>
      <c r="S17" s="749"/>
      <c r="T17" s="750"/>
      <c r="U17" s="750"/>
      <c r="V17" s="754"/>
      <c r="W17" s="320"/>
      <c r="X17" s="320"/>
      <c r="Y17" s="743"/>
      <c r="Z17" s="743"/>
      <c r="AA17" s="743"/>
      <c r="AB17" s="743"/>
      <c r="AC17" s="743"/>
      <c r="AD17" s="743"/>
      <c r="AE17" s="743"/>
      <c r="AF17" s="743"/>
      <c r="AG17" s="743"/>
      <c r="AH17" s="743"/>
      <c r="BC17" s="155" t="str">
        <f>IF(COUNTIF(F17:M17,"refused")&gt;0,"refused",IF(COUNTIF(F17:M17,"failed")&gt;0,"failed",IF(COUNTIF(F17:M17,"passed")&gt;0,"passed","-")))</f>
        <v>-</v>
      </c>
      <c r="BD17" s="151" t="str">
        <f>"0.7*IEF " &amp; (B12)</f>
        <v>0.7*IEF Cold</v>
      </c>
      <c r="BE17" s="153">
        <f t="shared" ref="BE17:BJ17" si="13">IF(AND(OR($C15="-",$C15="CET",$C15=""),OR(F12="-",F12="CET",F12="")),"-",0.7*IF(OR(F12="CET",F12="-",F12=""),IF(OR($C15="CET",$C15="-",$C15=""),"-",$C15),F12))</f>
        <v>0.7</v>
      </c>
      <c r="BF17" s="153">
        <f t="shared" si="13"/>
        <v>0.7</v>
      </c>
      <c r="BG17" s="153">
        <f t="shared" si="13"/>
        <v>0.7</v>
      </c>
      <c r="BH17" s="153">
        <f t="shared" si="13"/>
        <v>0.7</v>
      </c>
      <c r="BI17" s="153">
        <f t="shared" si="13"/>
        <v>0.7</v>
      </c>
      <c r="BJ17" s="153">
        <f t="shared" si="13"/>
        <v>0.7</v>
      </c>
      <c r="BK17" s="153">
        <f t="shared" ref="BK17" si="14">IF(AND(OR($C15="-",$C15="CET",$C15=""),OR(L12="-",L12="CET",L12="")),"-",0.7*IF(OR(L12="CET",L12="-",L12=""),IF(OR($C15="CET",$C15="-",$C15=""),"-",$C15),L12))</f>
        <v>0.7</v>
      </c>
      <c r="BL17" s="153">
        <f>IF(AND(OR($C15="-",$C15="CET",$C15=""),OR(M12="-",M12="CET",M12="")),"-",0.7*IF(OR(M12="CET",M12="-",M12=""),IF(OR($C15="CET",$C15="-",$C15=""),"-",$C15),M12))</f>
        <v>0.7</v>
      </c>
      <c r="BM17" s="153">
        <f>IF(AND(OR($C15="-",$C15="CET",$C15=""),OR(N12="-",N12="CET",N12="")),"-",0.7*IF(OR(N12="CET",N12="-",N12=""),IF(OR($C15="CET",$C15="-",$C15=""),"-",$C15),N12))</f>
        <v>0.7</v>
      </c>
    </row>
    <row r="18" spans="1:70" ht="15" customHeight="1" outlineLevel="1" x14ac:dyDescent="0.25">
      <c r="A18" s="324"/>
      <c r="B18" s="779" t="s">
        <v>98</v>
      </c>
      <c r="C18" s="770" t="s">
        <v>114</v>
      </c>
      <c r="D18" s="770" t="s">
        <v>113</v>
      </c>
      <c r="E18" s="106" t="s">
        <v>94</v>
      </c>
      <c r="F18" s="98" t="s">
        <v>5</v>
      </c>
      <c r="G18" s="98" t="s">
        <v>5</v>
      </c>
      <c r="H18" s="98" t="s">
        <v>5</v>
      </c>
      <c r="I18" s="98" t="s">
        <v>5</v>
      </c>
      <c r="J18" s="98" t="s">
        <v>5</v>
      </c>
      <c r="K18" s="165" t="s">
        <v>5</v>
      </c>
      <c r="L18" s="165" t="s">
        <v>5</v>
      </c>
      <c r="M18" s="98" t="s">
        <v>5</v>
      </c>
      <c r="N18" s="98" t="s">
        <v>5</v>
      </c>
      <c r="O18" s="749"/>
      <c r="P18" s="750"/>
      <c r="Q18" s="750"/>
      <c r="R18" s="754"/>
      <c r="S18" s="749"/>
      <c r="T18" s="750"/>
      <c r="U18" s="750"/>
      <c r="V18" s="754"/>
      <c r="W18" s="320"/>
      <c r="X18" s="320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BC18" s="155" t="str">
        <f t="shared" ref="BC18:BC81" si="15">IF(COUNTIF(F18:M18,"refused")&gt;0,"refused",IF(COUNTIF(F18:M18,"failed")&gt;0,"failed",IF(COUNTIF(F18:M18,"passed")&gt;0,"passed","-")))</f>
        <v>-</v>
      </c>
      <c r="BD18" s="151" t="str">
        <f>"0.7*IEF" &amp; B18</f>
        <v>0.7*IEFWarm</v>
      </c>
      <c r="BE18" s="153">
        <f t="shared" ref="BE18:BJ18" si="16">IF(OR($C20="-",$C20="CET",$C20=""),"-",0.7*$C20)</f>
        <v>0.7</v>
      </c>
      <c r="BF18" s="153">
        <f t="shared" si="16"/>
        <v>0.7</v>
      </c>
      <c r="BG18" s="153">
        <f t="shared" si="16"/>
        <v>0.7</v>
      </c>
      <c r="BH18" s="153">
        <f t="shared" si="16"/>
        <v>0.7</v>
      </c>
      <c r="BI18" s="153">
        <f t="shared" si="16"/>
        <v>0.7</v>
      </c>
      <c r="BJ18" s="153">
        <f t="shared" si="16"/>
        <v>0.7</v>
      </c>
      <c r="BK18" s="153">
        <f t="shared" ref="BK18:BL18" si="17">IF(OR($C20="-",$C20="CET",$C20=""),"-",0.7*$C20)</f>
        <v>0.7</v>
      </c>
      <c r="BL18" s="153">
        <f t="shared" si="17"/>
        <v>0.7</v>
      </c>
      <c r="BM18" s="153">
        <f t="shared" ref="BM18" si="18">IF(OR($C20="-",$C20="CET",$C20=""),"-",0.7*$C20)</f>
        <v>0.7</v>
      </c>
    </row>
    <row r="19" spans="1:70" s="50" customFormat="1" ht="15" customHeight="1" outlineLevel="1" thickBot="1" x14ac:dyDescent="0.3">
      <c r="A19" s="53"/>
      <c r="B19" s="780"/>
      <c r="C19" s="741"/>
      <c r="D19" s="742"/>
      <c r="E19" s="104" t="s">
        <v>95</v>
      </c>
      <c r="F19" s="97" t="s">
        <v>5</v>
      </c>
      <c r="G19" s="97" t="s">
        <v>5</v>
      </c>
      <c r="H19" s="97" t="s">
        <v>5</v>
      </c>
      <c r="I19" s="97" t="s">
        <v>5</v>
      </c>
      <c r="J19" s="97" t="s">
        <v>5</v>
      </c>
      <c r="K19" s="166" t="s">
        <v>5</v>
      </c>
      <c r="L19" s="166" t="s">
        <v>5</v>
      </c>
      <c r="M19" s="97" t="s">
        <v>5</v>
      </c>
      <c r="N19" s="97" t="s">
        <v>5</v>
      </c>
      <c r="O19" s="749"/>
      <c r="P19" s="750"/>
      <c r="Q19" s="750"/>
      <c r="R19" s="754"/>
      <c r="S19" s="749"/>
      <c r="T19" s="750"/>
      <c r="U19" s="750"/>
      <c r="V19" s="754"/>
      <c r="W19" s="51"/>
      <c r="X19" s="51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BC19" s="155" t="str">
        <f t="shared" si="15"/>
        <v>-</v>
      </c>
      <c r="BD19" s="151" t="str">
        <f>"0.7*IEF " &amp; B23</f>
        <v>0.7*IEF Hot 1</v>
      </c>
      <c r="BE19" s="153">
        <f t="shared" ref="BE19:BJ19" si="19">IF(OR($C25="-",$C25="CET",$C25=""),"-",0.7*$C25)</f>
        <v>0.7</v>
      </c>
      <c r="BF19" s="153">
        <f t="shared" si="19"/>
        <v>0.7</v>
      </c>
      <c r="BG19" s="153">
        <f t="shared" si="19"/>
        <v>0.7</v>
      </c>
      <c r="BH19" s="153">
        <f t="shared" si="19"/>
        <v>0.7</v>
      </c>
      <c r="BI19" s="153">
        <f t="shared" si="19"/>
        <v>0.7</v>
      </c>
      <c r="BJ19" s="153">
        <f t="shared" si="19"/>
        <v>0.7</v>
      </c>
      <c r="BK19" s="153">
        <f t="shared" ref="BK19:BL19" si="20">IF(OR($C25="-",$C25="CET",$C25=""),"-",0.7*$C25)</f>
        <v>0.7</v>
      </c>
      <c r="BL19" s="153">
        <f t="shared" si="20"/>
        <v>0.7</v>
      </c>
      <c r="BM19" s="153">
        <f t="shared" ref="BM19" si="21">IF(OR($C25="-",$C25="CET",$C25=""),"-",0.7*$C25)</f>
        <v>0.7</v>
      </c>
      <c r="BN19" s="150"/>
      <c r="BO19" s="150"/>
      <c r="BP19" s="150"/>
      <c r="BQ19" s="150"/>
      <c r="BR19" s="150"/>
    </row>
    <row r="20" spans="1:70" ht="15" customHeight="1" outlineLevel="1" thickBot="1" x14ac:dyDescent="0.3">
      <c r="A20" s="324"/>
      <c r="B20" s="780"/>
      <c r="C20" s="764">
        <v>1</v>
      </c>
      <c r="D20" s="772" t="str">
        <f>IF(AND(F21="-",G21="-",H21="-",I21="-",J21="-",K21="-",L21="-",M21="-"),"-",MAX(F21,G21,H21,I21,J21,K21,L21,M21))</f>
        <v>-</v>
      </c>
      <c r="E20" s="66" t="s">
        <v>177</v>
      </c>
      <c r="F20" s="65" t="str">
        <f t="shared" ref="F20:M20" si="22">IF(OR(F19="-",F19=""),IF(OR(F18="-",F18=""),"-",F18),IF(OR(F18="-",F18=""),F19,(F18+F19)/2))</f>
        <v>-</v>
      </c>
      <c r="G20" s="65" t="str">
        <f t="shared" si="22"/>
        <v>-</v>
      </c>
      <c r="H20" s="65" t="str">
        <f t="shared" si="22"/>
        <v>-</v>
      </c>
      <c r="I20" s="65" t="str">
        <f t="shared" si="22"/>
        <v>-</v>
      </c>
      <c r="J20" s="65" t="str">
        <f t="shared" si="22"/>
        <v>-</v>
      </c>
      <c r="K20" s="167" t="str">
        <f t="shared" si="22"/>
        <v>-</v>
      </c>
      <c r="L20" s="167" t="str">
        <f t="shared" ref="L20" si="23">IF(OR(L19="-",L19=""),IF(OR(L18="-",L18=""),"-",L18),IF(OR(L18="-",L18=""),L19,(L18+L19)/2))</f>
        <v>-</v>
      </c>
      <c r="M20" s="65" t="str">
        <f t="shared" si="22"/>
        <v>-</v>
      </c>
      <c r="N20" s="822"/>
      <c r="O20" s="749"/>
      <c r="P20" s="750"/>
      <c r="Q20" s="750"/>
      <c r="R20" s="754"/>
      <c r="S20" s="749"/>
      <c r="T20" s="750"/>
      <c r="U20" s="750"/>
      <c r="V20" s="754"/>
      <c r="W20" s="320"/>
      <c r="X20" s="320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BC20" s="155" t="str">
        <f t="shared" si="15"/>
        <v>-</v>
      </c>
      <c r="BD20" s="151" t="str">
        <f>"0.7*IEF " &amp; B28</f>
        <v>0.7*IEF Hot 2</v>
      </c>
      <c r="BE20" s="153">
        <f t="shared" ref="BE20:BJ20" si="24">IF(OR($C30="-",$C30="CET",$C30=""),"-",0.7*$C30)</f>
        <v>0.7</v>
      </c>
      <c r="BF20" s="153">
        <f t="shared" si="24"/>
        <v>0.7</v>
      </c>
      <c r="BG20" s="153">
        <f t="shared" si="24"/>
        <v>0.7</v>
      </c>
      <c r="BH20" s="153">
        <f t="shared" si="24"/>
        <v>0.7</v>
      </c>
      <c r="BI20" s="153">
        <f t="shared" si="24"/>
        <v>0.7</v>
      </c>
      <c r="BJ20" s="153">
        <f t="shared" si="24"/>
        <v>0.7</v>
      </c>
      <c r="BK20" s="153">
        <f t="shared" ref="BK20:BL20" si="25">IF(OR($C30="-",$C30="CET",$C30=""),"-",0.7*$C30)</f>
        <v>0.7</v>
      </c>
      <c r="BL20" s="153">
        <f t="shared" si="25"/>
        <v>0.7</v>
      </c>
      <c r="BM20" s="153">
        <f t="shared" ref="BM20" si="26">IF(OR($C30="-",$C30="CET",$C30=""),"-",0.7*$C30)</f>
        <v>0.7</v>
      </c>
    </row>
    <row r="21" spans="1:70" ht="15" customHeight="1" outlineLevel="1" thickBot="1" x14ac:dyDescent="0.3">
      <c r="A21" s="324"/>
      <c r="B21" s="780"/>
      <c r="C21" s="765"/>
      <c r="D21" s="773"/>
      <c r="E21" s="64" t="s">
        <v>97</v>
      </c>
      <c r="F21" s="63" t="str">
        <f t="shared" ref="F21:M21" si="27">IF(OR($C20="-",$C20="CET",$C20=""),"-",IF(AND(NOT(F20="-"),NOT(F$5="-"),NOT(F$5="")),F20/F$5,"-"))</f>
        <v>-</v>
      </c>
      <c r="G21" s="63" t="str">
        <f t="shared" si="27"/>
        <v>-</v>
      </c>
      <c r="H21" s="63" t="str">
        <f t="shared" si="27"/>
        <v>-</v>
      </c>
      <c r="I21" s="63" t="str">
        <f t="shared" si="27"/>
        <v>-</v>
      </c>
      <c r="J21" s="63" t="str">
        <f t="shared" si="27"/>
        <v>-</v>
      </c>
      <c r="K21" s="168" t="str">
        <f t="shared" si="27"/>
        <v>-</v>
      </c>
      <c r="L21" s="168" t="str">
        <f t="shared" ref="L21" si="28">IF(OR($C20="-",$C20="CET",$C20=""),"-",IF(AND(NOT(L20="-"),NOT(L$5="-"),NOT(L$5="")),L20/L$5,"-"))</f>
        <v>-</v>
      </c>
      <c r="M21" s="63" t="str">
        <f t="shared" si="27"/>
        <v>-</v>
      </c>
      <c r="N21" s="823"/>
      <c r="O21" s="749"/>
      <c r="P21" s="750"/>
      <c r="Q21" s="750"/>
      <c r="R21" s="754"/>
      <c r="S21" s="749"/>
      <c r="T21" s="750"/>
      <c r="U21" s="750"/>
      <c r="V21" s="754"/>
      <c r="W21" s="320"/>
      <c r="X21" s="320"/>
      <c r="Y21" s="743"/>
      <c r="Z21" s="743"/>
      <c r="AA21" s="743"/>
      <c r="AB21" s="743"/>
      <c r="AC21" s="743"/>
      <c r="AD21" s="743"/>
      <c r="AE21" s="743"/>
      <c r="AF21" s="743"/>
      <c r="AG21" s="743"/>
      <c r="AH21" s="743"/>
      <c r="BC21" s="155" t="str">
        <f t="shared" si="15"/>
        <v>-</v>
      </c>
      <c r="BD21" s="151" t="str">
        <f>B12</f>
        <v>Cold</v>
      </c>
      <c r="BE21" s="153" t="str">
        <f t="shared" ref="BE21:BJ21" si="29">F16</f>
        <v>-</v>
      </c>
      <c r="BF21" s="153" t="str">
        <f t="shared" si="29"/>
        <v>-</v>
      </c>
      <c r="BG21" s="153" t="str">
        <f t="shared" si="29"/>
        <v>-</v>
      </c>
      <c r="BH21" s="153" t="str">
        <f t="shared" si="29"/>
        <v>-</v>
      </c>
      <c r="BI21" s="153" t="str">
        <f t="shared" si="29"/>
        <v>-</v>
      </c>
      <c r="BJ21" s="153" t="str">
        <f t="shared" si="29"/>
        <v>-</v>
      </c>
      <c r="BK21" s="153" t="str">
        <f t="shared" ref="BK21" si="30">L16</f>
        <v>-</v>
      </c>
      <c r="BL21" s="153" t="str">
        <f>M16</f>
        <v>-</v>
      </c>
      <c r="BM21" s="153">
        <f>N16</f>
        <v>0</v>
      </c>
    </row>
    <row r="22" spans="1:70" ht="15" customHeight="1" outlineLevel="1" thickBot="1" x14ac:dyDescent="0.3">
      <c r="A22" s="40"/>
      <c r="B22" s="781"/>
      <c r="C22" s="771"/>
      <c r="D22" s="774"/>
      <c r="E22" s="68" t="s">
        <v>30</v>
      </c>
      <c r="F22" s="62" t="str">
        <f t="shared" ref="F22:M22" si="31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62" t="str">
        <f t="shared" si="31"/>
        <v>-</v>
      </c>
      <c r="H22" s="62" t="str">
        <f t="shared" si="31"/>
        <v>-</v>
      </c>
      <c r="I22" s="62" t="str">
        <f t="shared" si="31"/>
        <v>-</v>
      </c>
      <c r="J22" s="62" t="str">
        <f t="shared" si="31"/>
        <v>-</v>
      </c>
      <c r="K22" s="169" t="str">
        <f t="shared" si="31"/>
        <v>-</v>
      </c>
      <c r="L22" s="169" t="str">
        <f t="shared" si="31"/>
        <v>-</v>
      </c>
      <c r="M22" s="62" t="str">
        <f t="shared" si="31"/>
        <v>-</v>
      </c>
      <c r="N22" s="824"/>
      <c r="O22" s="749"/>
      <c r="P22" s="750"/>
      <c r="Q22" s="750"/>
      <c r="R22" s="754"/>
      <c r="S22" s="749"/>
      <c r="T22" s="750"/>
      <c r="U22" s="750"/>
      <c r="V22" s="754"/>
      <c r="W22" s="320"/>
      <c r="X22" s="320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BC22" s="155" t="str">
        <f t="shared" si="15"/>
        <v>-</v>
      </c>
      <c r="BD22" s="151" t="str">
        <f>B18</f>
        <v>Warm</v>
      </c>
      <c r="BE22" s="153" t="str">
        <f t="shared" ref="BE22:BJ22" si="32">F21</f>
        <v>-</v>
      </c>
      <c r="BF22" s="153" t="str">
        <f t="shared" si="32"/>
        <v>-</v>
      </c>
      <c r="BG22" s="153" t="str">
        <f t="shared" si="32"/>
        <v>-</v>
      </c>
      <c r="BH22" s="153" t="str">
        <f t="shared" si="32"/>
        <v>-</v>
      </c>
      <c r="BI22" s="153" t="str">
        <f t="shared" si="32"/>
        <v>-</v>
      </c>
      <c r="BJ22" s="153" t="str">
        <f t="shared" si="32"/>
        <v>-</v>
      </c>
      <c r="BK22" s="153" t="str">
        <f t="shared" ref="BK22" si="33">L21</f>
        <v>-</v>
      </c>
      <c r="BL22" s="153" t="str">
        <f>M21</f>
        <v>-</v>
      </c>
      <c r="BM22" s="153">
        <f>N21</f>
        <v>0</v>
      </c>
    </row>
    <row r="23" spans="1:70" ht="15" customHeight="1" outlineLevel="1" thickBot="1" x14ac:dyDescent="0.3">
      <c r="A23" s="40"/>
      <c r="B23" s="779" t="s">
        <v>99</v>
      </c>
      <c r="C23" s="770" t="s">
        <v>114</v>
      </c>
      <c r="D23" s="770" t="s">
        <v>113</v>
      </c>
      <c r="E23" s="106" t="s">
        <v>94</v>
      </c>
      <c r="F23" s="98" t="s">
        <v>5</v>
      </c>
      <c r="G23" s="98" t="s">
        <v>5</v>
      </c>
      <c r="H23" s="98" t="s">
        <v>5</v>
      </c>
      <c r="I23" s="98" t="s">
        <v>5</v>
      </c>
      <c r="J23" s="98" t="s">
        <v>5</v>
      </c>
      <c r="K23" s="165" t="s">
        <v>5</v>
      </c>
      <c r="L23" s="165" t="s">
        <v>5</v>
      </c>
      <c r="M23" s="98" t="s">
        <v>5</v>
      </c>
      <c r="N23" s="98" t="s">
        <v>5</v>
      </c>
      <c r="O23" s="749"/>
      <c r="P23" s="750"/>
      <c r="Q23" s="750"/>
      <c r="R23" s="754"/>
      <c r="S23" s="749"/>
      <c r="T23" s="750"/>
      <c r="U23" s="750"/>
      <c r="V23" s="754"/>
      <c r="W23" s="320"/>
      <c r="X23" s="320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BC23" s="155" t="str">
        <f t="shared" si="15"/>
        <v>-</v>
      </c>
      <c r="BD23" s="151" t="str">
        <f>B23</f>
        <v>Hot 1</v>
      </c>
      <c r="BE23" s="153" t="str">
        <f t="shared" ref="BE23:BJ23" si="34">F26</f>
        <v>-</v>
      </c>
      <c r="BF23" s="153" t="str">
        <f t="shared" si="34"/>
        <v>-</v>
      </c>
      <c r="BG23" s="153" t="str">
        <f t="shared" si="34"/>
        <v>-</v>
      </c>
      <c r="BH23" s="153" t="str">
        <f t="shared" si="34"/>
        <v>-</v>
      </c>
      <c r="BI23" s="153" t="str">
        <f t="shared" si="34"/>
        <v>-</v>
      </c>
      <c r="BJ23" s="153" t="str">
        <f t="shared" si="34"/>
        <v>-</v>
      </c>
      <c r="BK23" s="153" t="str">
        <f t="shared" ref="BK23" si="35">L26</f>
        <v>-</v>
      </c>
      <c r="BL23" s="153" t="str">
        <f>M26</f>
        <v>-</v>
      </c>
      <c r="BM23" s="153">
        <f>N26</f>
        <v>0</v>
      </c>
    </row>
    <row r="24" spans="1:70" s="50" customFormat="1" ht="15" customHeight="1" outlineLevel="1" thickBot="1" x14ac:dyDescent="0.3">
      <c r="A24" s="52"/>
      <c r="B24" s="780"/>
      <c r="C24" s="741"/>
      <c r="D24" s="742"/>
      <c r="E24" s="109" t="s">
        <v>95</v>
      </c>
      <c r="F24" s="97" t="s">
        <v>5</v>
      </c>
      <c r="G24" s="97" t="s">
        <v>5</v>
      </c>
      <c r="H24" s="97" t="s">
        <v>5</v>
      </c>
      <c r="I24" s="97" t="s">
        <v>5</v>
      </c>
      <c r="J24" s="97" t="s">
        <v>5</v>
      </c>
      <c r="K24" s="166" t="s">
        <v>5</v>
      </c>
      <c r="L24" s="166" t="s">
        <v>5</v>
      </c>
      <c r="M24" s="97" t="s">
        <v>5</v>
      </c>
      <c r="N24" s="97" t="s">
        <v>5</v>
      </c>
      <c r="O24" s="749"/>
      <c r="P24" s="750"/>
      <c r="Q24" s="750"/>
      <c r="R24" s="754"/>
      <c r="S24" s="749"/>
      <c r="T24" s="750"/>
      <c r="U24" s="750"/>
      <c r="V24" s="754"/>
      <c r="W24" s="51"/>
      <c r="X24" s="51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BC24" s="155" t="str">
        <f t="shared" si="15"/>
        <v>-</v>
      </c>
      <c r="BD24" s="151" t="str">
        <f>B28</f>
        <v>Hot 2</v>
      </c>
      <c r="BE24" s="153" t="str">
        <f t="shared" ref="BE24:BJ24" si="36">F31</f>
        <v>-</v>
      </c>
      <c r="BF24" s="153" t="str">
        <f t="shared" si="36"/>
        <v>-</v>
      </c>
      <c r="BG24" s="153" t="str">
        <f t="shared" si="36"/>
        <v>-</v>
      </c>
      <c r="BH24" s="153" t="str">
        <f t="shared" si="36"/>
        <v>-</v>
      </c>
      <c r="BI24" s="153" t="str">
        <f t="shared" si="36"/>
        <v>-</v>
      </c>
      <c r="BJ24" s="153" t="str">
        <f t="shared" si="36"/>
        <v>-</v>
      </c>
      <c r="BK24" s="153" t="str">
        <f t="shared" ref="BK24" si="37">L31</f>
        <v>-</v>
      </c>
      <c r="BL24" s="153" t="str">
        <f>M31</f>
        <v>-</v>
      </c>
      <c r="BM24" s="153">
        <f>N31</f>
        <v>0</v>
      </c>
      <c r="BN24" s="150"/>
      <c r="BO24" s="150"/>
      <c r="BP24" s="150"/>
      <c r="BQ24" s="150"/>
      <c r="BR24" s="150"/>
    </row>
    <row r="25" spans="1:70" ht="15" customHeight="1" outlineLevel="1" thickBot="1" x14ac:dyDescent="0.3">
      <c r="A25" s="40"/>
      <c r="B25" s="780"/>
      <c r="C25" s="764">
        <v>1</v>
      </c>
      <c r="D25" s="772" t="str">
        <f>IF(AND(F26="-",G26="-",H26="-",I26="-",J26="-",K26="-",L26="-",M26="-"),"-",MAX(F26,G26,H26,I26,J26,K26,L26,M26))</f>
        <v>-</v>
      </c>
      <c r="E25" s="66" t="s">
        <v>177</v>
      </c>
      <c r="F25" s="65" t="str">
        <f t="shared" ref="F25:M25" si="38">IF(OR(F24="-",F24=""),IF(OR(F23="-",F23=""),"-",F23),IF(OR(F23="-",F23=""),F24,(F23+F24)/2))</f>
        <v>-</v>
      </c>
      <c r="G25" s="65" t="str">
        <f t="shared" si="38"/>
        <v>-</v>
      </c>
      <c r="H25" s="65" t="str">
        <f t="shared" si="38"/>
        <v>-</v>
      </c>
      <c r="I25" s="65" t="str">
        <f t="shared" si="38"/>
        <v>-</v>
      </c>
      <c r="J25" s="65" t="str">
        <f t="shared" si="38"/>
        <v>-</v>
      </c>
      <c r="K25" s="167" t="str">
        <f t="shared" si="38"/>
        <v>-</v>
      </c>
      <c r="L25" s="167" t="str">
        <f t="shared" ref="L25" si="39">IF(OR(L24="-",L24=""),IF(OR(L23="-",L23=""),"-",L23),IF(OR(L23="-",L23=""),L24,(L23+L24)/2))</f>
        <v>-</v>
      </c>
      <c r="M25" s="65" t="str">
        <f t="shared" si="38"/>
        <v>-</v>
      </c>
      <c r="N25" s="822"/>
      <c r="O25" s="749"/>
      <c r="P25" s="750"/>
      <c r="Q25" s="750"/>
      <c r="R25" s="754"/>
      <c r="S25" s="749"/>
      <c r="T25" s="750"/>
      <c r="U25" s="750"/>
      <c r="V25" s="754"/>
      <c r="W25" s="320"/>
      <c r="X25" s="320"/>
      <c r="Y25" s="743"/>
      <c r="Z25" s="743"/>
      <c r="AA25" s="743"/>
      <c r="AB25" s="743"/>
      <c r="AC25" s="743"/>
      <c r="AD25" s="743"/>
      <c r="AE25" s="743"/>
      <c r="AF25" s="743"/>
      <c r="AG25" s="743"/>
      <c r="AH25" s="743"/>
      <c r="BC25" s="155" t="str">
        <f t="shared" si="15"/>
        <v>-</v>
      </c>
      <c r="BD25" s="151" t="str">
        <f>"IEF " &amp;B12</f>
        <v>IEF Cold</v>
      </c>
      <c r="BE25" s="153">
        <f t="shared" ref="BE25:BJ25" si="40">IF(AND(OR($C15="-",$C15="CET",$C15=""),OR(F12="-",F12="CET",F12="")),"-",IF(OR(F12="CET",F12="-",F12=""),IF(OR($C15="CET",$C15="-",$C15=""),"-",$C15),F12))</f>
        <v>1</v>
      </c>
      <c r="BF25" s="153">
        <f t="shared" si="40"/>
        <v>1</v>
      </c>
      <c r="BG25" s="153">
        <f t="shared" si="40"/>
        <v>1</v>
      </c>
      <c r="BH25" s="153">
        <f t="shared" si="40"/>
        <v>1</v>
      </c>
      <c r="BI25" s="153">
        <f t="shared" si="40"/>
        <v>1</v>
      </c>
      <c r="BJ25" s="153">
        <f t="shared" si="40"/>
        <v>1</v>
      </c>
      <c r="BK25" s="153">
        <f t="shared" ref="BK25" si="41">IF(AND(OR($C15="-",$C15="CET",$C15=""),OR(L12="-",L12="CET",L12="")),"-",IF(OR(L12="CET",L12="-",L12=""),IF(OR($C15="CET",$C15="-",$C15=""),"-",$C15),L12))</f>
        <v>1</v>
      </c>
      <c r="BL25" s="153">
        <f>IF(AND(OR($C15="-",$C15="CET",$C15=""),OR(M12="-",M12="CET",M12="")),"-",IF(OR(M12="CET",M12="-",M12=""),IF(OR($C15="CET",$C15="-",$C15=""),"-",$C15),M12))</f>
        <v>1</v>
      </c>
      <c r="BM25" s="153">
        <f>IF(AND(OR($C15="-",$C15="CET",$C15=""),OR(N12="-",N12="CET",N12="")),"-",IF(OR(N12="CET",N12="-",N12=""),IF(OR($C15="CET",$C15="-",$C15=""),"-",$C15),N12))</f>
        <v>1</v>
      </c>
    </row>
    <row r="26" spans="1:70" ht="15" customHeight="1" outlineLevel="1" thickBot="1" x14ac:dyDescent="0.3">
      <c r="A26" s="40"/>
      <c r="B26" s="780"/>
      <c r="C26" s="765"/>
      <c r="D26" s="773"/>
      <c r="E26" s="64" t="s">
        <v>97</v>
      </c>
      <c r="F26" s="63" t="str">
        <f t="shared" ref="F26:M26" si="42">IF(OR($C25="-",$C25="CET",$C25=""),"-",IF(AND(NOT(F25="-"),NOT(F$5="-"),NOT(F$5="")),F25/F$5,"-"))</f>
        <v>-</v>
      </c>
      <c r="G26" s="63" t="str">
        <f t="shared" si="42"/>
        <v>-</v>
      </c>
      <c r="H26" s="63" t="str">
        <f t="shared" si="42"/>
        <v>-</v>
      </c>
      <c r="I26" s="63" t="str">
        <f t="shared" si="42"/>
        <v>-</v>
      </c>
      <c r="J26" s="63" t="str">
        <f t="shared" si="42"/>
        <v>-</v>
      </c>
      <c r="K26" s="168" t="str">
        <f t="shared" si="42"/>
        <v>-</v>
      </c>
      <c r="L26" s="168" t="str">
        <f t="shared" ref="L26" si="43">IF(OR($C25="-",$C25="CET",$C25=""),"-",IF(AND(NOT(L25="-"),NOT(L$5="-"),NOT(L$5="")),L25/L$5,"-"))</f>
        <v>-</v>
      </c>
      <c r="M26" s="63" t="str">
        <f t="shared" si="42"/>
        <v>-</v>
      </c>
      <c r="N26" s="823"/>
      <c r="O26" s="749"/>
      <c r="P26" s="750"/>
      <c r="Q26" s="750"/>
      <c r="R26" s="754"/>
      <c r="S26" s="749"/>
      <c r="T26" s="750"/>
      <c r="U26" s="750"/>
      <c r="V26" s="754"/>
      <c r="W26" s="320"/>
      <c r="X26" s="320"/>
      <c r="Y26" s="743"/>
      <c r="Z26" s="743"/>
      <c r="AA26" s="743"/>
      <c r="AB26" s="743"/>
      <c r="AC26" s="743"/>
      <c r="AD26" s="743"/>
      <c r="AE26" s="743"/>
      <c r="AF26" s="743"/>
      <c r="AG26" s="743"/>
      <c r="AH26" s="743"/>
      <c r="BC26" s="155" t="str">
        <f t="shared" si="15"/>
        <v>-</v>
      </c>
      <c r="BD26" s="151" t="str">
        <f>"IEF " &amp; B18</f>
        <v>IEF Warm</v>
      </c>
      <c r="BE26" s="153">
        <f t="shared" ref="BE26:BJ26" si="44">IF(OR($C20="CET",$C20="-",$C20=""),"-",$C20)</f>
        <v>1</v>
      </c>
      <c r="BF26" s="153">
        <f t="shared" si="44"/>
        <v>1</v>
      </c>
      <c r="BG26" s="153">
        <f t="shared" si="44"/>
        <v>1</v>
      </c>
      <c r="BH26" s="153">
        <f t="shared" si="44"/>
        <v>1</v>
      </c>
      <c r="BI26" s="153">
        <f t="shared" si="44"/>
        <v>1</v>
      </c>
      <c r="BJ26" s="153">
        <f t="shared" si="44"/>
        <v>1</v>
      </c>
      <c r="BK26" s="153">
        <f t="shared" ref="BK26:BL26" si="45">IF(OR($C20="CET",$C20="-",$C20=""),"-",$C20)</f>
        <v>1</v>
      </c>
      <c r="BL26" s="153">
        <f t="shared" si="45"/>
        <v>1</v>
      </c>
      <c r="BM26" s="153">
        <f t="shared" ref="BM26" si="46">IF(OR($C20="CET",$C20="-",$C20=""),"-",$C20)</f>
        <v>1</v>
      </c>
    </row>
    <row r="27" spans="1:70" ht="15" customHeight="1" outlineLevel="1" thickBot="1" x14ac:dyDescent="0.3">
      <c r="A27" s="40"/>
      <c r="B27" s="781"/>
      <c r="C27" s="771"/>
      <c r="D27" s="774"/>
      <c r="E27" s="68" t="s">
        <v>30</v>
      </c>
      <c r="F27" s="62" t="str">
        <f t="shared" ref="F27:M27" si="47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62" t="str">
        <f t="shared" si="47"/>
        <v>-</v>
      </c>
      <c r="H27" s="62" t="str">
        <f t="shared" si="47"/>
        <v>-</v>
      </c>
      <c r="I27" s="62" t="str">
        <f t="shared" si="47"/>
        <v>-</v>
      </c>
      <c r="J27" s="62" t="str">
        <f t="shared" si="47"/>
        <v>-</v>
      </c>
      <c r="K27" s="169" t="str">
        <f t="shared" si="47"/>
        <v>-</v>
      </c>
      <c r="L27" s="169" t="str">
        <f t="shared" si="47"/>
        <v>-</v>
      </c>
      <c r="M27" s="62" t="str">
        <f t="shared" si="47"/>
        <v>-</v>
      </c>
      <c r="N27" s="824"/>
      <c r="O27" s="749"/>
      <c r="P27" s="750"/>
      <c r="Q27" s="750"/>
      <c r="R27" s="754"/>
      <c r="S27" s="749"/>
      <c r="T27" s="750"/>
      <c r="U27" s="750"/>
      <c r="V27" s="754"/>
      <c r="W27" s="320"/>
      <c r="X27" s="320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BC27" s="155" t="str">
        <f t="shared" si="15"/>
        <v>-</v>
      </c>
      <c r="BD27" s="151" t="str">
        <f>"IEF " &amp; B23</f>
        <v>IEF Hot 1</v>
      </c>
      <c r="BE27" s="153">
        <f t="shared" ref="BE27:BJ27" si="48">IF(OR($C25="CET",$C25="-",$C25=""),"-",$C25)</f>
        <v>1</v>
      </c>
      <c r="BF27" s="153">
        <f t="shared" si="48"/>
        <v>1</v>
      </c>
      <c r="BG27" s="153">
        <f t="shared" si="48"/>
        <v>1</v>
      </c>
      <c r="BH27" s="153">
        <f t="shared" si="48"/>
        <v>1</v>
      </c>
      <c r="BI27" s="153">
        <f t="shared" si="48"/>
        <v>1</v>
      </c>
      <c r="BJ27" s="153">
        <f t="shared" si="48"/>
        <v>1</v>
      </c>
      <c r="BK27" s="153">
        <f t="shared" ref="BK27:BL27" si="49">IF(OR($C25="CET",$C25="-",$C25=""),"-",$C25)</f>
        <v>1</v>
      </c>
      <c r="BL27" s="153">
        <f t="shared" si="49"/>
        <v>1</v>
      </c>
      <c r="BM27" s="153">
        <f t="shared" ref="BM27" si="50">IF(OR($C25="CET",$C25="-",$C25=""),"-",$C25)</f>
        <v>1</v>
      </c>
    </row>
    <row r="28" spans="1:70" ht="15" customHeight="1" outlineLevel="1" x14ac:dyDescent="0.25">
      <c r="A28" s="40"/>
      <c r="B28" s="779" t="s">
        <v>100</v>
      </c>
      <c r="C28" s="770" t="s">
        <v>114</v>
      </c>
      <c r="D28" s="770" t="s">
        <v>113</v>
      </c>
      <c r="E28" s="106" t="s">
        <v>94</v>
      </c>
      <c r="F28" s="98" t="s">
        <v>5</v>
      </c>
      <c r="G28" s="98" t="s">
        <v>5</v>
      </c>
      <c r="H28" s="98" t="s">
        <v>5</v>
      </c>
      <c r="I28" s="98" t="s">
        <v>5</v>
      </c>
      <c r="J28" s="98" t="s">
        <v>5</v>
      </c>
      <c r="K28" s="165" t="s">
        <v>5</v>
      </c>
      <c r="L28" s="165" t="s">
        <v>5</v>
      </c>
      <c r="M28" s="98" t="s">
        <v>5</v>
      </c>
      <c r="N28" s="98" t="s">
        <v>5</v>
      </c>
      <c r="O28" s="749"/>
      <c r="P28" s="750"/>
      <c r="Q28" s="750"/>
      <c r="R28" s="754"/>
      <c r="S28" s="749"/>
      <c r="T28" s="750"/>
      <c r="U28" s="750"/>
      <c r="V28" s="754"/>
      <c r="W28" s="320"/>
      <c r="X28" s="320"/>
      <c r="Y28" s="743"/>
      <c r="Z28" s="743"/>
      <c r="AA28" s="743"/>
      <c r="AB28" s="743"/>
      <c r="AC28" s="743"/>
      <c r="AD28" s="743"/>
      <c r="AE28" s="743"/>
      <c r="AF28" s="743"/>
      <c r="AG28" s="743"/>
      <c r="AH28" s="743"/>
      <c r="BC28" s="155" t="str">
        <f t="shared" si="15"/>
        <v>-</v>
      </c>
      <c r="BD28" s="151" t="str">
        <f>"IEF " &amp; B28</f>
        <v>IEF Hot 2</v>
      </c>
      <c r="BE28" s="153">
        <f t="shared" ref="BE28:BJ28" si="51">IF(OR($C30="CET",$C30="-",$C30=""),"-",$C30)</f>
        <v>1</v>
      </c>
      <c r="BF28" s="153">
        <f t="shared" si="51"/>
        <v>1</v>
      </c>
      <c r="BG28" s="153">
        <f t="shared" si="51"/>
        <v>1</v>
      </c>
      <c r="BH28" s="153">
        <f t="shared" si="51"/>
        <v>1</v>
      </c>
      <c r="BI28" s="153">
        <f t="shared" si="51"/>
        <v>1</v>
      </c>
      <c r="BJ28" s="153">
        <f t="shared" si="51"/>
        <v>1</v>
      </c>
      <c r="BK28" s="153">
        <f t="shared" ref="BK28:BL28" si="52">IF(OR($C30="CET",$C30="-",$C30=""),"-",$C30)</f>
        <v>1</v>
      </c>
      <c r="BL28" s="153">
        <f t="shared" si="52"/>
        <v>1</v>
      </c>
      <c r="BM28" s="153">
        <f t="shared" ref="BM28" si="53">IF(OR($C30="CET",$C30="-",$C30=""),"-",$C30)</f>
        <v>1</v>
      </c>
    </row>
    <row r="29" spans="1:70" s="50" customFormat="1" ht="15" customHeight="1" outlineLevel="1" thickBot="1" x14ac:dyDescent="0.3">
      <c r="A29" s="52"/>
      <c r="B29" s="780"/>
      <c r="C29" s="741"/>
      <c r="D29" s="742"/>
      <c r="E29" s="104" t="s">
        <v>95</v>
      </c>
      <c r="F29" s="97" t="s">
        <v>5</v>
      </c>
      <c r="G29" s="97" t="s">
        <v>5</v>
      </c>
      <c r="H29" s="97" t="s">
        <v>5</v>
      </c>
      <c r="I29" s="97" t="s">
        <v>5</v>
      </c>
      <c r="J29" s="97" t="s">
        <v>5</v>
      </c>
      <c r="K29" s="166" t="s">
        <v>5</v>
      </c>
      <c r="L29" s="166" t="s">
        <v>5</v>
      </c>
      <c r="M29" s="97" t="s">
        <v>5</v>
      </c>
      <c r="N29" s="97" t="s">
        <v>5</v>
      </c>
      <c r="O29" s="749"/>
      <c r="P29" s="750"/>
      <c r="Q29" s="750"/>
      <c r="R29" s="754"/>
      <c r="S29" s="749"/>
      <c r="T29" s="750"/>
      <c r="U29" s="750"/>
      <c r="V29" s="754"/>
      <c r="W29" s="51"/>
      <c r="X29" s="51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BC29" s="155" t="str">
        <f t="shared" si="15"/>
        <v>-</v>
      </c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50"/>
      <c r="BP29" s="150"/>
      <c r="BQ29" s="150"/>
      <c r="BR29" s="150"/>
    </row>
    <row r="30" spans="1:70" ht="15" customHeight="1" outlineLevel="1" thickBot="1" x14ac:dyDescent="0.3">
      <c r="A30" s="40"/>
      <c r="B30" s="780"/>
      <c r="C30" s="764">
        <v>1</v>
      </c>
      <c r="D30" s="772" t="str">
        <f>IF(AND(F31="-",G31="-",H31="-",I31="-",J31="-",K31="-",L31="-",M31="-"),"-",MAX(F31,G31,H31,I31,J31,K31,L31,M31))</f>
        <v>-</v>
      </c>
      <c r="E30" s="66" t="s">
        <v>177</v>
      </c>
      <c r="F30" s="65" t="str">
        <f t="shared" ref="F30:M30" si="54">IF(OR(F29="-",F29=""),IF(OR(F28="-",F28=""),"-",F28),IF(OR(F28="-",F28=""),F29,(F28+F29)/2))</f>
        <v>-</v>
      </c>
      <c r="G30" s="65" t="str">
        <f t="shared" si="54"/>
        <v>-</v>
      </c>
      <c r="H30" s="65" t="str">
        <f t="shared" si="54"/>
        <v>-</v>
      </c>
      <c r="I30" s="65" t="str">
        <f t="shared" si="54"/>
        <v>-</v>
      </c>
      <c r="J30" s="65" t="str">
        <f t="shared" si="54"/>
        <v>-</v>
      </c>
      <c r="K30" s="167" t="str">
        <f t="shared" si="54"/>
        <v>-</v>
      </c>
      <c r="L30" s="167" t="str">
        <f t="shared" ref="L30" si="55">IF(OR(L29="-",L29=""),IF(OR(L28="-",L28=""),"-",L28),IF(OR(L28="-",L28=""),L29,(L28+L29)/2))</f>
        <v>-</v>
      </c>
      <c r="M30" s="65" t="str">
        <f t="shared" si="54"/>
        <v>-</v>
      </c>
      <c r="N30" s="822"/>
      <c r="O30" s="749"/>
      <c r="P30" s="750"/>
      <c r="Q30" s="750"/>
      <c r="R30" s="754"/>
      <c r="S30" s="749"/>
      <c r="T30" s="750"/>
      <c r="U30" s="750"/>
      <c r="V30" s="754"/>
      <c r="W30" s="320"/>
      <c r="X30" s="320"/>
      <c r="Y30" s="743"/>
      <c r="Z30" s="743"/>
      <c r="AA30" s="743"/>
      <c r="AB30" s="743"/>
      <c r="AC30" s="743"/>
      <c r="AD30" s="743"/>
      <c r="AE30" s="743"/>
      <c r="AF30" s="743"/>
      <c r="AG30" s="743"/>
      <c r="AH30" s="743"/>
      <c r="BC30" s="155" t="str">
        <f t="shared" si="15"/>
        <v>-</v>
      </c>
    </row>
    <row r="31" spans="1:70" ht="15" customHeight="1" outlineLevel="1" thickBot="1" x14ac:dyDescent="0.3">
      <c r="A31" s="40"/>
      <c r="B31" s="780"/>
      <c r="C31" s="765"/>
      <c r="D31" s="773"/>
      <c r="E31" s="64" t="s">
        <v>97</v>
      </c>
      <c r="F31" s="63" t="str">
        <f t="shared" ref="F31:M31" si="56">IF(OR($C30="-",$C30="CET",$C30=""),"-",IF(AND(NOT(F30="-"),NOT(F$5="-"),NOT(F$5="")),F30/F$5,"-"))</f>
        <v>-</v>
      </c>
      <c r="G31" s="63" t="str">
        <f t="shared" si="56"/>
        <v>-</v>
      </c>
      <c r="H31" s="63" t="str">
        <f t="shared" si="56"/>
        <v>-</v>
      </c>
      <c r="I31" s="63" t="str">
        <f t="shared" si="56"/>
        <v>-</v>
      </c>
      <c r="J31" s="63" t="str">
        <f t="shared" si="56"/>
        <v>-</v>
      </c>
      <c r="K31" s="168" t="str">
        <f t="shared" si="56"/>
        <v>-</v>
      </c>
      <c r="L31" s="168" t="str">
        <f t="shared" ref="L31" si="57">IF(OR($C30="-",$C30="CET",$C30=""),"-",IF(AND(NOT(L30="-"),NOT(L$5="-"),NOT(L$5="")),L30/L$5,"-"))</f>
        <v>-</v>
      </c>
      <c r="M31" s="63" t="str">
        <f t="shared" si="56"/>
        <v>-</v>
      </c>
      <c r="N31" s="823"/>
      <c r="O31" s="749"/>
      <c r="P31" s="750"/>
      <c r="Q31" s="750"/>
      <c r="R31" s="754"/>
      <c r="S31" s="749"/>
      <c r="T31" s="750"/>
      <c r="U31" s="750"/>
      <c r="V31" s="754"/>
      <c r="W31" s="320"/>
      <c r="X31" s="320"/>
      <c r="Y31" s="743"/>
      <c r="Z31" s="743"/>
      <c r="AA31" s="743"/>
      <c r="AB31" s="743"/>
      <c r="AC31" s="743"/>
      <c r="AD31" s="743"/>
      <c r="AE31" s="743"/>
      <c r="AF31" s="743"/>
      <c r="AG31" s="743"/>
      <c r="AH31" s="743"/>
      <c r="BC31" s="155" t="str">
        <f t="shared" si="15"/>
        <v>-</v>
      </c>
    </row>
    <row r="32" spans="1:70" ht="15" customHeight="1" outlineLevel="1" thickBot="1" x14ac:dyDescent="0.3">
      <c r="B32" s="781"/>
      <c r="C32" s="771"/>
      <c r="D32" s="774"/>
      <c r="E32" s="62" t="s">
        <v>30</v>
      </c>
      <c r="F32" s="62" t="str">
        <f t="shared" ref="F32:M32" si="58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62" t="str">
        <f t="shared" si="58"/>
        <v>-</v>
      </c>
      <c r="H32" s="62" t="str">
        <f t="shared" si="58"/>
        <v>-</v>
      </c>
      <c r="I32" s="62" t="str">
        <f t="shared" si="58"/>
        <v>-</v>
      </c>
      <c r="J32" s="62" t="str">
        <f t="shared" si="58"/>
        <v>-</v>
      </c>
      <c r="K32" s="169" t="str">
        <f t="shared" si="58"/>
        <v>-</v>
      </c>
      <c r="L32" s="169" t="str">
        <f t="shared" si="58"/>
        <v>-</v>
      </c>
      <c r="M32" s="62" t="str">
        <f t="shared" si="58"/>
        <v>-</v>
      </c>
      <c r="N32" s="824"/>
      <c r="O32" s="751"/>
      <c r="P32" s="752"/>
      <c r="Q32" s="752"/>
      <c r="R32" s="755"/>
      <c r="S32" s="751"/>
      <c r="T32" s="752"/>
      <c r="U32" s="752"/>
      <c r="V32" s="755"/>
      <c r="BC32" s="155" t="str">
        <f t="shared" si="15"/>
        <v>-</v>
      </c>
    </row>
    <row r="33" spans="1:70" ht="15" customHeight="1" x14ac:dyDescent="0.25">
      <c r="BC33" s="155" t="str">
        <f t="shared" si="15"/>
        <v>-</v>
      </c>
    </row>
    <row r="34" spans="1:70" ht="15" customHeight="1" x14ac:dyDescent="0.25">
      <c r="BC34" s="155" t="str">
        <f t="shared" si="15"/>
        <v>-</v>
      </c>
    </row>
    <row r="35" spans="1:70" ht="15" customHeight="1" thickBot="1" x14ac:dyDescent="0.3">
      <c r="A35" s="324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BC35" s="155" t="str">
        <f t="shared" si="15"/>
        <v>-</v>
      </c>
    </row>
    <row r="36" spans="1:70" ht="24.95" customHeight="1" thickBot="1" x14ac:dyDescent="0.3">
      <c r="A36" s="324"/>
      <c r="B36" s="185">
        <v>2</v>
      </c>
      <c r="C36" s="757" t="s">
        <v>101</v>
      </c>
      <c r="D36" s="758"/>
      <c r="E36" s="758"/>
      <c r="F36" s="758"/>
      <c r="G36" s="758"/>
      <c r="H36" s="758"/>
      <c r="I36" s="758"/>
      <c r="J36" s="758"/>
      <c r="K36" s="758"/>
      <c r="L36" s="758"/>
      <c r="M36" s="758"/>
      <c r="N36" s="759"/>
      <c r="O36" s="49" t="s">
        <v>117</v>
      </c>
      <c r="P36" s="71" t="str">
        <f>IF(COUNTIF(F44:M59,"refused")&gt;0,"refused",IF(COUNTIF(F44:M59,"failed")&gt;0,"failed",IF(COUNTIF(F44:M59,"passed")&gt;0,"passed","-")))</f>
        <v>-</v>
      </c>
      <c r="Q36" s="70" t="s">
        <v>80</v>
      </c>
      <c r="R36" s="70" t="str">
        <f>IF(COUNT(F40:M41)&gt;0,"listed","not listed")</f>
        <v>not listed</v>
      </c>
      <c r="S36" s="319"/>
      <c r="T36" s="43"/>
      <c r="U36" s="43"/>
      <c r="V36" s="44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BC36" s="155" t="str">
        <f t="shared" si="15"/>
        <v>-</v>
      </c>
    </row>
    <row r="37" spans="1:70" ht="15" customHeight="1" outlineLevel="1" thickBot="1" x14ac:dyDescent="0.3">
      <c r="A37" s="324"/>
      <c r="B37" s="321"/>
      <c r="C37" s="322"/>
      <c r="D37" s="322"/>
      <c r="E37" s="322"/>
      <c r="F37" s="322"/>
      <c r="G37" s="322"/>
      <c r="H37" s="322"/>
      <c r="I37" s="322"/>
      <c r="J37" s="322"/>
      <c r="K37" s="162"/>
      <c r="L37" s="162"/>
      <c r="M37" s="322"/>
      <c r="N37" s="333"/>
      <c r="O37" s="322"/>
      <c r="P37" s="322"/>
      <c r="Q37" s="322"/>
      <c r="R37" s="322"/>
      <c r="S37" s="322"/>
      <c r="T37" s="45"/>
      <c r="U37" s="45"/>
      <c r="V37" s="46"/>
      <c r="W37" s="47"/>
      <c r="X37" s="47"/>
      <c r="Y37" s="756"/>
      <c r="Z37" s="756"/>
      <c r="AA37" s="756"/>
      <c r="AB37" s="756"/>
      <c r="AC37" s="756"/>
      <c r="AD37" s="756"/>
      <c r="AE37" s="756"/>
      <c r="AF37" s="756"/>
      <c r="AG37" s="756"/>
      <c r="AH37" s="756"/>
      <c r="BC37" s="155" t="str">
        <f t="shared" si="15"/>
        <v>-</v>
      </c>
    </row>
    <row r="38" spans="1:70" ht="15" customHeight="1" outlineLevel="1" thickBot="1" x14ac:dyDescent="0.3">
      <c r="A38" s="324"/>
      <c r="B38" s="744" t="s">
        <v>81</v>
      </c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6"/>
      <c r="O38" s="744" t="s">
        <v>82</v>
      </c>
      <c r="P38" s="745"/>
      <c r="Q38" s="745"/>
      <c r="R38" s="746"/>
      <c r="S38" s="744" t="s">
        <v>83</v>
      </c>
      <c r="T38" s="745"/>
      <c r="U38" s="745"/>
      <c r="V38" s="746"/>
      <c r="W38" s="320"/>
      <c r="X38" s="320"/>
      <c r="Y38" s="743"/>
      <c r="Z38" s="743"/>
      <c r="AA38" s="743"/>
      <c r="AB38" s="743"/>
      <c r="AC38" s="743"/>
      <c r="AD38" s="743"/>
      <c r="AE38" s="743"/>
      <c r="AF38" s="743"/>
      <c r="AG38" s="743"/>
      <c r="AH38" s="743"/>
      <c r="BC38" s="155" t="str">
        <f t="shared" si="15"/>
        <v>-</v>
      </c>
      <c r="BD38" s="151" t="s">
        <v>85</v>
      </c>
      <c r="BE38" s="69" t="str">
        <f>$F$4</f>
        <v>NMHC 
[g/km]</v>
      </c>
      <c r="BF38" s="69" t="str">
        <f>$G$4</f>
        <v>THC
[g/km]</v>
      </c>
      <c r="BG38" s="69" t="str">
        <f>$H$4</f>
        <v>CO
[g/km]</v>
      </c>
      <c r="BH38" s="69" t="str">
        <f>$I$4</f>
        <v>NOx
[g/km]</v>
      </c>
      <c r="BI38" s="69" t="str">
        <f>$J$4</f>
        <v>PM
[mg/km]</v>
      </c>
      <c r="BJ38" s="163" t="str">
        <f>K$4</f>
        <v>PN
[#/km]</v>
      </c>
      <c r="BK38" s="163" t="str">
        <f t="shared" ref="BK38" si="59">L$4</f>
        <v>Additional component</v>
      </c>
      <c r="BL38" s="163" t="str">
        <f>M$4</f>
        <v>Additional
component 2</v>
      </c>
      <c r="BM38" s="163" t="str">
        <f>N$4</f>
        <v>CO2
[g/km]</v>
      </c>
    </row>
    <row r="39" spans="1:70" ht="35.1" customHeight="1" outlineLevel="1" thickBot="1" x14ac:dyDescent="0.3">
      <c r="A39" s="324"/>
      <c r="B39" s="767" t="s">
        <v>84</v>
      </c>
      <c r="C39" s="768"/>
      <c r="D39" s="768"/>
      <c r="E39" s="769"/>
      <c r="F39" s="69" t="str">
        <f t="shared" ref="F39:K39" si="60">F$4</f>
        <v>NMHC 
[g/km]</v>
      </c>
      <c r="G39" s="69" t="str">
        <f t="shared" si="60"/>
        <v>THC
[g/km]</v>
      </c>
      <c r="H39" s="69" t="str">
        <f t="shared" si="60"/>
        <v>CO
[g/km]</v>
      </c>
      <c r="I39" s="69" t="str">
        <f t="shared" si="60"/>
        <v>NOx
[g/km]</v>
      </c>
      <c r="J39" s="69" t="str">
        <f t="shared" si="60"/>
        <v>PM
[mg/km]</v>
      </c>
      <c r="K39" s="69" t="str">
        <f t="shared" si="60"/>
        <v>PN
[#/km]</v>
      </c>
      <c r="L39" s="366" t="str">
        <f>L$4</f>
        <v>Additional component</v>
      </c>
      <c r="M39" s="366" t="str">
        <f>M$4</f>
        <v>Additional
component 2</v>
      </c>
      <c r="N39" s="69" t="str">
        <f>N$4</f>
        <v>CO2
[g/km]</v>
      </c>
      <c r="O39" s="747"/>
      <c r="P39" s="748"/>
      <c r="Q39" s="748"/>
      <c r="R39" s="753"/>
      <c r="S39" s="747"/>
      <c r="T39" s="748"/>
      <c r="U39" s="748"/>
      <c r="V39" s="753"/>
      <c r="W39" s="320"/>
      <c r="X39" s="320"/>
      <c r="Y39" s="743"/>
      <c r="Z39" s="743"/>
      <c r="AA39" s="743"/>
      <c r="AB39" s="743"/>
      <c r="AC39" s="743"/>
      <c r="AD39" s="743"/>
      <c r="AE39" s="743"/>
      <c r="AF39" s="743"/>
      <c r="AG39" s="743"/>
      <c r="AH39" s="743"/>
      <c r="BC39" s="155" t="str">
        <f t="shared" si="15"/>
        <v>-</v>
      </c>
      <c r="BD39" s="151" t="str">
        <f>$E$4</f>
        <v>Euro 6c</v>
      </c>
      <c r="BE39" s="153">
        <v>1</v>
      </c>
      <c r="BF39" s="153">
        <v>1</v>
      </c>
      <c r="BG39" s="153">
        <v>1</v>
      </c>
      <c r="BH39" s="153">
        <v>1</v>
      </c>
      <c r="BI39" s="153">
        <v>1</v>
      </c>
      <c r="BJ39" s="153">
        <v>1</v>
      </c>
      <c r="BK39" s="153">
        <v>1</v>
      </c>
      <c r="BL39" s="153">
        <v>1</v>
      </c>
      <c r="BM39" s="153">
        <v>1</v>
      </c>
    </row>
    <row r="40" spans="1:70" ht="15" customHeight="1" outlineLevel="1" x14ac:dyDescent="0.25">
      <c r="A40" s="324"/>
      <c r="B40" s="779" t="s">
        <v>111</v>
      </c>
      <c r="C40" s="770" t="s">
        <v>114</v>
      </c>
      <c r="D40" s="770" t="s">
        <v>113</v>
      </c>
      <c r="E40" s="106" t="s">
        <v>94</v>
      </c>
      <c r="F40" s="98" t="s">
        <v>5</v>
      </c>
      <c r="G40" s="98" t="s">
        <v>5</v>
      </c>
      <c r="H40" s="98" t="s">
        <v>5</v>
      </c>
      <c r="I40" s="98" t="s">
        <v>5</v>
      </c>
      <c r="J40" s="98" t="s">
        <v>5</v>
      </c>
      <c r="K40" s="165" t="s">
        <v>5</v>
      </c>
      <c r="L40" s="165" t="s">
        <v>5</v>
      </c>
      <c r="M40" s="98" t="s">
        <v>5</v>
      </c>
      <c r="N40" s="98" t="s">
        <v>5</v>
      </c>
      <c r="O40" s="749"/>
      <c r="P40" s="750"/>
      <c r="Q40" s="750"/>
      <c r="R40" s="754"/>
      <c r="S40" s="749"/>
      <c r="T40" s="750"/>
      <c r="U40" s="750"/>
      <c r="V40" s="754"/>
      <c r="W40" s="320"/>
      <c r="X40" s="320"/>
      <c r="Y40" s="743"/>
      <c r="Z40" s="743"/>
      <c r="AA40" s="743"/>
      <c r="AB40" s="743"/>
      <c r="AC40" s="743"/>
      <c r="AD40" s="743"/>
      <c r="AE40" s="743"/>
      <c r="AF40" s="743"/>
      <c r="AG40" s="743"/>
      <c r="AH40" s="743"/>
      <c r="BC40" s="155" t="str">
        <f t="shared" si="15"/>
        <v>-</v>
      </c>
      <c r="BD40" s="151" t="str">
        <f>"1st " &amp;  B40</f>
        <v>1st 14°C</v>
      </c>
      <c r="BE40" s="153" t="str">
        <f t="shared" ref="BE40:BJ40" si="61">IF((OR($C42="-",$C42="CET",$C42="")),"-",IF(AND(OR(F40="-",F40=""),OR(F41="-",F41="")),"-",IF(NOT(OR(F40="-",F40="")),F40/F$5,F41/F$5)))</f>
        <v>-</v>
      </c>
      <c r="BF40" s="153" t="str">
        <f t="shared" si="61"/>
        <v>-</v>
      </c>
      <c r="BG40" s="153" t="str">
        <f t="shared" si="61"/>
        <v>-</v>
      </c>
      <c r="BH40" s="153" t="str">
        <f t="shared" si="61"/>
        <v>-</v>
      </c>
      <c r="BI40" s="153" t="str">
        <f t="shared" si="61"/>
        <v>-</v>
      </c>
      <c r="BJ40" s="153" t="str">
        <f t="shared" si="61"/>
        <v>-</v>
      </c>
      <c r="BK40" s="153" t="str">
        <f t="shared" ref="BK40" si="62">IF((OR($C42="-",$C42="CET",$C42="")),"-",IF(AND(OR(L40="-",L40=""),OR(L41="-",L41="")),"-",IF(NOT(OR(L40="-",L40="")),L40/L$5,L41/L$5)))</f>
        <v>-</v>
      </c>
      <c r="BL40" s="153" t="str">
        <f>IF((OR($C42="-",$C42="CET",$C42="")),"-",IF(AND(OR(M40="-",M40=""),OR(M41="-",M41="")),"-",IF(NOT(OR(M40="-",M40="")),M40/M$5,M41/M$5)))</f>
        <v>-</v>
      </c>
      <c r="BM40" s="153" t="str">
        <f>IF((OR($C42="-",$C42="CET",$C42="")),"-",IF(AND(OR(N40="-",N40=""),OR(N41="-",N41="")),"-",IF(NOT(OR(N40="-",N40="")),N40/N$5,N41/N$5)))</f>
        <v>-</v>
      </c>
    </row>
    <row r="41" spans="1:70" s="50" customFormat="1" ht="15" customHeight="1" outlineLevel="1" thickBot="1" x14ac:dyDescent="0.3">
      <c r="A41" s="53"/>
      <c r="B41" s="780"/>
      <c r="C41" s="741"/>
      <c r="D41" s="742"/>
      <c r="E41" s="104" t="s">
        <v>95</v>
      </c>
      <c r="F41" s="97" t="s">
        <v>5</v>
      </c>
      <c r="G41" s="97" t="s">
        <v>5</v>
      </c>
      <c r="H41" s="97" t="s">
        <v>5</v>
      </c>
      <c r="I41" s="97" t="s">
        <v>5</v>
      </c>
      <c r="J41" s="97" t="s">
        <v>5</v>
      </c>
      <c r="K41" s="166" t="s">
        <v>5</v>
      </c>
      <c r="L41" s="166" t="s">
        <v>5</v>
      </c>
      <c r="M41" s="97" t="s">
        <v>5</v>
      </c>
      <c r="N41" s="97" t="s">
        <v>5</v>
      </c>
      <c r="O41" s="749"/>
      <c r="P41" s="750"/>
      <c r="Q41" s="750"/>
      <c r="R41" s="754"/>
      <c r="S41" s="749"/>
      <c r="T41" s="750"/>
      <c r="U41" s="750"/>
      <c r="V41" s="754"/>
      <c r="W41" s="51"/>
      <c r="X41" s="51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BC41" s="155" t="str">
        <f t="shared" si="15"/>
        <v>-</v>
      </c>
      <c r="BD41" s="151"/>
      <c r="BE41" s="153"/>
      <c r="BF41" s="153"/>
      <c r="BG41" s="153"/>
      <c r="BH41" s="153"/>
      <c r="BI41" s="153"/>
      <c r="BJ41" s="153"/>
      <c r="BK41" s="153"/>
      <c r="BL41" s="153"/>
      <c r="BM41" s="153"/>
      <c r="BN41" s="150"/>
      <c r="BO41" s="150"/>
      <c r="BP41" s="150"/>
      <c r="BQ41" s="150"/>
      <c r="BR41" s="150"/>
    </row>
    <row r="42" spans="1:70" ht="15" customHeight="1" outlineLevel="1" thickBot="1" x14ac:dyDescent="0.3">
      <c r="A42" s="324"/>
      <c r="B42" s="780"/>
      <c r="C42" s="764">
        <v>1</v>
      </c>
      <c r="D42" s="772" t="str">
        <f>IF(AND(F43="-",G43="-",H43="-",I43="-",J43="-",K43="-",L43="-",M43="-"),"-",MAX(F43,G43,H43,I43,J43,K43,L43,M43))</f>
        <v>-</v>
      </c>
      <c r="E42" s="66" t="s">
        <v>177</v>
      </c>
      <c r="F42" s="65" t="str">
        <f t="shared" ref="F42:M42" si="63">IF(OR(F41="-",F41=""),IF(OR(F40="-",F40=""),"-",F40),IF(OR(F40="-",F40=""),F41,(F40+F41)/2))</f>
        <v>-</v>
      </c>
      <c r="G42" s="65" t="str">
        <f t="shared" si="63"/>
        <v>-</v>
      </c>
      <c r="H42" s="65" t="str">
        <f t="shared" si="63"/>
        <v>-</v>
      </c>
      <c r="I42" s="65" t="str">
        <f t="shared" si="63"/>
        <v>-</v>
      </c>
      <c r="J42" s="65" t="str">
        <f t="shared" si="63"/>
        <v>-</v>
      </c>
      <c r="K42" s="167" t="str">
        <f t="shared" si="63"/>
        <v>-</v>
      </c>
      <c r="L42" s="167" t="str">
        <f t="shared" ref="L42" si="64">IF(OR(L41="-",L41=""),IF(OR(L40="-",L40=""),"-",L40),IF(OR(L40="-",L40=""),L41,(L40+L41)/2))</f>
        <v>-</v>
      </c>
      <c r="M42" s="65" t="str">
        <f t="shared" si="63"/>
        <v>-</v>
      </c>
      <c r="N42" s="822"/>
      <c r="O42" s="749"/>
      <c r="P42" s="750"/>
      <c r="Q42" s="750"/>
      <c r="R42" s="754"/>
      <c r="S42" s="749"/>
      <c r="T42" s="750"/>
      <c r="U42" s="750"/>
      <c r="V42" s="754"/>
      <c r="W42" s="320"/>
      <c r="X42" s="320"/>
      <c r="Y42" s="743"/>
      <c r="Z42" s="743"/>
      <c r="AA42" s="743"/>
      <c r="AB42" s="743"/>
      <c r="AC42" s="743"/>
      <c r="AD42" s="743"/>
      <c r="AE42" s="743"/>
      <c r="AF42" s="743"/>
      <c r="AG42" s="743"/>
      <c r="AH42" s="743"/>
      <c r="BC42" s="155" t="str">
        <f t="shared" si="15"/>
        <v>-</v>
      </c>
      <c r="BD42" s="151"/>
      <c r="BE42" s="153"/>
      <c r="BF42" s="153"/>
      <c r="BG42" s="153"/>
      <c r="BH42" s="153"/>
      <c r="BI42" s="153"/>
      <c r="BJ42" s="153"/>
      <c r="BK42" s="153"/>
      <c r="BL42" s="153"/>
      <c r="BM42" s="153"/>
    </row>
    <row r="43" spans="1:70" ht="15" customHeight="1" outlineLevel="1" thickBot="1" x14ac:dyDescent="0.3">
      <c r="A43" s="324"/>
      <c r="B43" s="780"/>
      <c r="C43" s="765"/>
      <c r="D43" s="773"/>
      <c r="E43" s="96" t="s">
        <v>97</v>
      </c>
      <c r="F43" s="63" t="str">
        <f t="shared" ref="F43:M43" si="65">IF(OR($C42="-",$C42="CET",$C42=""),"-",IF(AND(NOT(F42="-"),NOT(F$5="-"),NOT(F$5="")),F42/F$5,"-"))</f>
        <v>-</v>
      </c>
      <c r="G43" s="63" t="str">
        <f t="shared" si="65"/>
        <v>-</v>
      </c>
      <c r="H43" s="63" t="str">
        <f t="shared" si="65"/>
        <v>-</v>
      </c>
      <c r="I43" s="63" t="str">
        <f t="shared" si="65"/>
        <v>-</v>
      </c>
      <c r="J43" s="63" t="str">
        <f t="shared" si="65"/>
        <v>-</v>
      </c>
      <c r="K43" s="168" t="str">
        <f t="shared" si="65"/>
        <v>-</v>
      </c>
      <c r="L43" s="168" t="str">
        <f t="shared" ref="L43" si="66">IF(OR($C42="-",$C42="CET",$C42=""),"-",IF(AND(NOT(L42="-"),NOT(L$5="-"),NOT(L$5="")),L42/L$5,"-"))</f>
        <v>-</v>
      </c>
      <c r="M43" s="63" t="str">
        <f t="shared" si="65"/>
        <v>-</v>
      </c>
      <c r="N43" s="823"/>
      <c r="O43" s="749"/>
      <c r="P43" s="750"/>
      <c r="Q43" s="750"/>
      <c r="R43" s="754"/>
      <c r="S43" s="749"/>
      <c r="T43" s="750"/>
      <c r="U43" s="750"/>
      <c r="V43" s="754"/>
      <c r="W43" s="320"/>
      <c r="X43" s="320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BC43" s="155" t="str">
        <f t="shared" si="15"/>
        <v>-</v>
      </c>
      <c r="BD43" s="151"/>
      <c r="BE43" s="153"/>
      <c r="BF43" s="153"/>
      <c r="BG43" s="153"/>
      <c r="BH43" s="153"/>
      <c r="BI43" s="153"/>
      <c r="BJ43" s="153"/>
      <c r="BK43" s="153"/>
      <c r="BL43" s="153"/>
      <c r="BM43" s="153"/>
    </row>
    <row r="44" spans="1:70" ht="15" customHeight="1" outlineLevel="1" thickBot="1" x14ac:dyDescent="0.3">
      <c r="A44" s="324"/>
      <c r="B44" s="780"/>
      <c r="C44" s="766"/>
      <c r="D44" s="774"/>
      <c r="E44" s="68" t="s">
        <v>30</v>
      </c>
      <c r="F44" s="68" t="str">
        <f t="shared" ref="F44:M44" si="67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68" t="str">
        <f t="shared" si="67"/>
        <v>-</v>
      </c>
      <c r="H44" s="68" t="str">
        <f t="shared" si="67"/>
        <v>-</v>
      </c>
      <c r="I44" s="68" t="str">
        <f t="shared" si="67"/>
        <v>-</v>
      </c>
      <c r="J44" s="68" t="str">
        <f t="shared" si="67"/>
        <v>-</v>
      </c>
      <c r="K44" s="341" t="str">
        <f t="shared" si="67"/>
        <v>-</v>
      </c>
      <c r="L44" s="341" t="str">
        <f t="shared" si="67"/>
        <v>-</v>
      </c>
      <c r="M44" s="68" t="str">
        <f t="shared" si="67"/>
        <v>-</v>
      </c>
      <c r="N44" s="824"/>
      <c r="O44" s="749"/>
      <c r="P44" s="750"/>
      <c r="Q44" s="750"/>
      <c r="R44" s="754"/>
      <c r="S44" s="749"/>
      <c r="T44" s="750"/>
      <c r="U44" s="750"/>
      <c r="V44" s="754"/>
      <c r="W44" s="320"/>
      <c r="X44" s="320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BC44" s="155" t="str">
        <f t="shared" si="15"/>
        <v>-</v>
      </c>
      <c r="BD44" s="151" t="str">
        <f>"0.7*IEF " &amp; (B40)</f>
        <v>0.7*IEF 14°C</v>
      </c>
      <c r="BE44" s="153">
        <f t="shared" ref="BE44:BJ44" si="68">IF(OR($C42="-",$C42="CET",$C42=""),"-",0.7*$C42)</f>
        <v>0.7</v>
      </c>
      <c r="BF44" s="153">
        <f t="shared" si="68"/>
        <v>0.7</v>
      </c>
      <c r="BG44" s="153">
        <f t="shared" si="68"/>
        <v>0.7</v>
      </c>
      <c r="BH44" s="153">
        <f t="shared" si="68"/>
        <v>0.7</v>
      </c>
      <c r="BI44" s="153">
        <f t="shared" si="68"/>
        <v>0.7</v>
      </c>
      <c r="BJ44" s="153">
        <f t="shared" si="68"/>
        <v>0.7</v>
      </c>
      <c r="BK44" s="153">
        <f t="shared" ref="BK44:BL44" si="69">IF(OR($C42="-",$C42="CET",$C42=""),"-",0.7*$C42)</f>
        <v>0.7</v>
      </c>
      <c r="BL44" s="153">
        <f t="shared" si="69"/>
        <v>0.7</v>
      </c>
      <c r="BM44" s="153">
        <f t="shared" ref="BM44" si="70">IF(OR($C42="-",$C42="CET",$C42=""),"-",0.7*$C42)</f>
        <v>0.7</v>
      </c>
    </row>
    <row r="45" spans="1:70" ht="15" customHeight="1" outlineLevel="1" x14ac:dyDescent="0.25">
      <c r="A45" s="324"/>
      <c r="B45" s="762"/>
      <c r="C45" s="763"/>
      <c r="D45" s="338"/>
      <c r="E45" s="338"/>
      <c r="F45" s="90"/>
      <c r="G45" s="90"/>
      <c r="H45" s="90"/>
      <c r="I45" s="90"/>
      <c r="J45" s="90"/>
      <c r="K45" s="176"/>
      <c r="L45" s="176"/>
      <c r="M45" s="90"/>
      <c r="N45" s="89"/>
      <c r="O45" s="750"/>
      <c r="P45" s="750"/>
      <c r="Q45" s="750"/>
      <c r="R45" s="754"/>
      <c r="S45" s="749"/>
      <c r="T45" s="750"/>
      <c r="U45" s="750"/>
      <c r="V45" s="754"/>
      <c r="W45" s="320"/>
      <c r="X45" s="320"/>
      <c r="Y45" s="743"/>
      <c r="Z45" s="743"/>
      <c r="AA45" s="743"/>
      <c r="AB45" s="743"/>
      <c r="AC45" s="743"/>
      <c r="AD45" s="743"/>
      <c r="AE45" s="743"/>
      <c r="AF45" s="743"/>
      <c r="AG45" s="743"/>
      <c r="AH45" s="743"/>
      <c r="BC45" s="155" t="str">
        <f t="shared" si="15"/>
        <v>-</v>
      </c>
      <c r="BD45" s="151"/>
      <c r="BE45" s="153"/>
      <c r="BF45" s="153"/>
      <c r="BG45" s="153"/>
      <c r="BH45" s="153"/>
      <c r="BI45" s="153"/>
      <c r="BJ45" s="153"/>
      <c r="BK45" s="153"/>
      <c r="BL45" s="153"/>
      <c r="BM45" s="153"/>
    </row>
    <row r="46" spans="1:70" ht="15" customHeight="1" outlineLevel="1" x14ac:dyDescent="0.25">
      <c r="A46" s="324"/>
      <c r="B46" s="761"/>
      <c r="C46" s="760"/>
      <c r="D46" s="332"/>
      <c r="E46" s="332"/>
      <c r="F46" s="337"/>
      <c r="G46" s="337"/>
      <c r="H46" s="337"/>
      <c r="I46" s="337"/>
      <c r="J46" s="337"/>
      <c r="K46" s="171"/>
      <c r="L46" s="171"/>
      <c r="M46" s="337"/>
      <c r="N46" s="57"/>
      <c r="O46" s="750"/>
      <c r="P46" s="750"/>
      <c r="Q46" s="750"/>
      <c r="R46" s="754"/>
      <c r="S46" s="749"/>
      <c r="T46" s="750"/>
      <c r="U46" s="750"/>
      <c r="V46" s="754"/>
      <c r="W46" s="320"/>
      <c r="X46" s="320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BC46" s="155" t="str">
        <f t="shared" si="15"/>
        <v>-</v>
      </c>
      <c r="BD46" s="151"/>
      <c r="BE46" s="153"/>
      <c r="BF46" s="153"/>
      <c r="BG46" s="153"/>
      <c r="BH46" s="153"/>
      <c r="BI46" s="153"/>
      <c r="BJ46" s="153"/>
      <c r="BK46" s="153"/>
      <c r="BL46" s="153"/>
      <c r="BM46" s="153"/>
    </row>
    <row r="47" spans="1:70" ht="15" customHeight="1" outlineLevel="1" x14ac:dyDescent="0.25">
      <c r="A47" s="324"/>
      <c r="B47" s="761"/>
      <c r="C47" s="760"/>
      <c r="D47" s="332"/>
      <c r="E47" s="332"/>
      <c r="F47" s="56"/>
      <c r="G47" s="56"/>
      <c r="H47" s="56"/>
      <c r="I47" s="56"/>
      <c r="J47" s="56"/>
      <c r="K47" s="171"/>
      <c r="L47" s="171"/>
      <c r="M47" s="56"/>
      <c r="N47" s="55"/>
      <c r="O47" s="750"/>
      <c r="P47" s="750"/>
      <c r="Q47" s="750"/>
      <c r="R47" s="754"/>
      <c r="S47" s="749"/>
      <c r="T47" s="750"/>
      <c r="U47" s="750"/>
      <c r="V47" s="754"/>
      <c r="W47" s="320"/>
      <c r="X47" s="320"/>
      <c r="Y47" s="743"/>
      <c r="Z47" s="743"/>
      <c r="AA47" s="743"/>
      <c r="AB47" s="743"/>
      <c r="AC47" s="743"/>
      <c r="AD47" s="743"/>
      <c r="AE47" s="743"/>
      <c r="AF47" s="743"/>
      <c r="AG47" s="743"/>
      <c r="AH47" s="743"/>
      <c r="BC47" s="155" t="str">
        <f t="shared" si="15"/>
        <v>-</v>
      </c>
      <c r="BD47" s="151"/>
      <c r="BE47" s="153"/>
      <c r="BF47" s="153"/>
      <c r="BG47" s="153"/>
      <c r="BH47" s="153"/>
      <c r="BI47" s="153"/>
      <c r="BJ47" s="153"/>
      <c r="BK47" s="153"/>
      <c r="BL47" s="153"/>
      <c r="BM47" s="153"/>
    </row>
    <row r="48" spans="1:70" ht="15" customHeight="1" outlineLevel="1" x14ac:dyDescent="0.25">
      <c r="A48" s="324"/>
      <c r="B48" s="761"/>
      <c r="C48" s="760"/>
      <c r="D48" s="332"/>
      <c r="E48" s="332"/>
      <c r="F48" s="56"/>
      <c r="G48" s="56"/>
      <c r="H48" s="56"/>
      <c r="I48" s="56"/>
      <c r="J48" s="56"/>
      <c r="K48" s="171"/>
      <c r="L48" s="171"/>
      <c r="M48" s="56"/>
      <c r="N48" s="55"/>
      <c r="O48" s="750"/>
      <c r="P48" s="750"/>
      <c r="Q48" s="750"/>
      <c r="R48" s="754"/>
      <c r="S48" s="749"/>
      <c r="T48" s="750"/>
      <c r="U48" s="750"/>
      <c r="V48" s="754"/>
      <c r="W48" s="320"/>
      <c r="X48" s="320"/>
      <c r="Y48" s="743"/>
      <c r="Z48" s="743"/>
      <c r="AA48" s="743"/>
      <c r="AB48" s="743"/>
      <c r="AC48" s="743"/>
      <c r="AD48" s="743"/>
      <c r="AE48" s="743"/>
      <c r="AF48" s="743"/>
      <c r="AG48" s="743"/>
      <c r="AH48" s="743"/>
      <c r="BC48" s="155" t="str">
        <f t="shared" si="15"/>
        <v>-</v>
      </c>
      <c r="BD48" s="151" t="str">
        <f>B40</f>
        <v>14°C</v>
      </c>
      <c r="BE48" s="153" t="str">
        <f t="shared" ref="BE48:BJ48" si="71">IF(OR($C42="-",$C42="CET"),"-",F43)</f>
        <v>-</v>
      </c>
      <c r="BF48" s="153" t="str">
        <f t="shared" si="71"/>
        <v>-</v>
      </c>
      <c r="BG48" s="153" t="str">
        <f t="shared" si="71"/>
        <v>-</v>
      </c>
      <c r="BH48" s="153" t="str">
        <f t="shared" si="71"/>
        <v>-</v>
      </c>
      <c r="BI48" s="153" t="str">
        <f t="shared" si="71"/>
        <v>-</v>
      </c>
      <c r="BJ48" s="153" t="str">
        <f t="shared" si="71"/>
        <v>-</v>
      </c>
      <c r="BK48" s="153" t="str">
        <f t="shared" ref="BK48" si="72">IF(OR($C42="-",$C42="CET"),"-",L43)</f>
        <v>-</v>
      </c>
      <c r="BL48" s="153" t="str">
        <f>IF(OR($C42="-",$C42="CET"),"-",M43)</f>
        <v>-</v>
      </c>
      <c r="BM48" s="153">
        <f>IF(OR($C42="-",$C42="CET"),"-",N43)</f>
        <v>0</v>
      </c>
    </row>
    <row r="49" spans="1:65" ht="15" customHeight="1" outlineLevel="1" x14ac:dyDescent="0.25">
      <c r="A49" s="40"/>
      <c r="B49" s="761"/>
      <c r="C49" s="760"/>
      <c r="D49" s="332"/>
      <c r="E49" s="332"/>
      <c r="F49" s="332"/>
      <c r="G49" s="332"/>
      <c r="H49" s="332"/>
      <c r="I49" s="332"/>
      <c r="J49" s="332"/>
      <c r="K49" s="171"/>
      <c r="L49" s="171"/>
      <c r="M49" s="332"/>
      <c r="N49" s="59"/>
      <c r="O49" s="750"/>
      <c r="P49" s="750"/>
      <c r="Q49" s="750"/>
      <c r="R49" s="754"/>
      <c r="S49" s="749"/>
      <c r="T49" s="750"/>
      <c r="U49" s="750"/>
      <c r="V49" s="754"/>
      <c r="W49" s="320"/>
      <c r="X49" s="320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BC49" s="155" t="str">
        <f t="shared" si="15"/>
        <v>-</v>
      </c>
      <c r="BD49" s="151"/>
      <c r="BE49" s="153"/>
      <c r="BF49" s="153"/>
      <c r="BG49" s="153"/>
      <c r="BH49" s="153"/>
      <c r="BI49" s="153"/>
      <c r="BJ49" s="153"/>
      <c r="BK49" s="153"/>
      <c r="BL49" s="153"/>
      <c r="BM49" s="153"/>
    </row>
    <row r="50" spans="1:65" ht="15" customHeight="1" outlineLevel="1" x14ac:dyDescent="0.25">
      <c r="A50" s="40"/>
      <c r="B50" s="761"/>
      <c r="C50" s="760"/>
      <c r="D50" s="332"/>
      <c r="E50" s="332"/>
      <c r="F50" s="337"/>
      <c r="G50" s="337"/>
      <c r="H50" s="337"/>
      <c r="I50" s="337"/>
      <c r="J50" s="337"/>
      <c r="K50" s="171"/>
      <c r="L50" s="171"/>
      <c r="M50" s="337"/>
      <c r="N50" s="57"/>
      <c r="O50" s="750"/>
      <c r="P50" s="750"/>
      <c r="Q50" s="750"/>
      <c r="R50" s="754"/>
      <c r="S50" s="749"/>
      <c r="T50" s="750"/>
      <c r="U50" s="750"/>
      <c r="V50" s="754"/>
      <c r="W50" s="320"/>
      <c r="X50" s="320"/>
      <c r="Y50" s="743"/>
      <c r="Z50" s="743"/>
      <c r="AA50" s="743"/>
      <c r="AB50" s="743"/>
      <c r="AC50" s="743"/>
      <c r="AD50" s="743"/>
      <c r="AE50" s="743"/>
      <c r="AF50" s="743"/>
      <c r="AG50" s="743"/>
      <c r="AH50" s="743"/>
      <c r="BC50" s="155" t="str">
        <f t="shared" si="15"/>
        <v>-</v>
      </c>
      <c r="BD50" s="151"/>
      <c r="BE50" s="153"/>
      <c r="BF50" s="153"/>
      <c r="BG50" s="153"/>
      <c r="BH50" s="153"/>
      <c r="BI50" s="153"/>
      <c r="BJ50" s="153"/>
      <c r="BK50" s="153"/>
      <c r="BL50" s="153"/>
      <c r="BM50" s="153"/>
    </row>
    <row r="51" spans="1:65" ht="15" customHeight="1" outlineLevel="1" x14ac:dyDescent="0.25">
      <c r="A51" s="40"/>
      <c r="B51" s="761"/>
      <c r="C51" s="760"/>
      <c r="D51" s="332"/>
      <c r="E51" s="332"/>
      <c r="F51" s="337"/>
      <c r="G51" s="337"/>
      <c r="H51" s="337"/>
      <c r="I51" s="337"/>
      <c r="J51" s="337"/>
      <c r="K51" s="171"/>
      <c r="L51" s="171"/>
      <c r="M51" s="337"/>
      <c r="N51" s="57"/>
      <c r="O51" s="750"/>
      <c r="P51" s="750"/>
      <c r="Q51" s="750"/>
      <c r="R51" s="754"/>
      <c r="S51" s="749"/>
      <c r="T51" s="750"/>
      <c r="U51" s="750"/>
      <c r="V51" s="754"/>
      <c r="W51" s="320"/>
      <c r="X51" s="320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BC51" s="155" t="str">
        <f t="shared" si="15"/>
        <v>-</v>
      </c>
      <c r="BD51" s="151"/>
      <c r="BE51" s="153"/>
      <c r="BF51" s="153"/>
      <c r="BG51" s="153"/>
      <c r="BH51" s="153"/>
      <c r="BI51" s="153"/>
      <c r="BJ51" s="153"/>
      <c r="BK51" s="153"/>
      <c r="BL51" s="153"/>
      <c r="BM51" s="153"/>
    </row>
    <row r="52" spans="1:65" ht="15" customHeight="1" outlineLevel="1" x14ac:dyDescent="0.25">
      <c r="A52" s="40"/>
      <c r="B52" s="761"/>
      <c r="C52" s="760"/>
      <c r="D52" s="332"/>
      <c r="E52" s="332"/>
      <c r="F52" s="56"/>
      <c r="G52" s="56"/>
      <c r="H52" s="56"/>
      <c r="I52" s="108"/>
      <c r="J52" s="56"/>
      <c r="K52" s="171"/>
      <c r="L52" s="171"/>
      <c r="M52" s="56"/>
      <c r="N52" s="55"/>
      <c r="O52" s="750"/>
      <c r="P52" s="750"/>
      <c r="Q52" s="750"/>
      <c r="R52" s="754"/>
      <c r="S52" s="749"/>
      <c r="T52" s="750"/>
      <c r="U52" s="750"/>
      <c r="V52" s="754"/>
      <c r="W52" s="320"/>
      <c r="X52" s="320"/>
      <c r="Y52" s="743"/>
      <c r="Z52" s="743"/>
      <c r="AA52" s="743"/>
      <c r="AB52" s="743"/>
      <c r="AC52" s="743"/>
      <c r="AD52" s="743"/>
      <c r="AE52" s="743"/>
      <c r="AF52" s="743"/>
      <c r="AG52" s="743"/>
      <c r="AH52" s="743"/>
      <c r="BC52" s="155" t="str">
        <f t="shared" si="15"/>
        <v>-</v>
      </c>
      <c r="BD52" s="151" t="str">
        <f>"IEF " &amp;B40</f>
        <v>IEF 14°C</v>
      </c>
      <c r="BE52" s="153">
        <f t="shared" ref="BE52:BJ52" si="73">IF(OR($C42="CET",$C42="-",$C42=""),"-",$C42)</f>
        <v>1</v>
      </c>
      <c r="BF52" s="153">
        <f t="shared" si="73"/>
        <v>1</v>
      </c>
      <c r="BG52" s="153">
        <f t="shared" si="73"/>
        <v>1</v>
      </c>
      <c r="BH52" s="153">
        <f t="shared" si="73"/>
        <v>1</v>
      </c>
      <c r="BI52" s="153">
        <f t="shared" si="73"/>
        <v>1</v>
      </c>
      <c r="BJ52" s="153">
        <f t="shared" si="73"/>
        <v>1</v>
      </c>
      <c r="BK52" s="153">
        <f t="shared" ref="BK52:BL52" si="74">IF(OR($C42="CET",$C42="-",$C42=""),"-",$C42)</f>
        <v>1</v>
      </c>
      <c r="BL52" s="153">
        <f t="shared" si="74"/>
        <v>1</v>
      </c>
      <c r="BM52" s="153">
        <f t="shared" ref="BM52" si="75">IF(OR($C42="CET",$C42="-",$C42=""),"-",$C42)</f>
        <v>1</v>
      </c>
    </row>
    <row r="53" spans="1:65" ht="15" customHeight="1" outlineLevel="1" x14ac:dyDescent="0.25">
      <c r="A53" s="40"/>
      <c r="B53" s="761"/>
      <c r="C53" s="760"/>
      <c r="D53" s="332"/>
      <c r="E53" s="332"/>
      <c r="F53" s="56"/>
      <c r="G53" s="56"/>
      <c r="H53" s="56"/>
      <c r="I53" s="56"/>
      <c r="J53" s="56"/>
      <c r="K53" s="171"/>
      <c r="L53" s="171"/>
      <c r="M53" s="56"/>
      <c r="N53" s="55"/>
      <c r="O53" s="750"/>
      <c r="P53" s="750"/>
      <c r="Q53" s="750"/>
      <c r="R53" s="754"/>
      <c r="S53" s="749"/>
      <c r="T53" s="750"/>
      <c r="U53" s="750"/>
      <c r="V53" s="754"/>
      <c r="W53" s="320"/>
      <c r="X53" s="320"/>
      <c r="Y53" s="743"/>
      <c r="Z53" s="743"/>
      <c r="AA53" s="743"/>
      <c r="AB53" s="743"/>
      <c r="AC53" s="743"/>
      <c r="AD53" s="743"/>
      <c r="AE53" s="743"/>
      <c r="AF53" s="743"/>
      <c r="AG53" s="743"/>
      <c r="AH53" s="743"/>
      <c r="BC53" s="155" t="str">
        <f t="shared" si="15"/>
        <v>-</v>
      </c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</row>
    <row r="54" spans="1:65" ht="15" customHeight="1" outlineLevel="1" x14ac:dyDescent="0.25">
      <c r="A54" s="40"/>
      <c r="B54" s="761"/>
      <c r="C54" s="760"/>
      <c r="D54" s="332"/>
      <c r="E54" s="332"/>
      <c r="F54" s="332"/>
      <c r="G54" s="332"/>
      <c r="H54" s="332"/>
      <c r="I54" s="332"/>
      <c r="J54" s="332"/>
      <c r="K54" s="171"/>
      <c r="L54" s="171"/>
      <c r="M54" s="332"/>
      <c r="N54" s="59"/>
      <c r="O54" s="750"/>
      <c r="P54" s="750"/>
      <c r="Q54" s="750"/>
      <c r="R54" s="754"/>
      <c r="S54" s="749"/>
      <c r="T54" s="750"/>
      <c r="U54" s="750"/>
      <c r="V54" s="754"/>
      <c r="W54" s="320"/>
      <c r="X54" s="320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BC54" s="155" t="str">
        <f t="shared" si="15"/>
        <v>-</v>
      </c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</row>
    <row r="55" spans="1:65" ht="15" customHeight="1" outlineLevel="1" x14ac:dyDescent="0.25">
      <c r="A55" s="40"/>
      <c r="B55" s="761"/>
      <c r="C55" s="760"/>
      <c r="D55" s="332"/>
      <c r="E55" s="332"/>
      <c r="F55" s="337"/>
      <c r="G55" s="337"/>
      <c r="H55" s="337"/>
      <c r="I55" s="337"/>
      <c r="J55" s="337"/>
      <c r="K55" s="171"/>
      <c r="L55" s="171"/>
      <c r="M55" s="337"/>
      <c r="N55" s="57"/>
      <c r="O55" s="750"/>
      <c r="P55" s="750"/>
      <c r="Q55" s="750"/>
      <c r="R55" s="754"/>
      <c r="S55" s="749"/>
      <c r="T55" s="750"/>
      <c r="U55" s="750"/>
      <c r="V55" s="754"/>
      <c r="W55" s="320"/>
      <c r="X55" s="320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BC55" s="155" t="str">
        <f t="shared" si="15"/>
        <v>-</v>
      </c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</row>
    <row r="56" spans="1:65" ht="15" customHeight="1" outlineLevel="1" x14ac:dyDescent="0.25">
      <c r="A56" s="40"/>
      <c r="B56" s="761"/>
      <c r="C56" s="760"/>
      <c r="D56" s="332"/>
      <c r="E56" s="332"/>
      <c r="F56" s="337"/>
      <c r="G56" s="337"/>
      <c r="H56" s="337"/>
      <c r="I56" s="337"/>
      <c r="J56" s="337"/>
      <c r="K56" s="171"/>
      <c r="L56" s="171"/>
      <c r="M56" s="337"/>
      <c r="N56" s="57"/>
      <c r="O56" s="750"/>
      <c r="P56" s="750"/>
      <c r="Q56" s="750"/>
      <c r="R56" s="754"/>
      <c r="S56" s="749"/>
      <c r="T56" s="750"/>
      <c r="U56" s="750"/>
      <c r="V56" s="754"/>
      <c r="W56" s="320"/>
      <c r="X56" s="320"/>
      <c r="Y56" s="743"/>
      <c r="Z56" s="743"/>
      <c r="AA56" s="743"/>
      <c r="AB56" s="743"/>
      <c r="AC56" s="743"/>
      <c r="AD56" s="743"/>
      <c r="AE56" s="743"/>
      <c r="AF56" s="743"/>
      <c r="AG56" s="743"/>
      <c r="AH56" s="743"/>
      <c r="BC56" s="155" t="str">
        <f t="shared" si="15"/>
        <v>-</v>
      </c>
    </row>
    <row r="57" spans="1:65" ht="15" customHeight="1" outlineLevel="1" x14ac:dyDescent="0.25">
      <c r="A57" s="40"/>
      <c r="B57" s="761"/>
      <c r="C57" s="760"/>
      <c r="D57" s="332"/>
      <c r="E57" s="332"/>
      <c r="F57" s="56"/>
      <c r="G57" s="56"/>
      <c r="H57" s="56"/>
      <c r="I57" s="56"/>
      <c r="J57" s="56"/>
      <c r="K57" s="171"/>
      <c r="L57" s="171"/>
      <c r="M57" s="56"/>
      <c r="N57" s="55"/>
      <c r="O57" s="750"/>
      <c r="P57" s="750"/>
      <c r="Q57" s="750"/>
      <c r="R57" s="754"/>
      <c r="S57" s="749"/>
      <c r="T57" s="750"/>
      <c r="U57" s="750"/>
      <c r="V57" s="754"/>
      <c r="W57" s="320"/>
      <c r="X57" s="320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BC57" s="155" t="str">
        <f t="shared" si="15"/>
        <v>-</v>
      </c>
    </row>
    <row r="58" spans="1:65" ht="15" customHeight="1" outlineLevel="1" x14ac:dyDescent="0.25">
      <c r="A58" s="40"/>
      <c r="B58" s="761"/>
      <c r="C58" s="760"/>
      <c r="D58" s="332"/>
      <c r="E58" s="332"/>
      <c r="F58" s="56"/>
      <c r="G58" s="56"/>
      <c r="H58" s="56"/>
      <c r="I58" s="56"/>
      <c r="J58" s="56"/>
      <c r="K58" s="171"/>
      <c r="L58" s="171"/>
      <c r="M58" s="56"/>
      <c r="N58" s="55"/>
      <c r="O58" s="750"/>
      <c r="P58" s="750"/>
      <c r="Q58" s="750"/>
      <c r="R58" s="754"/>
      <c r="S58" s="749"/>
      <c r="T58" s="750"/>
      <c r="U58" s="750"/>
      <c r="V58" s="754"/>
      <c r="W58" s="320"/>
      <c r="X58" s="320"/>
      <c r="Y58" s="743"/>
      <c r="Z58" s="743"/>
      <c r="AA58" s="743"/>
      <c r="AB58" s="743"/>
      <c r="AC58" s="743"/>
      <c r="AD58" s="743"/>
      <c r="AE58" s="743"/>
      <c r="AF58" s="743"/>
      <c r="AG58" s="743"/>
      <c r="AH58" s="743"/>
      <c r="BC58" s="155" t="str">
        <f t="shared" si="15"/>
        <v>-</v>
      </c>
    </row>
    <row r="59" spans="1:65" ht="15.75" outlineLevel="1" thickBot="1" x14ac:dyDescent="0.3">
      <c r="B59" s="796"/>
      <c r="C59" s="778"/>
      <c r="D59" s="334"/>
      <c r="E59" s="334"/>
      <c r="F59" s="334"/>
      <c r="G59" s="334"/>
      <c r="H59" s="334"/>
      <c r="I59" s="334"/>
      <c r="J59" s="334"/>
      <c r="K59" s="172"/>
      <c r="L59" s="172"/>
      <c r="M59" s="334"/>
      <c r="N59" s="54"/>
      <c r="O59" s="752"/>
      <c r="P59" s="752"/>
      <c r="Q59" s="752"/>
      <c r="R59" s="755"/>
      <c r="S59" s="751"/>
      <c r="T59" s="752"/>
      <c r="U59" s="752"/>
      <c r="V59" s="755"/>
      <c r="BC59" s="155" t="str">
        <f t="shared" si="15"/>
        <v>-</v>
      </c>
    </row>
    <row r="60" spans="1:65" ht="15" customHeight="1" x14ac:dyDescent="0.25">
      <c r="BC60" s="155" t="str">
        <f t="shared" si="15"/>
        <v>-</v>
      </c>
    </row>
    <row r="61" spans="1:65" ht="15" customHeight="1" x14ac:dyDescent="0.25">
      <c r="BC61" s="155" t="str">
        <f t="shared" si="15"/>
        <v>-</v>
      </c>
    </row>
    <row r="62" spans="1:65" ht="15" customHeight="1" thickBot="1" x14ac:dyDescent="0.3">
      <c r="A62" s="324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BC62" s="155" t="str">
        <f t="shared" si="15"/>
        <v>-</v>
      </c>
    </row>
    <row r="63" spans="1:65" ht="24.95" customHeight="1" thickBot="1" x14ac:dyDescent="0.3">
      <c r="A63" s="324"/>
      <c r="B63" s="185">
        <v>3</v>
      </c>
      <c r="C63" s="757" t="s">
        <v>110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9"/>
      <c r="O63" s="49" t="s">
        <v>117</v>
      </c>
      <c r="P63" s="71" t="str">
        <f>IF(COUNTIF(F71:N96,"refused")&gt;0,"refused",IF(COUNTIF(F71:N96,"failed")&gt;0,"failed",IF(COUNTIF(F71:N96,"passed")&gt;0,"passed","-")))</f>
        <v>-</v>
      </c>
      <c r="Q63" s="70" t="s">
        <v>80</v>
      </c>
      <c r="R63" s="70" t="str">
        <f>IF(COUNT(F67:N68,F72:N73,F77:N78,F82:N83,F87:N88,F92:N93)&gt;0,"listed","not listed")</f>
        <v>not listed</v>
      </c>
      <c r="S63" s="319"/>
      <c r="T63" s="43"/>
      <c r="U63" s="43"/>
      <c r="V63" s="44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BC63" s="155" t="str">
        <f t="shared" si="15"/>
        <v>-</v>
      </c>
    </row>
    <row r="64" spans="1:65" ht="15" customHeight="1" outlineLevel="1" thickBot="1" x14ac:dyDescent="0.3">
      <c r="A64" s="324"/>
      <c r="B64" s="321"/>
      <c r="C64" s="322"/>
      <c r="D64" s="322"/>
      <c r="E64" s="322"/>
      <c r="F64" s="322"/>
      <c r="G64" s="322"/>
      <c r="H64" s="322"/>
      <c r="I64" s="322"/>
      <c r="J64" s="322"/>
      <c r="K64" s="162"/>
      <c r="L64" s="162"/>
      <c r="M64" s="322"/>
      <c r="N64" s="333"/>
      <c r="O64" s="322"/>
      <c r="P64" s="322"/>
      <c r="Q64" s="322"/>
      <c r="R64" s="322"/>
      <c r="S64" s="322"/>
      <c r="T64" s="45"/>
      <c r="U64" s="45"/>
      <c r="V64" s="46"/>
      <c r="W64" s="47"/>
      <c r="X64" s="47"/>
      <c r="Y64" s="756"/>
      <c r="Z64" s="756"/>
      <c r="AA64" s="756"/>
      <c r="AB64" s="756"/>
      <c r="AC64" s="756"/>
      <c r="AD64" s="756"/>
      <c r="AE64" s="756"/>
      <c r="AF64" s="756"/>
      <c r="AG64" s="756"/>
      <c r="AH64" s="756"/>
      <c r="BC64" s="155" t="str">
        <f t="shared" si="15"/>
        <v>-</v>
      </c>
    </row>
    <row r="65" spans="1:70" ht="15" customHeight="1" outlineLevel="1" thickBot="1" x14ac:dyDescent="0.3">
      <c r="A65" s="324"/>
      <c r="B65" s="744" t="s">
        <v>81</v>
      </c>
      <c r="C65" s="745"/>
      <c r="D65" s="745"/>
      <c r="E65" s="745"/>
      <c r="F65" s="745"/>
      <c r="G65" s="745"/>
      <c r="H65" s="745"/>
      <c r="I65" s="745"/>
      <c r="J65" s="745"/>
      <c r="K65" s="745"/>
      <c r="L65" s="745"/>
      <c r="M65" s="745"/>
      <c r="N65" s="746"/>
      <c r="O65" s="744" t="s">
        <v>82</v>
      </c>
      <c r="P65" s="745"/>
      <c r="Q65" s="745"/>
      <c r="R65" s="746"/>
      <c r="S65" s="744" t="s">
        <v>83</v>
      </c>
      <c r="T65" s="745"/>
      <c r="U65" s="745"/>
      <c r="V65" s="746"/>
      <c r="W65" s="320"/>
      <c r="X65" s="320"/>
      <c r="Y65" s="743"/>
      <c r="Z65" s="743"/>
      <c r="AA65" s="743"/>
      <c r="AB65" s="743"/>
      <c r="AC65" s="743"/>
      <c r="AD65" s="743"/>
      <c r="AE65" s="743"/>
      <c r="AF65" s="743"/>
      <c r="AG65" s="743"/>
      <c r="AH65" s="743"/>
      <c r="BC65" s="155" t="str">
        <f t="shared" si="15"/>
        <v>-</v>
      </c>
      <c r="BD65" s="151" t="s">
        <v>85</v>
      </c>
      <c r="BE65" s="69" t="str">
        <f>$F$4</f>
        <v>NMHC 
[g/km]</v>
      </c>
      <c r="BF65" s="69" t="str">
        <f>$G$4</f>
        <v>THC
[g/km]</v>
      </c>
      <c r="BG65" s="69" t="str">
        <f>$H$4</f>
        <v>CO
[g/km]</v>
      </c>
      <c r="BH65" s="69" t="str">
        <f>$I$4</f>
        <v>NOx
[g/km]</v>
      </c>
      <c r="BI65" s="69" t="str">
        <f>$J$4</f>
        <v>PM
[mg/km]</v>
      </c>
      <c r="BJ65" s="163" t="str">
        <f>K$4</f>
        <v>PN
[#/km]</v>
      </c>
      <c r="BK65" s="163" t="str">
        <f t="shared" ref="BK65" si="76">L$4</f>
        <v>Additional component</v>
      </c>
      <c r="BL65" s="163" t="str">
        <f>M$4</f>
        <v>Additional
component 2</v>
      </c>
      <c r="BM65" s="163" t="str">
        <f>N$4</f>
        <v>CO2
[g/km]</v>
      </c>
    </row>
    <row r="66" spans="1:70" ht="35.1" customHeight="1" outlineLevel="1" thickBot="1" x14ac:dyDescent="0.3">
      <c r="A66" s="324"/>
      <c r="B66" s="767" t="s">
        <v>84</v>
      </c>
      <c r="C66" s="768"/>
      <c r="D66" s="768"/>
      <c r="E66" s="769"/>
      <c r="F66" s="69" t="str">
        <f t="shared" ref="F66:N66" si="77">F$4</f>
        <v>NMHC 
[g/km]</v>
      </c>
      <c r="G66" s="69" t="str">
        <f t="shared" si="77"/>
        <v>THC
[g/km]</v>
      </c>
      <c r="H66" s="69" t="str">
        <f t="shared" si="77"/>
        <v>CO
[g/km]</v>
      </c>
      <c r="I66" s="69" t="str">
        <f t="shared" si="77"/>
        <v>NOx
[g/km]</v>
      </c>
      <c r="J66" s="69" t="str">
        <f t="shared" si="77"/>
        <v>PM
[mg/km]</v>
      </c>
      <c r="K66" s="69" t="str">
        <f t="shared" si="77"/>
        <v>PN
[#/km]</v>
      </c>
      <c r="L66" s="366" t="str">
        <f t="shared" si="77"/>
        <v>Additional component</v>
      </c>
      <c r="M66" s="366" t="str">
        <f t="shared" si="77"/>
        <v>Additional
component 2</v>
      </c>
      <c r="N66" s="69" t="str">
        <f t="shared" si="77"/>
        <v>CO2
[g/km]</v>
      </c>
      <c r="O66" s="747"/>
      <c r="P66" s="748"/>
      <c r="Q66" s="748"/>
      <c r="R66" s="748"/>
      <c r="S66" s="747"/>
      <c r="T66" s="748"/>
      <c r="U66" s="748"/>
      <c r="V66" s="753"/>
      <c r="W66" s="320"/>
      <c r="X66" s="320"/>
      <c r="Y66" s="743"/>
      <c r="Z66" s="743"/>
      <c r="AA66" s="743"/>
      <c r="AB66" s="743"/>
      <c r="AC66" s="743"/>
      <c r="AD66" s="743"/>
      <c r="AE66" s="743"/>
      <c r="AF66" s="743"/>
      <c r="AG66" s="743"/>
      <c r="AH66" s="743"/>
      <c r="BC66" s="155" t="str">
        <f t="shared" si="15"/>
        <v>-</v>
      </c>
      <c r="BD66" s="151" t="str">
        <f>$E$4</f>
        <v>Euro 6c</v>
      </c>
      <c r="BE66" s="153">
        <v>1</v>
      </c>
      <c r="BF66" s="153">
        <v>1</v>
      </c>
      <c r="BG66" s="153">
        <v>1</v>
      </c>
      <c r="BH66" s="153">
        <v>1</v>
      </c>
      <c r="BI66" s="153">
        <v>1</v>
      </c>
      <c r="BJ66" s="153">
        <v>1</v>
      </c>
      <c r="BK66" s="153">
        <v>1</v>
      </c>
      <c r="BL66" s="153">
        <v>1</v>
      </c>
      <c r="BM66" s="153">
        <v>1</v>
      </c>
    </row>
    <row r="67" spans="1:70" ht="15" customHeight="1" outlineLevel="1" x14ac:dyDescent="0.25">
      <c r="A67" s="324"/>
      <c r="B67" s="679" t="str">
        <f>'Variant 1 - NEDC (Fuel1)'!B67:B71</f>
        <v>Drive Mode 1</v>
      </c>
      <c r="C67" s="770" t="s">
        <v>114</v>
      </c>
      <c r="D67" s="770" t="s">
        <v>113</v>
      </c>
      <c r="E67" s="106" t="s">
        <v>94</v>
      </c>
      <c r="F67" s="98" t="s">
        <v>5</v>
      </c>
      <c r="G67" s="98" t="s">
        <v>5</v>
      </c>
      <c r="H67" s="98" t="s">
        <v>5</v>
      </c>
      <c r="I67" s="98" t="s">
        <v>5</v>
      </c>
      <c r="J67" s="98" t="s">
        <v>5</v>
      </c>
      <c r="K67" s="165" t="s">
        <v>5</v>
      </c>
      <c r="L67" s="165" t="s">
        <v>5</v>
      </c>
      <c r="M67" s="98" t="s">
        <v>5</v>
      </c>
      <c r="N67" s="98" t="s">
        <v>5</v>
      </c>
      <c r="O67" s="749"/>
      <c r="P67" s="750"/>
      <c r="Q67" s="750"/>
      <c r="R67" s="750"/>
      <c r="S67" s="749"/>
      <c r="T67" s="750"/>
      <c r="U67" s="750"/>
      <c r="V67" s="754"/>
      <c r="W67" s="320"/>
      <c r="X67" s="320"/>
      <c r="Y67" s="743"/>
      <c r="Z67" s="743"/>
      <c r="AA67" s="743"/>
      <c r="AB67" s="743"/>
      <c r="AC67" s="743"/>
      <c r="AD67" s="743"/>
      <c r="AE67" s="743"/>
      <c r="AF67" s="743"/>
      <c r="AG67" s="743"/>
      <c r="AH67" s="743"/>
      <c r="BC67" s="155" t="str">
        <f t="shared" si="15"/>
        <v>-</v>
      </c>
      <c r="BD67" s="151" t="str">
        <f>"1st " &amp;  B67</f>
        <v>1st Drive Mode 1</v>
      </c>
      <c r="BE67" s="153" t="str">
        <f t="shared" ref="BE67:BJ67" si="78">IF((OR($C69="-",$C69="CET",$C69="")),"-",IF(AND(OR(F67="-",F67=""),OR(F68="-",F68="")),"-",IF(NOT(OR(F67="-",F67="")),F67/F$5,F68/F$5)))</f>
        <v>-</v>
      </c>
      <c r="BF67" s="153" t="str">
        <f t="shared" si="78"/>
        <v>-</v>
      </c>
      <c r="BG67" s="153" t="str">
        <f t="shared" si="78"/>
        <v>-</v>
      </c>
      <c r="BH67" s="153" t="str">
        <f t="shared" si="78"/>
        <v>-</v>
      </c>
      <c r="BI67" s="153" t="str">
        <f t="shared" si="78"/>
        <v>-</v>
      </c>
      <c r="BJ67" s="153" t="str">
        <f t="shared" si="78"/>
        <v>-</v>
      </c>
      <c r="BK67" s="153" t="str">
        <f t="shared" ref="BK67" si="79">IF((OR($C69="-",$C69="CET",$C69="")),"-",IF(AND(OR(L67="-",L67=""),OR(L68="-",L68="")),"-",IF(NOT(OR(L67="-",L67="")),L67/L$5,L68/L$5)))</f>
        <v>-</v>
      </c>
      <c r="BL67" s="153" t="str">
        <f>IF((OR($C69="-",$C69="CET",$C69="")),"-",IF(AND(OR(M67="-",M67=""),OR(M68="-",M68="")),"-",IF(NOT(OR(M67="-",M67="")),M67/M$5,M68/M$5)))</f>
        <v>-</v>
      </c>
      <c r="BM67" s="153" t="str">
        <f>IF((OR($C69="-",$C69="CET",$C69="")),"-",IF(AND(OR(N67="-",N67=""),OR(N68="-",N68="")),"-",IF(NOT(OR(N67="-",N67="")),N67/N$5,N68/N$5)))</f>
        <v>-</v>
      </c>
    </row>
    <row r="68" spans="1:70" s="50" customFormat="1" ht="15" customHeight="1" outlineLevel="1" thickBot="1" x14ac:dyDescent="0.3">
      <c r="A68" s="53"/>
      <c r="B68" s="680"/>
      <c r="C68" s="741"/>
      <c r="D68" s="742"/>
      <c r="E68" s="104" t="s">
        <v>95</v>
      </c>
      <c r="F68" s="97" t="s">
        <v>5</v>
      </c>
      <c r="G68" s="97" t="s">
        <v>5</v>
      </c>
      <c r="H68" s="97" t="s">
        <v>5</v>
      </c>
      <c r="I68" s="97" t="s">
        <v>5</v>
      </c>
      <c r="J68" s="97" t="s">
        <v>5</v>
      </c>
      <c r="K68" s="166" t="s">
        <v>5</v>
      </c>
      <c r="L68" s="166" t="s">
        <v>5</v>
      </c>
      <c r="M68" s="97" t="s">
        <v>5</v>
      </c>
      <c r="N68" s="97" t="s">
        <v>5</v>
      </c>
      <c r="O68" s="749"/>
      <c r="P68" s="750"/>
      <c r="Q68" s="750"/>
      <c r="R68" s="750"/>
      <c r="S68" s="749"/>
      <c r="T68" s="750"/>
      <c r="U68" s="750"/>
      <c r="V68" s="754"/>
      <c r="W68" s="51"/>
      <c r="X68" s="51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BC68" s="155" t="str">
        <f t="shared" si="15"/>
        <v>-</v>
      </c>
      <c r="BD68" s="151" t="str">
        <f>"1st " &amp; B72</f>
        <v>1st Drive Mode 2</v>
      </c>
      <c r="BE68" s="153" t="str">
        <f t="shared" ref="BE68:BJ68" si="80">IF((OR($C74="-",$C74="CET",$C74="")),"-",IF(AND(OR(F72="-",F72=""),OR(F73="-",F73="")),"-",IF(NOT(OR(F72="-",F72="")),F72/F$5,F73/F$5)))</f>
        <v>-</v>
      </c>
      <c r="BF68" s="153" t="str">
        <f t="shared" si="80"/>
        <v>-</v>
      </c>
      <c r="BG68" s="153" t="str">
        <f t="shared" si="80"/>
        <v>-</v>
      </c>
      <c r="BH68" s="153" t="str">
        <f t="shared" si="80"/>
        <v>-</v>
      </c>
      <c r="BI68" s="153" t="str">
        <f t="shared" si="80"/>
        <v>-</v>
      </c>
      <c r="BJ68" s="153" t="str">
        <f t="shared" si="80"/>
        <v>-</v>
      </c>
      <c r="BK68" s="153" t="str">
        <f t="shared" ref="BK68" si="81">IF((OR($C74="-",$C74="CET",$C74="")),"-",IF(AND(OR(L72="-",L72=""),OR(L73="-",L73="")),"-",IF(NOT(OR(L72="-",L72="")),L72/L$5,L73/L$5)))</f>
        <v>-</v>
      </c>
      <c r="BL68" s="153" t="str">
        <f>IF((OR($C74="-",$C74="CET",$C74="")),"-",IF(AND(OR(M72="-",M72=""),OR(M73="-",M73="")),"-",IF(NOT(OR(M72="-",M72="")),M72/M$5,M73/M$5)))</f>
        <v>-</v>
      </c>
      <c r="BM68" s="153" t="str">
        <f>IF((OR($C74="-",$C74="CET",$C74="")),"-",IF(AND(OR(N72="-",N72=""),OR(N73="-",N73="")),"-",IF(NOT(OR(N72="-",N72="")),N72/N$5,N73/N$5)))</f>
        <v>-</v>
      </c>
      <c r="BN68" s="150"/>
      <c r="BO68" s="150"/>
      <c r="BP68" s="150"/>
      <c r="BQ68" s="150"/>
      <c r="BR68" s="150"/>
    </row>
    <row r="69" spans="1:70" ht="15" customHeight="1" outlineLevel="1" thickBot="1" x14ac:dyDescent="0.3">
      <c r="A69" s="324"/>
      <c r="B69" s="680"/>
      <c r="C69" s="764">
        <v>1</v>
      </c>
      <c r="D69" s="772" t="str">
        <f>IF(AND(F70="-",G70="-",H70="-",I70="-",J70="-",K70="-",L70="-",M70="-"),"-",MAX(F70,G70,H70,I70,J70,K70,L70,M70))</f>
        <v>-</v>
      </c>
      <c r="E69" s="66" t="s">
        <v>177</v>
      </c>
      <c r="F69" s="65" t="str">
        <f t="shared" ref="F69:M69" si="82">IF(OR(F68="-",F68=""),IF(OR(F67="-",F67=""),"-",F67),IF(OR(F67="-",F67=""),F68,(F67+F68)/2))</f>
        <v>-</v>
      </c>
      <c r="G69" s="65" t="str">
        <f t="shared" si="82"/>
        <v>-</v>
      </c>
      <c r="H69" s="65" t="str">
        <f t="shared" si="82"/>
        <v>-</v>
      </c>
      <c r="I69" s="65" t="str">
        <f t="shared" si="82"/>
        <v>-</v>
      </c>
      <c r="J69" s="65" t="str">
        <f t="shared" si="82"/>
        <v>-</v>
      </c>
      <c r="K69" s="167" t="str">
        <f t="shared" si="82"/>
        <v>-</v>
      </c>
      <c r="L69" s="167" t="str">
        <f t="shared" ref="L69" si="83">IF(OR(L68="-",L68=""),IF(OR(L67="-",L67=""),"-",L67),IF(OR(L67="-",L67=""),L68,(L67+L68)/2))</f>
        <v>-</v>
      </c>
      <c r="M69" s="65" t="str">
        <f t="shared" si="82"/>
        <v>-</v>
      </c>
      <c r="N69" s="822"/>
      <c r="O69" s="749"/>
      <c r="P69" s="750"/>
      <c r="Q69" s="750"/>
      <c r="R69" s="750"/>
      <c r="S69" s="749"/>
      <c r="T69" s="750"/>
      <c r="U69" s="750"/>
      <c r="V69" s="754"/>
      <c r="W69" s="320"/>
      <c r="X69" s="320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BC69" s="155" t="str">
        <f t="shared" si="15"/>
        <v>-</v>
      </c>
      <c r="BD69" s="151" t="str">
        <f>"1st " &amp; B77</f>
        <v>1st Drive Mode 3</v>
      </c>
      <c r="BE69" s="153" t="str">
        <f t="shared" ref="BE69:BJ69" si="84">IF((OR($C79="-",$C79="CET",$C79="")),"-",IF(AND(OR(F77="-",F77=""),OR(F78="-",F78="")),"-",IF(NOT(OR(F77="-",F77="")),F77/F$5,F78/F$5)))</f>
        <v>-</v>
      </c>
      <c r="BF69" s="153" t="str">
        <f t="shared" si="84"/>
        <v>-</v>
      </c>
      <c r="BG69" s="153" t="str">
        <f t="shared" si="84"/>
        <v>-</v>
      </c>
      <c r="BH69" s="153" t="str">
        <f t="shared" si="84"/>
        <v>-</v>
      </c>
      <c r="BI69" s="153" t="str">
        <f t="shared" si="84"/>
        <v>-</v>
      </c>
      <c r="BJ69" s="153" t="str">
        <f t="shared" si="84"/>
        <v>-</v>
      </c>
      <c r="BK69" s="153" t="str">
        <f t="shared" ref="BK69" si="85">IF((OR($C79="-",$C79="CET",$C79="")),"-",IF(AND(OR(L77="-",L77=""),OR(L78="-",L78="")),"-",IF(NOT(OR(L77="-",L77="")),L77/L$5,L78/L$5)))</f>
        <v>-</v>
      </c>
      <c r="BL69" s="153" t="str">
        <f>IF((OR($C79="-",$C79="CET",$C79="")),"-",IF(AND(OR(M77="-",M77=""),OR(M78="-",M78="")),"-",IF(NOT(OR(M77="-",M77="")),M77/M$5,M78/M$5)))</f>
        <v>-</v>
      </c>
      <c r="BM69" s="153" t="str">
        <f>IF((OR($C79="-",$C79="CET",$C79="")),"-",IF(AND(OR(N77="-",N77=""),OR(N78="-",N78="")),"-",IF(NOT(OR(N77="-",N77="")),N77/N$5,N78/N$5)))</f>
        <v>-</v>
      </c>
    </row>
    <row r="70" spans="1:70" ht="15" customHeight="1" outlineLevel="1" thickBot="1" x14ac:dyDescent="0.3">
      <c r="A70" s="324"/>
      <c r="B70" s="680"/>
      <c r="C70" s="765"/>
      <c r="D70" s="773"/>
      <c r="E70" s="64" t="s">
        <v>97</v>
      </c>
      <c r="F70" s="63" t="str">
        <f t="shared" ref="F70:M70" si="86">IF(OR($C69="-",$C69="CET",$C69=""),"-",IF(AND(NOT(F69="-"),NOT(F$5="-"),NOT(F$5="")),F69/F$5,"-"))</f>
        <v>-</v>
      </c>
      <c r="G70" s="63" t="str">
        <f t="shared" si="86"/>
        <v>-</v>
      </c>
      <c r="H70" s="63" t="str">
        <f t="shared" si="86"/>
        <v>-</v>
      </c>
      <c r="I70" s="63" t="str">
        <f t="shared" si="86"/>
        <v>-</v>
      </c>
      <c r="J70" s="63" t="str">
        <f t="shared" si="86"/>
        <v>-</v>
      </c>
      <c r="K70" s="168" t="str">
        <f t="shared" si="86"/>
        <v>-</v>
      </c>
      <c r="L70" s="168" t="str">
        <f t="shared" ref="L70" si="87">IF(OR($C69="-",$C69="CET",$C69=""),"-",IF(AND(NOT(L69="-"),NOT(L$5="-"),NOT(L$5="")),L69/L$5,"-"))</f>
        <v>-</v>
      </c>
      <c r="M70" s="63" t="str">
        <f t="shared" si="86"/>
        <v>-</v>
      </c>
      <c r="N70" s="823"/>
      <c r="O70" s="749"/>
      <c r="P70" s="750"/>
      <c r="Q70" s="750"/>
      <c r="R70" s="750"/>
      <c r="S70" s="749"/>
      <c r="T70" s="750"/>
      <c r="U70" s="750"/>
      <c r="V70" s="754"/>
      <c r="W70" s="320"/>
      <c r="X70" s="320"/>
      <c r="Y70" s="743"/>
      <c r="Z70" s="743"/>
      <c r="AA70" s="743"/>
      <c r="AB70" s="743"/>
      <c r="AC70" s="743"/>
      <c r="AD70" s="743"/>
      <c r="AE70" s="743"/>
      <c r="AF70" s="743"/>
      <c r="AG70" s="743"/>
      <c r="AH70" s="743"/>
      <c r="BC70" s="155" t="str">
        <f t="shared" si="15"/>
        <v>-</v>
      </c>
      <c r="BD70" s="151" t="str">
        <f>"1st " &amp; B82</f>
        <v>1st Drive Mode 4</v>
      </c>
      <c r="BE70" s="153" t="str">
        <f t="shared" ref="BE70:BJ70" si="88">IF((OR($C84="-",$C84="CET",$C84="")),"-",IF(AND(OR(F82="-",F82=""),OR(F83="-",F83="")),"-",IF(NOT(OR(F82="-",F82="")),F82/F$5,F83/F$5)))</f>
        <v>-</v>
      </c>
      <c r="BF70" s="153" t="str">
        <f t="shared" si="88"/>
        <v>-</v>
      </c>
      <c r="BG70" s="153" t="str">
        <f t="shared" si="88"/>
        <v>-</v>
      </c>
      <c r="BH70" s="153" t="str">
        <f t="shared" si="88"/>
        <v>-</v>
      </c>
      <c r="BI70" s="153" t="str">
        <f t="shared" si="88"/>
        <v>-</v>
      </c>
      <c r="BJ70" s="153" t="str">
        <f t="shared" si="88"/>
        <v>-</v>
      </c>
      <c r="BK70" s="153" t="str">
        <f t="shared" ref="BK70" si="89">IF((OR($C84="-",$C84="CET",$C84="")),"-",IF(AND(OR(L82="-",L82=""),OR(L83="-",L83="")),"-",IF(NOT(OR(L82="-",L82="")),L82/L$5,L83/L$5)))</f>
        <v>-</v>
      </c>
      <c r="BL70" s="153" t="str">
        <f>IF((OR($C84="-",$C84="CET",$C84="")),"-",IF(AND(OR(M82="-",M82=""),OR(M83="-",M83="")),"-",IF(NOT(OR(M82="-",M82="")),M82/M$5,M83/M$5)))</f>
        <v>-</v>
      </c>
      <c r="BM70" s="153" t="str">
        <f>IF((OR($C84="-",$C84="CET",$C84="")),"-",IF(AND(OR(N82="-",N82=""),OR(N83="-",N83="")),"-",IF(NOT(OR(N82="-",N82="")),N82/N$5,N83/N$5)))</f>
        <v>-</v>
      </c>
    </row>
    <row r="71" spans="1:70" ht="15" customHeight="1" outlineLevel="1" thickBot="1" x14ac:dyDescent="0.3">
      <c r="A71" s="324"/>
      <c r="B71" s="681"/>
      <c r="C71" s="771"/>
      <c r="D71" s="774"/>
      <c r="E71" s="68" t="s">
        <v>30</v>
      </c>
      <c r="F71" s="62" t="str">
        <f t="shared" ref="F71:M71" si="90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62" t="str">
        <f t="shared" si="90"/>
        <v>-</v>
      </c>
      <c r="H71" s="62" t="str">
        <f t="shared" si="90"/>
        <v>-</v>
      </c>
      <c r="I71" s="62" t="str">
        <f t="shared" si="90"/>
        <v>-</v>
      </c>
      <c r="J71" s="62" t="str">
        <f t="shared" si="90"/>
        <v>-</v>
      </c>
      <c r="K71" s="169" t="str">
        <f t="shared" si="90"/>
        <v>-</v>
      </c>
      <c r="L71" s="169" t="str">
        <f t="shared" si="90"/>
        <v>-</v>
      </c>
      <c r="M71" s="62" t="str">
        <f t="shared" si="90"/>
        <v>-</v>
      </c>
      <c r="N71" s="824"/>
      <c r="O71" s="749"/>
      <c r="P71" s="750"/>
      <c r="Q71" s="750"/>
      <c r="R71" s="750"/>
      <c r="S71" s="749"/>
      <c r="T71" s="750"/>
      <c r="U71" s="750"/>
      <c r="V71" s="754"/>
      <c r="W71" s="320"/>
      <c r="X71" s="320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BC71" s="155" t="str">
        <f t="shared" si="15"/>
        <v>-</v>
      </c>
      <c r="BD71" s="151" t="str">
        <f>"1st " &amp; B87</f>
        <v>1st Drive Mode 5</v>
      </c>
      <c r="BE71" s="153" t="str">
        <f t="shared" ref="BE71:BJ71" si="91">IF((OR($C89="-",$C89="CET",$C89="")),"-",IF(AND(OR(F87="-",F87=""),OR(F88="-",F88="")),"-",IF(NOT(OR(F87="-",F87="")),F87/F$5,F88/F$5)))</f>
        <v>-</v>
      </c>
      <c r="BF71" s="153" t="str">
        <f t="shared" si="91"/>
        <v>-</v>
      </c>
      <c r="BG71" s="153" t="str">
        <f t="shared" si="91"/>
        <v>-</v>
      </c>
      <c r="BH71" s="153" t="str">
        <f t="shared" si="91"/>
        <v>-</v>
      </c>
      <c r="BI71" s="153" t="str">
        <f t="shared" si="91"/>
        <v>-</v>
      </c>
      <c r="BJ71" s="153" t="str">
        <f t="shared" si="91"/>
        <v>-</v>
      </c>
      <c r="BK71" s="153" t="str">
        <f t="shared" ref="BK71" si="92">IF((OR($C89="-",$C89="CET",$C89="")),"-",IF(AND(OR(L87="-",L87=""),OR(L88="-",L88="")),"-",IF(NOT(OR(L87="-",L87="")),L87/L$5,L88/L$5)))</f>
        <v>-</v>
      </c>
      <c r="BL71" s="153" t="str">
        <f>IF((OR($C89="-",$C89="CET",$C89="")),"-",IF(AND(OR(M87="-",M87=""),OR(M88="-",M88="")),"-",IF(NOT(OR(M87="-",M87="")),M87/M$5,M88/M$5)))</f>
        <v>-</v>
      </c>
      <c r="BM71" s="153" t="str">
        <f>IF((OR($C89="-",$C89="CET",$C89="")),"-",IF(AND(OR(N87="-",N87=""),OR(N88="-",N88="")),"-",IF(NOT(OR(N87="-",N87="")),N87/N$5,N88/N$5)))</f>
        <v>-</v>
      </c>
    </row>
    <row r="72" spans="1:70" ht="15" customHeight="1" outlineLevel="1" x14ac:dyDescent="0.25">
      <c r="A72" s="324"/>
      <c r="B72" s="679" t="str">
        <f>'Variant 1 - NEDC (Fuel1)'!B72:B76</f>
        <v>Drive Mode 2</v>
      </c>
      <c r="C72" s="770" t="s">
        <v>114</v>
      </c>
      <c r="D72" s="770" t="s">
        <v>113</v>
      </c>
      <c r="E72" s="106" t="s">
        <v>94</v>
      </c>
      <c r="F72" s="98" t="s">
        <v>5</v>
      </c>
      <c r="G72" s="98" t="s">
        <v>5</v>
      </c>
      <c r="H72" s="98" t="s">
        <v>5</v>
      </c>
      <c r="I72" s="98" t="s">
        <v>5</v>
      </c>
      <c r="J72" s="98" t="s">
        <v>5</v>
      </c>
      <c r="K72" s="165" t="s">
        <v>5</v>
      </c>
      <c r="L72" s="165" t="s">
        <v>5</v>
      </c>
      <c r="M72" s="98" t="s">
        <v>5</v>
      </c>
      <c r="N72" s="98" t="s">
        <v>5</v>
      </c>
      <c r="O72" s="749"/>
      <c r="P72" s="750"/>
      <c r="Q72" s="750"/>
      <c r="R72" s="750"/>
      <c r="S72" s="749"/>
      <c r="T72" s="750"/>
      <c r="U72" s="750"/>
      <c r="V72" s="754"/>
      <c r="W72" s="320"/>
      <c r="X72" s="320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BC72" s="155" t="str">
        <f t="shared" si="15"/>
        <v>-</v>
      </c>
      <c r="BD72" s="151" t="str">
        <f>"1st " &amp; B92</f>
        <v>1st Drive Mode 6</v>
      </c>
      <c r="BE72" s="153" t="str">
        <f t="shared" ref="BE72:BJ72" si="93">IF((OR($C94="-",$C94="CET",$C94="")),"-",IF(AND(OR(F92="-",F92=""),OR(F93="-",F93="")),"-",IF(NOT(OR(F92="-",F92="")),F92/F$5,F93/F$5)))</f>
        <v>-</v>
      </c>
      <c r="BF72" s="153" t="str">
        <f t="shared" si="93"/>
        <v>-</v>
      </c>
      <c r="BG72" s="153" t="str">
        <f t="shared" si="93"/>
        <v>-</v>
      </c>
      <c r="BH72" s="153" t="str">
        <f t="shared" si="93"/>
        <v>-</v>
      </c>
      <c r="BI72" s="153" t="str">
        <f t="shared" si="93"/>
        <v>-</v>
      </c>
      <c r="BJ72" s="153" t="str">
        <f t="shared" si="93"/>
        <v>-</v>
      </c>
      <c r="BK72" s="153" t="str">
        <f t="shared" ref="BK72" si="94">IF((OR($C94="-",$C94="CET",$C94="")),"-",IF(AND(OR(L92="-",L92=""),OR(L93="-",L93="")),"-",IF(NOT(OR(L92="-",L92="")),L92/L$5,L93/L$5)))</f>
        <v>-</v>
      </c>
      <c r="BL72" s="153" t="str">
        <f>IF((OR($C94="-",$C94="CET",$C94="")),"-",IF(AND(OR(M92="-",M92=""),OR(M93="-",M93="")),"-",IF(NOT(OR(M92="-",M92="")),M92/M$5,M93/M$5)))</f>
        <v>-</v>
      </c>
      <c r="BM72" s="153" t="str">
        <f>IF((OR($C94="-",$C94="CET",$C94="")),"-",IF(AND(OR(N92="-",N92=""),OR(N93="-",N93="")),"-",IF(NOT(OR(N92="-",N92="")),N92/N$5,N93/N$5)))</f>
        <v>-</v>
      </c>
    </row>
    <row r="73" spans="1:70" s="50" customFormat="1" ht="15" customHeight="1" outlineLevel="1" thickBot="1" x14ac:dyDescent="0.3">
      <c r="A73" s="53"/>
      <c r="B73" s="680"/>
      <c r="C73" s="741"/>
      <c r="D73" s="742"/>
      <c r="E73" s="104" t="s">
        <v>95</v>
      </c>
      <c r="F73" s="97" t="s">
        <v>5</v>
      </c>
      <c r="G73" s="97" t="s">
        <v>5</v>
      </c>
      <c r="H73" s="97" t="s">
        <v>5</v>
      </c>
      <c r="I73" s="97" t="s">
        <v>5</v>
      </c>
      <c r="J73" s="97" t="s">
        <v>5</v>
      </c>
      <c r="K73" s="166" t="s">
        <v>5</v>
      </c>
      <c r="L73" s="166" t="s">
        <v>5</v>
      </c>
      <c r="M73" s="97" t="s">
        <v>5</v>
      </c>
      <c r="N73" s="97" t="s">
        <v>5</v>
      </c>
      <c r="O73" s="749"/>
      <c r="P73" s="750"/>
      <c r="Q73" s="750"/>
      <c r="R73" s="750"/>
      <c r="S73" s="749"/>
      <c r="T73" s="750"/>
      <c r="U73" s="750"/>
      <c r="V73" s="754"/>
      <c r="W73" s="51"/>
      <c r="X73" s="51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BC73" s="155" t="str">
        <f t="shared" si="15"/>
        <v>-</v>
      </c>
      <c r="BD73" s="151" t="str">
        <f>"0.7*IEF " &amp; (B67)</f>
        <v>0.7*IEF Drive Mode 1</v>
      </c>
      <c r="BE73" s="153">
        <f t="shared" ref="BE73:BJ73" si="95">IF(OR($C69="-",$C69="CET",$C69=""),"-",0.7*$C69)</f>
        <v>0.7</v>
      </c>
      <c r="BF73" s="153">
        <f t="shared" si="95"/>
        <v>0.7</v>
      </c>
      <c r="BG73" s="153">
        <f t="shared" si="95"/>
        <v>0.7</v>
      </c>
      <c r="BH73" s="153">
        <f t="shared" si="95"/>
        <v>0.7</v>
      </c>
      <c r="BI73" s="153">
        <f t="shared" si="95"/>
        <v>0.7</v>
      </c>
      <c r="BJ73" s="153">
        <f t="shared" si="95"/>
        <v>0.7</v>
      </c>
      <c r="BK73" s="153">
        <f t="shared" ref="BK73:BL73" si="96">IF(OR($C69="-",$C69="CET",$C69=""),"-",0.7*$C69)</f>
        <v>0.7</v>
      </c>
      <c r="BL73" s="153">
        <f t="shared" si="96"/>
        <v>0.7</v>
      </c>
      <c r="BM73" s="153">
        <f t="shared" ref="BM73" si="97">IF(OR($C69="-",$C69="CET",$C69=""),"-",0.7*$C69)</f>
        <v>0.7</v>
      </c>
      <c r="BN73" s="150"/>
      <c r="BO73" s="150"/>
      <c r="BP73" s="150"/>
      <c r="BQ73" s="150"/>
      <c r="BR73" s="150"/>
    </row>
    <row r="74" spans="1:70" ht="15" customHeight="1" outlineLevel="1" thickBot="1" x14ac:dyDescent="0.3">
      <c r="A74" s="324"/>
      <c r="B74" s="680"/>
      <c r="C74" s="764">
        <v>1</v>
      </c>
      <c r="D74" s="772" t="str">
        <f>IF(AND(F75="-",G75="-",H75="-",I75="-",J75="-",K75="-",L75="-",M75="-"),"-",MAX(F75,G75,H75,I75,J75,K75,L75,M75))</f>
        <v>-</v>
      </c>
      <c r="E74" s="66" t="s">
        <v>177</v>
      </c>
      <c r="F74" s="65" t="str">
        <f t="shared" ref="F74:M74" si="98">IF(OR(F73="-",F73=""),IF(OR(F72="-",F72=""),"-",F72),IF(OR(F72="-",F72=""),F73,(F72+F73)/2))</f>
        <v>-</v>
      </c>
      <c r="G74" s="65" t="str">
        <f t="shared" si="98"/>
        <v>-</v>
      </c>
      <c r="H74" s="65" t="str">
        <f t="shared" si="98"/>
        <v>-</v>
      </c>
      <c r="I74" s="65" t="str">
        <f t="shared" si="98"/>
        <v>-</v>
      </c>
      <c r="J74" s="65" t="str">
        <f t="shared" si="98"/>
        <v>-</v>
      </c>
      <c r="K74" s="167" t="str">
        <f t="shared" si="98"/>
        <v>-</v>
      </c>
      <c r="L74" s="167" t="str">
        <f t="shared" ref="L74" si="99">IF(OR(L73="-",L73=""),IF(OR(L72="-",L72=""),"-",L72),IF(OR(L72="-",L72=""),L73,(L72+L73)/2))</f>
        <v>-</v>
      </c>
      <c r="M74" s="65" t="str">
        <f t="shared" si="98"/>
        <v>-</v>
      </c>
      <c r="N74" s="822"/>
      <c r="O74" s="749"/>
      <c r="P74" s="750"/>
      <c r="Q74" s="750"/>
      <c r="R74" s="750"/>
      <c r="S74" s="749"/>
      <c r="T74" s="750"/>
      <c r="U74" s="750"/>
      <c r="V74" s="754"/>
      <c r="W74" s="320"/>
      <c r="X74" s="320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BC74" s="155" t="str">
        <f t="shared" si="15"/>
        <v>-</v>
      </c>
      <c r="BD74" s="151" t="str">
        <f>"0.7*IEF " &amp; B72</f>
        <v>0.7*IEF Drive Mode 2</v>
      </c>
      <c r="BE74" s="153">
        <f t="shared" ref="BE74:BM74" si="100">IF(OR($C74="-",$C74="CET",$C74=""),"-",0.7*$C74)</f>
        <v>0.7</v>
      </c>
      <c r="BF74" s="153">
        <f t="shared" si="100"/>
        <v>0.7</v>
      </c>
      <c r="BG74" s="153">
        <f t="shared" si="100"/>
        <v>0.7</v>
      </c>
      <c r="BH74" s="153">
        <f t="shared" si="100"/>
        <v>0.7</v>
      </c>
      <c r="BI74" s="153">
        <f t="shared" si="100"/>
        <v>0.7</v>
      </c>
      <c r="BJ74" s="153">
        <f t="shared" si="100"/>
        <v>0.7</v>
      </c>
      <c r="BK74" s="153">
        <f t="shared" si="100"/>
        <v>0.7</v>
      </c>
      <c r="BL74" s="153">
        <f t="shared" si="100"/>
        <v>0.7</v>
      </c>
      <c r="BM74" s="153">
        <f t="shared" si="100"/>
        <v>0.7</v>
      </c>
    </row>
    <row r="75" spans="1:70" ht="15" customHeight="1" outlineLevel="1" thickBot="1" x14ac:dyDescent="0.3">
      <c r="A75" s="324"/>
      <c r="B75" s="680"/>
      <c r="C75" s="765"/>
      <c r="D75" s="773"/>
      <c r="E75" s="64" t="s">
        <v>97</v>
      </c>
      <c r="F75" s="63" t="str">
        <f t="shared" ref="F75:M75" si="101">IF(OR($C74="-",$C74="CET",$C74=""),"-",IF(AND(NOT(F74="-"),NOT(F$5="-"),NOT(F$5="")),F74/F$5,"-"))</f>
        <v>-</v>
      </c>
      <c r="G75" s="63" t="str">
        <f t="shared" si="101"/>
        <v>-</v>
      </c>
      <c r="H75" s="63" t="str">
        <f t="shared" si="101"/>
        <v>-</v>
      </c>
      <c r="I75" s="63" t="str">
        <f t="shared" si="101"/>
        <v>-</v>
      </c>
      <c r="J75" s="63" t="str">
        <f t="shared" si="101"/>
        <v>-</v>
      </c>
      <c r="K75" s="168" t="str">
        <f t="shared" si="101"/>
        <v>-</v>
      </c>
      <c r="L75" s="168" t="str">
        <f t="shared" ref="L75" si="102">IF(OR($C74="-",$C74="CET",$C74=""),"-",IF(AND(NOT(L74="-"),NOT(L$5="-"),NOT(L$5="")),L74/L$5,"-"))</f>
        <v>-</v>
      </c>
      <c r="M75" s="63" t="str">
        <f t="shared" si="101"/>
        <v>-</v>
      </c>
      <c r="N75" s="823"/>
      <c r="O75" s="749"/>
      <c r="P75" s="750"/>
      <c r="Q75" s="750"/>
      <c r="R75" s="750"/>
      <c r="S75" s="749"/>
      <c r="T75" s="750"/>
      <c r="U75" s="750"/>
      <c r="V75" s="754"/>
      <c r="W75" s="320"/>
      <c r="X75" s="320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BC75" s="155" t="str">
        <f t="shared" si="15"/>
        <v>-</v>
      </c>
      <c r="BD75" s="151" t="str">
        <f>"0.7*IEF " &amp; B77</f>
        <v>0.7*IEF Drive Mode 3</v>
      </c>
      <c r="BE75" s="153">
        <f t="shared" ref="BE75:BJ75" si="103">IF(OR($C79="-",$C79="CET",$C79=""),"-",0.7*$C79)</f>
        <v>0.7</v>
      </c>
      <c r="BF75" s="153">
        <f t="shared" si="103"/>
        <v>0.7</v>
      </c>
      <c r="BG75" s="153">
        <f t="shared" si="103"/>
        <v>0.7</v>
      </c>
      <c r="BH75" s="153">
        <f t="shared" si="103"/>
        <v>0.7</v>
      </c>
      <c r="BI75" s="153">
        <f t="shared" si="103"/>
        <v>0.7</v>
      </c>
      <c r="BJ75" s="153">
        <f t="shared" si="103"/>
        <v>0.7</v>
      </c>
      <c r="BK75" s="153">
        <f t="shared" ref="BK75:BL75" si="104">IF(OR($C79="-",$C79="CET",$C79=""),"-",0.7*$C79)</f>
        <v>0.7</v>
      </c>
      <c r="BL75" s="153">
        <f t="shared" si="104"/>
        <v>0.7</v>
      </c>
      <c r="BM75" s="153">
        <f t="shared" ref="BM75" si="105">IF(OR($C79="-",$C79="CET",$C79=""),"-",0.7*$C79)</f>
        <v>0.7</v>
      </c>
    </row>
    <row r="76" spans="1:70" ht="15" customHeight="1" outlineLevel="1" thickBot="1" x14ac:dyDescent="0.3">
      <c r="A76" s="40"/>
      <c r="B76" s="681"/>
      <c r="C76" s="771"/>
      <c r="D76" s="774"/>
      <c r="E76" s="62" t="s">
        <v>30</v>
      </c>
      <c r="F76" s="62" t="str">
        <f t="shared" ref="F76:M76" si="106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62" t="str">
        <f t="shared" si="106"/>
        <v>-</v>
      </c>
      <c r="H76" s="62" t="str">
        <f t="shared" si="106"/>
        <v>-</v>
      </c>
      <c r="I76" s="62" t="str">
        <f t="shared" si="106"/>
        <v>-</v>
      </c>
      <c r="J76" s="62" t="str">
        <f t="shared" si="106"/>
        <v>-</v>
      </c>
      <c r="K76" s="169" t="str">
        <f t="shared" si="106"/>
        <v>-</v>
      </c>
      <c r="L76" s="169" t="str">
        <f t="shared" si="106"/>
        <v>-</v>
      </c>
      <c r="M76" s="62" t="str">
        <f t="shared" si="106"/>
        <v>-</v>
      </c>
      <c r="N76" s="824"/>
      <c r="O76" s="749"/>
      <c r="P76" s="750"/>
      <c r="Q76" s="750"/>
      <c r="R76" s="750"/>
      <c r="S76" s="749"/>
      <c r="T76" s="750"/>
      <c r="U76" s="750"/>
      <c r="V76" s="754"/>
      <c r="W76" s="320"/>
      <c r="X76" s="320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BC76" s="155" t="str">
        <f t="shared" si="15"/>
        <v>-</v>
      </c>
      <c r="BD76" s="151" t="str">
        <f>"0.7*IEF " &amp; B82</f>
        <v>0.7*IEF Drive Mode 4</v>
      </c>
      <c r="BE76" s="153">
        <f t="shared" ref="BE76:BJ76" si="107">IF(OR($C84="-",$C84="CET",$C84=""),"-",0.7*$C84)</f>
        <v>0.7</v>
      </c>
      <c r="BF76" s="153">
        <f t="shared" si="107"/>
        <v>0.7</v>
      </c>
      <c r="BG76" s="153">
        <f t="shared" si="107"/>
        <v>0.7</v>
      </c>
      <c r="BH76" s="153">
        <f t="shared" si="107"/>
        <v>0.7</v>
      </c>
      <c r="BI76" s="153">
        <f t="shared" si="107"/>
        <v>0.7</v>
      </c>
      <c r="BJ76" s="153">
        <f t="shared" si="107"/>
        <v>0.7</v>
      </c>
      <c r="BK76" s="153">
        <f t="shared" ref="BK76:BL76" si="108">IF(OR($C84="-",$C84="CET",$C84=""),"-",0.7*$C84)</f>
        <v>0.7</v>
      </c>
      <c r="BL76" s="153">
        <f t="shared" si="108"/>
        <v>0.7</v>
      </c>
      <c r="BM76" s="153">
        <f t="shared" ref="BM76" si="109">IF(OR($C84="-",$C84="CET",$C84=""),"-",0.7*$C84)</f>
        <v>0.7</v>
      </c>
    </row>
    <row r="77" spans="1:70" ht="15" customHeight="1" outlineLevel="1" x14ac:dyDescent="0.25">
      <c r="A77" s="40"/>
      <c r="B77" s="679" t="str">
        <f>'Variant 1 - NEDC (Fuel1)'!B77:B81</f>
        <v>Drive Mode 3</v>
      </c>
      <c r="C77" s="770" t="s">
        <v>114</v>
      </c>
      <c r="D77" s="770" t="s">
        <v>113</v>
      </c>
      <c r="E77" s="106" t="s">
        <v>94</v>
      </c>
      <c r="F77" s="98" t="s">
        <v>5</v>
      </c>
      <c r="G77" s="98" t="s">
        <v>5</v>
      </c>
      <c r="H77" s="98" t="s">
        <v>5</v>
      </c>
      <c r="I77" s="98" t="s">
        <v>5</v>
      </c>
      <c r="J77" s="98" t="s">
        <v>5</v>
      </c>
      <c r="K77" s="165" t="s">
        <v>5</v>
      </c>
      <c r="L77" s="165" t="s">
        <v>5</v>
      </c>
      <c r="M77" s="98" t="s">
        <v>5</v>
      </c>
      <c r="N77" s="98" t="s">
        <v>5</v>
      </c>
      <c r="O77" s="749"/>
      <c r="P77" s="750"/>
      <c r="Q77" s="750"/>
      <c r="R77" s="750"/>
      <c r="S77" s="749"/>
      <c r="T77" s="750"/>
      <c r="U77" s="750"/>
      <c r="V77" s="754"/>
      <c r="W77" s="320"/>
      <c r="X77" s="320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BC77" s="155" t="str">
        <f t="shared" si="15"/>
        <v>-</v>
      </c>
      <c r="BD77" s="151" t="str">
        <f>"0.7*IEF " &amp; B87</f>
        <v>0.7*IEF Drive Mode 5</v>
      </c>
      <c r="BE77" s="153">
        <f t="shared" ref="BE77:BJ77" si="110">IF(OR($C89="-",$C89="CET",$C89=""),"-",0.7*$C89)</f>
        <v>0.7</v>
      </c>
      <c r="BF77" s="153">
        <f t="shared" si="110"/>
        <v>0.7</v>
      </c>
      <c r="BG77" s="153">
        <f t="shared" si="110"/>
        <v>0.7</v>
      </c>
      <c r="BH77" s="153">
        <f t="shared" si="110"/>
        <v>0.7</v>
      </c>
      <c r="BI77" s="153">
        <f t="shared" si="110"/>
        <v>0.7</v>
      </c>
      <c r="BJ77" s="153">
        <f t="shared" si="110"/>
        <v>0.7</v>
      </c>
      <c r="BK77" s="153">
        <f t="shared" ref="BK77:BL77" si="111">IF(OR($C89="-",$C89="CET",$C89=""),"-",0.7*$C89)</f>
        <v>0.7</v>
      </c>
      <c r="BL77" s="153">
        <f t="shared" si="111"/>
        <v>0.7</v>
      </c>
      <c r="BM77" s="153">
        <f t="shared" ref="BM77" si="112">IF(OR($C89="-",$C89="CET",$C89=""),"-",0.7*$C89)</f>
        <v>0.7</v>
      </c>
    </row>
    <row r="78" spans="1:70" s="50" customFormat="1" ht="15" customHeight="1" outlineLevel="1" thickBot="1" x14ac:dyDescent="0.3">
      <c r="A78" s="52"/>
      <c r="B78" s="680"/>
      <c r="C78" s="741"/>
      <c r="D78" s="742"/>
      <c r="E78" s="104" t="s">
        <v>95</v>
      </c>
      <c r="F78" s="97" t="s">
        <v>5</v>
      </c>
      <c r="G78" s="97" t="s">
        <v>5</v>
      </c>
      <c r="H78" s="97" t="s">
        <v>5</v>
      </c>
      <c r="I78" s="97" t="s">
        <v>5</v>
      </c>
      <c r="J78" s="97" t="s">
        <v>5</v>
      </c>
      <c r="K78" s="166" t="s">
        <v>5</v>
      </c>
      <c r="L78" s="166" t="s">
        <v>5</v>
      </c>
      <c r="M78" s="97" t="s">
        <v>5</v>
      </c>
      <c r="N78" s="97" t="s">
        <v>5</v>
      </c>
      <c r="O78" s="749"/>
      <c r="P78" s="750"/>
      <c r="Q78" s="750"/>
      <c r="R78" s="750"/>
      <c r="S78" s="749"/>
      <c r="T78" s="750"/>
      <c r="U78" s="750"/>
      <c r="V78" s="754"/>
      <c r="W78" s="51"/>
      <c r="X78" s="51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BC78" s="155" t="str">
        <f t="shared" si="15"/>
        <v>-</v>
      </c>
      <c r="BD78" s="151" t="str">
        <f>"0.7*IEF " &amp; B92</f>
        <v>0.7*IEF Drive Mode 6</v>
      </c>
      <c r="BE78" s="153">
        <f t="shared" ref="BE78:BJ78" si="113">IF(OR($C94="-",$C94="CET",$C94=""),"-",0.7*$C94)</f>
        <v>0.7</v>
      </c>
      <c r="BF78" s="153">
        <f t="shared" si="113"/>
        <v>0.7</v>
      </c>
      <c r="BG78" s="153">
        <f t="shared" si="113"/>
        <v>0.7</v>
      </c>
      <c r="BH78" s="153">
        <f t="shared" si="113"/>
        <v>0.7</v>
      </c>
      <c r="BI78" s="153">
        <f t="shared" si="113"/>
        <v>0.7</v>
      </c>
      <c r="BJ78" s="153">
        <f t="shared" si="113"/>
        <v>0.7</v>
      </c>
      <c r="BK78" s="153">
        <f t="shared" ref="BK78:BL78" si="114">IF(OR($C94="-",$C94="CET",$C94=""),"-",0.7*$C94)</f>
        <v>0.7</v>
      </c>
      <c r="BL78" s="153">
        <f t="shared" si="114"/>
        <v>0.7</v>
      </c>
      <c r="BM78" s="153">
        <f t="shared" ref="BM78" si="115">IF(OR($C94="-",$C94="CET",$C94=""),"-",0.7*$C94)</f>
        <v>0.7</v>
      </c>
      <c r="BN78" s="150"/>
      <c r="BO78" s="150"/>
      <c r="BP78" s="150"/>
      <c r="BQ78" s="150"/>
      <c r="BR78" s="150"/>
    </row>
    <row r="79" spans="1:70" ht="15" customHeight="1" outlineLevel="1" thickBot="1" x14ac:dyDescent="0.3">
      <c r="A79" s="40"/>
      <c r="B79" s="680"/>
      <c r="C79" s="764">
        <v>1</v>
      </c>
      <c r="D79" s="772" t="str">
        <f>IF(AND(F80="-",G80="-",H80="-",I80="-",J80="-",K80="-",L80="-",M80="-"),"-",MAX(F80,G80,H80,I80,J80,K80,L80,M80))</f>
        <v>-</v>
      </c>
      <c r="E79" s="66" t="s">
        <v>177</v>
      </c>
      <c r="F79" s="65" t="str">
        <f t="shared" ref="F79:M79" si="116">IF(OR(F78="-",F78=""),IF(OR(F77="-",F77=""),"-",F77),IF(OR(F77="-",F77=""),F78,(F77+F78)/2))</f>
        <v>-</v>
      </c>
      <c r="G79" s="65" t="str">
        <f t="shared" si="116"/>
        <v>-</v>
      </c>
      <c r="H79" s="65" t="str">
        <f t="shared" si="116"/>
        <v>-</v>
      </c>
      <c r="I79" s="65" t="str">
        <f t="shared" si="116"/>
        <v>-</v>
      </c>
      <c r="J79" s="65" t="str">
        <f t="shared" si="116"/>
        <v>-</v>
      </c>
      <c r="K79" s="167" t="str">
        <f t="shared" si="116"/>
        <v>-</v>
      </c>
      <c r="L79" s="167" t="str">
        <f t="shared" ref="L79" si="117">IF(OR(L78="-",L78=""),IF(OR(L77="-",L77=""),"-",L77),IF(OR(L77="-",L77=""),L78,(L77+L78)/2))</f>
        <v>-</v>
      </c>
      <c r="M79" s="65" t="str">
        <f t="shared" si="116"/>
        <v>-</v>
      </c>
      <c r="N79" s="822"/>
      <c r="O79" s="749"/>
      <c r="P79" s="750"/>
      <c r="Q79" s="750"/>
      <c r="R79" s="750"/>
      <c r="S79" s="749"/>
      <c r="T79" s="750"/>
      <c r="U79" s="750"/>
      <c r="V79" s="754"/>
      <c r="W79" s="320"/>
      <c r="X79" s="320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BC79" s="155" t="str">
        <f t="shared" si="15"/>
        <v>-</v>
      </c>
      <c r="BD79" s="151" t="str">
        <f>$B67</f>
        <v>Drive Mode 1</v>
      </c>
      <c r="BE79" s="153" t="str">
        <f t="shared" ref="BE79:BJ79" si="118">F70</f>
        <v>-</v>
      </c>
      <c r="BF79" s="153" t="str">
        <f t="shared" si="118"/>
        <v>-</v>
      </c>
      <c r="BG79" s="153" t="str">
        <f t="shared" si="118"/>
        <v>-</v>
      </c>
      <c r="BH79" s="153" t="str">
        <f t="shared" si="118"/>
        <v>-</v>
      </c>
      <c r="BI79" s="153" t="str">
        <f t="shared" si="118"/>
        <v>-</v>
      </c>
      <c r="BJ79" s="153" t="str">
        <f t="shared" si="118"/>
        <v>-</v>
      </c>
      <c r="BK79" s="153" t="str">
        <f t="shared" ref="BK79" si="119">L70</f>
        <v>-</v>
      </c>
      <c r="BL79" s="153" t="str">
        <f>M70</f>
        <v>-</v>
      </c>
      <c r="BM79" s="153">
        <f>N70</f>
        <v>0</v>
      </c>
    </row>
    <row r="80" spans="1:70" ht="15" customHeight="1" outlineLevel="1" thickBot="1" x14ac:dyDescent="0.3">
      <c r="A80" s="40"/>
      <c r="B80" s="680"/>
      <c r="C80" s="765"/>
      <c r="D80" s="773"/>
      <c r="E80" s="64" t="s">
        <v>97</v>
      </c>
      <c r="F80" s="63" t="str">
        <f t="shared" ref="F80:M80" si="120">IF(OR($C79="-",$C79="CET",$C79=""),"-",IF(AND(NOT(F79="-"),NOT(F$5="-"),NOT(F$5="")),F79/F$5,"-"))</f>
        <v>-</v>
      </c>
      <c r="G80" s="63" t="str">
        <f t="shared" si="120"/>
        <v>-</v>
      </c>
      <c r="H80" s="63" t="str">
        <f t="shared" si="120"/>
        <v>-</v>
      </c>
      <c r="I80" s="63" t="str">
        <f t="shared" si="120"/>
        <v>-</v>
      </c>
      <c r="J80" s="63" t="str">
        <f t="shared" si="120"/>
        <v>-</v>
      </c>
      <c r="K80" s="168" t="str">
        <f t="shared" si="120"/>
        <v>-</v>
      </c>
      <c r="L80" s="168" t="str">
        <f t="shared" ref="L80" si="121">IF(OR($C79="-",$C79="CET",$C79=""),"-",IF(AND(NOT(L79="-"),NOT(L$5="-"),NOT(L$5="")),L79/L$5,"-"))</f>
        <v>-</v>
      </c>
      <c r="M80" s="63" t="str">
        <f t="shared" si="120"/>
        <v>-</v>
      </c>
      <c r="N80" s="823"/>
      <c r="O80" s="749"/>
      <c r="P80" s="750"/>
      <c r="Q80" s="750"/>
      <c r="R80" s="750"/>
      <c r="S80" s="749"/>
      <c r="T80" s="750"/>
      <c r="U80" s="750"/>
      <c r="V80" s="754"/>
      <c r="W80" s="320"/>
      <c r="X80" s="320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BC80" s="155" t="str">
        <f t="shared" si="15"/>
        <v>-</v>
      </c>
      <c r="BD80" s="151" t="str">
        <f>$B72</f>
        <v>Drive Mode 2</v>
      </c>
      <c r="BE80" s="153" t="str">
        <f t="shared" ref="BE80:BJ80" si="122">F75</f>
        <v>-</v>
      </c>
      <c r="BF80" s="153" t="str">
        <f t="shared" si="122"/>
        <v>-</v>
      </c>
      <c r="BG80" s="153" t="str">
        <f t="shared" si="122"/>
        <v>-</v>
      </c>
      <c r="BH80" s="153" t="str">
        <f t="shared" si="122"/>
        <v>-</v>
      </c>
      <c r="BI80" s="153" t="str">
        <f t="shared" si="122"/>
        <v>-</v>
      </c>
      <c r="BJ80" s="153" t="str">
        <f t="shared" si="122"/>
        <v>-</v>
      </c>
      <c r="BK80" s="153" t="str">
        <f t="shared" ref="BK80" si="123">L75</f>
        <v>-</v>
      </c>
      <c r="BL80" s="153" t="str">
        <f>M75</f>
        <v>-</v>
      </c>
      <c r="BM80" s="153">
        <f>N75</f>
        <v>0</v>
      </c>
    </row>
    <row r="81" spans="1:70" ht="15" customHeight="1" outlineLevel="1" thickBot="1" x14ac:dyDescent="0.3">
      <c r="A81" s="40"/>
      <c r="B81" s="681"/>
      <c r="C81" s="771"/>
      <c r="D81" s="774"/>
      <c r="E81" s="62" t="s">
        <v>30</v>
      </c>
      <c r="F81" s="62" t="str">
        <f t="shared" ref="F81:M81" si="124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62" t="str">
        <f t="shared" si="124"/>
        <v>-</v>
      </c>
      <c r="H81" s="62" t="str">
        <f t="shared" si="124"/>
        <v>-</v>
      </c>
      <c r="I81" s="62" t="str">
        <f t="shared" si="124"/>
        <v>-</v>
      </c>
      <c r="J81" s="62" t="str">
        <f t="shared" si="124"/>
        <v>-</v>
      </c>
      <c r="K81" s="169" t="str">
        <f t="shared" si="124"/>
        <v>-</v>
      </c>
      <c r="L81" s="169" t="str">
        <f t="shared" si="124"/>
        <v>-</v>
      </c>
      <c r="M81" s="62" t="str">
        <f t="shared" si="124"/>
        <v>-</v>
      </c>
      <c r="N81" s="824"/>
      <c r="O81" s="749"/>
      <c r="P81" s="750"/>
      <c r="Q81" s="750"/>
      <c r="R81" s="750"/>
      <c r="S81" s="749"/>
      <c r="T81" s="750"/>
      <c r="U81" s="750"/>
      <c r="V81" s="754"/>
      <c r="W81" s="320"/>
      <c r="X81" s="320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BC81" s="155" t="str">
        <f t="shared" si="15"/>
        <v>-</v>
      </c>
      <c r="BD81" s="151" t="str">
        <f>$B77</f>
        <v>Drive Mode 3</v>
      </c>
      <c r="BE81" s="153" t="str">
        <f t="shared" ref="BE81:BJ81" si="125">F80</f>
        <v>-</v>
      </c>
      <c r="BF81" s="153" t="str">
        <f t="shared" si="125"/>
        <v>-</v>
      </c>
      <c r="BG81" s="153" t="str">
        <f t="shared" si="125"/>
        <v>-</v>
      </c>
      <c r="BH81" s="153" t="str">
        <f t="shared" si="125"/>
        <v>-</v>
      </c>
      <c r="BI81" s="153" t="str">
        <f t="shared" si="125"/>
        <v>-</v>
      </c>
      <c r="BJ81" s="153" t="str">
        <f t="shared" si="125"/>
        <v>-</v>
      </c>
      <c r="BK81" s="153" t="str">
        <f t="shared" ref="BK81" si="126">L80</f>
        <v>-</v>
      </c>
      <c r="BL81" s="153" t="str">
        <f>M80</f>
        <v>-</v>
      </c>
      <c r="BM81" s="153">
        <f>N80</f>
        <v>0</v>
      </c>
    </row>
    <row r="82" spans="1:70" ht="15" customHeight="1" outlineLevel="1" x14ac:dyDescent="0.25">
      <c r="A82" s="40"/>
      <c r="B82" s="679" t="str">
        <f>'Variant 1 - NEDC (Fuel1)'!B82:B86</f>
        <v>Drive Mode 4</v>
      </c>
      <c r="C82" s="770" t="s">
        <v>114</v>
      </c>
      <c r="D82" s="770" t="s">
        <v>113</v>
      </c>
      <c r="E82" s="106" t="s">
        <v>94</v>
      </c>
      <c r="F82" s="98" t="s">
        <v>5</v>
      </c>
      <c r="G82" s="98" t="s">
        <v>5</v>
      </c>
      <c r="H82" s="98" t="s">
        <v>5</v>
      </c>
      <c r="I82" s="98" t="s">
        <v>5</v>
      </c>
      <c r="J82" s="98" t="s">
        <v>5</v>
      </c>
      <c r="K82" s="165" t="s">
        <v>5</v>
      </c>
      <c r="L82" s="165" t="s">
        <v>5</v>
      </c>
      <c r="M82" s="98" t="s">
        <v>5</v>
      </c>
      <c r="N82" s="98" t="s">
        <v>5</v>
      </c>
      <c r="O82" s="749"/>
      <c r="P82" s="750"/>
      <c r="Q82" s="750"/>
      <c r="R82" s="750"/>
      <c r="S82" s="749"/>
      <c r="T82" s="750"/>
      <c r="U82" s="750"/>
      <c r="V82" s="754"/>
      <c r="W82" s="320"/>
      <c r="X82" s="320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BC82" s="155" t="str">
        <f t="shared" ref="BC82:BC145" si="127">IF(COUNTIF(F82:M82,"refused")&gt;0,"refused",IF(COUNTIF(F82:M82,"failed")&gt;0,"failed",IF(COUNTIF(F82:M82,"passed")&gt;0,"passed","-")))</f>
        <v>-</v>
      </c>
      <c r="BD82" s="151" t="str">
        <f>$B82</f>
        <v>Drive Mode 4</v>
      </c>
      <c r="BE82" s="153" t="str">
        <f t="shared" ref="BE82:BJ82" si="128">F85</f>
        <v>-</v>
      </c>
      <c r="BF82" s="153" t="str">
        <f t="shared" si="128"/>
        <v>-</v>
      </c>
      <c r="BG82" s="153" t="str">
        <f t="shared" si="128"/>
        <v>-</v>
      </c>
      <c r="BH82" s="153" t="str">
        <f t="shared" si="128"/>
        <v>-</v>
      </c>
      <c r="BI82" s="153" t="str">
        <f t="shared" si="128"/>
        <v>-</v>
      </c>
      <c r="BJ82" s="153" t="str">
        <f t="shared" si="128"/>
        <v>-</v>
      </c>
      <c r="BK82" s="153" t="str">
        <f t="shared" ref="BK82" si="129">L85</f>
        <v>-</v>
      </c>
      <c r="BL82" s="153" t="str">
        <f>M85</f>
        <v>-</v>
      </c>
      <c r="BM82" s="153">
        <f>N85</f>
        <v>0</v>
      </c>
    </row>
    <row r="83" spans="1:70" s="50" customFormat="1" ht="15" customHeight="1" outlineLevel="1" thickBot="1" x14ac:dyDescent="0.3">
      <c r="A83" s="52"/>
      <c r="B83" s="680"/>
      <c r="C83" s="741"/>
      <c r="D83" s="742"/>
      <c r="E83" s="104" t="s">
        <v>95</v>
      </c>
      <c r="F83" s="97" t="s">
        <v>5</v>
      </c>
      <c r="G83" s="97" t="s">
        <v>5</v>
      </c>
      <c r="H83" s="97" t="s">
        <v>5</v>
      </c>
      <c r="I83" s="97" t="s">
        <v>5</v>
      </c>
      <c r="J83" s="97" t="s">
        <v>5</v>
      </c>
      <c r="K83" s="166" t="s">
        <v>5</v>
      </c>
      <c r="L83" s="166" t="s">
        <v>5</v>
      </c>
      <c r="M83" s="97" t="s">
        <v>5</v>
      </c>
      <c r="N83" s="97" t="s">
        <v>5</v>
      </c>
      <c r="O83" s="749"/>
      <c r="P83" s="750"/>
      <c r="Q83" s="750"/>
      <c r="R83" s="750"/>
      <c r="S83" s="749"/>
      <c r="T83" s="750"/>
      <c r="U83" s="750"/>
      <c r="V83" s="754"/>
      <c r="W83" s="51"/>
      <c r="X83" s="51"/>
      <c r="Y83" s="743"/>
      <c r="Z83" s="743"/>
      <c r="AA83" s="743"/>
      <c r="AB83" s="743"/>
      <c r="AC83" s="743"/>
      <c r="AD83" s="743"/>
      <c r="AE83" s="743"/>
      <c r="AF83" s="743"/>
      <c r="AG83" s="743"/>
      <c r="AH83" s="743"/>
      <c r="BC83" s="155" t="str">
        <f t="shared" si="127"/>
        <v>-</v>
      </c>
      <c r="BD83" s="151" t="str">
        <f>$B87</f>
        <v>Drive Mode 5</v>
      </c>
      <c r="BE83" s="153" t="str">
        <f t="shared" ref="BE83:BJ83" si="130">F90</f>
        <v>-</v>
      </c>
      <c r="BF83" s="153" t="str">
        <f t="shared" si="130"/>
        <v>-</v>
      </c>
      <c r="BG83" s="153" t="str">
        <f t="shared" si="130"/>
        <v>-</v>
      </c>
      <c r="BH83" s="153" t="str">
        <f t="shared" si="130"/>
        <v>-</v>
      </c>
      <c r="BI83" s="153" t="str">
        <f t="shared" si="130"/>
        <v>-</v>
      </c>
      <c r="BJ83" s="153" t="str">
        <f t="shared" si="130"/>
        <v>-</v>
      </c>
      <c r="BK83" s="153" t="str">
        <f t="shared" ref="BK83" si="131">L90</f>
        <v>-</v>
      </c>
      <c r="BL83" s="153" t="str">
        <f>M90</f>
        <v>-</v>
      </c>
      <c r="BM83" s="153">
        <f>N90</f>
        <v>0</v>
      </c>
      <c r="BN83" s="150"/>
      <c r="BO83" s="150"/>
      <c r="BP83" s="150"/>
      <c r="BQ83" s="150"/>
      <c r="BR83" s="150"/>
    </row>
    <row r="84" spans="1:70" ht="15" customHeight="1" outlineLevel="1" thickBot="1" x14ac:dyDescent="0.3">
      <c r="A84" s="40"/>
      <c r="B84" s="680"/>
      <c r="C84" s="764">
        <v>1</v>
      </c>
      <c r="D84" s="772" t="str">
        <f>IF(AND(F85="-",G85="-",H85="-",I85="-",J85="-",K85="-",L85="-",M85="-"),"-",MAX(F85,G85,H85,I85,J85,K85,L85,M85))</f>
        <v>-</v>
      </c>
      <c r="E84" s="66" t="s">
        <v>177</v>
      </c>
      <c r="F84" s="65" t="str">
        <f t="shared" ref="F84:M84" si="132">IF(OR(F83="-",F83=""),IF(OR(F82="-",F82=""),"-",F82),IF(OR(F82="-",F82=""),F83,(F82+F83)/2))</f>
        <v>-</v>
      </c>
      <c r="G84" s="65" t="str">
        <f t="shared" si="132"/>
        <v>-</v>
      </c>
      <c r="H84" s="65" t="str">
        <f t="shared" si="132"/>
        <v>-</v>
      </c>
      <c r="I84" s="65" t="str">
        <f t="shared" si="132"/>
        <v>-</v>
      </c>
      <c r="J84" s="65" t="str">
        <f t="shared" si="132"/>
        <v>-</v>
      </c>
      <c r="K84" s="167" t="str">
        <f t="shared" si="132"/>
        <v>-</v>
      </c>
      <c r="L84" s="167" t="str">
        <f t="shared" ref="L84" si="133">IF(OR(L83="-",L83=""),IF(OR(L82="-",L82=""),"-",L82),IF(OR(L82="-",L82=""),L83,(L82+L83)/2))</f>
        <v>-</v>
      </c>
      <c r="M84" s="65" t="str">
        <f t="shared" si="132"/>
        <v>-</v>
      </c>
      <c r="N84" s="822"/>
      <c r="O84" s="749"/>
      <c r="P84" s="750"/>
      <c r="Q84" s="750"/>
      <c r="R84" s="750"/>
      <c r="S84" s="749"/>
      <c r="T84" s="750"/>
      <c r="U84" s="750"/>
      <c r="V84" s="754"/>
      <c r="W84" s="320"/>
      <c r="X84" s="320"/>
      <c r="Y84" s="743"/>
      <c r="Z84" s="743"/>
      <c r="AA84" s="743"/>
      <c r="AB84" s="743"/>
      <c r="AC84" s="743"/>
      <c r="AD84" s="743"/>
      <c r="AE84" s="743"/>
      <c r="AF84" s="743"/>
      <c r="AG84" s="743"/>
      <c r="AH84" s="743"/>
      <c r="BC84" s="155" t="str">
        <f t="shared" si="127"/>
        <v>-</v>
      </c>
      <c r="BD84" s="151" t="str">
        <f>$B92</f>
        <v>Drive Mode 6</v>
      </c>
      <c r="BE84" s="153" t="str">
        <f t="shared" ref="BE84:BJ84" si="134">F95</f>
        <v>-</v>
      </c>
      <c r="BF84" s="153" t="str">
        <f t="shared" si="134"/>
        <v>-</v>
      </c>
      <c r="BG84" s="153" t="str">
        <f t="shared" si="134"/>
        <v>-</v>
      </c>
      <c r="BH84" s="153" t="str">
        <f t="shared" si="134"/>
        <v>-</v>
      </c>
      <c r="BI84" s="153" t="str">
        <f t="shared" si="134"/>
        <v>-</v>
      </c>
      <c r="BJ84" s="153" t="str">
        <f t="shared" si="134"/>
        <v>-</v>
      </c>
      <c r="BK84" s="153" t="str">
        <f t="shared" ref="BK84" si="135">L95</f>
        <v>-</v>
      </c>
      <c r="BL84" s="153" t="str">
        <f>M95</f>
        <v>-</v>
      </c>
      <c r="BM84" s="153">
        <f>N95</f>
        <v>0</v>
      </c>
    </row>
    <row r="85" spans="1:70" ht="15" customHeight="1" outlineLevel="1" thickBot="1" x14ac:dyDescent="0.3">
      <c r="A85" s="40"/>
      <c r="B85" s="680"/>
      <c r="C85" s="765"/>
      <c r="D85" s="773"/>
      <c r="E85" s="64" t="s">
        <v>97</v>
      </c>
      <c r="F85" s="63" t="str">
        <f t="shared" ref="F85:M85" si="136">IF(OR($C84="-",$C84="CET",$C84=""),"-",IF(AND(NOT(F84="-"),NOT(F$5="-"),NOT(F$5="")),F84/F$5,"-"))</f>
        <v>-</v>
      </c>
      <c r="G85" s="63" t="str">
        <f t="shared" si="136"/>
        <v>-</v>
      </c>
      <c r="H85" s="63" t="str">
        <f t="shared" si="136"/>
        <v>-</v>
      </c>
      <c r="I85" s="63" t="str">
        <f t="shared" si="136"/>
        <v>-</v>
      </c>
      <c r="J85" s="63" t="str">
        <f t="shared" si="136"/>
        <v>-</v>
      </c>
      <c r="K85" s="168" t="str">
        <f t="shared" si="136"/>
        <v>-</v>
      </c>
      <c r="L85" s="168" t="str">
        <f t="shared" ref="L85" si="137">IF(OR($C84="-",$C84="CET",$C84=""),"-",IF(AND(NOT(L84="-"),NOT(L$5="-"),NOT(L$5="")),L84/L$5,"-"))</f>
        <v>-</v>
      </c>
      <c r="M85" s="63" t="str">
        <f t="shared" si="136"/>
        <v>-</v>
      </c>
      <c r="N85" s="823"/>
      <c r="O85" s="749"/>
      <c r="P85" s="750"/>
      <c r="Q85" s="750"/>
      <c r="R85" s="750"/>
      <c r="S85" s="749"/>
      <c r="T85" s="750"/>
      <c r="U85" s="750"/>
      <c r="V85" s="754"/>
      <c r="W85" s="320"/>
      <c r="X85" s="320"/>
      <c r="Y85" s="743"/>
      <c r="Z85" s="743"/>
      <c r="AA85" s="743"/>
      <c r="AB85" s="743"/>
      <c r="AC85" s="743"/>
      <c r="AD85" s="743"/>
      <c r="AE85" s="743"/>
      <c r="AF85" s="743"/>
      <c r="AG85" s="743"/>
      <c r="AH85" s="743"/>
      <c r="BC85" s="155" t="str">
        <f t="shared" si="127"/>
        <v>-</v>
      </c>
      <c r="BD85" s="151" t="str">
        <f>"IEF " &amp;B67</f>
        <v>IEF Drive Mode 1</v>
      </c>
      <c r="BE85" s="153">
        <f t="shared" ref="BE85:BJ85" si="138">IF(OR($C69="CET",$C69="-",$C69=""),"-",$C69)</f>
        <v>1</v>
      </c>
      <c r="BF85" s="153">
        <f t="shared" si="138"/>
        <v>1</v>
      </c>
      <c r="BG85" s="153">
        <f t="shared" si="138"/>
        <v>1</v>
      </c>
      <c r="BH85" s="153">
        <f t="shared" si="138"/>
        <v>1</v>
      </c>
      <c r="BI85" s="153">
        <f t="shared" si="138"/>
        <v>1</v>
      </c>
      <c r="BJ85" s="153">
        <f t="shared" si="138"/>
        <v>1</v>
      </c>
      <c r="BK85" s="153">
        <f t="shared" ref="BK85:BL85" si="139">IF(OR($C69="CET",$C69="-",$C69=""),"-",$C69)</f>
        <v>1</v>
      </c>
      <c r="BL85" s="153">
        <f t="shared" si="139"/>
        <v>1</v>
      </c>
      <c r="BM85" s="153">
        <f t="shared" ref="BM85" si="140">IF(OR($C69="CET",$C69="-",$C69=""),"-",$C69)</f>
        <v>1</v>
      </c>
    </row>
    <row r="86" spans="1:70" ht="15" customHeight="1" outlineLevel="1" thickBot="1" x14ac:dyDescent="0.3">
      <c r="A86" s="40"/>
      <c r="B86" s="681"/>
      <c r="C86" s="771"/>
      <c r="D86" s="774"/>
      <c r="E86" s="62" t="s">
        <v>30</v>
      </c>
      <c r="F86" s="62" t="str">
        <f t="shared" ref="F86:M86" si="141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62" t="str">
        <f t="shared" si="141"/>
        <v>-</v>
      </c>
      <c r="H86" s="62" t="str">
        <f t="shared" si="141"/>
        <v>-</v>
      </c>
      <c r="I86" s="62" t="str">
        <f t="shared" si="141"/>
        <v>-</v>
      </c>
      <c r="J86" s="62" t="str">
        <f t="shared" si="141"/>
        <v>-</v>
      </c>
      <c r="K86" s="169" t="str">
        <f t="shared" si="141"/>
        <v>-</v>
      </c>
      <c r="L86" s="169" t="str">
        <f t="shared" si="141"/>
        <v>-</v>
      </c>
      <c r="M86" s="62" t="str">
        <f t="shared" si="141"/>
        <v>-</v>
      </c>
      <c r="N86" s="824"/>
      <c r="O86" s="749"/>
      <c r="P86" s="750"/>
      <c r="Q86" s="750"/>
      <c r="R86" s="750"/>
      <c r="S86" s="749"/>
      <c r="T86" s="750"/>
      <c r="U86" s="750"/>
      <c r="V86" s="754"/>
      <c r="W86" s="320"/>
      <c r="X86" s="320"/>
      <c r="Y86" s="743"/>
      <c r="Z86" s="743"/>
      <c r="AA86" s="743"/>
      <c r="AB86" s="743"/>
      <c r="AC86" s="743"/>
      <c r="AD86" s="743"/>
      <c r="AE86" s="743"/>
      <c r="AF86" s="743"/>
      <c r="AG86" s="743"/>
      <c r="AH86" s="743"/>
      <c r="BC86" s="155" t="str">
        <f t="shared" si="127"/>
        <v>-</v>
      </c>
      <c r="BD86" s="151" t="str">
        <f>"IEF " &amp; B72</f>
        <v>IEF Drive Mode 2</v>
      </c>
      <c r="BE86" s="153">
        <f t="shared" ref="BE86:BJ86" si="142">IF(OR($C74="CET",$C74="-",$C74=""),"-",$C74)</f>
        <v>1</v>
      </c>
      <c r="BF86" s="153">
        <f t="shared" si="142"/>
        <v>1</v>
      </c>
      <c r="BG86" s="153">
        <f t="shared" si="142"/>
        <v>1</v>
      </c>
      <c r="BH86" s="153">
        <f t="shared" si="142"/>
        <v>1</v>
      </c>
      <c r="BI86" s="153">
        <f t="shared" si="142"/>
        <v>1</v>
      </c>
      <c r="BJ86" s="153">
        <f t="shared" si="142"/>
        <v>1</v>
      </c>
      <c r="BK86" s="153">
        <f t="shared" ref="BK86:BL86" si="143">IF(OR($C74="CET",$C74="-",$C74=""),"-",$C74)</f>
        <v>1</v>
      </c>
      <c r="BL86" s="153">
        <f t="shared" si="143"/>
        <v>1</v>
      </c>
      <c r="BM86" s="153">
        <f t="shared" ref="BM86" si="144">IF(OR($C74="CET",$C74="-",$C74=""),"-",$C74)</f>
        <v>1</v>
      </c>
    </row>
    <row r="87" spans="1:70" ht="15" customHeight="1" outlineLevel="1" x14ac:dyDescent="0.25">
      <c r="A87" s="40"/>
      <c r="B87" s="679" t="str">
        <f>'Variant 1 - NEDC (Fuel1)'!B87:B91</f>
        <v>Drive Mode 5</v>
      </c>
      <c r="C87" s="770" t="s">
        <v>114</v>
      </c>
      <c r="D87" s="770" t="s">
        <v>113</v>
      </c>
      <c r="E87" s="106" t="s">
        <v>94</v>
      </c>
      <c r="F87" s="98" t="s">
        <v>5</v>
      </c>
      <c r="G87" s="98" t="s">
        <v>5</v>
      </c>
      <c r="H87" s="98" t="s">
        <v>5</v>
      </c>
      <c r="I87" s="98" t="s">
        <v>5</v>
      </c>
      <c r="J87" s="98" t="s">
        <v>5</v>
      </c>
      <c r="K87" s="165" t="s">
        <v>5</v>
      </c>
      <c r="L87" s="165" t="s">
        <v>5</v>
      </c>
      <c r="M87" s="98" t="s">
        <v>5</v>
      </c>
      <c r="N87" s="98" t="s">
        <v>5</v>
      </c>
      <c r="O87" s="749"/>
      <c r="P87" s="750"/>
      <c r="Q87" s="750"/>
      <c r="R87" s="750"/>
      <c r="S87" s="749"/>
      <c r="T87" s="750"/>
      <c r="U87" s="750"/>
      <c r="V87" s="754"/>
      <c r="W87" s="320"/>
      <c r="X87" s="320"/>
      <c r="Y87" s="743"/>
      <c r="Z87" s="743"/>
      <c r="AA87" s="743"/>
      <c r="AB87" s="743"/>
      <c r="AC87" s="743"/>
      <c r="AD87" s="743"/>
      <c r="AE87" s="743"/>
      <c r="AF87" s="743"/>
      <c r="AG87" s="743"/>
      <c r="AH87" s="743"/>
      <c r="BC87" s="155" t="str">
        <f t="shared" si="127"/>
        <v>-</v>
      </c>
      <c r="BD87" s="151" t="str">
        <f>"IEF " &amp; B77</f>
        <v>IEF Drive Mode 3</v>
      </c>
      <c r="BE87" s="153">
        <f t="shared" ref="BE87:BJ87" si="145">IF(OR($C79="CET",$C79="-",$C79=""),"-",$C79)</f>
        <v>1</v>
      </c>
      <c r="BF87" s="153">
        <f t="shared" si="145"/>
        <v>1</v>
      </c>
      <c r="BG87" s="153">
        <f t="shared" si="145"/>
        <v>1</v>
      </c>
      <c r="BH87" s="153">
        <f t="shared" si="145"/>
        <v>1</v>
      </c>
      <c r="BI87" s="153">
        <f t="shared" si="145"/>
        <v>1</v>
      </c>
      <c r="BJ87" s="153">
        <f t="shared" si="145"/>
        <v>1</v>
      </c>
      <c r="BK87" s="153">
        <f t="shared" ref="BK87:BL87" si="146">IF(OR($C79="CET",$C79="-",$C79=""),"-",$C79)</f>
        <v>1</v>
      </c>
      <c r="BL87" s="153">
        <f t="shared" si="146"/>
        <v>1</v>
      </c>
      <c r="BM87" s="153">
        <f t="shared" ref="BM87" si="147">IF(OR($C79="CET",$C79="-",$C79=""),"-",$C79)</f>
        <v>1</v>
      </c>
    </row>
    <row r="88" spans="1:70" s="50" customFormat="1" ht="15" customHeight="1" outlineLevel="1" thickBot="1" x14ac:dyDescent="0.3">
      <c r="A88" s="52"/>
      <c r="B88" s="680"/>
      <c r="C88" s="741"/>
      <c r="D88" s="742"/>
      <c r="E88" s="104" t="s">
        <v>95</v>
      </c>
      <c r="F88" s="97" t="s">
        <v>5</v>
      </c>
      <c r="G88" s="97" t="s">
        <v>5</v>
      </c>
      <c r="H88" s="97" t="s">
        <v>5</v>
      </c>
      <c r="I88" s="97" t="s">
        <v>5</v>
      </c>
      <c r="J88" s="97" t="s">
        <v>5</v>
      </c>
      <c r="K88" s="166" t="s">
        <v>5</v>
      </c>
      <c r="L88" s="166" t="s">
        <v>5</v>
      </c>
      <c r="M88" s="97" t="s">
        <v>5</v>
      </c>
      <c r="N88" s="97" t="s">
        <v>5</v>
      </c>
      <c r="O88" s="749"/>
      <c r="P88" s="750"/>
      <c r="Q88" s="750"/>
      <c r="R88" s="750"/>
      <c r="S88" s="749"/>
      <c r="T88" s="750"/>
      <c r="U88" s="750"/>
      <c r="V88" s="754"/>
      <c r="W88" s="51"/>
      <c r="X88" s="51"/>
      <c r="Y88" s="743"/>
      <c r="Z88" s="743"/>
      <c r="AA88" s="743"/>
      <c r="AB88" s="743"/>
      <c r="AC88" s="743"/>
      <c r="AD88" s="743"/>
      <c r="AE88" s="743"/>
      <c r="AF88" s="743"/>
      <c r="AG88" s="743"/>
      <c r="AH88" s="743"/>
      <c r="BC88" s="155" t="str">
        <f t="shared" si="127"/>
        <v>-</v>
      </c>
      <c r="BD88" s="151" t="str">
        <f>"IEF " &amp; B82</f>
        <v>IEF Drive Mode 4</v>
      </c>
      <c r="BE88" s="153">
        <f t="shared" ref="BE88:BJ88" si="148">IF(OR($C84="CET",$C84="-",$C84=""),"-",$C84)</f>
        <v>1</v>
      </c>
      <c r="BF88" s="153">
        <f t="shared" si="148"/>
        <v>1</v>
      </c>
      <c r="BG88" s="153">
        <f t="shared" si="148"/>
        <v>1</v>
      </c>
      <c r="BH88" s="153">
        <f t="shared" si="148"/>
        <v>1</v>
      </c>
      <c r="BI88" s="153">
        <f t="shared" si="148"/>
        <v>1</v>
      </c>
      <c r="BJ88" s="153">
        <f t="shared" si="148"/>
        <v>1</v>
      </c>
      <c r="BK88" s="153">
        <f t="shared" ref="BK88:BL88" si="149">IF(OR($C84="CET",$C84="-",$C84=""),"-",$C84)</f>
        <v>1</v>
      </c>
      <c r="BL88" s="153">
        <f t="shared" si="149"/>
        <v>1</v>
      </c>
      <c r="BM88" s="153">
        <f t="shared" ref="BM88" si="150">IF(OR($C84="CET",$C84="-",$C84=""),"-",$C84)</f>
        <v>1</v>
      </c>
      <c r="BN88" s="150"/>
      <c r="BO88" s="150"/>
      <c r="BP88" s="150"/>
      <c r="BQ88" s="150"/>
      <c r="BR88" s="150"/>
    </row>
    <row r="89" spans="1:70" ht="15" customHeight="1" outlineLevel="1" thickBot="1" x14ac:dyDescent="0.3">
      <c r="A89" s="40"/>
      <c r="B89" s="680"/>
      <c r="C89" s="764">
        <v>1</v>
      </c>
      <c r="D89" s="772" t="str">
        <f>IF(AND(F90="-",G90="-",H90="-",I90="-",J90="-",K90="-",L90="-",M90="-"),"-",MAX(F90,G90,H90,I90,J90,K90,L90,M90))</f>
        <v>-</v>
      </c>
      <c r="E89" s="66" t="s">
        <v>177</v>
      </c>
      <c r="F89" s="65" t="str">
        <f t="shared" ref="F89:M89" si="151">IF(OR(F88="-",F88=""),IF(OR(F87="-",F87=""),"-",F87),IF(OR(F87="-",F87=""),F88,(F87+F88)/2))</f>
        <v>-</v>
      </c>
      <c r="G89" s="65" t="str">
        <f t="shared" si="151"/>
        <v>-</v>
      </c>
      <c r="H89" s="65" t="str">
        <f t="shared" si="151"/>
        <v>-</v>
      </c>
      <c r="I89" s="65" t="str">
        <f t="shared" si="151"/>
        <v>-</v>
      </c>
      <c r="J89" s="65" t="str">
        <f t="shared" si="151"/>
        <v>-</v>
      </c>
      <c r="K89" s="167" t="str">
        <f t="shared" si="151"/>
        <v>-</v>
      </c>
      <c r="L89" s="167" t="str">
        <f t="shared" ref="L89" si="152">IF(OR(L88="-",L88=""),IF(OR(L87="-",L87=""),"-",L87),IF(OR(L87="-",L87=""),L88,(L87+L88)/2))</f>
        <v>-</v>
      </c>
      <c r="M89" s="65" t="str">
        <f t="shared" si="151"/>
        <v>-</v>
      </c>
      <c r="N89" s="822"/>
      <c r="O89" s="749"/>
      <c r="P89" s="750"/>
      <c r="Q89" s="750"/>
      <c r="R89" s="750"/>
      <c r="S89" s="749"/>
      <c r="T89" s="750"/>
      <c r="U89" s="750"/>
      <c r="V89" s="754"/>
      <c r="W89" s="320"/>
      <c r="X89" s="320"/>
      <c r="Y89" s="743"/>
      <c r="Z89" s="743"/>
      <c r="AA89" s="743"/>
      <c r="AB89" s="743"/>
      <c r="AC89" s="743"/>
      <c r="AD89" s="743"/>
      <c r="AE89" s="743"/>
      <c r="AF89" s="743"/>
      <c r="AG89" s="743"/>
      <c r="AH89" s="743"/>
      <c r="BC89" s="155" t="str">
        <f t="shared" si="127"/>
        <v>-</v>
      </c>
      <c r="BD89" s="151" t="str">
        <f>"IEF " &amp; B87</f>
        <v>IEF Drive Mode 5</v>
      </c>
      <c r="BE89" s="153">
        <f t="shared" ref="BE89:BM89" si="153">IF(OR($C89="CET",$C89="-",$C89=""),"-",$C89)</f>
        <v>1</v>
      </c>
      <c r="BF89" s="153">
        <f t="shared" si="153"/>
        <v>1</v>
      </c>
      <c r="BG89" s="153">
        <f t="shared" si="153"/>
        <v>1</v>
      </c>
      <c r="BH89" s="153">
        <f t="shared" si="153"/>
        <v>1</v>
      </c>
      <c r="BI89" s="153">
        <f t="shared" si="153"/>
        <v>1</v>
      </c>
      <c r="BJ89" s="153">
        <f t="shared" si="153"/>
        <v>1</v>
      </c>
      <c r="BK89" s="153">
        <f t="shared" si="153"/>
        <v>1</v>
      </c>
      <c r="BL89" s="153">
        <f t="shared" si="153"/>
        <v>1</v>
      </c>
      <c r="BM89" s="153">
        <f t="shared" si="153"/>
        <v>1</v>
      </c>
    </row>
    <row r="90" spans="1:70" ht="15" customHeight="1" outlineLevel="1" thickBot="1" x14ac:dyDescent="0.3">
      <c r="A90" s="40"/>
      <c r="B90" s="680"/>
      <c r="C90" s="765"/>
      <c r="D90" s="773"/>
      <c r="E90" s="64" t="s">
        <v>97</v>
      </c>
      <c r="F90" s="63" t="str">
        <f t="shared" ref="F90:M90" si="154">IF(OR($C89="-",$C89="CET",$C89=""),"-",IF(AND(NOT(F89="-"),NOT(F$5="-"),NOT(F$5="")),F89/F$5,"-"))</f>
        <v>-</v>
      </c>
      <c r="G90" s="63" t="str">
        <f t="shared" si="154"/>
        <v>-</v>
      </c>
      <c r="H90" s="63" t="str">
        <f t="shared" si="154"/>
        <v>-</v>
      </c>
      <c r="I90" s="63" t="str">
        <f t="shared" si="154"/>
        <v>-</v>
      </c>
      <c r="J90" s="63" t="str">
        <f t="shared" si="154"/>
        <v>-</v>
      </c>
      <c r="K90" s="168" t="str">
        <f t="shared" si="154"/>
        <v>-</v>
      </c>
      <c r="L90" s="168" t="str">
        <f t="shared" ref="L90" si="155">IF(OR($C89="-",$C89="CET",$C89=""),"-",IF(AND(NOT(L89="-"),NOT(L$5="-"),NOT(L$5="")),L89/L$5,"-"))</f>
        <v>-</v>
      </c>
      <c r="M90" s="63" t="str">
        <f t="shared" si="154"/>
        <v>-</v>
      </c>
      <c r="N90" s="823"/>
      <c r="O90" s="749"/>
      <c r="P90" s="750"/>
      <c r="Q90" s="750"/>
      <c r="R90" s="750"/>
      <c r="S90" s="749"/>
      <c r="T90" s="750"/>
      <c r="U90" s="750"/>
      <c r="V90" s="754"/>
      <c r="W90" s="320"/>
      <c r="X90" s="320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BC90" s="155" t="str">
        <f t="shared" si="127"/>
        <v>-</v>
      </c>
      <c r="BD90" s="151" t="str">
        <f>"IEF " &amp; B92</f>
        <v>IEF Drive Mode 6</v>
      </c>
      <c r="BE90" s="153">
        <f t="shared" ref="BE90:BJ90" si="156">IF(OR($C94="CET",$C94="-",$C94=""),"-",$C94)</f>
        <v>1</v>
      </c>
      <c r="BF90" s="153">
        <f t="shared" si="156"/>
        <v>1</v>
      </c>
      <c r="BG90" s="153">
        <f t="shared" si="156"/>
        <v>1</v>
      </c>
      <c r="BH90" s="153">
        <f t="shared" si="156"/>
        <v>1</v>
      </c>
      <c r="BI90" s="153">
        <f t="shared" si="156"/>
        <v>1</v>
      </c>
      <c r="BJ90" s="153">
        <f t="shared" si="156"/>
        <v>1</v>
      </c>
      <c r="BK90" s="153">
        <f t="shared" ref="BK90:BL90" si="157">IF(OR($C94="CET",$C94="-",$C94=""),"-",$C94)</f>
        <v>1</v>
      </c>
      <c r="BL90" s="153">
        <f t="shared" si="157"/>
        <v>1</v>
      </c>
      <c r="BM90" s="153">
        <f t="shared" ref="BM90" si="158">IF(OR($C94="CET",$C94="-",$C94=""),"-",$C94)</f>
        <v>1</v>
      </c>
    </row>
    <row r="91" spans="1:70" ht="15" customHeight="1" outlineLevel="1" thickBot="1" x14ac:dyDescent="0.3">
      <c r="A91" s="40"/>
      <c r="B91" s="681"/>
      <c r="C91" s="771"/>
      <c r="D91" s="774"/>
      <c r="E91" s="62" t="s">
        <v>30</v>
      </c>
      <c r="F91" s="62" t="str">
        <f t="shared" ref="F91:M91" si="159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62" t="str">
        <f t="shared" si="159"/>
        <v>-</v>
      </c>
      <c r="H91" s="62" t="str">
        <f t="shared" si="159"/>
        <v>-</v>
      </c>
      <c r="I91" s="62" t="str">
        <f t="shared" si="159"/>
        <v>-</v>
      </c>
      <c r="J91" s="62" t="str">
        <f t="shared" si="159"/>
        <v>-</v>
      </c>
      <c r="K91" s="169" t="str">
        <f t="shared" si="159"/>
        <v>-</v>
      </c>
      <c r="L91" s="169" t="str">
        <f t="shared" si="159"/>
        <v>-</v>
      </c>
      <c r="M91" s="62" t="str">
        <f t="shared" si="159"/>
        <v>-</v>
      </c>
      <c r="N91" s="824"/>
      <c r="O91" s="749"/>
      <c r="P91" s="750"/>
      <c r="Q91" s="750"/>
      <c r="R91" s="750"/>
      <c r="S91" s="749"/>
      <c r="T91" s="750"/>
      <c r="U91" s="750"/>
      <c r="V91" s="754"/>
      <c r="W91" s="320"/>
      <c r="X91" s="320"/>
      <c r="Y91" s="743"/>
      <c r="Z91" s="743"/>
      <c r="AA91" s="743"/>
      <c r="AB91" s="743"/>
      <c r="AC91" s="743"/>
      <c r="AD91" s="743"/>
      <c r="AE91" s="743"/>
      <c r="AF91" s="743"/>
      <c r="AG91" s="743"/>
      <c r="AH91" s="743"/>
      <c r="BC91" s="155" t="str">
        <f t="shared" si="127"/>
        <v>-</v>
      </c>
    </row>
    <row r="92" spans="1:70" ht="15" customHeight="1" outlineLevel="1" x14ac:dyDescent="0.25">
      <c r="A92" s="40"/>
      <c r="B92" s="679" t="str">
        <f>'Variant 1 - NEDC (Fuel1)'!B92:B96</f>
        <v>Drive Mode 6</v>
      </c>
      <c r="C92" s="814" t="s">
        <v>114</v>
      </c>
      <c r="D92" s="770" t="s">
        <v>113</v>
      </c>
      <c r="E92" s="106" t="s">
        <v>94</v>
      </c>
      <c r="F92" s="98" t="s">
        <v>5</v>
      </c>
      <c r="G92" s="98" t="s">
        <v>5</v>
      </c>
      <c r="H92" s="98" t="s">
        <v>5</v>
      </c>
      <c r="I92" s="98" t="s">
        <v>5</v>
      </c>
      <c r="J92" s="98" t="s">
        <v>5</v>
      </c>
      <c r="K92" s="165" t="s">
        <v>5</v>
      </c>
      <c r="L92" s="165" t="s">
        <v>5</v>
      </c>
      <c r="M92" s="98" t="s">
        <v>5</v>
      </c>
      <c r="N92" s="98" t="s">
        <v>5</v>
      </c>
      <c r="O92" s="749"/>
      <c r="P92" s="750"/>
      <c r="Q92" s="750"/>
      <c r="R92" s="750"/>
      <c r="S92" s="749"/>
      <c r="T92" s="750"/>
      <c r="U92" s="750"/>
      <c r="V92" s="754"/>
      <c r="W92" s="320"/>
      <c r="X92" s="320"/>
      <c r="Y92" s="743"/>
      <c r="Z92" s="743"/>
      <c r="AA92" s="743"/>
      <c r="AB92" s="743"/>
      <c r="AC92" s="743"/>
      <c r="AD92" s="743"/>
      <c r="AE92" s="743"/>
      <c r="AF92" s="743"/>
      <c r="AG92" s="743"/>
      <c r="AH92" s="743"/>
      <c r="BC92" s="155" t="str">
        <f t="shared" si="127"/>
        <v>-</v>
      </c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</row>
    <row r="93" spans="1:70" s="50" customFormat="1" ht="15" customHeight="1" outlineLevel="1" thickBot="1" x14ac:dyDescent="0.3">
      <c r="A93" s="52"/>
      <c r="B93" s="680"/>
      <c r="C93" s="815"/>
      <c r="D93" s="742"/>
      <c r="E93" s="104" t="s">
        <v>95</v>
      </c>
      <c r="F93" s="97" t="s">
        <v>5</v>
      </c>
      <c r="G93" s="97" t="s">
        <v>5</v>
      </c>
      <c r="H93" s="97" t="s">
        <v>5</v>
      </c>
      <c r="I93" s="97" t="s">
        <v>5</v>
      </c>
      <c r="J93" s="97" t="s">
        <v>5</v>
      </c>
      <c r="K93" s="166" t="s">
        <v>5</v>
      </c>
      <c r="L93" s="166" t="s">
        <v>5</v>
      </c>
      <c r="M93" s="97" t="s">
        <v>5</v>
      </c>
      <c r="N93" s="97" t="s">
        <v>5</v>
      </c>
      <c r="O93" s="749"/>
      <c r="P93" s="750"/>
      <c r="Q93" s="750"/>
      <c r="R93" s="750"/>
      <c r="S93" s="749"/>
      <c r="T93" s="750"/>
      <c r="U93" s="750"/>
      <c r="V93" s="754"/>
      <c r="W93" s="51"/>
      <c r="X93" s="51"/>
      <c r="Y93" s="743"/>
      <c r="Z93" s="743"/>
      <c r="AA93" s="743"/>
      <c r="AB93" s="743"/>
      <c r="AC93" s="743"/>
      <c r="AD93" s="743"/>
      <c r="AE93" s="743"/>
      <c r="AF93" s="743"/>
      <c r="AG93" s="743"/>
      <c r="AH93" s="743"/>
      <c r="BC93" s="155" t="str">
        <f t="shared" si="127"/>
        <v>-</v>
      </c>
      <c r="BD93" s="156"/>
      <c r="BE93" s="156"/>
      <c r="BF93" s="156"/>
      <c r="BG93" s="156"/>
      <c r="BH93" s="156"/>
      <c r="BI93" s="156"/>
      <c r="BJ93" s="156"/>
      <c r="BK93" s="156"/>
      <c r="BL93" s="156"/>
      <c r="BM93" s="156"/>
      <c r="BN93" s="150"/>
      <c r="BO93" s="150"/>
      <c r="BP93" s="150"/>
      <c r="BQ93" s="150"/>
      <c r="BR93" s="150"/>
    </row>
    <row r="94" spans="1:70" ht="15" customHeight="1" outlineLevel="1" thickBot="1" x14ac:dyDescent="0.3">
      <c r="A94" s="40"/>
      <c r="B94" s="680"/>
      <c r="C94" s="808">
        <v>1</v>
      </c>
      <c r="D94" s="772" t="str">
        <f>IF(AND(F95="-",G95="-",H95="-",I95="-",J95="-",K95="-",L95="-",M95="-"),"-",MAX(F95,G95,H95,I95,J95,K95,L95,M95))</f>
        <v>-</v>
      </c>
      <c r="E94" s="66" t="s">
        <v>177</v>
      </c>
      <c r="F94" s="65" t="str">
        <f t="shared" ref="F94:M94" si="160">IF(OR(F93="-",F93=""),IF(OR(F92="-",F92=""),"-",F92),IF(OR(F92="-",F92=""),F93,(F92+F93)/2))</f>
        <v>-</v>
      </c>
      <c r="G94" s="65" t="str">
        <f t="shared" si="160"/>
        <v>-</v>
      </c>
      <c r="H94" s="65" t="str">
        <f t="shared" si="160"/>
        <v>-</v>
      </c>
      <c r="I94" s="65" t="str">
        <f t="shared" si="160"/>
        <v>-</v>
      </c>
      <c r="J94" s="65" t="str">
        <f t="shared" si="160"/>
        <v>-</v>
      </c>
      <c r="K94" s="167" t="str">
        <f t="shared" si="160"/>
        <v>-</v>
      </c>
      <c r="L94" s="167" t="str">
        <f t="shared" ref="L94" si="161">IF(OR(L93="-",L93=""),IF(OR(L92="-",L92=""),"-",L92),IF(OR(L92="-",L92=""),L93,(L92+L93)/2))</f>
        <v>-</v>
      </c>
      <c r="M94" s="65" t="str">
        <f t="shared" si="160"/>
        <v>-</v>
      </c>
      <c r="N94" s="822"/>
      <c r="O94" s="749"/>
      <c r="P94" s="750"/>
      <c r="Q94" s="750"/>
      <c r="R94" s="750"/>
      <c r="S94" s="749"/>
      <c r="T94" s="750"/>
      <c r="U94" s="750"/>
      <c r="V94" s="754"/>
      <c r="W94" s="320"/>
      <c r="X94" s="320"/>
      <c r="Y94" s="743"/>
      <c r="Z94" s="743"/>
      <c r="AA94" s="743"/>
      <c r="AB94" s="743"/>
      <c r="AC94" s="743"/>
      <c r="AD94" s="743"/>
      <c r="AE94" s="743"/>
      <c r="AF94" s="743"/>
      <c r="AG94" s="743"/>
      <c r="AH94" s="743"/>
      <c r="BC94" s="155" t="str">
        <f t="shared" si="127"/>
        <v>-</v>
      </c>
      <c r="BD94" s="157"/>
      <c r="BE94" s="157"/>
      <c r="BF94" s="157"/>
      <c r="BG94" s="157"/>
      <c r="BH94" s="157"/>
      <c r="BI94" s="157"/>
      <c r="BJ94" s="157"/>
      <c r="BK94" s="157"/>
      <c r="BL94" s="157"/>
      <c r="BM94" s="157"/>
    </row>
    <row r="95" spans="1:70" ht="15" customHeight="1" outlineLevel="1" thickBot="1" x14ac:dyDescent="0.3">
      <c r="A95" s="40"/>
      <c r="B95" s="680"/>
      <c r="C95" s="809"/>
      <c r="D95" s="773"/>
      <c r="E95" s="64" t="s">
        <v>97</v>
      </c>
      <c r="F95" s="63" t="str">
        <f t="shared" ref="F95:M95" si="162">IF(OR($C94="-",$C94="CET",$C94=""),"-",IF(AND(NOT(F94="-"),NOT(F$5="-"),NOT(F$5="")),F94/F$5,"-"))</f>
        <v>-</v>
      </c>
      <c r="G95" s="63" t="str">
        <f t="shared" si="162"/>
        <v>-</v>
      </c>
      <c r="H95" s="63" t="str">
        <f t="shared" si="162"/>
        <v>-</v>
      </c>
      <c r="I95" s="63" t="str">
        <f t="shared" si="162"/>
        <v>-</v>
      </c>
      <c r="J95" s="63" t="str">
        <f t="shared" si="162"/>
        <v>-</v>
      </c>
      <c r="K95" s="168" t="str">
        <f t="shared" si="162"/>
        <v>-</v>
      </c>
      <c r="L95" s="168" t="str">
        <f t="shared" ref="L95" si="163">IF(OR($C94="-",$C94="CET",$C94=""),"-",IF(AND(NOT(L94="-"),NOT(L$5="-"),NOT(L$5="")),L94/L$5,"-"))</f>
        <v>-</v>
      </c>
      <c r="M95" s="63" t="str">
        <f t="shared" si="162"/>
        <v>-</v>
      </c>
      <c r="N95" s="823"/>
      <c r="O95" s="749"/>
      <c r="P95" s="750"/>
      <c r="Q95" s="750"/>
      <c r="R95" s="750"/>
      <c r="S95" s="749"/>
      <c r="T95" s="750"/>
      <c r="U95" s="750"/>
      <c r="V95" s="754"/>
      <c r="W95" s="320"/>
      <c r="X95" s="320"/>
      <c r="Y95" s="743"/>
      <c r="Z95" s="743"/>
      <c r="AA95" s="743"/>
      <c r="AB95" s="743"/>
      <c r="AC95" s="743"/>
      <c r="AD95" s="743"/>
      <c r="AE95" s="743"/>
      <c r="AF95" s="743"/>
      <c r="AG95" s="743"/>
      <c r="AH95" s="743"/>
      <c r="BC95" s="155" t="str">
        <f t="shared" si="127"/>
        <v>-</v>
      </c>
      <c r="BD95" s="157"/>
      <c r="BE95" s="157"/>
      <c r="BF95" s="157"/>
      <c r="BG95" s="157"/>
      <c r="BH95" s="157"/>
      <c r="BI95" s="157"/>
      <c r="BJ95" s="157"/>
      <c r="BK95" s="157"/>
      <c r="BL95" s="157"/>
      <c r="BM95" s="157"/>
    </row>
    <row r="96" spans="1:70" ht="15.75" outlineLevel="1" thickBot="1" x14ac:dyDescent="0.3">
      <c r="B96" s="681"/>
      <c r="C96" s="810"/>
      <c r="D96" s="774"/>
      <c r="E96" s="62" t="s">
        <v>30</v>
      </c>
      <c r="F96" s="62" t="str">
        <f t="shared" ref="F96:M96" si="164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62" t="str">
        <f t="shared" si="164"/>
        <v>-</v>
      </c>
      <c r="H96" s="62" t="str">
        <f t="shared" si="164"/>
        <v>-</v>
      </c>
      <c r="I96" s="62" t="str">
        <f t="shared" si="164"/>
        <v>-</v>
      </c>
      <c r="J96" s="62" t="str">
        <f t="shared" si="164"/>
        <v>-</v>
      </c>
      <c r="K96" s="169" t="str">
        <f t="shared" si="164"/>
        <v>-</v>
      </c>
      <c r="L96" s="169" t="str">
        <f t="shared" si="164"/>
        <v>-</v>
      </c>
      <c r="M96" s="62" t="str">
        <f t="shared" si="164"/>
        <v>-</v>
      </c>
      <c r="N96" s="824"/>
      <c r="O96" s="751"/>
      <c r="P96" s="752"/>
      <c r="Q96" s="752"/>
      <c r="R96" s="752"/>
      <c r="S96" s="751"/>
      <c r="T96" s="752"/>
      <c r="U96" s="752"/>
      <c r="V96" s="755"/>
      <c r="BC96" s="155" t="str">
        <f t="shared" si="127"/>
        <v>-</v>
      </c>
      <c r="BD96" s="157"/>
      <c r="BE96" s="157"/>
      <c r="BF96" s="157"/>
      <c r="BG96" s="157"/>
      <c r="BH96" s="157"/>
      <c r="BI96" s="157"/>
      <c r="BJ96" s="157"/>
      <c r="BK96" s="157"/>
      <c r="BL96" s="157"/>
      <c r="BM96" s="157"/>
    </row>
    <row r="97" spans="1:70" ht="15" customHeight="1" x14ac:dyDescent="0.25">
      <c r="BC97" s="155" t="str">
        <f t="shared" si="127"/>
        <v>-</v>
      </c>
      <c r="BD97" s="156"/>
      <c r="BE97" s="156"/>
      <c r="BF97" s="156"/>
      <c r="BG97" s="156"/>
      <c r="BH97" s="156"/>
      <c r="BI97" s="156"/>
      <c r="BJ97" s="156"/>
      <c r="BK97" s="156"/>
      <c r="BL97" s="156"/>
      <c r="BM97" s="156"/>
    </row>
    <row r="98" spans="1:70" ht="15" customHeight="1" x14ac:dyDescent="0.25">
      <c r="BC98" s="155" t="str">
        <f t="shared" si="127"/>
        <v>-</v>
      </c>
      <c r="BD98" s="156"/>
      <c r="BE98" s="156"/>
      <c r="BF98" s="156"/>
      <c r="BG98" s="156"/>
      <c r="BH98" s="156"/>
      <c r="BI98" s="156"/>
      <c r="BJ98" s="156"/>
      <c r="BK98" s="156"/>
      <c r="BL98" s="156"/>
      <c r="BM98" s="156"/>
    </row>
    <row r="99" spans="1:70" ht="15" customHeight="1" thickBot="1" x14ac:dyDescent="0.3">
      <c r="A99" s="324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BC99" s="155" t="str">
        <f t="shared" si="127"/>
        <v>-</v>
      </c>
      <c r="BD99" s="156"/>
      <c r="BE99" s="156"/>
      <c r="BF99" s="156"/>
      <c r="BG99" s="156"/>
      <c r="BH99" s="156"/>
      <c r="BI99" s="156"/>
      <c r="BJ99" s="156"/>
      <c r="BK99" s="156"/>
      <c r="BL99" s="156"/>
      <c r="BM99" s="156"/>
    </row>
    <row r="100" spans="1:70" ht="24.95" customHeight="1" thickBot="1" x14ac:dyDescent="0.3">
      <c r="A100" s="324"/>
      <c r="B100" s="185">
        <v>4</v>
      </c>
      <c r="C100" s="757" t="s">
        <v>102</v>
      </c>
      <c r="D100" s="758"/>
      <c r="E100" s="758"/>
      <c r="F100" s="758"/>
      <c r="G100" s="758"/>
      <c r="H100" s="758"/>
      <c r="I100" s="758"/>
      <c r="J100" s="758"/>
      <c r="K100" s="758"/>
      <c r="L100" s="758"/>
      <c r="M100" s="758"/>
      <c r="N100" s="759"/>
      <c r="O100" s="49" t="s">
        <v>117</v>
      </c>
      <c r="P100" s="71" t="str">
        <f>IF(COUNTIF(F104:N123,"refused")&gt;0,"refused",IF(COUNTIF(F104:N123,"failed")&gt;0,"failed",IF(COUNTIF(F104:N123,"passed")&gt;0,"passed","-")))</f>
        <v>-</v>
      </c>
      <c r="Q100" s="70" t="s">
        <v>80</v>
      </c>
      <c r="R100" s="70" t="str">
        <f>IF(COUNT(F104:N105)&gt;0,"listed","not listed")</f>
        <v>not listed</v>
      </c>
      <c r="S100" s="319"/>
      <c r="T100" s="43"/>
      <c r="U100" s="43"/>
      <c r="V100" s="44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BC100" s="155" t="str">
        <f t="shared" si="127"/>
        <v>-</v>
      </c>
    </row>
    <row r="101" spans="1:70" ht="15" customHeight="1" outlineLevel="1" thickBot="1" x14ac:dyDescent="0.3">
      <c r="A101" s="324"/>
      <c r="B101" s="321"/>
      <c r="C101" s="322"/>
      <c r="D101" s="322"/>
      <c r="E101" s="322"/>
      <c r="F101" s="322"/>
      <c r="G101" s="322"/>
      <c r="H101" s="322"/>
      <c r="I101" s="322"/>
      <c r="J101" s="322"/>
      <c r="K101" s="162"/>
      <c r="L101" s="162"/>
      <c r="M101" s="322"/>
      <c r="N101" s="333"/>
      <c r="O101" s="322"/>
      <c r="P101" s="322"/>
      <c r="Q101" s="322"/>
      <c r="R101" s="322"/>
      <c r="S101" s="322"/>
      <c r="T101" s="45"/>
      <c r="U101" s="45"/>
      <c r="V101" s="46"/>
      <c r="W101" s="47"/>
      <c r="X101" s="47"/>
      <c r="Y101" s="756"/>
      <c r="Z101" s="756"/>
      <c r="AA101" s="756"/>
      <c r="AB101" s="756"/>
      <c r="AC101" s="756"/>
      <c r="AD101" s="756"/>
      <c r="AE101" s="756"/>
      <c r="AF101" s="756"/>
      <c r="AG101" s="756"/>
      <c r="AH101" s="756"/>
      <c r="BC101" s="155" t="str">
        <f t="shared" si="127"/>
        <v>-</v>
      </c>
    </row>
    <row r="102" spans="1:70" ht="15" customHeight="1" outlineLevel="1" thickBot="1" x14ac:dyDescent="0.3">
      <c r="A102" s="324"/>
      <c r="B102" s="744" t="s">
        <v>81</v>
      </c>
      <c r="C102" s="745"/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6"/>
      <c r="O102" s="744" t="s">
        <v>82</v>
      </c>
      <c r="P102" s="745"/>
      <c r="Q102" s="745"/>
      <c r="R102" s="746"/>
      <c r="S102" s="744" t="s">
        <v>83</v>
      </c>
      <c r="T102" s="745"/>
      <c r="U102" s="745"/>
      <c r="V102" s="746"/>
      <c r="W102" s="320"/>
      <c r="X102" s="320"/>
      <c r="Y102" s="743"/>
      <c r="Z102" s="743"/>
      <c r="AA102" s="743"/>
      <c r="AB102" s="743"/>
      <c r="AC102" s="743"/>
      <c r="AD102" s="743"/>
      <c r="AE102" s="743"/>
      <c r="AF102" s="743"/>
      <c r="AG102" s="743"/>
      <c r="AH102" s="743"/>
      <c r="BC102" s="155" t="str">
        <f t="shared" si="127"/>
        <v>-</v>
      </c>
    </row>
    <row r="103" spans="1:70" ht="35.1" customHeight="1" outlineLevel="1" thickBot="1" x14ac:dyDescent="0.3">
      <c r="A103" s="324"/>
      <c r="B103" s="811" t="s">
        <v>84</v>
      </c>
      <c r="C103" s="812"/>
      <c r="D103" s="812"/>
      <c r="E103" s="813"/>
      <c r="F103" s="69" t="str">
        <f t="shared" ref="F103:N103" si="165">F$4</f>
        <v>NMHC 
[g/km]</v>
      </c>
      <c r="G103" s="69" t="str">
        <f t="shared" si="165"/>
        <v>THC
[g/km]</v>
      </c>
      <c r="H103" s="69" t="str">
        <f t="shared" si="165"/>
        <v>CO
[g/km]</v>
      </c>
      <c r="I103" s="69" t="str">
        <f t="shared" si="165"/>
        <v>NOx
[g/km]</v>
      </c>
      <c r="J103" s="69" t="str">
        <f t="shared" si="165"/>
        <v>PM
[mg/km]</v>
      </c>
      <c r="K103" s="69" t="str">
        <f t="shared" si="165"/>
        <v>PN
[#/km]</v>
      </c>
      <c r="L103" s="366" t="str">
        <f t="shared" si="165"/>
        <v>Additional component</v>
      </c>
      <c r="M103" s="366" t="str">
        <f t="shared" si="165"/>
        <v>Additional
component 2</v>
      </c>
      <c r="N103" s="69" t="str">
        <f t="shared" si="165"/>
        <v>CO2
[g/km]</v>
      </c>
      <c r="O103" s="747"/>
      <c r="P103" s="748"/>
      <c r="Q103" s="748"/>
      <c r="R103" s="753"/>
      <c r="S103" s="747"/>
      <c r="T103" s="748"/>
      <c r="U103" s="748"/>
      <c r="V103" s="753"/>
      <c r="W103" s="320"/>
      <c r="X103" s="320"/>
      <c r="Y103" s="743"/>
      <c r="Z103" s="743"/>
      <c r="AA103" s="743"/>
      <c r="AB103" s="743"/>
      <c r="AC103" s="743"/>
      <c r="AD103" s="743"/>
      <c r="AE103" s="743"/>
      <c r="AF103" s="743"/>
      <c r="AG103" s="743"/>
      <c r="AH103" s="743"/>
      <c r="BC103" s="155" t="str">
        <f t="shared" si="127"/>
        <v>-</v>
      </c>
    </row>
    <row r="104" spans="1:70" ht="15" customHeight="1" outlineLevel="1" x14ac:dyDescent="0.25">
      <c r="A104" s="324"/>
      <c r="B104" s="797" t="s">
        <v>102</v>
      </c>
      <c r="C104" s="770" t="s">
        <v>114</v>
      </c>
      <c r="D104" s="770" t="s">
        <v>113</v>
      </c>
      <c r="E104" s="106" t="s">
        <v>94</v>
      </c>
      <c r="F104" s="98" t="s">
        <v>5</v>
      </c>
      <c r="G104" s="98" t="s">
        <v>5</v>
      </c>
      <c r="H104" s="98" t="s">
        <v>5</v>
      </c>
      <c r="I104" s="98" t="s">
        <v>5</v>
      </c>
      <c r="J104" s="98" t="s">
        <v>5</v>
      </c>
      <c r="K104" s="165" t="s">
        <v>5</v>
      </c>
      <c r="L104" s="165" t="s">
        <v>5</v>
      </c>
      <c r="M104" s="98" t="s">
        <v>5</v>
      </c>
      <c r="N104" s="98" t="s">
        <v>5</v>
      </c>
      <c r="O104" s="749"/>
      <c r="P104" s="750"/>
      <c r="Q104" s="750"/>
      <c r="R104" s="754"/>
      <c r="S104" s="749"/>
      <c r="T104" s="750"/>
      <c r="U104" s="750"/>
      <c r="V104" s="754"/>
      <c r="W104" s="320"/>
      <c r="X104" s="320"/>
      <c r="Y104" s="743"/>
      <c r="Z104" s="743"/>
      <c r="AA104" s="743"/>
      <c r="AB104" s="743"/>
      <c r="AC104" s="743"/>
      <c r="AD104" s="743"/>
      <c r="AE104" s="743"/>
      <c r="AF104" s="743"/>
      <c r="AG104" s="743"/>
      <c r="AH104" s="743"/>
      <c r="BC104" s="155" t="str">
        <f t="shared" si="127"/>
        <v>-</v>
      </c>
    </row>
    <row r="105" spans="1:70" s="50" customFormat="1" ht="15" customHeight="1" outlineLevel="1" thickBot="1" x14ac:dyDescent="0.3">
      <c r="A105" s="53"/>
      <c r="B105" s="798"/>
      <c r="C105" s="741"/>
      <c r="D105" s="742"/>
      <c r="E105" s="67" t="s">
        <v>95</v>
      </c>
      <c r="F105" s="97" t="s">
        <v>5</v>
      </c>
      <c r="G105" s="97" t="s">
        <v>5</v>
      </c>
      <c r="H105" s="97" t="s">
        <v>5</v>
      </c>
      <c r="I105" s="97" t="s">
        <v>5</v>
      </c>
      <c r="J105" s="97" t="s">
        <v>5</v>
      </c>
      <c r="K105" s="166" t="s">
        <v>5</v>
      </c>
      <c r="L105" s="166" t="s">
        <v>5</v>
      </c>
      <c r="M105" s="97" t="s">
        <v>5</v>
      </c>
      <c r="N105" s="97" t="s">
        <v>5</v>
      </c>
      <c r="O105" s="749"/>
      <c r="P105" s="750"/>
      <c r="Q105" s="750"/>
      <c r="R105" s="754"/>
      <c r="S105" s="749"/>
      <c r="T105" s="750"/>
      <c r="U105" s="750"/>
      <c r="V105" s="754"/>
      <c r="W105" s="51"/>
      <c r="X105" s="51"/>
      <c r="Y105" s="743"/>
      <c r="Z105" s="743"/>
      <c r="AA105" s="743"/>
      <c r="AB105" s="743"/>
      <c r="AC105" s="743"/>
      <c r="AD105" s="743"/>
      <c r="AE105" s="743"/>
      <c r="AF105" s="743"/>
      <c r="AG105" s="743"/>
      <c r="AH105" s="743"/>
      <c r="BC105" s="155" t="str">
        <f t="shared" si="127"/>
        <v>-</v>
      </c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</row>
    <row r="106" spans="1:70" ht="15" customHeight="1" outlineLevel="1" thickBot="1" x14ac:dyDescent="0.3">
      <c r="A106" s="324"/>
      <c r="B106" s="798"/>
      <c r="C106" s="764">
        <v>1</v>
      </c>
      <c r="D106" s="772" t="str">
        <f>IF(AND(F107="-",G107="-",H107="-",I107="-",J107="-",K107="-",L107="-",M107="-"),"-",MAX(F107,G107,H107,I107,J107,K107,L107,M107))</f>
        <v>-</v>
      </c>
      <c r="E106" s="66" t="s">
        <v>177</v>
      </c>
      <c r="F106" s="65" t="str">
        <f t="shared" ref="F106:M106" si="166">IF(OR(F105="-",F105=""),IF(OR(F104="-",F104=""),"-",F104),IF(OR(F104="-",F104=""),F105,(F104+F105)/2))</f>
        <v>-</v>
      </c>
      <c r="G106" s="65" t="str">
        <f t="shared" si="166"/>
        <v>-</v>
      </c>
      <c r="H106" s="65" t="str">
        <f t="shared" si="166"/>
        <v>-</v>
      </c>
      <c r="I106" s="65" t="str">
        <f t="shared" si="166"/>
        <v>-</v>
      </c>
      <c r="J106" s="65" t="str">
        <f t="shared" si="166"/>
        <v>-</v>
      </c>
      <c r="K106" s="167" t="str">
        <f t="shared" si="166"/>
        <v>-</v>
      </c>
      <c r="L106" s="167" t="str">
        <f t="shared" ref="L106" si="167">IF(OR(L105="-",L105=""),IF(OR(L104="-",L104=""),"-",L104),IF(OR(L104="-",L104=""),L105,(L104+L105)/2))</f>
        <v>-</v>
      </c>
      <c r="M106" s="65" t="str">
        <f t="shared" si="166"/>
        <v>-</v>
      </c>
      <c r="N106" s="822"/>
      <c r="O106" s="749"/>
      <c r="P106" s="750"/>
      <c r="Q106" s="750"/>
      <c r="R106" s="754"/>
      <c r="S106" s="749"/>
      <c r="T106" s="750"/>
      <c r="U106" s="750"/>
      <c r="V106" s="754"/>
      <c r="W106" s="320"/>
      <c r="X106" s="320"/>
      <c r="Y106" s="743"/>
      <c r="Z106" s="743"/>
      <c r="AA106" s="743"/>
      <c r="AB106" s="743"/>
      <c r="AC106" s="743"/>
      <c r="AD106" s="743"/>
      <c r="AE106" s="743"/>
      <c r="AF106" s="743"/>
      <c r="AG106" s="743"/>
      <c r="AH106" s="743"/>
      <c r="BC106" s="155" t="str">
        <f t="shared" si="127"/>
        <v>-</v>
      </c>
    </row>
    <row r="107" spans="1:70" ht="15" customHeight="1" outlineLevel="1" thickBot="1" x14ac:dyDescent="0.3">
      <c r="A107" s="324"/>
      <c r="B107" s="798"/>
      <c r="C107" s="765"/>
      <c r="D107" s="773"/>
      <c r="E107" s="64" t="s">
        <v>97</v>
      </c>
      <c r="F107" s="63" t="str">
        <f t="shared" ref="F107:M107" si="168">IF(OR($C106="-",$C106="CET",$C106=""),"-",IF(AND(NOT(F106="-"),NOT(F$5="-"),NOT(F$5="")),F106/F$5,"-"))</f>
        <v>-</v>
      </c>
      <c r="G107" s="63" t="str">
        <f t="shared" si="168"/>
        <v>-</v>
      </c>
      <c r="H107" s="63" t="str">
        <f t="shared" si="168"/>
        <v>-</v>
      </c>
      <c r="I107" s="63" t="str">
        <f t="shared" si="168"/>
        <v>-</v>
      </c>
      <c r="J107" s="63" t="str">
        <f t="shared" si="168"/>
        <v>-</v>
      </c>
      <c r="K107" s="168" t="str">
        <f t="shared" si="168"/>
        <v>-</v>
      </c>
      <c r="L107" s="168" t="str">
        <f t="shared" ref="L107" si="169">IF(OR($C106="-",$C106="CET",$C106=""),"-",IF(AND(NOT(L106="-"),NOT(L$5="-"),NOT(L$5="")),L106/L$5,"-"))</f>
        <v>-</v>
      </c>
      <c r="M107" s="63" t="str">
        <f t="shared" si="168"/>
        <v>-</v>
      </c>
      <c r="N107" s="823"/>
      <c r="O107" s="749"/>
      <c r="P107" s="750"/>
      <c r="Q107" s="750"/>
      <c r="R107" s="754"/>
      <c r="S107" s="749"/>
      <c r="T107" s="750"/>
      <c r="U107" s="750"/>
      <c r="V107" s="754"/>
      <c r="W107" s="320"/>
      <c r="X107" s="320"/>
      <c r="Y107" s="743"/>
      <c r="Z107" s="743"/>
      <c r="AA107" s="743"/>
      <c r="AB107" s="743"/>
      <c r="AC107" s="743"/>
      <c r="AD107" s="743"/>
      <c r="AE107" s="743"/>
      <c r="AF107" s="743"/>
      <c r="AG107" s="743"/>
      <c r="AH107" s="743"/>
      <c r="BC107" s="155" t="str">
        <f t="shared" si="127"/>
        <v>-</v>
      </c>
    </row>
    <row r="108" spans="1:70" ht="15" customHeight="1" outlineLevel="1" thickBot="1" x14ac:dyDescent="0.3">
      <c r="A108" s="324"/>
      <c r="B108" s="804"/>
      <c r="C108" s="766"/>
      <c r="D108" s="774"/>
      <c r="E108" s="68" t="s">
        <v>30</v>
      </c>
      <c r="F108" s="68" t="str">
        <f t="shared" ref="F108:M108" si="17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68" t="str">
        <f t="shared" si="170"/>
        <v>-</v>
      </c>
      <c r="H108" s="68" t="str">
        <f t="shared" si="170"/>
        <v>-</v>
      </c>
      <c r="I108" s="68" t="str">
        <f t="shared" si="170"/>
        <v>-</v>
      </c>
      <c r="J108" s="68" t="str">
        <f t="shared" si="170"/>
        <v>-</v>
      </c>
      <c r="K108" s="341" t="str">
        <f t="shared" si="170"/>
        <v>-</v>
      </c>
      <c r="L108" s="341" t="str">
        <f t="shared" si="170"/>
        <v>-</v>
      </c>
      <c r="M108" s="68" t="str">
        <f t="shared" si="170"/>
        <v>-</v>
      </c>
      <c r="N108" s="824"/>
      <c r="O108" s="749"/>
      <c r="P108" s="750"/>
      <c r="Q108" s="750"/>
      <c r="R108" s="754"/>
      <c r="S108" s="749"/>
      <c r="T108" s="750"/>
      <c r="U108" s="750"/>
      <c r="V108" s="754"/>
      <c r="W108" s="320"/>
      <c r="X108" s="320"/>
      <c r="Y108" s="743"/>
      <c r="Z108" s="743"/>
      <c r="AA108" s="743"/>
      <c r="AB108" s="743"/>
      <c r="AC108" s="743"/>
      <c r="AD108" s="743"/>
      <c r="AE108" s="743"/>
      <c r="AF108" s="743"/>
      <c r="AG108" s="743"/>
      <c r="AH108" s="743"/>
      <c r="BC108" s="155" t="str">
        <f t="shared" si="127"/>
        <v>-</v>
      </c>
      <c r="BD108" s="151" t="s">
        <v>85</v>
      </c>
      <c r="BE108" s="69" t="str">
        <f>$F$4</f>
        <v>NMHC 
[g/km]</v>
      </c>
      <c r="BF108" s="69" t="str">
        <f>$G$4</f>
        <v>THC
[g/km]</v>
      </c>
      <c r="BG108" s="69" t="str">
        <f>$H$4</f>
        <v>CO
[g/km]</v>
      </c>
      <c r="BH108" s="69" t="str">
        <f>$I$4</f>
        <v>NOx
[g/km]</v>
      </c>
      <c r="BI108" s="69" t="str">
        <f>$J$4</f>
        <v>PM
[mg/km]</v>
      </c>
      <c r="BJ108" s="163" t="str">
        <f>K$4</f>
        <v>PN
[#/km]</v>
      </c>
      <c r="BK108" s="163" t="str">
        <f t="shared" ref="BK108" si="171">L$4</f>
        <v>Additional component</v>
      </c>
      <c r="BL108" s="163" t="str">
        <f>M$4</f>
        <v>Additional
component 2</v>
      </c>
      <c r="BM108" s="163" t="str">
        <f>N$4</f>
        <v>CO2
[g/km]</v>
      </c>
    </row>
    <row r="109" spans="1:70" ht="15" customHeight="1" outlineLevel="1" x14ac:dyDescent="0.25">
      <c r="A109" s="324"/>
      <c r="B109" s="762"/>
      <c r="C109" s="763"/>
      <c r="D109" s="338"/>
      <c r="E109" s="338"/>
      <c r="F109" s="90"/>
      <c r="G109" s="90"/>
      <c r="H109" s="90"/>
      <c r="I109" s="90"/>
      <c r="J109" s="90"/>
      <c r="K109" s="176"/>
      <c r="L109" s="176"/>
      <c r="M109" s="90"/>
      <c r="N109" s="89"/>
      <c r="O109" s="749"/>
      <c r="P109" s="750"/>
      <c r="Q109" s="750"/>
      <c r="R109" s="754"/>
      <c r="S109" s="749"/>
      <c r="T109" s="750"/>
      <c r="U109" s="750"/>
      <c r="V109" s="754"/>
      <c r="W109" s="320"/>
      <c r="X109" s="320"/>
      <c r="Y109" s="743"/>
      <c r="Z109" s="743"/>
      <c r="AA109" s="743"/>
      <c r="AB109" s="743"/>
      <c r="AC109" s="743"/>
      <c r="AD109" s="743"/>
      <c r="AE109" s="743"/>
      <c r="AF109" s="743"/>
      <c r="AG109" s="743"/>
      <c r="AH109" s="743"/>
      <c r="BC109" s="155" t="str">
        <f t="shared" si="127"/>
        <v>-</v>
      </c>
      <c r="BD109" s="151" t="str">
        <f>$E$4</f>
        <v>Euro 6c</v>
      </c>
      <c r="BE109" s="153">
        <v>1</v>
      </c>
      <c r="BF109" s="153">
        <v>1</v>
      </c>
      <c r="BG109" s="153">
        <v>1</v>
      </c>
      <c r="BH109" s="153">
        <v>1</v>
      </c>
      <c r="BI109" s="153">
        <v>1</v>
      </c>
      <c r="BJ109" s="153">
        <v>1</v>
      </c>
      <c r="BK109" s="153">
        <v>1</v>
      </c>
      <c r="BL109" s="153">
        <v>1</v>
      </c>
      <c r="BM109" s="153">
        <v>1</v>
      </c>
    </row>
    <row r="110" spans="1:70" ht="15" customHeight="1" outlineLevel="1" x14ac:dyDescent="0.25">
      <c r="A110" s="324"/>
      <c r="B110" s="761"/>
      <c r="C110" s="760"/>
      <c r="D110" s="332"/>
      <c r="E110" s="332"/>
      <c r="F110" s="337"/>
      <c r="G110" s="337"/>
      <c r="H110" s="337"/>
      <c r="I110" s="337"/>
      <c r="J110" s="337"/>
      <c r="K110" s="171"/>
      <c r="L110" s="171"/>
      <c r="M110" s="337"/>
      <c r="N110" s="57"/>
      <c r="O110" s="749"/>
      <c r="P110" s="750"/>
      <c r="Q110" s="750"/>
      <c r="R110" s="754"/>
      <c r="S110" s="749"/>
      <c r="T110" s="750"/>
      <c r="U110" s="750"/>
      <c r="V110" s="754"/>
      <c r="W110" s="320"/>
      <c r="X110" s="320"/>
      <c r="Y110" s="743"/>
      <c r="Z110" s="743"/>
      <c r="AA110" s="743"/>
      <c r="AB110" s="743"/>
      <c r="AC110" s="743"/>
      <c r="AD110" s="743"/>
      <c r="AE110" s="743"/>
      <c r="AF110" s="743"/>
      <c r="AG110" s="743"/>
      <c r="AH110" s="743"/>
      <c r="BC110" s="155" t="str">
        <f t="shared" si="127"/>
        <v>-</v>
      </c>
      <c r="BD110" s="151" t="str">
        <f>"1st " &amp;  B104</f>
        <v>1st WLTC 20°C</v>
      </c>
      <c r="BE110" s="153" t="str">
        <f t="shared" ref="BE110:BJ110" si="172">IF((OR($C106="-",$C106="CET",$C106="")),"-",IF(AND(OR(F104="-",F104=""),OR(F105="-",F105="")),"-",IF(NOT(OR(F104="-",F104="")),F104/F$5,F105/F$5)))</f>
        <v>-</v>
      </c>
      <c r="BF110" s="153" t="str">
        <f t="shared" si="172"/>
        <v>-</v>
      </c>
      <c r="BG110" s="153" t="str">
        <f t="shared" si="172"/>
        <v>-</v>
      </c>
      <c r="BH110" s="153" t="str">
        <f t="shared" si="172"/>
        <v>-</v>
      </c>
      <c r="BI110" s="153" t="str">
        <f t="shared" si="172"/>
        <v>-</v>
      </c>
      <c r="BJ110" s="153" t="str">
        <f t="shared" si="172"/>
        <v>-</v>
      </c>
      <c r="BK110" s="153" t="str">
        <f t="shared" ref="BK110" si="173">IF((OR($C106="-",$C106="CET",$C106="")),"-",IF(AND(OR(L104="-",L104=""),OR(L105="-",L105="")),"-",IF(NOT(OR(L104="-",L104="")),L104/L$5,L105/L$5)))</f>
        <v>-</v>
      </c>
      <c r="BL110" s="153" t="str">
        <f>IF((OR($C106="-",$C106="CET",$C106="")),"-",IF(AND(OR(M104="-",M104=""),OR(M105="-",M105="")),"-",IF(NOT(OR(M104="-",M104="")),M104/M$5,M105/M$5)))</f>
        <v>-</v>
      </c>
      <c r="BM110" s="153" t="str">
        <f>IF((OR($C106="-",$C106="CET",$C106="")),"-",IF(AND(OR(N104="-",N104=""),OR(N105="-",N105="")),"-",IF(NOT(OR(N104="-",N104="")),N104/N$5,N105/N$5)))</f>
        <v>-</v>
      </c>
    </row>
    <row r="111" spans="1:70" ht="15" customHeight="1" outlineLevel="1" x14ac:dyDescent="0.25">
      <c r="A111" s="324"/>
      <c r="B111" s="761"/>
      <c r="C111" s="760"/>
      <c r="D111" s="332"/>
      <c r="E111" s="332"/>
      <c r="F111" s="56"/>
      <c r="G111" s="56"/>
      <c r="H111" s="56"/>
      <c r="I111" s="56"/>
      <c r="J111" s="56"/>
      <c r="K111" s="171"/>
      <c r="L111" s="171"/>
      <c r="M111" s="56"/>
      <c r="N111" s="55"/>
      <c r="O111" s="749"/>
      <c r="P111" s="750"/>
      <c r="Q111" s="750"/>
      <c r="R111" s="754"/>
      <c r="S111" s="749"/>
      <c r="T111" s="750"/>
      <c r="U111" s="750"/>
      <c r="V111" s="754"/>
      <c r="W111" s="320"/>
      <c r="X111" s="320"/>
      <c r="Y111" s="743"/>
      <c r="Z111" s="743"/>
      <c r="AA111" s="743"/>
      <c r="AB111" s="743"/>
      <c r="AC111" s="743"/>
      <c r="AD111" s="743"/>
      <c r="AE111" s="743"/>
      <c r="AF111" s="743"/>
      <c r="AG111" s="743"/>
      <c r="AH111" s="743"/>
      <c r="BC111" s="155" t="str">
        <f t="shared" si="127"/>
        <v>-</v>
      </c>
      <c r="BD111" s="151"/>
      <c r="BE111" s="153"/>
      <c r="BF111" s="153"/>
      <c r="BG111" s="153"/>
      <c r="BH111" s="153"/>
      <c r="BI111" s="153"/>
      <c r="BJ111" s="153"/>
      <c r="BK111" s="153"/>
      <c r="BL111" s="153"/>
      <c r="BM111" s="153"/>
    </row>
    <row r="112" spans="1:70" ht="15" customHeight="1" outlineLevel="1" x14ac:dyDescent="0.25">
      <c r="A112" s="324"/>
      <c r="B112" s="761"/>
      <c r="C112" s="760"/>
      <c r="D112" s="332"/>
      <c r="E112" s="332"/>
      <c r="F112" s="56"/>
      <c r="G112" s="56"/>
      <c r="H112" s="56"/>
      <c r="I112" s="56"/>
      <c r="J112" s="56"/>
      <c r="K112" s="171"/>
      <c r="L112" s="171"/>
      <c r="M112" s="56"/>
      <c r="N112" s="55"/>
      <c r="O112" s="749"/>
      <c r="P112" s="750"/>
      <c r="Q112" s="750"/>
      <c r="R112" s="754"/>
      <c r="S112" s="749"/>
      <c r="T112" s="750"/>
      <c r="U112" s="750"/>
      <c r="V112" s="754"/>
      <c r="W112" s="320"/>
      <c r="X112" s="320"/>
      <c r="Y112" s="743"/>
      <c r="Z112" s="743"/>
      <c r="AA112" s="743"/>
      <c r="AB112" s="743"/>
      <c r="AC112" s="743"/>
      <c r="AD112" s="743"/>
      <c r="AE112" s="743"/>
      <c r="AF112" s="743"/>
      <c r="AG112" s="743"/>
      <c r="AH112" s="743"/>
      <c r="BC112" s="155" t="str">
        <f t="shared" si="127"/>
        <v>-</v>
      </c>
      <c r="BD112" s="151"/>
      <c r="BE112" s="153"/>
      <c r="BF112" s="153"/>
      <c r="BG112" s="153"/>
      <c r="BH112" s="153"/>
      <c r="BI112" s="153"/>
      <c r="BJ112" s="153"/>
      <c r="BK112" s="153"/>
      <c r="BL112" s="153"/>
      <c r="BM112" s="153"/>
    </row>
    <row r="113" spans="1:65" ht="15" customHeight="1" outlineLevel="1" x14ac:dyDescent="0.25">
      <c r="A113" s="40"/>
      <c r="B113" s="761"/>
      <c r="C113" s="760"/>
      <c r="D113" s="332"/>
      <c r="E113" s="332"/>
      <c r="F113" s="332"/>
      <c r="G113" s="332"/>
      <c r="H113" s="332"/>
      <c r="I113" s="332"/>
      <c r="J113" s="332"/>
      <c r="K113" s="171"/>
      <c r="L113" s="171"/>
      <c r="M113" s="332"/>
      <c r="N113" s="59"/>
      <c r="O113" s="749"/>
      <c r="P113" s="750"/>
      <c r="Q113" s="750"/>
      <c r="R113" s="754"/>
      <c r="S113" s="749"/>
      <c r="T113" s="750"/>
      <c r="U113" s="750"/>
      <c r="V113" s="754"/>
      <c r="W113" s="320"/>
      <c r="X113" s="320"/>
      <c r="Y113" s="743"/>
      <c r="Z113" s="743"/>
      <c r="AA113" s="743"/>
      <c r="AB113" s="743"/>
      <c r="AC113" s="743"/>
      <c r="AD113" s="743"/>
      <c r="AE113" s="743"/>
      <c r="AF113" s="743"/>
      <c r="AG113" s="743"/>
      <c r="AH113" s="743"/>
      <c r="BC113" s="155" t="str">
        <f t="shared" si="127"/>
        <v>-</v>
      </c>
      <c r="BD113" s="151"/>
      <c r="BE113" s="153"/>
      <c r="BF113" s="153"/>
      <c r="BG113" s="153"/>
      <c r="BH113" s="153"/>
      <c r="BI113" s="153"/>
      <c r="BJ113" s="153"/>
      <c r="BK113" s="153"/>
      <c r="BL113" s="153"/>
      <c r="BM113" s="153"/>
    </row>
    <row r="114" spans="1:65" ht="15" customHeight="1" outlineLevel="1" x14ac:dyDescent="0.25">
      <c r="A114" s="40"/>
      <c r="B114" s="761"/>
      <c r="C114" s="760"/>
      <c r="D114" s="332"/>
      <c r="E114" s="332"/>
      <c r="F114" s="337"/>
      <c r="G114" s="337"/>
      <c r="H114" s="337"/>
      <c r="I114" s="337"/>
      <c r="J114" s="337"/>
      <c r="K114" s="171"/>
      <c r="L114" s="171"/>
      <c r="M114" s="337"/>
      <c r="N114" s="57"/>
      <c r="O114" s="749"/>
      <c r="P114" s="750"/>
      <c r="Q114" s="750"/>
      <c r="R114" s="754"/>
      <c r="S114" s="749"/>
      <c r="T114" s="750"/>
      <c r="U114" s="750"/>
      <c r="V114" s="754"/>
      <c r="W114" s="320"/>
      <c r="X114" s="320"/>
      <c r="Y114" s="743"/>
      <c r="Z114" s="743"/>
      <c r="AA114" s="743"/>
      <c r="AB114" s="743"/>
      <c r="AC114" s="743"/>
      <c r="AD114" s="743"/>
      <c r="AE114" s="743"/>
      <c r="AF114" s="743"/>
      <c r="AG114" s="743"/>
      <c r="AH114" s="743"/>
      <c r="BC114" s="155" t="str">
        <f t="shared" si="127"/>
        <v>-</v>
      </c>
      <c r="BD114" s="151" t="str">
        <f>"0.7*IEF " &amp; (B104)</f>
        <v>0.7*IEF WLTC 20°C</v>
      </c>
      <c r="BE114" s="153">
        <f t="shared" ref="BE114:BJ114" si="174">IF(OR($C106="-",$C106="CET",$C106=""),"-",0.7*$C106)</f>
        <v>0.7</v>
      </c>
      <c r="BF114" s="153">
        <f t="shared" si="174"/>
        <v>0.7</v>
      </c>
      <c r="BG114" s="153">
        <f t="shared" si="174"/>
        <v>0.7</v>
      </c>
      <c r="BH114" s="153">
        <f t="shared" si="174"/>
        <v>0.7</v>
      </c>
      <c r="BI114" s="153">
        <f t="shared" si="174"/>
        <v>0.7</v>
      </c>
      <c r="BJ114" s="153">
        <f t="shared" si="174"/>
        <v>0.7</v>
      </c>
      <c r="BK114" s="153">
        <f t="shared" ref="BK114:BL114" si="175">IF(OR($C106="-",$C106="CET",$C106=""),"-",0.7*$C106)</f>
        <v>0.7</v>
      </c>
      <c r="BL114" s="153">
        <f t="shared" si="175"/>
        <v>0.7</v>
      </c>
      <c r="BM114" s="153">
        <f t="shared" ref="BM114" si="176">IF(OR($C106="-",$C106="CET",$C106=""),"-",0.7*$C106)</f>
        <v>0.7</v>
      </c>
    </row>
    <row r="115" spans="1:65" ht="15" customHeight="1" outlineLevel="1" x14ac:dyDescent="0.25">
      <c r="A115" s="40"/>
      <c r="B115" s="761"/>
      <c r="C115" s="760"/>
      <c r="D115" s="332"/>
      <c r="E115" s="332"/>
      <c r="F115" s="337"/>
      <c r="G115" s="337"/>
      <c r="H115" s="337"/>
      <c r="I115" s="337"/>
      <c r="J115" s="337"/>
      <c r="K115" s="171"/>
      <c r="L115" s="171"/>
      <c r="M115" s="337"/>
      <c r="N115" s="57"/>
      <c r="O115" s="749"/>
      <c r="P115" s="750"/>
      <c r="Q115" s="750"/>
      <c r="R115" s="754"/>
      <c r="S115" s="749"/>
      <c r="T115" s="750"/>
      <c r="U115" s="750"/>
      <c r="V115" s="754"/>
      <c r="W115" s="320"/>
      <c r="X115" s="320"/>
      <c r="Y115" s="743"/>
      <c r="Z115" s="743"/>
      <c r="AA115" s="743"/>
      <c r="AB115" s="743"/>
      <c r="AC115" s="743"/>
      <c r="AD115" s="743"/>
      <c r="AE115" s="743"/>
      <c r="AF115" s="743"/>
      <c r="AG115" s="743"/>
      <c r="AH115" s="743"/>
      <c r="BC115" s="155" t="str">
        <f t="shared" si="127"/>
        <v>-</v>
      </c>
      <c r="BD115" s="151"/>
      <c r="BE115" s="153"/>
      <c r="BF115" s="153"/>
      <c r="BG115" s="153"/>
      <c r="BH115" s="153"/>
      <c r="BI115" s="153"/>
      <c r="BJ115" s="153"/>
      <c r="BK115" s="153"/>
      <c r="BL115" s="153"/>
      <c r="BM115" s="153"/>
    </row>
    <row r="116" spans="1:65" ht="15" customHeight="1" outlineLevel="1" x14ac:dyDescent="0.25">
      <c r="A116" s="40"/>
      <c r="B116" s="761"/>
      <c r="C116" s="760"/>
      <c r="D116" s="332"/>
      <c r="E116" s="332"/>
      <c r="F116" s="56"/>
      <c r="G116" s="56"/>
      <c r="H116" s="56"/>
      <c r="I116" s="56"/>
      <c r="J116" s="56"/>
      <c r="K116" s="171"/>
      <c r="L116" s="171"/>
      <c r="M116" s="56"/>
      <c r="N116" s="55"/>
      <c r="O116" s="749"/>
      <c r="P116" s="750"/>
      <c r="Q116" s="750"/>
      <c r="R116" s="754"/>
      <c r="S116" s="749"/>
      <c r="T116" s="750"/>
      <c r="U116" s="750"/>
      <c r="V116" s="754"/>
      <c r="W116" s="320"/>
      <c r="X116" s="320"/>
      <c r="Y116" s="743"/>
      <c r="Z116" s="743"/>
      <c r="AA116" s="743"/>
      <c r="AB116" s="743"/>
      <c r="AC116" s="743"/>
      <c r="AD116" s="743"/>
      <c r="AE116" s="743"/>
      <c r="AF116" s="743"/>
      <c r="AG116" s="743"/>
      <c r="AH116" s="743"/>
      <c r="BC116" s="155" t="str">
        <f t="shared" si="127"/>
        <v>-</v>
      </c>
      <c r="BD116" s="151"/>
      <c r="BE116" s="153"/>
      <c r="BF116" s="153"/>
      <c r="BG116" s="153"/>
      <c r="BH116" s="153"/>
      <c r="BI116" s="153"/>
      <c r="BJ116" s="153"/>
      <c r="BK116" s="153"/>
      <c r="BL116" s="153"/>
      <c r="BM116" s="153"/>
    </row>
    <row r="117" spans="1:65" ht="15" customHeight="1" outlineLevel="1" x14ac:dyDescent="0.25">
      <c r="A117" s="40"/>
      <c r="B117" s="761"/>
      <c r="C117" s="760"/>
      <c r="D117" s="332"/>
      <c r="E117" s="332"/>
      <c r="F117" s="56"/>
      <c r="G117" s="56"/>
      <c r="H117" s="56"/>
      <c r="I117" s="56"/>
      <c r="J117" s="56"/>
      <c r="K117" s="171"/>
      <c r="L117" s="171"/>
      <c r="M117" s="56"/>
      <c r="N117" s="55"/>
      <c r="O117" s="749"/>
      <c r="P117" s="750"/>
      <c r="Q117" s="750"/>
      <c r="R117" s="754"/>
      <c r="S117" s="749"/>
      <c r="T117" s="750"/>
      <c r="U117" s="750"/>
      <c r="V117" s="754"/>
      <c r="W117" s="320"/>
      <c r="X117" s="320"/>
      <c r="Y117" s="743"/>
      <c r="Z117" s="743"/>
      <c r="AA117" s="743"/>
      <c r="AB117" s="743"/>
      <c r="AC117" s="743"/>
      <c r="AD117" s="743"/>
      <c r="AE117" s="743"/>
      <c r="AF117" s="743"/>
      <c r="AG117" s="743"/>
      <c r="AH117" s="743"/>
      <c r="BC117" s="155" t="str">
        <f t="shared" si="127"/>
        <v>-</v>
      </c>
      <c r="BD117" s="151"/>
      <c r="BE117" s="153"/>
      <c r="BF117" s="153"/>
      <c r="BG117" s="153"/>
      <c r="BH117" s="153"/>
      <c r="BI117" s="153"/>
      <c r="BJ117" s="153"/>
      <c r="BK117" s="153"/>
      <c r="BL117" s="153"/>
      <c r="BM117" s="153"/>
    </row>
    <row r="118" spans="1:65" ht="15" customHeight="1" outlineLevel="1" x14ac:dyDescent="0.25">
      <c r="A118" s="40"/>
      <c r="B118" s="761"/>
      <c r="C118" s="760"/>
      <c r="D118" s="332"/>
      <c r="E118" s="332"/>
      <c r="F118" s="332"/>
      <c r="G118" s="332"/>
      <c r="H118" s="332"/>
      <c r="I118" s="332"/>
      <c r="J118" s="332"/>
      <c r="K118" s="171"/>
      <c r="L118" s="171"/>
      <c r="M118" s="332"/>
      <c r="N118" s="59"/>
      <c r="O118" s="749"/>
      <c r="P118" s="750"/>
      <c r="Q118" s="750"/>
      <c r="R118" s="754"/>
      <c r="S118" s="749"/>
      <c r="T118" s="750"/>
      <c r="U118" s="750"/>
      <c r="V118" s="754"/>
      <c r="W118" s="320"/>
      <c r="X118" s="320"/>
      <c r="Y118" s="743"/>
      <c r="Z118" s="743"/>
      <c r="AA118" s="743"/>
      <c r="AB118" s="743"/>
      <c r="AC118" s="743"/>
      <c r="AD118" s="743"/>
      <c r="AE118" s="743"/>
      <c r="AF118" s="743"/>
      <c r="AG118" s="743"/>
      <c r="AH118" s="743"/>
      <c r="BC118" s="155" t="str">
        <f t="shared" si="127"/>
        <v>-</v>
      </c>
      <c r="BD118" s="151" t="str">
        <f>B104</f>
        <v>WLTC 20°C</v>
      </c>
      <c r="BE118" s="153" t="str">
        <f t="shared" ref="BE118:BJ118" si="177">F107</f>
        <v>-</v>
      </c>
      <c r="BF118" s="153" t="str">
        <f t="shared" si="177"/>
        <v>-</v>
      </c>
      <c r="BG118" s="153" t="str">
        <f t="shared" si="177"/>
        <v>-</v>
      </c>
      <c r="BH118" s="153" t="str">
        <f t="shared" si="177"/>
        <v>-</v>
      </c>
      <c r="BI118" s="153" t="str">
        <f t="shared" si="177"/>
        <v>-</v>
      </c>
      <c r="BJ118" s="153" t="str">
        <f t="shared" si="177"/>
        <v>-</v>
      </c>
      <c r="BK118" s="153" t="str">
        <f t="shared" ref="BK118" si="178">L107</f>
        <v>-</v>
      </c>
      <c r="BL118" s="153" t="str">
        <f>M107</f>
        <v>-</v>
      </c>
      <c r="BM118" s="153">
        <f>N107</f>
        <v>0</v>
      </c>
    </row>
    <row r="119" spans="1:65" ht="15" customHeight="1" outlineLevel="1" x14ac:dyDescent="0.25">
      <c r="A119" s="40"/>
      <c r="B119" s="761"/>
      <c r="C119" s="760"/>
      <c r="D119" s="332"/>
      <c r="E119" s="332"/>
      <c r="F119" s="337"/>
      <c r="G119" s="337"/>
      <c r="H119" s="337"/>
      <c r="I119" s="337"/>
      <c r="J119" s="337"/>
      <c r="K119" s="171"/>
      <c r="L119" s="171"/>
      <c r="M119" s="337"/>
      <c r="N119" s="57"/>
      <c r="O119" s="749"/>
      <c r="P119" s="750"/>
      <c r="Q119" s="750"/>
      <c r="R119" s="754"/>
      <c r="S119" s="749"/>
      <c r="T119" s="750"/>
      <c r="U119" s="750"/>
      <c r="V119" s="754"/>
      <c r="W119" s="320"/>
      <c r="X119" s="320"/>
      <c r="Y119" s="743"/>
      <c r="Z119" s="743"/>
      <c r="AA119" s="743"/>
      <c r="AB119" s="743"/>
      <c r="AC119" s="743"/>
      <c r="AD119" s="743"/>
      <c r="AE119" s="743"/>
      <c r="AF119" s="743"/>
      <c r="AG119" s="743"/>
      <c r="AH119" s="743"/>
      <c r="BC119" s="155" t="str">
        <f t="shared" si="127"/>
        <v>-</v>
      </c>
      <c r="BD119" s="151"/>
      <c r="BE119" s="153"/>
      <c r="BF119" s="153"/>
      <c r="BG119" s="153"/>
      <c r="BH119" s="153"/>
      <c r="BI119" s="153"/>
      <c r="BJ119" s="153"/>
      <c r="BK119" s="153"/>
      <c r="BL119" s="153"/>
      <c r="BM119" s="153"/>
    </row>
    <row r="120" spans="1:65" ht="15" customHeight="1" outlineLevel="1" x14ac:dyDescent="0.25">
      <c r="A120" s="40"/>
      <c r="B120" s="761"/>
      <c r="C120" s="760"/>
      <c r="D120" s="332"/>
      <c r="E120" s="332"/>
      <c r="F120" s="337"/>
      <c r="G120" s="337"/>
      <c r="H120" s="337"/>
      <c r="I120" s="337"/>
      <c r="J120" s="337"/>
      <c r="K120" s="171"/>
      <c r="L120" s="171"/>
      <c r="M120" s="337"/>
      <c r="N120" s="57"/>
      <c r="O120" s="749"/>
      <c r="P120" s="750"/>
      <c r="Q120" s="750"/>
      <c r="R120" s="754"/>
      <c r="S120" s="749"/>
      <c r="T120" s="750"/>
      <c r="U120" s="750"/>
      <c r="V120" s="754"/>
      <c r="W120" s="320"/>
      <c r="X120" s="320"/>
      <c r="Y120" s="743"/>
      <c r="Z120" s="743"/>
      <c r="AA120" s="743"/>
      <c r="AB120" s="743"/>
      <c r="AC120" s="743"/>
      <c r="AD120" s="743"/>
      <c r="AE120" s="743"/>
      <c r="AF120" s="743"/>
      <c r="AG120" s="743"/>
      <c r="AH120" s="743"/>
      <c r="BC120" s="155" t="str">
        <f t="shared" si="127"/>
        <v>-</v>
      </c>
      <c r="BD120" s="151"/>
      <c r="BE120" s="153"/>
      <c r="BF120" s="153"/>
      <c r="BG120" s="153"/>
      <c r="BH120" s="153"/>
      <c r="BI120" s="153"/>
      <c r="BJ120" s="153"/>
      <c r="BK120" s="153"/>
      <c r="BL120" s="153"/>
      <c r="BM120" s="153"/>
    </row>
    <row r="121" spans="1:65" ht="15" customHeight="1" outlineLevel="1" x14ac:dyDescent="0.25">
      <c r="A121" s="40"/>
      <c r="B121" s="761"/>
      <c r="C121" s="760"/>
      <c r="D121" s="332"/>
      <c r="E121" s="332"/>
      <c r="F121" s="56"/>
      <c r="G121" s="56"/>
      <c r="H121" s="56"/>
      <c r="I121" s="56"/>
      <c r="J121" s="56"/>
      <c r="K121" s="171"/>
      <c r="L121" s="171"/>
      <c r="M121" s="56"/>
      <c r="N121" s="55"/>
      <c r="O121" s="749"/>
      <c r="P121" s="750"/>
      <c r="Q121" s="750"/>
      <c r="R121" s="754"/>
      <c r="S121" s="749"/>
      <c r="T121" s="750"/>
      <c r="U121" s="750"/>
      <c r="V121" s="754"/>
      <c r="W121" s="320"/>
      <c r="X121" s="320"/>
      <c r="Y121" s="743"/>
      <c r="Z121" s="743"/>
      <c r="AA121" s="743"/>
      <c r="AB121" s="743"/>
      <c r="AC121" s="743"/>
      <c r="AD121" s="743"/>
      <c r="AE121" s="743"/>
      <c r="AF121" s="743"/>
      <c r="AG121" s="743"/>
      <c r="AH121" s="743"/>
      <c r="BC121" s="155" t="str">
        <f t="shared" si="127"/>
        <v>-</v>
      </c>
      <c r="BD121" s="151"/>
      <c r="BE121" s="153"/>
      <c r="BF121" s="153"/>
      <c r="BG121" s="153"/>
      <c r="BH121" s="153"/>
      <c r="BI121" s="153"/>
      <c r="BJ121" s="153"/>
      <c r="BK121" s="153"/>
      <c r="BL121" s="153"/>
      <c r="BM121" s="153"/>
    </row>
    <row r="122" spans="1:65" ht="15" customHeight="1" outlineLevel="1" x14ac:dyDescent="0.25">
      <c r="A122" s="40"/>
      <c r="B122" s="761"/>
      <c r="C122" s="760"/>
      <c r="D122" s="332"/>
      <c r="E122" s="332"/>
      <c r="F122" s="56"/>
      <c r="G122" s="56"/>
      <c r="H122" s="56"/>
      <c r="I122" s="56"/>
      <c r="J122" s="56"/>
      <c r="K122" s="171"/>
      <c r="L122" s="171"/>
      <c r="M122" s="56"/>
      <c r="N122" s="55"/>
      <c r="O122" s="749"/>
      <c r="P122" s="750"/>
      <c r="Q122" s="750"/>
      <c r="R122" s="754"/>
      <c r="S122" s="749"/>
      <c r="T122" s="750"/>
      <c r="U122" s="750"/>
      <c r="V122" s="754"/>
      <c r="W122" s="320"/>
      <c r="X122" s="320"/>
      <c r="Y122" s="743"/>
      <c r="Z122" s="743"/>
      <c r="AA122" s="743"/>
      <c r="AB122" s="743"/>
      <c r="AC122" s="743"/>
      <c r="AD122" s="743"/>
      <c r="AE122" s="743"/>
      <c r="AF122" s="743"/>
      <c r="AG122" s="743"/>
      <c r="AH122" s="743"/>
      <c r="BC122" s="155" t="str">
        <f t="shared" si="127"/>
        <v>-</v>
      </c>
      <c r="BD122" s="151" t="str">
        <f>"IEF " &amp;B104</f>
        <v>IEF WLTC 20°C</v>
      </c>
      <c r="BE122" s="153">
        <f t="shared" ref="BE122:BJ122" si="179">IF(OR($C106="CET",$C106="-",$C106=""),"-",$C106)</f>
        <v>1</v>
      </c>
      <c r="BF122" s="153">
        <f t="shared" si="179"/>
        <v>1</v>
      </c>
      <c r="BG122" s="153">
        <f t="shared" si="179"/>
        <v>1</v>
      </c>
      <c r="BH122" s="153">
        <f t="shared" si="179"/>
        <v>1</v>
      </c>
      <c r="BI122" s="153">
        <f t="shared" si="179"/>
        <v>1</v>
      </c>
      <c r="BJ122" s="153">
        <f t="shared" si="179"/>
        <v>1</v>
      </c>
      <c r="BK122" s="153">
        <f t="shared" ref="BK122:BL122" si="180">IF(OR($C106="CET",$C106="-",$C106=""),"-",$C106)</f>
        <v>1</v>
      </c>
      <c r="BL122" s="153">
        <f t="shared" si="180"/>
        <v>1</v>
      </c>
      <c r="BM122" s="153">
        <f t="shared" ref="BM122" si="181">IF(OR($C106="CET",$C106="-",$C106=""),"-",$C106)</f>
        <v>1</v>
      </c>
    </row>
    <row r="123" spans="1:65" ht="15.75" outlineLevel="1" thickBot="1" x14ac:dyDescent="0.3">
      <c r="B123" s="796"/>
      <c r="C123" s="778"/>
      <c r="D123" s="334"/>
      <c r="E123" s="334"/>
      <c r="F123" s="334"/>
      <c r="G123" s="334"/>
      <c r="H123" s="334"/>
      <c r="I123" s="334"/>
      <c r="J123" s="334"/>
      <c r="K123" s="172"/>
      <c r="L123" s="172"/>
      <c r="M123" s="334"/>
      <c r="N123" s="54"/>
      <c r="O123" s="751"/>
      <c r="P123" s="752"/>
      <c r="Q123" s="752"/>
      <c r="R123" s="755"/>
      <c r="S123" s="751"/>
      <c r="T123" s="752"/>
      <c r="U123" s="752"/>
      <c r="V123" s="755"/>
      <c r="BC123" s="155" t="str">
        <f t="shared" si="127"/>
        <v>-</v>
      </c>
      <c r="BD123" s="156"/>
      <c r="BE123" s="156"/>
      <c r="BF123" s="156"/>
      <c r="BG123" s="156"/>
      <c r="BH123" s="156"/>
      <c r="BI123" s="156"/>
      <c r="BJ123" s="156"/>
      <c r="BK123" s="156"/>
      <c r="BL123" s="156"/>
      <c r="BM123" s="156"/>
    </row>
    <row r="124" spans="1:65" ht="15" customHeight="1" x14ac:dyDescent="0.25">
      <c r="BC124" s="155" t="str">
        <f t="shared" si="127"/>
        <v>-</v>
      </c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</row>
    <row r="125" spans="1:65" ht="15" customHeight="1" x14ac:dyDescent="0.25">
      <c r="BC125" s="155" t="str">
        <f t="shared" si="127"/>
        <v>-</v>
      </c>
      <c r="BD125" s="156"/>
      <c r="BE125" s="156"/>
      <c r="BF125" s="156"/>
      <c r="BG125" s="156"/>
      <c r="BH125" s="156"/>
      <c r="BI125" s="156"/>
      <c r="BJ125" s="156"/>
      <c r="BK125" s="156"/>
      <c r="BL125" s="156"/>
      <c r="BM125" s="156"/>
    </row>
    <row r="126" spans="1:65" ht="15" customHeight="1" thickBot="1" x14ac:dyDescent="0.3">
      <c r="A126" s="324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BC126" s="155" t="str">
        <f t="shared" si="127"/>
        <v>-</v>
      </c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</row>
    <row r="127" spans="1:65" ht="24.95" customHeight="1" thickBot="1" x14ac:dyDescent="0.3">
      <c r="A127" s="324"/>
      <c r="B127" s="185">
        <v>5</v>
      </c>
      <c r="C127" s="757" t="s">
        <v>103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9"/>
      <c r="O127" s="49" t="s">
        <v>117</v>
      </c>
      <c r="P127" s="71" t="str">
        <f>IF(COUNTIF(F132:N151,"refused")&gt;0,"refused",IF(COUNTIF(F132:N151,"failed")&gt;0,"failed",IF(COUNTIF(F132:N151,"passed")&gt;0,"passed","-")))</f>
        <v>-</v>
      </c>
      <c r="Q127" s="70" t="s">
        <v>80</v>
      </c>
      <c r="R127" s="70" t="str">
        <f>IF(COUNT(F132:N133)&gt;0,"listed","not listed")</f>
        <v>not listed</v>
      </c>
      <c r="S127" s="319"/>
      <c r="T127" s="43"/>
      <c r="U127" s="43"/>
      <c r="V127" s="44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BC127" s="155" t="str">
        <f t="shared" si="127"/>
        <v>-</v>
      </c>
    </row>
    <row r="128" spans="1:65" ht="15" customHeight="1" outlineLevel="1" thickBot="1" x14ac:dyDescent="0.3">
      <c r="A128" s="324"/>
      <c r="B128" s="321"/>
      <c r="C128" s="322"/>
      <c r="D128" s="322"/>
      <c r="E128" s="322"/>
      <c r="F128" s="322"/>
      <c r="G128" s="322"/>
      <c r="H128" s="322"/>
      <c r="I128" s="322"/>
      <c r="J128" s="322"/>
      <c r="K128" s="162"/>
      <c r="L128" s="162"/>
      <c r="M128" s="322"/>
      <c r="N128" s="333"/>
      <c r="O128" s="322"/>
      <c r="P128" s="322"/>
      <c r="Q128" s="322"/>
      <c r="R128" s="322"/>
      <c r="S128" s="322"/>
      <c r="T128" s="45"/>
      <c r="U128" s="45"/>
      <c r="V128" s="46"/>
      <c r="W128" s="47"/>
      <c r="X128" s="47"/>
      <c r="Y128" s="756"/>
      <c r="Z128" s="756"/>
      <c r="AA128" s="756"/>
      <c r="AB128" s="756"/>
      <c r="AC128" s="756"/>
      <c r="AD128" s="756"/>
      <c r="AE128" s="756"/>
      <c r="AF128" s="756"/>
      <c r="AG128" s="756"/>
      <c r="AH128" s="756"/>
      <c r="BC128" s="155" t="str">
        <f t="shared" si="127"/>
        <v>-</v>
      </c>
    </row>
    <row r="129" spans="1:71" ht="15" customHeight="1" outlineLevel="1" thickBot="1" x14ac:dyDescent="0.3">
      <c r="A129" s="324"/>
      <c r="B129" s="744" t="s">
        <v>81</v>
      </c>
      <c r="C129" s="745"/>
      <c r="D129" s="745"/>
      <c r="E129" s="745"/>
      <c r="F129" s="745"/>
      <c r="G129" s="745"/>
      <c r="H129" s="745"/>
      <c r="I129" s="745"/>
      <c r="J129" s="745"/>
      <c r="K129" s="745"/>
      <c r="L129" s="745"/>
      <c r="M129" s="745"/>
      <c r="N129" s="746"/>
      <c r="O129" s="744" t="s">
        <v>82</v>
      </c>
      <c r="P129" s="745"/>
      <c r="Q129" s="745"/>
      <c r="R129" s="746"/>
      <c r="S129" s="744" t="s">
        <v>83</v>
      </c>
      <c r="T129" s="745"/>
      <c r="U129" s="745"/>
      <c r="V129" s="746"/>
      <c r="W129" s="320"/>
      <c r="X129" s="320"/>
      <c r="Y129" s="743"/>
      <c r="Z129" s="743"/>
      <c r="AA129" s="743"/>
      <c r="AB129" s="743"/>
      <c r="AC129" s="743"/>
      <c r="AD129" s="743"/>
      <c r="AE129" s="743"/>
      <c r="AF129" s="743"/>
      <c r="AG129" s="743"/>
      <c r="AH129" s="743"/>
      <c r="BC129" s="155" t="str">
        <f t="shared" si="127"/>
        <v>-</v>
      </c>
    </row>
    <row r="130" spans="1:71" ht="35.1" customHeight="1" outlineLevel="1" thickBot="1" x14ac:dyDescent="0.3">
      <c r="A130" s="324"/>
      <c r="B130" s="767" t="s">
        <v>84</v>
      </c>
      <c r="C130" s="768"/>
      <c r="D130" s="768"/>
      <c r="E130" s="769"/>
      <c r="F130" s="69" t="str">
        <f t="shared" ref="F130:N130" si="182">F$4</f>
        <v>NMHC 
[g/km]</v>
      </c>
      <c r="G130" s="69" t="str">
        <f t="shared" si="182"/>
        <v>THC
[g/km]</v>
      </c>
      <c r="H130" s="69" t="str">
        <f t="shared" si="182"/>
        <v>CO
[g/km]</v>
      </c>
      <c r="I130" s="69" t="str">
        <f t="shared" si="182"/>
        <v>NOx
[g/km]</v>
      </c>
      <c r="J130" s="69" t="str">
        <f t="shared" si="182"/>
        <v>PM
[mg/km]</v>
      </c>
      <c r="K130" s="69" t="str">
        <f t="shared" si="182"/>
        <v>PN
[#/km]</v>
      </c>
      <c r="L130" s="366" t="str">
        <f t="shared" si="182"/>
        <v>Additional component</v>
      </c>
      <c r="M130" s="366" t="str">
        <f t="shared" si="182"/>
        <v>Additional
component 2</v>
      </c>
      <c r="N130" s="69" t="str">
        <f t="shared" si="182"/>
        <v>CO2
[g/km]</v>
      </c>
      <c r="O130" s="747"/>
      <c r="P130" s="748"/>
      <c r="Q130" s="748"/>
      <c r="R130" s="753"/>
      <c r="S130" s="747"/>
      <c r="T130" s="748"/>
      <c r="U130" s="748"/>
      <c r="V130" s="753"/>
      <c r="W130" s="320"/>
      <c r="X130" s="320"/>
      <c r="Y130" s="743"/>
      <c r="Z130" s="743"/>
      <c r="AA130" s="743"/>
      <c r="AB130" s="743"/>
      <c r="AC130" s="743"/>
      <c r="AD130" s="743"/>
      <c r="AE130" s="743"/>
      <c r="AF130" s="743"/>
      <c r="AG130" s="743"/>
      <c r="AH130" s="743"/>
      <c r="BC130" s="155" t="str">
        <f t="shared" si="127"/>
        <v>-</v>
      </c>
    </row>
    <row r="131" spans="1:71" ht="15" customHeight="1" outlineLevel="1" thickBot="1" x14ac:dyDescent="0.3">
      <c r="A131" s="324"/>
      <c r="B131" s="806" t="s">
        <v>103</v>
      </c>
      <c r="C131" s="318" t="s">
        <v>64</v>
      </c>
      <c r="D131" s="767" t="s">
        <v>119</v>
      </c>
      <c r="E131" s="769"/>
      <c r="F131" s="107" t="s">
        <v>64</v>
      </c>
      <c r="G131" s="107" t="s">
        <v>64</v>
      </c>
      <c r="H131" s="107" t="s">
        <v>64</v>
      </c>
      <c r="I131" s="107" t="s">
        <v>64</v>
      </c>
      <c r="J131" s="107" t="s">
        <v>64</v>
      </c>
      <c r="K131" s="164" t="s">
        <v>64</v>
      </c>
      <c r="L131" s="107" t="s">
        <v>64</v>
      </c>
      <c r="M131" s="107" t="s">
        <v>64</v>
      </c>
      <c r="N131" s="107" t="s">
        <v>64</v>
      </c>
      <c r="O131" s="749"/>
      <c r="P131" s="750"/>
      <c r="Q131" s="750"/>
      <c r="R131" s="754"/>
      <c r="S131" s="749"/>
      <c r="T131" s="750"/>
      <c r="U131" s="750"/>
      <c r="V131" s="754"/>
      <c r="W131" s="320"/>
      <c r="X131" s="320"/>
      <c r="Y131" s="743"/>
      <c r="Z131" s="743"/>
      <c r="AA131" s="743"/>
      <c r="AB131" s="743"/>
      <c r="AC131" s="743"/>
      <c r="AD131" s="743"/>
      <c r="AE131" s="743"/>
      <c r="AF131" s="743"/>
      <c r="AG131" s="743"/>
      <c r="AH131" s="743"/>
      <c r="BC131" s="155" t="str">
        <f t="shared" si="127"/>
        <v>-</v>
      </c>
    </row>
    <row r="132" spans="1:71" s="50" customFormat="1" ht="15" customHeight="1" outlineLevel="1" x14ac:dyDescent="0.25">
      <c r="A132" s="53"/>
      <c r="B132" s="807"/>
      <c r="C132" s="95" t="s">
        <v>114</v>
      </c>
      <c r="D132" s="770" t="s">
        <v>113</v>
      </c>
      <c r="E132" s="106" t="s">
        <v>94</v>
      </c>
      <c r="F132" s="105" t="s">
        <v>5</v>
      </c>
      <c r="G132" s="105" t="s">
        <v>5</v>
      </c>
      <c r="H132" s="105" t="s">
        <v>5</v>
      </c>
      <c r="I132" s="105" t="s">
        <v>5</v>
      </c>
      <c r="J132" s="105" t="s">
        <v>5</v>
      </c>
      <c r="K132" s="173" t="s">
        <v>5</v>
      </c>
      <c r="L132" s="173" t="s">
        <v>5</v>
      </c>
      <c r="M132" s="105" t="s">
        <v>5</v>
      </c>
      <c r="N132" s="105" t="s">
        <v>5</v>
      </c>
      <c r="O132" s="749"/>
      <c r="P132" s="750"/>
      <c r="Q132" s="750"/>
      <c r="R132" s="754"/>
      <c r="S132" s="749"/>
      <c r="T132" s="750"/>
      <c r="U132" s="750"/>
      <c r="V132" s="754"/>
      <c r="W132" s="51"/>
      <c r="X132" s="51"/>
      <c r="Y132" s="743"/>
      <c r="Z132" s="743"/>
      <c r="AA132" s="743"/>
      <c r="AB132" s="743"/>
      <c r="AC132" s="743"/>
      <c r="AD132" s="743"/>
      <c r="AE132" s="743"/>
      <c r="AF132" s="743"/>
      <c r="AG132" s="743"/>
      <c r="AH132" s="743"/>
      <c r="BC132" s="155" t="str">
        <f t="shared" si="127"/>
        <v>-</v>
      </c>
      <c r="BD132" s="150"/>
      <c r="BE132" s="150"/>
      <c r="BF132" s="150"/>
      <c r="BG132" s="150"/>
      <c r="BH132" s="150"/>
      <c r="BI132" s="150"/>
      <c r="BJ132" s="150"/>
      <c r="BK132" s="150"/>
      <c r="BL132" s="150"/>
      <c r="BM132" s="150"/>
      <c r="BN132" s="150"/>
      <c r="BO132" s="150"/>
      <c r="BP132" s="150"/>
      <c r="BQ132" s="150"/>
      <c r="BR132" s="150"/>
    </row>
    <row r="133" spans="1:71" ht="15" customHeight="1" outlineLevel="1" thickBot="1" x14ac:dyDescent="0.3">
      <c r="A133" s="324"/>
      <c r="B133" s="807"/>
      <c r="C133" s="94"/>
      <c r="D133" s="742"/>
      <c r="E133" s="104" t="s">
        <v>95</v>
      </c>
      <c r="F133" s="103" t="s">
        <v>5</v>
      </c>
      <c r="G133" s="103" t="s">
        <v>5</v>
      </c>
      <c r="H133" s="103" t="s">
        <v>5</v>
      </c>
      <c r="I133" s="103" t="s">
        <v>5</v>
      </c>
      <c r="J133" s="103" t="s">
        <v>5</v>
      </c>
      <c r="K133" s="174" t="s">
        <v>5</v>
      </c>
      <c r="L133" s="174" t="s">
        <v>5</v>
      </c>
      <c r="M133" s="103" t="s">
        <v>5</v>
      </c>
      <c r="N133" s="103" t="s">
        <v>5</v>
      </c>
      <c r="O133" s="749"/>
      <c r="P133" s="750"/>
      <c r="Q133" s="750"/>
      <c r="R133" s="754"/>
      <c r="S133" s="749"/>
      <c r="T133" s="750"/>
      <c r="U133" s="750"/>
      <c r="V133" s="754"/>
      <c r="W133" s="320"/>
      <c r="X133" s="320"/>
      <c r="Y133" s="743"/>
      <c r="Z133" s="743"/>
      <c r="AA133" s="743"/>
      <c r="AB133" s="743"/>
      <c r="AC133" s="743"/>
      <c r="AD133" s="743"/>
      <c r="AE133" s="743"/>
      <c r="AF133" s="743"/>
      <c r="AG133" s="743"/>
      <c r="AH133" s="743"/>
      <c r="BC133" s="155" t="str">
        <f t="shared" si="127"/>
        <v>-</v>
      </c>
    </row>
    <row r="134" spans="1:71" ht="15" customHeight="1" outlineLevel="1" thickBot="1" x14ac:dyDescent="0.3">
      <c r="A134" s="324"/>
      <c r="B134" s="807"/>
      <c r="C134" s="764" t="s">
        <v>5</v>
      </c>
      <c r="D134" s="772" t="str">
        <f>IF(AND(F135="-",G135="-",H135="-",I135="-",J135="-",K135="-",L135="-",M135="-"),"-",MAX(F135,G135,H135,I135,J135,K135,L135,M135))</f>
        <v>-</v>
      </c>
      <c r="E134" s="66" t="s">
        <v>177</v>
      </c>
      <c r="F134" s="65" t="str">
        <f t="shared" ref="F134:M134" si="183">IF(OR(F133="-",F133=""),IF(OR(F132="-",F132=""),"-",F132),IF(OR(F132="-",F132=""),F133,(F132+F133)/2))</f>
        <v>-</v>
      </c>
      <c r="G134" s="65" t="str">
        <f t="shared" si="183"/>
        <v>-</v>
      </c>
      <c r="H134" s="65" t="str">
        <f t="shared" si="183"/>
        <v>-</v>
      </c>
      <c r="I134" s="65" t="str">
        <f t="shared" si="183"/>
        <v>-</v>
      </c>
      <c r="J134" s="65" t="str">
        <f t="shared" si="183"/>
        <v>-</v>
      </c>
      <c r="K134" s="167" t="str">
        <f t="shared" si="183"/>
        <v>-</v>
      </c>
      <c r="L134" s="167" t="str">
        <f t="shared" ref="L134" si="184">IF(OR(L133="-",L133=""),IF(OR(L132="-",L132=""),"-",L132),IF(OR(L132="-",L132=""),L133,(L132+L133)/2))</f>
        <v>-</v>
      </c>
      <c r="M134" s="65" t="str">
        <f t="shared" si="183"/>
        <v>-</v>
      </c>
      <c r="N134" s="822"/>
      <c r="O134" s="749"/>
      <c r="P134" s="750"/>
      <c r="Q134" s="750"/>
      <c r="R134" s="754"/>
      <c r="S134" s="749"/>
      <c r="T134" s="750"/>
      <c r="U134" s="750"/>
      <c r="V134" s="754"/>
      <c r="W134" s="320"/>
      <c r="X134" s="320"/>
      <c r="Y134" s="743"/>
      <c r="Z134" s="743"/>
      <c r="AA134" s="743"/>
      <c r="AB134" s="743"/>
      <c r="AC134" s="743"/>
      <c r="AD134" s="743"/>
      <c r="AE134" s="743"/>
      <c r="AF134" s="743"/>
      <c r="AG134" s="743"/>
      <c r="AH134" s="743"/>
      <c r="BC134" s="155" t="str">
        <f t="shared" si="127"/>
        <v>-</v>
      </c>
    </row>
    <row r="135" spans="1:71" ht="15" customHeight="1" outlineLevel="1" thickBot="1" x14ac:dyDescent="0.3">
      <c r="A135" s="324"/>
      <c r="B135" s="807"/>
      <c r="C135" s="765"/>
      <c r="D135" s="773"/>
      <c r="E135" s="64" t="s">
        <v>97</v>
      </c>
      <c r="F135" s="63" t="str">
        <f t="shared" ref="F135:M135" si="185">IF(AND(OR($C134="-",$C134="CET",$C134=""),OR(F131="-",F131="CET",F131="")),"-",IF(AND(NOT(F134="-"),NOT(F$6="-"),NOT(F$6="")),F134/F$6,"-"))</f>
        <v>-</v>
      </c>
      <c r="G135" s="63" t="str">
        <f t="shared" si="185"/>
        <v>-</v>
      </c>
      <c r="H135" s="63" t="str">
        <f t="shared" si="185"/>
        <v>-</v>
      </c>
      <c r="I135" s="63" t="str">
        <f t="shared" si="185"/>
        <v>-</v>
      </c>
      <c r="J135" s="63" t="str">
        <f t="shared" si="185"/>
        <v>-</v>
      </c>
      <c r="K135" s="168" t="str">
        <f t="shared" si="185"/>
        <v>-</v>
      </c>
      <c r="L135" s="168" t="str">
        <f t="shared" ref="L135" si="186">IF(AND(OR($C134="-",$C134="CET",$C134=""),OR(L131="-",L131="CET",L131="")),"-",IF(AND(NOT(L134="-"),NOT(L$6="-"),NOT(L$6="")),L134/L$6,"-"))</f>
        <v>-</v>
      </c>
      <c r="M135" s="63" t="str">
        <f t="shared" si="185"/>
        <v>-</v>
      </c>
      <c r="N135" s="823"/>
      <c r="O135" s="749"/>
      <c r="P135" s="750"/>
      <c r="Q135" s="750"/>
      <c r="R135" s="754"/>
      <c r="S135" s="749"/>
      <c r="T135" s="750"/>
      <c r="U135" s="750"/>
      <c r="V135" s="754"/>
      <c r="W135" s="320"/>
      <c r="X135" s="320"/>
      <c r="Y135" s="743"/>
      <c r="Z135" s="743"/>
      <c r="AA135" s="743"/>
      <c r="AB135" s="743"/>
      <c r="AC135" s="743"/>
      <c r="AD135" s="743"/>
      <c r="AE135" s="743"/>
      <c r="AF135" s="743"/>
      <c r="AG135" s="743"/>
      <c r="AH135" s="743"/>
      <c r="BC135" s="155" t="str">
        <f t="shared" si="127"/>
        <v>-</v>
      </c>
      <c r="BN135" s="69" t="str">
        <f>$H$4</f>
        <v>CO
[g/km]</v>
      </c>
      <c r="BO135" s="69" t="str">
        <f>$I$4</f>
        <v>NOx
[g/km]</v>
      </c>
      <c r="BP135" s="69" t="str">
        <f>$J$4</f>
        <v>PM
[mg/km]</v>
      </c>
      <c r="BQ135" s="163" t="str">
        <f>$K$4</f>
        <v>PN
[#/km]</v>
      </c>
      <c r="BR135" s="69" t="str">
        <f>$M$4</f>
        <v>Additional
component 2</v>
      </c>
      <c r="BS135" s="69" t="str">
        <f>$N$4</f>
        <v>CO2
[g/km]</v>
      </c>
    </row>
    <row r="136" spans="1:71" ht="15" customHeight="1" outlineLevel="1" thickBot="1" x14ac:dyDescent="0.3">
      <c r="A136" s="324"/>
      <c r="B136" s="807"/>
      <c r="C136" s="766"/>
      <c r="D136" s="774"/>
      <c r="E136" s="68" t="s">
        <v>30</v>
      </c>
      <c r="F136" s="68" t="str">
        <f t="shared" ref="F136:M136" si="187">IF(AND(OR(F132="-",F132=""),OR(F133="-",F133="")),"-",IF(AND(OR(F131="CET",F131="-",F131=""),OR($C134="CET",$C134="-",$C134="")),"-",IF($R$127="not listed","-",IF(AND(NOT(F$6="-"),NOT(F$6="")),IF(AND(AND(NOT(F132=0),NOT(F132="-"),NOT(F132="")),AND(NOT(F133="-"),NOT(F133=0),NOT(F133=""))),IF(AND((F132+F133)/2&lt;1*F$6*IF(OR(F131="CET",F131="-",F131=""),IF(OR($C134="CET",$C134="-",$C134=""),"-",$C134),F131),F132&lt;1.1*F$6*IF(OR(F131="CET",F131="-",F131=""),IF(OR($C134="CET",$C134="-",$C134=""),"-",$C134),F131),F133&lt;1.1*F$6*IF(OR(F131="CET",F131="-",F131=""),IF($C134="CET","-",$C134),F131)),"passed","refused"),IF(IF(OR(F132="-",F132=""),F133,F132)&lt;0.7*F$6*IF(OR(F131="CET",F131="-",F131=""),IF($C134="CET","-",$C134),F131),"passed",IF(IF(OR(F132="-",F132=""),F133,F132)&lt;1.1*IF(OR(F131="CET",F131="-",F131=""),IF($C134="CET","-",$C134),F131)*F$6,"failed","refused"))),"-"))))</f>
        <v>-</v>
      </c>
      <c r="G136" s="68" t="str">
        <f t="shared" si="187"/>
        <v>-</v>
      </c>
      <c r="H136" s="68" t="str">
        <f t="shared" si="187"/>
        <v>-</v>
      </c>
      <c r="I136" s="68" t="str">
        <f t="shared" si="187"/>
        <v>-</v>
      </c>
      <c r="J136" s="68" t="str">
        <f t="shared" si="187"/>
        <v>-</v>
      </c>
      <c r="K136" s="341" t="str">
        <f t="shared" si="187"/>
        <v>-</v>
      </c>
      <c r="L136" s="341" t="str">
        <f t="shared" si="187"/>
        <v>-</v>
      </c>
      <c r="M136" s="68" t="str">
        <f t="shared" si="187"/>
        <v>-</v>
      </c>
      <c r="N136" s="824"/>
      <c r="O136" s="749"/>
      <c r="P136" s="750"/>
      <c r="Q136" s="750"/>
      <c r="R136" s="754"/>
      <c r="S136" s="749"/>
      <c r="T136" s="750"/>
      <c r="U136" s="750"/>
      <c r="V136" s="754"/>
      <c r="W136" s="320"/>
      <c r="X136" s="320"/>
      <c r="Y136" s="743"/>
      <c r="Z136" s="743"/>
      <c r="AA136" s="743"/>
      <c r="AB136" s="743"/>
      <c r="AC136" s="743"/>
      <c r="AD136" s="743"/>
      <c r="AE136" s="743"/>
      <c r="AF136" s="743"/>
      <c r="AG136" s="743"/>
      <c r="AH136" s="743"/>
      <c r="BC136" s="155" t="str">
        <f t="shared" si="127"/>
        <v>-</v>
      </c>
      <c r="BN136" s="153">
        <v>1</v>
      </c>
      <c r="BO136" s="153">
        <v>1</v>
      </c>
      <c r="BP136" s="153">
        <v>1</v>
      </c>
      <c r="BQ136" s="153">
        <v>1</v>
      </c>
      <c r="BR136" s="153">
        <v>1</v>
      </c>
      <c r="BS136" s="153">
        <v>1</v>
      </c>
    </row>
    <row r="137" spans="1:71" ht="15" customHeight="1" outlineLevel="1" x14ac:dyDescent="0.25">
      <c r="A137" s="324"/>
      <c r="B137" s="762"/>
      <c r="C137" s="763"/>
      <c r="D137" s="338"/>
      <c r="E137" s="338"/>
      <c r="F137" s="90"/>
      <c r="G137" s="90"/>
      <c r="H137" s="90"/>
      <c r="I137" s="90"/>
      <c r="J137" s="90"/>
      <c r="K137" s="176"/>
      <c r="L137" s="176"/>
      <c r="M137" s="90"/>
      <c r="N137" s="89"/>
      <c r="O137" s="749"/>
      <c r="P137" s="750"/>
      <c r="Q137" s="750"/>
      <c r="R137" s="754"/>
      <c r="S137" s="749"/>
      <c r="T137" s="750"/>
      <c r="U137" s="750"/>
      <c r="V137" s="754"/>
      <c r="W137" s="320"/>
      <c r="X137" s="320"/>
      <c r="Y137" s="743"/>
      <c r="Z137" s="743"/>
      <c r="AA137" s="743"/>
      <c r="AB137" s="743"/>
      <c r="AC137" s="743"/>
      <c r="AD137" s="743"/>
      <c r="AE137" s="743"/>
      <c r="AF137" s="743"/>
      <c r="AG137" s="743"/>
      <c r="AH137" s="743"/>
      <c r="BC137" s="155" t="str">
        <f t="shared" si="127"/>
        <v>-</v>
      </c>
      <c r="BN137" s="153" t="str">
        <f>IF((OR($C134="-",$C134="CET",$C134="")),"-",IF(AND(OR(H132="-",H132=""),OR(H133="-",H133="")),"-",IF(NOT(OR(H132="-",H132="")),H132/H$6,H133/H$6)))</f>
        <v>-</v>
      </c>
      <c r="BO137" s="153" t="str">
        <f>IF((OR($C134="-",$C134="CET",$C134="")),"-",IF(AND(OR(I132="-",I132=""),OR(I133="-",I133="")),"-",IF(NOT(OR(I132="-",I132="")),I132/I$6,I133/I$6)))</f>
        <v>-</v>
      </c>
      <c r="BP137" s="153" t="str">
        <f>IF((OR($C134="-",$C134="CET",$C134="")),"-",IF(AND(OR(J132="-",J132=""),OR(J133="-",J133="")),"-",IF(NOT(OR(J132="-",J132="")),J132/J$6,J133/J$6)))</f>
        <v>-</v>
      </c>
      <c r="BQ137" s="153" t="str">
        <f>IF((OR($C134="-",$C134="CET",$C134="")),"-",IF(AND(OR(K132="-",K132=""),OR(K133="-",K133="")),"-",IF(NOT(OR(K132="-",K132="")),K132/K$6,K133/K$6)))</f>
        <v>-</v>
      </c>
      <c r="BR137" s="153" t="str">
        <f t="shared" ref="BR137:BS137" si="188">IF((OR($C134="-",$C134="CET",$C134="")),"-",IF(AND(OR(M132="-",M132=""),OR(M133="-",M133="")),"-",IF(NOT(OR(M132="-",M132="")),M132/M$6,M133/M$6)))</f>
        <v>-</v>
      </c>
      <c r="BS137" s="153" t="str">
        <f t="shared" si="188"/>
        <v>-</v>
      </c>
    </row>
    <row r="138" spans="1:71" ht="15" customHeight="1" outlineLevel="1" x14ac:dyDescent="0.25">
      <c r="A138" s="324"/>
      <c r="B138" s="761"/>
      <c r="C138" s="760"/>
      <c r="D138" s="332"/>
      <c r="E138" s="332"/>
      <c r="F138" s="337"/>
      <c r="G138" s="337"/>
      <c r="H138" s="337"/>
      <c r="I138" s="337"/>
      <c r="J138" s="337"/>
      <c r="K138" s="171"/>
      <c r="L138" s="171"/>
      <c r="M138" s="337"/>
      <c r="N138" s="57"/>
      <c r="O138" s="749"/>
      <c r="P138" s="750"/>
      <c r="Q138" s="750"/>
      <c r="R138" s="754"/>
      <c r="S138" s="749"/>
      <c r="T138" s="750"/>
      <c r="U138" s="750"/>
      <c r="V138" s="754"/>
      <c r="W138" s="320"/>
      <c r="X138" s="320"/>
      <c r="Y138" s="743"/>
      <c r="Z138" s="743"/>
      <c r="AA138" s="743"/>
      <c r="AB138" s="743"/>
      <c r="AC138" s="743"/>
      <c r="AD138" s="743"/>
      <c r="AE138" s="743"/>
      <c r="AF138" s="743"/>
      <c r="AG138" s="743"/>
      <c r="AH138" s="743"/>
      <c r="BC138" s="155" t="str">
        <f t="shared" si="127"/>
        <v>-</v>
      </c>
      <c r="BN138" s="153"/>
      <c r="BO138" s="153"/>
      <c r="BP138" s="153"/>
      <c r="BQ138" s="153"/>
      <c r="BR138" s="153"/>
      <c r="BS138" s="153"/>
    </row>
    <row r="139" spans="1:71" ht="15" customHeight="1" outlineLevel="1" x14ac:dyDescent="0.25">
      <c r="A139" s="324"/>
      <c r="B139" s="761"/>
      <c r="C139" s="760"/>
      <c r="D139" s="332"/>
      <c r="E139" s="332"/>
      <c r="F139" s="56"/>
      <c r="G139" s="56"/>
      <c r="H139" s="56"/>
      <c r="I139" s="56"/>
      <c r="J139" s="56"/>
      <c r="K139" s="171"/>
      <c r="L139" s="171"/>
      <c r="M139" s="56"/>
      <c r="N139" s="55"/>
      <c r="O139" s="749"/>
      <c r="P139" s="750"/>
      <c r="Q139" s="750"/>
      <c r="R139" s="754"/>
      <c r="S139" s="749"/>
      <c r="T139" s="750"/>
      <c r="U139" s="750"/>
      <c r="V139" s="754"/>
      <c r="W139" s="320"/>
      <c r="X139" s="320"/>
      <c r="Y139" s="743"/>
      <c r="Z139" s="743"/>
      <c r="AA139" s="743"/>
      <c r="AB139" s="743"/>
      <c r="AC139" s="743"/>
      <c r="AD139" s="743"/>
      <c r="AE139" s="743"/>
      <c r="AF139" s="743"/>
      <c r="AG139" s="743"/>
      <c r="AH139" s="743"/>
      <c r="BC139" s="155" t="str">
        <f t="shared" si="127"/>
        <v>-</v>
      </c>
      <c r="BN139" s="153"/>
      <c r="BO139" s="153"/>
      <c r="BP139" s="153"/>
      <c r="BQ139" s="153"/>
      <c r="BR139" s="153"/>
      <c r="BS139" s="153"/>
    </row>
    <row r="140" spans="1:71" ht="15" customHeight="1" outlineLevel="1" x14ac:dyDescent="0.25">
      <c r="A140" s="40"/>
      <c r="B140" s="761"/>
      <c r="C140" s="760"/>
      <c r="D140" s="332"/>
      <c r="E140" s="332"/>
      <c r="F140" s="56"/>
      <c r="G140" s="56"/>
      <c r="H140" s="56"/>
      <c r="I140" s="56"/>
      <c r="J140" s="56"/>
      <c r="K140" s="171"/>
      <c r="L140" s="171"/>
      <c r="M140" s="56"/>
      <c r="N140" s="55"/>
      <c r="O140" s="749"/>
      <c r="P140" s="750"/>
      <c r="Q140" s="750"/>
      <c r="R140" s="754"/>
      <c r="S140" s="749"/>
      <c r="T140" s="750"/>
      <c r="U140" s="750"/>
      <c r="V140" s="754"/>
      <c r="W140" s="320"/>
      <c r="X140" s="320"/>
      <c r="Y140" s="743"/>
      <c r="Z140" s="743"/>
      <c r="AA140" s="743"/>
      <c r="AB140" s="743"/>
      <c r="AC140" s="743"/>
      <c r="AD140" s="743"/>
      <c r="AE140" s="743"/>
      <c r="AF140" s="743"/>
      <c r="AG140" s="743"/>
      <c r="AH140" s="743"/>
      <c r="BC140" s="155" t="str">
        <f t="shared" si="127"/>
        <v>-</v>
      </c>
      <c r="BN140" s="153"/>
      <c r="BO140" s="153"/>
      <c r="BP140" s="153"/>
      <c r="BQ140" s="153"/>
      <c r="BR140" s="153"/>
      <c r="BS140" s="153"/>
    </row>
    <row r="141" spans="1:71" ht="15" customHeight="1" outlineLevel="1" x14ac:dyDescent="0.25">
      <c r="A141" s="40"/>
      <c r="B141" s="761"/>
      <c r="C141" s="760"/>
      <c r="D141" s="332"/>
      <c r="E141" s="332"/>
      <c r="F141" s="332"/>
      <c r="G141" s="332"/>
      <c r="H141" s="332"/>
      <c r="I141" s="332"/>
      <c r="J141" s="332"/>
      <c r="K141" s="171"/>
      <c r="L141" s="171"/>
      <c r="M141" s="332"/>
      <c r="N141" s="59"/>
      <c r="O141" s="749"/>
      <c r="P141" s="750"/>
      <c r="Q141" s="750"/>
      <c r="R141" s="754"/>
      <c r="S141" s="749"/>
      <c r="T141" s="750"/>
      <c r="U141" s="750"/>
      <c r="V141" s="754"/>
      <c r="W141" s="320"/>
      <c r="X141" s="320"/>
      <c r="Y141" s="743"/>
      <c r="Z141" s="743"/>
      <c r="AA141" s="743"/>
      <c r="AB141" s="743"/>
      <c r="AC141" s="743"/>
      <c r="AD141" s="743"/>
      <c r="AE141" s="743"/>
      <c r="AF141" s="743"/>
      <c r="AG141" s="743"/>
      <c r="AH141" s="743"/>
      <c r="BC141" s="155" t="str">
        <f t="shared" si="127"/>
        <v>-</v>
      </c>
      <c r="BN141" s="153" t="str">
        <f>IF(AND(OR($C134="-",$C134="CET",$C134=""),OR(H131="-",H131="CET",H131="")),"-",0.7*IF(OR(H131="CET",H131="-",H131=""),IF(OR($C134="CET",$C134="-",$C134=""),"-",$C134),H131))</f>
        <v>-</v>
      </c>
      <c r="BO141" s="153" t="str">
        <f>IF(AND(OR($C134="-",$C134="CET",$C134=""),OR(I131="-",I131="CET",I131="")),"-",0.7*IF(OR(I131="CET",I131="-",I131=""),IF(OR($C134="CET",$C134="-",$C134=""),"-",$C134),I131))</f>
        <v>-</v>
      </c>
      <c r="BP141" s="153" t="str">
        <f>IF(AND(OR($C134="-",$C134="CET",$C134=""),OR(J131="-",J131="CET",J131="")),"-",0.7*IF(OR(J131="CET",J131="-",J131=""),IF(OR($C134="CET",$C134="-",$C134=""),"-",$C134),J131))</f>
        <v>-</v>
      </c>
      <c r="BQ141" s="153" t="str">
        <f>IF(AND(OR($C134="-",$C134="CET",$C134=""),OR(K131="-",K131="CET",K131="")),"-",0.7*IF(OR(K131="CET",K131="-",K131=""),IF(OR($C134="CET",$C134="-",$C134=""),"-",$C134),K131))</f>
        <v>-</v>
      </c>
      <c r="BR141" s="153" t="str">
        <f t="shared" ref="BR141:BS141" si="189">IF(AND(OR($C134="-",$C134="CET",$C134=""),OR(M131="-",M131="CET",M131="")),"-",0.7*IF(OR(M131="CET",M131="-",M131=""),IF(OR($C134="CET",$C134="-",$C134=""),"-",$C134),M131))</f>
        <v>-</v>
      </c>
      <c r="BS141" s="153" t="str">
        <f t="shared" si="189"/>
        <v>-</v>
      </c>
    </row>
    <row r="142" spans="1:71" ht="15" customHeight="1" outlineLevel="1" x14ac:dyDescent="0.25">
      <c r="A142" s="40"/>
      <c r="B142" s="761"/>
      <c r="C142" s="760"/>
      <c r="D142" s="332"/>
      <c r="E142" s="332"/>
      <c r="F142" s="337"/>
      <c r="G142" s="337"/>
      <c r="H142" s="337"/>
      <c r="I142" s="337"/>
      <c r="J142" s="337"/>
      <c r="K142" s="171"/>
      <c r="L142" s="171"/>
      <c r="M142" s="337"/>
      <c r="N142" s="57"/>
      <c r="O142" s="749"/>
      <c r="P142" s="750"/>
      <c r="Q142" s="750"/>
      <c r="R142" s="754"/>
      <c r="S142" s="749"/>
      <c r="T142" s="750"/>
      <c r="U142" s="750"/>
      <c r="V142" s="754"/>
      <c r="W142" s="320"/>
      <c r="X142" s="320"/>
      <c r="Y142" s="743"/>
      <c r="Z142" s="743"/>
      <c r="AA142" s="743"/>
      <c r="AB142" s="743"/>
      <c r="AC142" s="743"/>
      <c r="AD142" s="743"/>
      <c r="AE142" s="743"/>
      <c r="AF142" s="743"/>
      <c r="AG142" s="743"/>
      <c r="AH142" s="743"/>
      <c r="BC142" s="155" t="str">
        <f t="shared" si="127"/>
        <v>-</v>
      </c>
      <c r="BN142" s="153"/>
      <c r="BO142" s="153"/>
      <c r="BP142" s="153"/>
      <c r="BQ142" s="153"/>
      <c r="BR142" s="153"/>
      <c r="BS142" s="153"/>
    </row>
    <row r="143" spans="1:71" ht="15" customHeight="1" outlineLevel="1" x14ac:dyDescent="0.25">
      <c r="A143" s="40"/>
      <c r="B143" s="761"/>
      <c r="C143" s="760"/>
      <c r="D143" s="332"/>
      <c r="E143" s="332"/>
      <c r="F143" s="337"/>
      <c r="G143" s="337"/>
      <c r="H143" s="337"/>
      <c r="I143" s="337"/>
      <c r="J143" s="337"/>
      <c r="K143" s="171"/>
      <c r="L143" s="171"/>
      <c r="M143" s="337"/>
      <c r="N143" s="57"/>
      <c r="O143" s="749"/>
      <c r="P143" s="750"/>
      <c r="Q143" s="750"/>
      <c r="R143" s="754"/>
      <c r="S143" s="749"/>
      <c r="T143" s="750"/>
      <c r="U143" s="750"/>
      <c r="V143" s="754"/>
      <c r="W143" s="320"/>
      <c r="X143" s="320"/>
      <c r="Y143" s="743"/>
      <c r="Z143" s="743"/>
      <c r="AA143" s="743"/>
      <c r="AB143" s="743"/>
      <c r="AC143" s="743"/>
      <c r="AD143" s="743"/>
      <c r="AE143" s="743"/>
      <c r="AF143" s="743"/>
      <c r="AG143" s="743"/>
      <c r="AH143" s="743"/>
      <c r="BC143" s="155" t="str">
        <f t="shared" si="127"/>
        <v>-</v>
      </c>
      <c r="BN143" s="153"/>
      <c r="BO143" s="153"/>
      <c r="BP143" s="153"/>
      <c r="BQ143" s="153"/>
      <c r="BR143" s="153"/>
      <c r="BS143" s="153"/>
    </row>
    <row r="144" spans="1:71" ht="15" customHeight="1" outlineLevel="1" x14ac:dyDescent="0.25">
      <c r="A144" s="40"/>
      <c r="B144" s="761"/>
      <c r="C144" s="760"/>
      <c r="D144" s="332"/>
      <c r="E144" s="332"/>
      <c r="F144" s="56"/>
      <c r="G144" s="56"/>
      <c r="H144" s="56"/>
      <c r="I144" s="56"/>
      <c r="J144" s="56"/>
      <c r="K144" s="171"/>
      <c r="L144" s="171"/>
      <c r="M144" s="56"/>
      <c r="N144" s="55"/>
      <c r="O144" s="749"/>
      <c r="P144" s="750"/>
      <c r="Q144" s="750"/>
      <c r="R144" s="754"/>
      <c r="S144" s="749"/>
      <c r="T144" s="750"/>
      <c r="U144" s="750"/>
      <c r="V144" s="754"/>
      <c r="W144" s="320"/>
      <c r="X144" s="320"/>
      <c r="Y144" s="743"/>
      <c r="Z144" s="743"/>
      <c r="AA144" s="743"/>
      <c r="AB144" s="743"/>
      <c r="AC144" s="743"/>
      <c r="AD144" s="743"/>
      <c r="AE144" s="743"/>
      <c r="AF144" s="743"/>
      <c r="AG144" s="743"/>
      <c r="AH144" s="743"/>
      <c r="BC144" s="155" t="str">
        <f t="shared" si="127"/>
        <v>-</v>
      </c>
      <c r="BN144" s="153"/>
      <c r="BO144" s="153"/>
      <c r="BP144" s="153"/>
      <c r="BQ144" s="153"/>
      <c r="BR144" s="153"/>
      <c r="BS144" s="153"/>
    </row>
    <row r="145" spans="1:71" ht="15" customHeight="1" outlineLevel="1" x14ac:dyDescent="0.25">
      <c r="A145" s="40"/>
      <c r="B145" s="761"/>
      <c r="C145" s="760"/>
      <c r="D145" s="332"/>
      <c r="E145" s="332"/>
      <c r="F145" s="56"/>
      <c r="G145" s="56"/>
      <c r="H145" s="56"/>
      <c r="I145" s="56"/>
      <c r="J145" s="56"/>
      <c r="K145" s="171"/>
      <c r="L145" s="171"/>
      <c r="M145" s="56"/>
      <c r="N145" s="55"/>
      <c r="O145" s="749"/>
      <c r="P145" s="750"/>
      <c r="Q145" s="750"/>
      <c r="R145" s="754"/>
      <c r="S145" s="749"/>
      <c r="T145" s="750"/>
      <c r="U145" s="750"/>
      <c r="V145" s="754"/>
      <c r="W145" s="320"/>
      <c r="X145" s="320"/>
      <c r="Y145" s="743"/>
      <c r="Z145" s="743"/>
      <c r="AA145" s="743"/>
      <c r="AB145" s="743"/>
      <c r="AC145" s="743"/>
      <c r="AD145" s="743"/>
      <c r="AE145" s="743"/>
      <c r="AF145" s="743"/>
      <c r="AG145" s="743"/>
      <c r="AH145" s="743"/>
      <c r="BC145" s="155" t="str">
        <f t="shared" si="127"/>
        <v>-</v>
      </c>
      <c r="BN145" s="153" t="str">
        <f>H135</f>
        <v>-</v>
      </c>
      <c r="BO145" s="153" t="str">
        <f>I135</f>
        <v>-</v>
      </c>
      <c r="BP145" s="153" t="str">
        <f>J135</f>
        <v>-</v>
      </c>
      <c r="BQ145" s="153" t="str">
        <f>K135</f>
        <v>-</v>
      </c>
      <c r="BR145" s="153" t="str">
        <f t="shared" ref="BR145:BS145" si="190">M135</f>
        <v>-</v>
      </c>
      <c r="BS145" s="153">
        <f t="shared" si="190"/>
        <v>0</v>
      </c>
    </row>
    <row r="146" spans="1:71" ht="15" customHeight="1" outlineLevel="1" x14ac:dyDescent="0.25">
      <c r="A146" s="40"/>
      <c r="B146" s="761"/>
      <c r="C146" s="760"/>
      <c r="D146" s="332"/>
      <c r="E146" s="332"/>
      <c r="F146" s="332"/>
      <c r="G146" s="332"/>
      <c r="H146" s="332"/>
      <c r="I146" s="332"/>
      <c r="J146" s="332"/>
      <c r="K146" s="171"/>
      <c r="L146" s="171"/>
      <c r="M146" s="332"/>
      <c r="N146" s="59"/>
      <c r="O146" s="749"/>
      <c r="P146" s="750"/>
      <c r="Q146" s="750"/>
      <c r="R146" s="754"/>
      <c r="S146" s="749"/>
      <c r="T146" s="750"/>
      <c r="U146" s="750"/>
      <c r="V146" s="754"/>
      <c r="W146" s="320"/>
      <c r="X146" s="320"/>
      <c r="Y146" s="743"/>
      <c r="Z146" s="743"/>
      <c r="AA146" s="743"/>
      <c r="AB146" s="743"/>
      <c r="AC146" s="743"/>
      <c r="AD146" s="743"/>
      <c r="AE146" s="743"/>
      <c r="AF146" s="743"/>
      <c r="AG146" s="743"/>
      <c r="AH146" s="743"/>
      <c r="BC146" s="155" t="str">
        <f t="shared" ref="BC146:BC209" si="191">IF(COUNTIF(F146:M146,"refused")&gt;0,"refused",IF(COUNTIF(F146:M146,"failed")&gt;0,"failed",IF(COUNTIF(F146:M146,"passed")&gt;0,"passed","-")))</f>
        <v>-</v>
      </c>
      <c r="BN146" s="153"/>
      <c r="BO146" s="153"/>
      <c r="BP146" s="153"/>
      <c r="BQ146" s="153"/>
      <c r="BR146" s="153"/>
      <c r="BS146" s="153"/>
    </row>
    <row r="147" spans="1:71" ht="15" customHeight="1" outlineLevel="1" x14ac:dyDescent="0.25">
      <c r="A147" s="40"/>
      <c r="B147" s="761"/>
      <c r="C147" s="760"/>
      <c r="D147" s="332"/>
      <c r="E147" s="332"/>
      <c r="F147" s="337"/>
      <c r="G147" s="337"/>
      <c r="H147" s="337"/>
      <c r="I147" s="337"/>
      <c r="J147" s="337"/>
      <c r="K147" s="171"/>
      <c r="L147" s="171"/>
      <c r="M147" s="337"/>
      <c r="N147" s="57"/>
      <c r="O147" s="749"/>
      <c r="P147" s="750"/>
      <c r="Q147" s="750"/>
      <c r="R147" s="754"/>
      <c r="S147" s="749"/>
      <c r="T147" s="750"/>
      <c r="U147" s="750"/>
      <c r="V147" s="754"/>
      <c r="W147" s="320"/>
      <c r="X147" s="320"/>
      <c r="Y147" s="743"/>
      <c r="Z147" s="743"/>
      <c r="AA147" s="743"/>
      <c r="AB147" s="743"/>
      <c r="AC147" s="743"/>
      <c r="AD147" s="743"/>
      <c r="AE147" s="743"/>
      <c r="AF147" s="743"/>
      <c r="AG147" s="743"/>
      <c r="AH147" s="743"/>
      <c r="BC147" s="155" t="str">
        <f t="shared" si="191"/>
        <v>-</v>
      </c>
      <c r="BN147" s="153"/>
      <c r="BO147" s="153"/>
      <c r="BP147" s="153"/>
      <c r="BQ147" s="153"/>
      <c r="BR147" s="153"/>
      <c r="BS147" s="153"/>
    </row>
    <row r="148" spans="1:71" ht="15" customHeight="1" outlineLevel="1" x14ac:dyDescent="0.25">
      <c r="A148" s="40"/>
      <c r="B148" s="761"/>
      <c r="C148" s="760"/>
      <c r="D148" s="332"/>
      <c r="E148" s="332"/>
      <c r="F148" s="337"/>
      <c r="G148" s="337"/>
      <c r="H148" s="337"/>
      <c r="I148" s="337"/>
      <c r="J148" s="337"/>
      <c r="K148" s="171"/>
      <c r="L148" s="171"/>
      <c r="M148" s="337"/>
      <c r="N148" s="57"/>
      <c r="O148" s="749"/>
      <c r="P148" s="750"/>
      <c r="Q148" s="750"/>
      <c r="R148" s="754"/>
      <c r="S148" s="749"/>
      <c r="T148" s="750"/>
      <c r="U148" s="750"/>
      <c r="V148" s="754"/>
      <c r="W148" s="320"/>
      <c r="X148" s="320"/>
      <c r="Y148" s="743"/>
      <c r="Z148" s="743"/>
      <c r="AA148" s="743"/>
      <c r="AB148" s="743"/>
      <c r="AC148" s="743"/>
      <c r="AD148" s="743"/>
      <c r="AE148" s="743"/>
      <c r="AF148" s="743"/>
      <c r="AG148" s="743"/>
      <c r="AH148" s="743"/>
      <c r="BC148" s="155" t="str">
        <f t="shared" si="191"/>
        <v>-</v>
      </c>
      <c r="BN148" s="153"/>
      <c r="BO148" s="153"/>
      <c r="BP148" s="153"/>
      <c r="BQ148" s="153"/>
      <c r="BR148" s="153"/>
      <c r="BS148" s="153"/>
    </row>
    <row r="149" spans="1:71" ht="15" customHeight="1" outlineLevel="1" x14ac:dyDescent="0.25">
      <c r="A149" s="40"/>
      <c r="B149" s="761"/>
      <c r="C149" s="760"/>
      <c r="D149" s="332"/>
      <c r="E149" s="332"/>
      <c r="F149" s="56"/>
      <c r="G149" s="56"/>
      <c r="H149" s="56"/>
      <c r="I149" s="56"/>
      <c r="J149" s="56"/>
      <c r="K149" s="171"/>
      <c r="L149" s="171"/>
      <c r="M149" s="56"/>
      <c r="N149" s="55"/>
      <c r="O149" s="749"/>
      <c r="P149" s="750"/>
      <c r="Q149" s="750"/>
      <c r="R149" s="754"/>
      <c r="S149" s="749"/>
      <c r="T149" s="750"/>
      <c r="U149" s="750"/>
      <c r="V149" s="754"/>
      <c r="W149" s="320"/>
      <c r="X149" s="320"/>
      <c r="Y149" s="743"/>
      <c r="Z149" s="743"/>
      <c r="AA149" s="743"/>
      <c r="AB149" s="743"/>
      <c r="AC149" s="743"/>
      <c r="AD149" s="743"/>
      <c r="AE149" s="743"/>
      <c r="AF149" s="743"/>
      <c r="AG149" s="743"/>
      <c r="AH149" s="743"/>
      <c r="BC149" s="155" t="str">
        <f t="shared" si="191"/>
        <v>-</v>
      </c>
      <c r="BN149" s="153" t="str">
        <f>IF(AND(OR($C134="-",$C134="CET",$C134=""),OR(H131="-",H131="CET",H131="")),"-",IF(OR(H131="CET",H131="-",H131=""),IF(OR($C134="CET",$C134="-",$C134=""),"-",$C134),H131))</f>
        <v>-</v>
      </c>
      <c r="BO149" s="153" t="str">
        <f>IF(AND(OR($C134="-",$C134="CET",$C134=""),OR(I131="-",I131="CET",I131="")),"-",IF(OR(I131="CET",I131="-",I131=""),IF(OR($C134="CET",$C134="-",$C134=""),"-",$C134),I131))</f>
        <v>-</v>
      </c>
      <c r="BP149" s="153" t="str">
        <f>IF(AND(OR($C134="-",$C134="CET",$C134=""),OR(J131="-",J131="CET",J131="")),"-",IF(OR(J131="CET",J131="-",J131=""),IF(OR($C134="CET",$C134="-",$C134=""),"-",$C134),J131))</f>
        <v>-</v>
      </c>
      <c r="BQ149" s="153" t="str">
        <f>IF(AND(OR($C134="-",$C134="CET",$C134=""),OR(K131="-",K131="CET",K131="")),"-",IF(OR(K131="CET",K131="-",K131=""),IF(OR($C134="CET",$C134="-",$C134=""),"-",$C134),K131))</f>
        <v>-</v>
      </c>
      <c r="BR149" s="153" t="str">
        <f t="shared" ref="BR149:BS149" si="192">IF(AND(OR($C134="-",$C134="CET",$C134=""),OR(M131="-",M131="CET",M131="")),"-",IF(OR(M131="CET",M131="-",M131=""),IF(OR($C134="CET",$C134="-",$C134=""),"-",$C134),M131))</f>
        <v>-</v>
      </c>
      <c r="BS149" s="153" t="str">
        <f t="shared" si="192"/>
        <v>-</v>
      </c>
    </row>
    <row r="150" spans="1:71" outlineLevel="1" x14ac:dyDescent="0.25">
      <c r="B150" s="761"/>
      <c r="C150" s="760"/>
      <c r="D150" s="332"/>
      <c r="E150" s="332"/>
      <c r="F150" s="56"/>
      <c r="G150" s="56"/>
      <c r="H150" s="56"/>
      <c r="I150" s="56"/>
      <c r="J150" s="56"/>
      <c r="K150" s="171"/>
      <c r="L150" s="171"/>
      <c r="M150" s="56"/>
      <c r="N150" s="55"/>
      <c r="O150" s="749"/>
      <c r="P150" s="750"/>
      <c r="Q150" s="750"/>
      <c r="R150" s="754"/>
      <c r="S150" s="749"/>
      <c r="T150" s="750"/>
      <c r="U150" s="750"/>
      <c r="V150" s="754"/>
      <c r="BC150" s="155" t="str">
        <f t="shared" si="191"/>
        <v>-</v>
      </c>
      <c r="BD150" s="156"/>
      <c r="BE150" s="156"/>
      <c r="BF150" s="156"/>
      <c r="BG150" s="156"/>
      <c r="BH150" s="156"/>
      <c r="BI150" s="156"/>
      <c r="BJ150" s="156"/>
      <c r="BK150" s="156"/>
      <c r="BL150" s="156"/>
      <c r="BM150" s="156"/>
    </row>
    <row r="151" spans="1:71" ht="15.75" outlineLevel="1" thickBot="1" x14ac:dyDescent="0.3">
      <c r="B151" s="796"/>
      <c r="C151" s="778"/>
      <c r="D151" s="334"/>
      <c r="E151" s="334"/>
      <c r="F151" s="334"/>
      <c r="G151" s="334"/>
      <c r="H151" s="334"/>
      <c r="I151" s="334"/>
      <c r="J151" s="334"/>
      <c r="K151" s="172"/>
      <c r="L151" s="172"/>
      <c r="M151" s="334"/>
      <c r="N151" s="54"/>
      <c r="O151" s="751"/>
      <c r="P151" s="752"/>
      <c r="Q151" s="752"/>
      <c r="R151" s="755"/>
      <c r="S151" s="751"/>
      <c r="T151" s="752"/>
      <c r="U151" s="752"/>
      <c r="V151" s="755"/>
      <c r="BC151" s="155" t="str">
        <f t="shared" si="191"/>
        <v>-</v>
      </c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</row>
    <row r="152" spans="1:71" ht="15" customHeight="1" x14ac:dyDescent="0.25">
      <c r="A152" s="324"/>
      <c r="B152" s="60"/>
      <c r="C152" s="60"/>
      <c r="D152" s="60"/>
      <c r="E152" s="60"/>
      <c r="F152" s="60"/>
      <c r="G152" s="60"/>
      <c r="H152" s="60"/>
      <c r="I152" s="60"/>
      <c r="J152" s="60"/>
      <c r="K152" s="175"/>
      <c r="L152" s="175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BC152" s="155" t="str">
        <f t="shared" si="191"/>
        <v>-</v>
      </c>
      <c r="BD152" s="156"/>
      <c r="BE152" s="156"/>
      <c r="BF152" s="156"/>
      <c r="BG152" s="156"/>
      <c r="BH152" s="156"/>
      <c r="BI152" s="156"/>
      <c r="BJ152" s="156"/>
      <c r="BK152" s="156"/>
      <c r="BL152" s="156"/>
      <c r="BM152" s="156"/>
    </row>
    <row r="153" spans="1:71" ht="15" customHeight="1" x14ac:dyDescent="0.25">
      <c r="A153" s="324"/>
      <c r="B153" s="60"/>
      <c r="C153" s="60"/>
      <c r="D153" s="60"/>
      <c r="E153" s="60"/>
      <c r="F153" s="60"/>
      <c r="G153" s="60"/>
      <c r="H153" s="60"/>
      <c r="I153" s="60"/>
      <c r="J153" s="60"/>
      <c r="K153" s="175"/>
      <c r="L153" s="175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BC153" s="155" t="str">
        <f t="shared" si="191"/>
        <v>-</v>
      </c>
      <c r="BD153" s="156"/>
      <c r="BE153" s="156"/>
      <c r="BF153" s="156"/>
      <c r="BG153" s="156"/>
      <c r="BH153" s="156"/>
      <c r="BI153" s="156"/>
      <c r="BJ153" s="156"/>
      <c r="BK153" s="156"/>
      <c r="BL153" s="156"/>
      <c r="BM153" s="156"/>
    </row>
    <row r="154" spans="1:71" ht="15" customHeight="1" thickBot="1" x14ac:dyDescent="0.3">
      <c r="A154" s="324"/>
      <c r="B154" s="60"/>
      <c r="C154" s="60"/>
      <c r="D154" s="60"/>
      <c r="E154" s="60"/>
      <c r="F154" s="60"/>
      <c r="G154" s="60"/>
      <c r="H154" s="60"/>
      <c r="I154" s="60"/>
      <c r="J154" s="60"/>
      <c r="K154" s="175"/>
      <c r="L154" s="175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BC154" s="155" t="str">
        <f t="shared" si="191"/>
        <v>-</v>
      </c>
    </row>
    <row r="155" spans="1:71" ht="24.95" customHeight="1" thickBot="1" x14ac:dyDescent="0.3">
      <c r="A155" s="324"/>
      <c r="B155" s="185">
        <v>6</v>
      </c>
      <c r="C155" s="757" t="s">
        <v>109</v>
      </c>
      <c r="D155" s="758"/>
      <c r="E155" s="758"/>
      <c r="F155" s="758"/>
      <c r="G155" s="758"/>
      <c r="H155" s="758"/>
      <c r="I155" s="758"/>
      <c r="J155" s="758"/>
      <c r="K155" s="758"/>
      <c r="L155" s="758"/>
      <c r="M155" s="758"/>
      <c r="N155" s="759"/>
      <c r="O155" s="49" t="s">
        <v>117</v>
      </c>
      <c r="P155" s="71" t="str">
        <f>IF(COUNTIF(F159:N178,"refused")&gt;0,"refused",IF(COUNTIF(F159:N178,"failed")&gt;0,"failed",IF(COUNTIF(F159:N178,"passed")&gt;0,"passed","-")))</f>
        <v>-</v>
      </c>
      <c r="Q155" s="70" t="s">
        <v>80</v>
      </c>
      <c r="R155" s="70" t="str">
        <f>IF(COUNT(F159:N160)&gt;0,"listed","not listed")</f>
        <v>not listed</v>
      </c>
      <c r="S155" s="319"/>
      <c r="T155" s="43"/>
      <c r="U155" s="43"/>
      <c r="V155" s="44"/>
      <c r="W155" s="47"/>
      <c r="X155" s="47"/>
      <c r="Y155" s="756"/>
      <c r="Z155" s="756"/>
      <c r="AA155" s="756"/>
      <c r="AB155" s="756"/>
      <c r="AC155" s="756"/>
      <c r="AD155" s="756"/>
      <c r="AE155" s="756"/>
      <c r="AF155" s="756"/>
      <c r="AG155" s="756"/>
      <c r="AH155" s="756"/>
      <c r="BC155" s="155" t="str">
        <f t="shared" si="191"/>
        <v>-</v>
      </c>
    </row>
    <row r="156" spans="1:71" ht="15" customHeight="1" outlineLevel="1" thickBot="1" x14ac:dyDescent="0.3">
      <c r="A156" s="324"/>
      <c r="B156" s="321"/>
      <c r="C156" s="322"/>
      <c r="D156" s="322"/>
      <c r="E156" s="322"/>
      <c r="F156" s="322"/>
      <c r="G156" s="322"/>
      <c r="H156" s="322"/>
      <c r="I156" s="322"/>
      <c r="J156" s="322"/>
      <c r="K156" s="162"/>
      <c r="L156" s="162"/>
      <c r="M156" s="322"/>
      <c r="N156" s="333"/>
      <c r="O156" s="322"/>
      <c r="P156" s="322"/>
      <c r="Q156" s="322"/>
      <c r="R156" s="322"/>
      <c r="S156" s="322"/>
      <c r="T156" s="45"/>
      <c r="U156" s="45"/>
      <c r="V156" s="46"/>
      <c r="W156" s="320"/>
      <c r="X156" s="320"/>
      <c r="Y156" s="743"/>
      <c r="Z156" s="743"/>
      <c r="AA156" s="743"/>
      <c r="AB156" s="743"/>
      <c r="AC156" s="743"/>
      <c r="AD156" s="743"/>
      <c r="AE156" s="743"/>
      <c r="AF156" s="743"/>
      <c r="AG156" s="743"/>
      <c r="AH156" s="743"/>
      <c r="BC156" s="155" t="str">
        <f t="shared" si="191"/>
        <v>-</v>
      </c>
    </row>
    <row r="157" spans="1:71" ht="15" customHeight="1" outlineLevel="1" thickBot="1" x14ac:dyDescent="0.3">
      <c r="A157" s="324"/>
      <c r="B157" s="744" t="s">
        <v>81</v>
      </c>
      <c r="C157" s="745"/>
      <c r="D157" s="745"/>
      <c r="E157" s="745"/>
      <c r="F157" s="745"/>
      <c r="G157" s="745"/>
      <c r="H157" s="745"/>
      <c r="I157" s="745"/>
      <c r="J157" s="745"/>
      <c r="K157" s="745"/>
      <c r="L157" s="745"/>
      <c r="M157" s="745"/>
      <c r="N157" s="746"/>
      <c r="O157" s="744" t="s">
        <v>82</v>
      </c>
      <c r="P157" s="745"/>
      <c r="Q157" s="745"/>
      <c r="R157" s="746"/>
      <c r="S157" s="744" t="s">
        <v>83</v>
      </c>
      <c r="T157" s="745"/>
      <c r="U157" s="745"/>
      <c r="V157" s="746"/>
      <c r="W157" s="320"/>
      <c r="X157" s="320"/>
      <c r="Y157" s="743"/>
      <c r="Z157" s="743"/>
      <c r="AA157" s="743"/>
      <c r="AB157" s="743"/>
      <c r="AC157" s="743"/>
      <c r="AD157" s="743"/>
      <c r="AE157" s="743"/>
      <c r="AF157" s="743"/>
      <c r="AG157" s="743"/>
      <c r="AH157" s="743"/>
      <c r="BC157" s="155" t="str">
        <f t="shared" si="191"/>
        <v>-</v>
      </c>
    </row>
    <row r="158" spans="1:71" ht="35.1" customHeight="1" outlineLevel="1" thickBot="1" x14ac:dyDescent="0.3">
      <c r="A158" s="324"/>
      <c r="B158" s="767" t="s">
        <v>84</v>
      </c>
      <c r="C158" s="768"/>
      <c r="D158" s="768"/>
      <c r="E158" s="769"/>
      <c r="F158" s="69" t="str">
        <f t="shared" ref="F158:N158" si="193">F$4</f>
        <v>NMHC 
[g/km]</v>
      </c>
      <c r="G158" s="69" t="str">
        <f t="shared" si="193"/>
        <v>THC
[g/km]</v>
      </c>
      <c r="H158" s="69" t="str">
        <f t="shared" si="193"/>
        <v>CO
[g/km]</v>
      </c>
      <c r="I158" s="69" t="str">
        <f t="shared" si="193"/>
        <v>NOx
[g/km]</v>
      </c>
      <c r="J158" s="69" t="str">
        <f t="shared" si="193"/>
        <v>PM
[mg/km]</v>
      </c>
      <c r="K158" s="69" t="str">
        <f t="shared" si="193"/>
        <v>PN
[#/km]</v>
      </c>
      <c r="L158" s="366" t="str">
        <f t="shared" si="193"/>
        <v>Additional component</v>
      </c>
      <c r="M158" s="366" t="str">
        <f t="shared" si="193"/>
        <v>Additional
component 2</v>
      </c>
      <c r="N158" s="69" t="str">
        <f t="shared" si="193"/>
        <v>CO2
[g/km]</v>
      </c>
      <c r="O158" s="747"/>
      <c r="P158" s="748"/>
      <c r="Q158" s="748"/>
      <c r="R158" s="753"/>
      <c r="S158" s="747"/>
      <c r="T158" s="748"/>
      <c r="U158" s="748"/>
      <c r="V158" s="753"/>
      <c r="W158" s="320"/>
      <c r="X158" s="320"/>
      <c r="Y158" s="743"/>
      <c r="Z158" s="743"/>
      <c r="AA158" s="743"/>
      <c r="AB158" s="743"/>
      <c r="AC158" s="743"/>
      <c r="AD158" s="743"/>
      <c r="AE158" s="743"/>
      <c r="AF158" s="743"/>
      <c r="AG158" s="743"/>
      <c r="AH158" s="743"/>
      <c r="BC158" s="155" t="str">
        <f t="shared" si="191"/>
        <v>-</v>
      </c>
    </row>
    <row r="159" spans="1:71" s="50" customFormat="1" ht="15" customHeight="1" outlineLevel="1" x14ac:dyDescent="0.25">
      <c r="A159" s="53"/>
      <c r="B159" s="797" t="s">
        <v>108</v>
      </c>
      <c r="C159" s="770" t="s">
        <v>114</v>
      </c>
      <c r="D159" s="770" t="s">
        <v>113</v>
      </c>
      <c r="E159" s="106" t="s">
        <v>94</v>
      </c>
      <c r="F159" s="105" t="s">
        <v>5</v>
      </c>
      <c r="G159" s="105" t="s">
        <v>5</v>
      </c>
      <c r="H159" s="105" t="s">
        <v>5</v>
      </c>
      <c r="I159" s="105" t="s">
        <v>5</v>
      </c>
      <c r="J159" s="105" t="s">
        <v>5</v>
      </c>
      <c r="K159" s="173" t="s">
        <v>5</v>
      </c>
      <c r="L159" s="173" t="s">
        <v>5</v>
      </c>
      <c r="M159" s="105" t="s">
        <v>5</v>
      </c>
      <c r="N159" s="105" t="s">
        <v>5</v>
      </c>
      <c r="O159" s="749"/>
      <c r="P159" s="750"/>
      <c r="Q159" s="750"/>
      <c r="R159" s="754"/>
      <c r="S159" s="749"/>
      <c r="T159" s="750"/>
      <c r="U159" s="750"/>
      <c r="V159" s="754"/>
      <c r="W159" s="51"/>
      <c r="X159" s="51"/>
      <c r="Y159" s="743"/>
      <c r="Z159" s="743"/>
      <c r="AA159" s="743"/>
      <c r="AB159" s="743"/>
      <c r="AC159" s="743"/>
      <c r="AD159" s="743"/>
      <c r="AE159" s="743"/>
      <c r="AF159" s="743"/>
      <c r="AG159" s="743"/>
      <c r="AH159" s="743"/>
      <c r="BC159" s="155" t="str">
        <f t="shared" si="191"/>
        <v>-</v>
      </c>
      <c r="BD159" s="150"/>
      <c r="BE159" s="150"/>
      <c r="BF159" s="150"/>
      <c r="BG159" s="150"/>
      <c r="BH159" s="150"/>
      <c r="BI159" s="150"/>
      <c r="BJ159" s="150"/>
      <c r="BK159" s="150"/>
      <c r="BL159" s="150"/>
      <c r="BM159" s="150"/>
      <c r="BN159" s="150"/>
      <c r="BO159" s="150"/>
      <c r="BP159" s="150"/>
      <c r="BQ159" s="150"/>
      <c r="BR159" s="150"/>
    </row>
    <row r="160" spans="1:71" ht="15" customHeight="1" outlineLevel="1" thickBot="1" x14ac:dyDescent="0.3">
      <c r="A160" s="324"/>
      <c r="B160" s="798"/>
      <c r="C160" s="741"/>
      <c r="D160" s="742"/>
      <c r="E160" s="104" t="s">
        <v>95</v>
      </c>
      <c r="F160" s="103" t="s">
        <v>5</v>
      </c>
      <c r="G160" s="103" t="s">
        <v>5</v>
      </c>
      <c r="H160" s="103" t="s">
        <v>5</v>
      </c>
      <c r="I160" s="103" t="s">
        <v>5</v>
      </c>
      <c r="J160" s="103" t="s">
        <v>5</v>
      </c>
      <c r="K160" s="174" t="s">
        <v>5</v>
      </c>
      <c r="L160" s="174" t="s">
        <v>5</v>
      </c>
      <c r="M160" s="103" t="s">
        <v>5</v>
      </c>
      <c r="N160" s="103" t="s">
        <v>5</v>
      </c>
      <c r="O160" s="749"/>
      <c r="P160" s="750"/>
      <c r="Q160" s="750"/>
      <c r="R160" s="754"/>
      <c r="S160" s="749"/>
      <c r="T160" s="750"/>
      <c r="U160" s="750"/>
      <c r="V160" s="754"/>
      <c r="W160" s="320"/>
      <c r="X160" s="320"/>
      <c r="Y160" s="743"/>
      <c r="Z160" s="743"/>
      <c r="AA160" s="743"/>
      <c r="AB160" s="743"/>
      <c r="AC160" s="743"/>
      <c r="AD160" s="743"/>
      <c r="AE160" s="743"/>
      <c r="AF160" s="743"/>
      <c r="AG160" s="743"/>
      <c r="AH160" s="743"/>
      <c r="BC160" s="155" t="str">
        <f t="shared" si="191"/>
        <v>-</v>
      </c>
    </row>
    <row r="161" spans="1:65" ht="15" customHeight="1" outlineLevel="1" thickBot="1" x14ac:dyDescent="0.3">
      <c r="A161" s="324"/>
      <c r="B161" s="798"/>
      <c r="C161" s="764" t="s">
        <v>5</v>
      </c>
      <c r="D161" s="772" t="str">
        <f>IF(AND(F162="-",G162="-",H162="-",I162="-",J162="-",K162="-",L162="-",M162="-"),"-",MAX(F162,G162,H162,I162,J162,K162,L162,M162))</f>
        <v>-</v>
      </c>
      <c r="E161" s="66" t="s">
        <v>177</v>
      </c>
      <c r="F161" s="65" t="str">
        <f t="shared" ref="F161:M161" si="194">IF(OR(F160="-",F160=""),IF(OR(F159="-",F159=""),"-",F159),IF(OR(F159="-",F159=""),F160,(F159+F160)/2))</f>
        <v>-</v>
      </c>
      <c r="G161" s="65" t="str">
        <f t="shared" si="194"/>
        <v>-</v>
      </c>
      <c r="H161" s="65" t="str">
        <f t="shared" si="194"/>
        <v>-</v>
      </c>
      <c r="I161" s="65" t="str">
        <f t="shared" si="194"/>
        <v>-</v>
      </c>
      <c r="J161" s="65" t="str">
        <f t="shared" si="194"/>
        <v>-</v>
      </c>
      <c r="K161" s="167" t="str">
        <f t="shared" si="194"/>
        <v>-</v>
      </c>
      <c r="L161" s="167" t="str">
        <f t="shared" ref="L161" si="195">IF(OR(L160="-",L160=""),IF(OR(L159="-",L159=""),"-",L159),IF(OR(L159="-",L159=""),L160,(L159+L160)/2))</f>
        <v>-</v>
      </c>
      <c r="M161" s="65" t="str">
        <f t="shared" si="194"/>
        <v>-</v>
      </c>
      <c r="N161" s="822"/>
      <c r="O161" s="749"/>
      <c r="P161" s="750"/>
      <c r="Q161" s="750"/>
      <c r="R161" s="754"/>
      <c r="S161" s="749"/>
      <c r="T161" s="750"/>
      <c r="U161" s="750"/>
      <c r="V161" s="754"/>
      <c r="W161" s="320"/>
      <c r="X161" s="320"/>
      <c r="Y161" s="743"/>
      <c r="Z161" s="743"/>
      <c r="AA161" s="743"/>
      <c r="AB161" s="743"/>
      <c r="AC161" s="743"/>
      <c r="AD161" s="743"/>
      <c r="AE161" s="743"/>
      <c r="AF161" s="743"/>
      <c r="AG161" s="743"/>
      <c r="AH161" s="743"/>
      <c r="BC161" s="155" t="str">
        <f t="shared" si="191"/>
        <v>-</v>
      </c>
    </row>
    <row r="162" spans="1:65" ht="15" customHeight="1" outlineLevel="1" thickBot="1" x14ac:dyDescent="0.3">
      <c r="A162" s="324"/>
      <c r="B162" s="798"/>
      <c r="C162" s="765"/>
      <c r="D162" s="773"/>
      <c r="E162" s="64" t="s">
        <v>97</v>
      </c>
      <c r="F162" s="63" t="str">
        <f t="shared" ref="F162:M162" si="196">IF(OR($C161="-",$C161="CET",$C161=""),"-",IF(AND(NOT(F161="-"),NOT(F$5="-"),NOT(F$5="")),F161/F$5,"-"))</f>
        <v>-</v>
      </c>
      <c r="G162" s="63" t="str">
        <f t="shared" si="196"/>
        <v>-</v>
      </c>
      <c r="H162" s="63" t="str">
        <f t="shared" si="196"/>
        <v>-</v>
      </c>
      <c r="I162" s="63" t="str">
        <f t="shared" si="196"/>
        <v>-</v>
      </c>
      <c r="J162" s="63" t="str">
        <f t="shared" si="196"/>
        <v>-</v>
      </c>
      <c r="K162" s="168" t="str">
        <f t="shared" si="196"/>
        <v>-</v>
      </c>
      <c r="L162" s="168" t="str">
        <f t="shared" ref="L162" si="197">IF(OR($C161="-",$C161="CET",$C161=""),"-",IF(AND(NOT(L161="-"),NOT(L$5="-"),NOT(L$5="")),L161/L$5,"-"))</f>
        <v>-</v>
      </c>
      <c r="M162" s="63" t="str">
        <f t="shared" si="196"/>
        <v>-</v>
      </c>
      <c r="N162" s="823"/>
      <c r="O162" s="749"/>
      <c r="P162" s="750"/>
      <c r="Q162" s="750"/>
      <c r="R162" s="754"/>
      <c r="S162" s="749"/>
      <c r="T162" s="750"/>
      <c r="U162" s="750"/>
      <c r="V162" s="754"/>
      <c r="W162" s="320"/>
      <c r="X162" s="320"/>
      <c r="Y162" s="743"/>
      <c r="Z162" s="743"/>
      <c r="AA162" s="743"/>
      <c r="AB162" s="743"/>
      <c r="AC162" s="743"/>
      <c r="AD162" s="743"/>
      <c r="AE162" s="743"/>
      <c r="AF162" s="743"/>
      <c r="AG162" s="743"/>
      <c r="AH162" s="743"/>
      <c r="BC162" s="155" t="str">
        <f t="shared" si="191"/>
        <v>-</v>
      </c>
      <c r="BD162" s="151" t="s">
        <v>85</v>
      </c>
      <c r="BE162" s="69" t="str">
        <f>$F$4</f>
        <v>NMHC 
[g/km]</v>
      </c>
      <c r="BF162" s="69" t="str">
        <f>$G$4</f>
        <v>THC
[g/km]</v>
      </c>
      <c r="BG162" s="69" t="str">
        <f>$H$4</f>
        <v>CO
[g/km]</v>
      </c>
      <c r="BH162" s="69" t="str">
        <f>$I$4</f>
        <v>NOx
[g/km]</v>
      </c>
      <c r="BI162" s="69" t="str">
        <f>$J$4</f>
        <v>PM
[mg/km]</v>
      </c>
      <c r="BJ162" s="163" t="str">
        <f>K$4</f>
        <v>PN
[#/km]</v>
      </c>
      <c r="BK162" s="163" t="str">
        <f t="shared" ref="BK162" si="198">L$4</f>
        <v>Additional component</v>
      </c>
      <c r="BL162" s="163" t="str">
        <f>M$4</f>
        <v>Additional
component 2</v>
      </c>
      <c r="BM162" s="163" t="str">
        <f>N$4</f>
        <v>CO2
[g/km]</v>
      </c>
    </row>
    <row r="163" spans="1:65" ht="15" customHeight="1" outlineLevel="1" thickBot="1" x14ac:dyDescent="0.3">
      <c r="A163" s="324"/>
      <c r="B163" s="804"/>
      <c r="C163" s="766"/>
      <c r="D163" s="774"/>
      <c r="E163" s="68" t="s">
        <v>30</v>
      </c>
      <c r="F163" s="68" t="str">
        <f t="shared" ref="F163:M163" si="199">IF(AND(OR(F159="-",F159=""),OR(F160="-",F160="")),"-",IF(OR($C161="-",$C161="",$C161="CET"),"-",IF($R$155="not listed","-",IF(NOT(F$5="-"),IF(AND(AND(NOT(F159=0),NOT(F159="-"),NOT(F159="")),AND(NOT(F160="-"),NOT(F160=0),NOT(F160=""))),IF(AND((F159+F160)/2&lt;1*F$5*IF(OR($C161="CET",$C161="-",$C161=""),"-",$C161),F159&lt;1.1*F$5*IF(OR($C161="CET",$C161="-",$C161=""),"-",$C161),F160&lt;1.1*F$5*IF(OR($C161="CET",$C161="-",$C161=""),"-",$C161)),"passed","refused"),IF(IF(OR(F159="-",F159=""),F160,F159)&lt;0.7*F$5*IF(OR($C161="CET",$C161="-",$C161=""),"-",$C161),"passed",IF(IF(OR(F159="-",F159=""),F160,F159)&lt;1.1*IF(OR($C161="CET",$C161="-",$C161=""),"-",$C161)*F$5,"failed","refused"))),"-"))))</f>
        <v>-</v>
      </c>
      <c r="G163" s="68" t="str">
        <f t="shared" si="199"/>
        <v>-</v>
      </c>
      <c r="H163" s="68" t="str">
        <f t="shared" si="199"/>
        <v>-</v>
      </c>
      <c r="I163" s="68" t="str">
        <f t="shared" si="199"/>
        <v>-</v>
      </c>
      <c r="J163" s="68" t="str">
        <f t="shared" si="199"/>
        <v>-</v>
      </c>
      <c r="K163" s="341" t="str">
        <f t="shared" si="199"/>
        <v>-</v>
      </c>
      <c r="L163" s="341" t="str">
        <f t="shared" si="199"/>
        <v>-</v>
      </c>
      <c r="M163" s="68" t="str">
        <f t="shared" si="199"/>
        <v>-</v>
      </c>
      <c r="N163" s="824"/>
      <c r="O163" s="749"/>
      <c r="P163" s="750"/>
      <c r="Q163" s="750"/>
      <c r="R163" s="754"/>
      <c r="S163" s="749"/>
      <c r="T163" s="750"/>
      <c r="U163" s="750"/>
      <c r="V163" s="754"/>
      <c r="W163" s="320"/>
      <c r="X163" s="320"/>
      <c r="Y163" s="743"/>
      <c r="Z163" s="743"/>
      <c r="AA163" s="743"/>
      <c r="AB163" s="743"/>
      <c r="AC163" s="743"/>
      <c r="AD163" s="743"/>
      <c r="AE163" s="743"/>
      <c r="AF163" s="743"/>
      <c r="AG163" s="743"/>
      <c r="AH163" s="743"/>
      <c r="BC163" s="155" t="str">
        <f t="shared" si="191"/>
        <v>-</v>
      </c>
      <c r="BD163" s="151" t="str">
        <f>$E$4</f>
        <v>Euro 6c</v>
      </c>
      <c r="BE163" s="153">
        <v>1</v>
      </c>
      <c r="BF163" s="153">
        <v>1</v>
      </c>
      <c r="BG163" s="153">
        <v>1</v>
      </c>
      <c r="BH163" s="153">
        <v>1</v>
      </c>
      <c r="BI163" s="153">
        <v>1</v>
      </c>
      <c r="BJ163" s="153">
        <v>1</v>
      </c>
      <c r="BK163" s="153">
        <v>1</v>
      </c>
      <c r="BL163" s="153">
        <v>1</v>
      </c>
      <c r="BM163" s="153">
        <v>1</v>
      </c>
    </row>
    <row r="164" spans="1:65" ht="15" customHeight="1" outlineLevel="1" x14ac:dyDescent="0.25">
      <c r="A164" s="324"/>
      <c r="B164" s="762"/>
      <c r="C164" s="763"/>
      <c r="D164" s="338"/>
      <c r="E164" s="338"/>
      <c r="F164" s="90"/>
      <c r="G164" s="90"/>
      <c r="H164" s="90"/>
      <c r="I164" s="90"/>
      <c r="J164" s="90"/>
      <c r="K164" s="176"/>
      <c r="L164" s="176"/>
      <c r="M164" s="90"/>
      <c r="N164" s="89"/>
      <c r="O164" s="749"/>
      <c r="P164" s="750"/>
      <c r="Q164" s="750"/>
      <c r="R164" s="754"/>
      <c r="S164" s="749"/>
      <c r="T164" s="750"/>
      <c r="U164" s="750"/>
      <c r="V164" s="754"/>
      <c r="W164" s="320"/>
      <c r="X164" s="320"/>
      <c r="Y164" s="743"/>
      <c r="Z164" s="743"/>
      <c r="AA164" s="743"/>
      <c r="AB164" s="743"/>
      <c r="AC164" s="743"/>
      <c r="AD164" s="743"/>
      <c r="AE164" s="743"/>
      <c r="AF164" s="743"/>
      <c r="AG164" s="743"/>
      <c r="AH164" s="743"/>
      <c r="BC164" s="155" t="str">
        <f t="shared" si="191"/>
        <v>-</v>
      </c>
      <c r="BD164" s="151" t="str">
        <f>"1st " &amp;  B159</f>
        <v>1st s.s.e.t.</v>
      </c>
      <c r="BE164" s="153" t="str">
        <f t="shared" ref="BE164:BJ164" si="200">IF((OR($C161="-",$C161="CET",$C161="")),"-",IF(AND(OR(F159="-",F159=""),OR(F160="-",F160="")),"-",IF(NOT(OR(F159="-",F159="")),F159/F$5,F160/F$5)))</f>
        <v>-</v>
      </c>
      <c r="BF164" s="153" t="str">
        <f t="shared" si="200"/>
        <v>-</v>
      </c>
      <c r="BG164" s="153" t="str">
        <f t="shared" si="200"/>
        <v>-</v>
      </c>
      <c r="BH164" s="153" t="str">
        <f t="shared" si="200"/>
        <v>-</v>
      </c>
      <c r="BI164" s="153" t="str">
        <f t="shared" si="200"/>
        <v>-</v>
      </c>
      <c r="BJ164" s="153" t="str">
        <f t="shared" si="200"/>
        <v>-</v>
      </c>
      <c r="BK164" s="153" t="str">
        <f t="shared" ref="BK164" si="201">IF((OR($C161="-",$C161="CET",$C161="")),"-",IF(AND(OR(L159="-",L159=""),OR(L160="-",L160="")),"-",IF(NOT(OR(L159="-",L159="")),L159/L$5,L160/L$5)))</f>
        <v>-</v>
      </c>
      <c r="BL164" s="153" t="str">
        <f>IF((OR($C161="-",$C161="CET",$C161="")),"-",IF(AND(OR(M159="-",M159=""),OR(M160="-",M160="")),"-",IF(NOT(OR(M159="-",M159="")),M159/M$5,M160/M$5)))</f>
        <v>-</v>
      </c>
      <c r="BM164" s="153" t="str">
        <f>IF((OR($C161="-",$C161="CET",$C161="")),"-",IF(AND(OR(N159="-",N159=""),OR(N160="-",N160="")),"-",IF(NOT(OR(N159="-",N159="")),N159/N$5,N160/N$5)))</f>
        <v>-</v>
      </c>
    </row>
    <row r="165" spans="1:65" ht="15" customHeight="1" outlineLevel="1" x14ac:dyDescent="0.25">
      <c r="A165" s="324"/>
      <c r="B165" s="761"/>
      <c r="C165" s="760"/>
      <c r="D165" s="332"/>
      <c r="E165" s="332"/>
      <c r="F165" s="337"/>
      <c r="G165" s="337"/>
      <c r="H165" s="337"/>
      <c r="I165" s="337"/>
      <c r="J165" s="337"/>
      <c r="K165" s="171"/>
      <c r="L165" s="171"/>
      <c r="M165" s="337"/>
      <c r="N165" s="57"/>
      <c r="O165" s="749"/>
      <c r="P165" s="750"/>
      <c r="Q165" s="750"/>
      <c r="R165" s="754"/>
      <c r="S165" s="749"/>
      <c r="T165" s="750"/>
      <c r="U165" s="750"/>
      <c r="V165" s="754"/>
      <c r="W165" s="320"/>
      <c r="X165" s="320"/>
      <c r="Y165" s="743"/>
      <c r="Z165" s="743"/>
      <c r="AA165" s="743"/>
      <c r="AB165" s="743"/>
      <c r="AC165" s="743"/>
      <c r="AD165" s="743"/>
      <c r="AE165" s="743"/>
      <c r="AF165" s="743"/>
      <c r="AG165" s="743"/>
      <c r="AH165" s="743"/>
      <c r="BC165" s="155" t="str">
        <f t="shared" si="191"/>
        <v>-</v>
      </c>
      <c r="BD165" s="151"/>
      <c r="BE165" s="153"/>
      <c r="BF165" s="153"/>
      <c r="BG165" s="153"/>
      <c r="BH165" s="153"/>
      <c r="BI165" s="153"/>
      <c r="BJ165" s="153"/>
      <c r="BK165" s="153"/>
      <c r="BL165" s="153"/>
      <c r="BM165" s="153"/>
    </row>
    <row r="166" spans="1:65" ht="15" customHeight="1" outlineLevel="1" x14ac:dyDescent="0.25">
      <c r="A166" s="324"/>
      <c r="B166" s="761"/>
      <c r="C166" s="760"/>
      <c r="D166" s="332"/>
      <c r="E166" s="332"/>
      <c r="F166" s="56"/>
      <c r="G166" s="56"/>
      <c r="H166" s="56"/>
      <c r="I166" s="56"/>
      <c r="J166" s="56"/>
      <c r="K166" s="171"/>
      <c r="L166" s="171"/>
      <c r="M166" s="56"/>
      <c r="N166" s="55"/>
      <c r="O166" s="749"/>
      <c r="P166" s="750"/>
      <c r="Q166" s="750"/>
      <c r="R166" s="754"/>
      <c r="S166" s="749"/>
      <c r="T166" s="750"/>
      <c r="U166" s="750"/>
      <c r="V166" s="754"/>
      <c r="W166" s="320"/>
      <c r="X166" s="320"/>
      <c r="Y166" s="743"/>
      <c r="Z166" s="743"/>
      <c r="AA166" s="743"/>
      <c r="AB166" s="743"/>
      <c r="AC166" s="743"/>
      <c r="AD166" s="743"/>
      <c r="AE166" s="743"/>
      <c r="AF166" s="743"/>
      <c r="AG166" s="743"/>
      <c r="AH166" s="743"/>
      <c r="BC166" s="155" t="str">
        <f t="shared" si="191"/>
        <v>-</v>
      </c>
      <c r="BD166" s="151"/>
      <c r="BE166" s="153"/>
      <c r="BF166" s="153"/>
      <c r="BG166" s="153"/>
      <c r="BH166" s="153"/>
      <c r="BI166" s="153"/>
      <c r="BJ166" s="153"/>
      <c r="BK166" s="153"/>
      <c r="BL166" s="153"/>
      <c r="BM166" s="153"/>
    </row>
    <row r="167" spans="1:65" ht="15" customHeight="1" outlineLevel="1" x14ac:dyDescent="0.25">
      <c r="A167" s="40"/>
      <c r="B167" s="761"/>
      <c r="C167" s="760"/>
      <c r="D167" s="332"/>
      <c r="E167" s="332"/>
      <c r="F167" s="56"/>
      <c r="G167" s="56"/>
      <c r="H167" s="56"/>
      <c r="I167" s="56"/>
      <c r="J167" s="56"/>
      <c r="K167" s="171"/>
      <c r="L167" s="171"/>
      <c r="M167" s="56"/>
      <c r="N167" s="55"/>
      <c r="O167" s="749"/>
      <c r="P167" s="750"/>
      <c r="Q167" s="750"/>
      <c r="R167" s="754"/>
      <c r="S167" s="749"/>
      <c r="T167" s="750"/>
      <c r="U167" s="750"/>
      <c r="V167" s="754"/>
      <c r="W167" s="320"/>
      <c r="X167" s="320"/>
      <c r="Y167" s="743"/>
      <c r="Z167" s="743"/>
      <c r="AA167" s="743"/>
      <c r="AB167" s="743"/>
      <c r="AC167" s="743"/>
      <c r="AD167" s="743"/>
      <c r="AE167" s="743"/>
      <c r="AF167" s="743"/>
      <c r="AG167" s="743"/>
      <c r="AH167" s="743"/>
      <c r="BC167" s="155" t="str">
        <f t="shared" si="191"/>
        <v>-</v>
      </c>
      <c r="BD167" s="151"/>
      <c r="BE167" s="153"/>
      <c r="BF167" s="153"/>
      <c r="BG167" s="153"/>
      <c r="BH167" s="153"/>
      <c r="BI167" s="153"/>
      <c r="BJ167" s="153"/>
      <c r="BK167" s="153"/>
      <c r="BL167" s="153"/>
      <c r="BM167" s="153"/>
    </row>
    <row r="168" spans="1:65" ht="15" customHeight="1" outlineLevel="1" x14ac:dyDescent="0.25">
      <c r="A168" s="40"/>
      <c r="B168" s="761"/>
      <c r="C168" s="760"/>
      <c r="D168" s="332"/>
      <c r="E168" s="332"/>
      <c r="F168" s="332"/>
      <c r="G168" s="332"/>
      <c r="H168" s="332"/>
      <c r="I168" s="332"/>
      <c r="J168" s="332"/>
      <c r="K168" s="171"/>
      <c r="L168" s="171"/>
      <c r="M168" s="332"/>
      <c r="N168" s="59"/>
      <c r="O168" s="749"/>
      <c r="P168" s="750"/>
      <c r="Q168" s="750"/>
      <c r="R168" s="754"/>
      <c r="S168" s="749"/>
      <c r="T168" s="750"/>
      <c r="U168" s="750"/>
      <c r="V168" s="754"/>
      <c r="W168" s="320"/>
      <c r="X168" s="320"/>
      <c r="Y168" s="743"/>
      <c r="Z168" s="743"/>
      <c r="AA168" s="743"/>
      <c r="AB168" s="743"/>
      <c r="AC168" s="743"/>
      <c r="AD168" s="743"/>
      <c r="AE168" s="743"/>
      <c r="AF168" s="743"/>
      <c r="AG168" s="743"/>
      <c r="AH168" s="743"/>
      <c r="BC168" s="155" t="str">
        <f t="shared" si="191"/>
        <v>-</v>
      </c>
      <c r="BD168" s="151" t="str">
        <f>"0.7*IEF " &amp; (B159)</f>
        <v>0.7*IEF s.s.e.t.</v>
      </c>
      <c r="BE168" s="153" t="str">
        <f t="shared" ref="BE168:BJ168" si="202">IF(OR($C161="-",$C161="CET",$C161=""),"-",0.7*$C161)</f>
        <v>-</v>
      </c>
      <c r="BF168" s="153" t="str">
        <f t="shared" si="202"/>
        <v>-</v>
      </c>
      <c r="BG168" s="153" t="str">
        <f t="shared" si="202"/>
        <v>-</v>
      </c>
      <c r="BH168" s="153" t="str">
        <f t="shared" si="202"/>
        <v>-</v>
      </c>
      <c r="BI168" s="153" t="str">
        <f t="shared" si="202"/>
        <v>-</v>
      </c>
      <c r="BJ168" s="153" t="str">
        <f t="shared" si="202"/>
        <v>-</v>
      </c>
      <c r="BK168" s="153" t="str">
        <f t="shared" ref="BK168:BL168" si="203">IF(OR($C161="-",$C161="CET",$C161=""),"-",0.7*$C161)</f>
        <v>-</v>
      </c>
      <c r="BL168" s="153" t="str">
        <f t="shared" si="203"/>
        <v>-</v>
      </c>
      <c r="BM168" s="153" t="str">
        <f t="shared" ref="BM168" si="204">IF(OR($C161="-",$C161="CET",$C161=""),"-",0.7*$C161)</f>
        <v>-</v>
      </c>
    </row>
    <row r="169" spans="1:65" ht="15" customHeight="1" outlineLevel="1" x14ac:dyDescent="0.25">
      <c r="A169" s="40"/>
      <c r="B169" s="761"/>
      <c r="C169" s="760"/>
      <c r="D169" s="332"/>
      <c r="E169" s="332"/>
      <c r="F169" s="337"/>
      <c r="G169" s="337"/>
      <c r="H169" s="337"/>
      <c r="I169" s="337"/>
      <c r="J169" s="337"/>
      <c r="K169" s="171"/>
      <c r="L169" s="171"/>
      <c r="M169" s="337"/>
      <c r="N169" s="57"/>
      <c r="O169" s="749"/>
      <c r="P169" s="750"/>
      <c r="Q169" s="750"/>
      <c r="R169" s="754"/>
      <c r="S169" s="749"/>
      <c r="T169" s="750"/>
      <c r="U169" s="750"/>
      <c r="V169" s="754"/>
      <c r="W169" s="320"/>
      <c r="X169" s="320"/>
      <c r="Y169" s="743"/>
      <c r="Z169" s="743"/>
      <c r="AA169" s="743"/>
      <c r="AB169" s="743"/>
      <c r="AC169" s="743"/>
      <c r="AD169" s="743"/>
      <c r="AE169" s="743"/>
      <c r="AF169" s="743"/>
      <c r="AG169" s="743"/>
      <c r="AH169" s="743"/>
      <c r="BC169" s="155" t="str">
        <f t="shared" si="191"/>
        <v>-</v>
      </c>
      <c r="BD169" s="151"/>
      <c r="BE169" s="153"/>
      <c r="BF169" s="153"/>
      <c r="BG169" s="153"/>
      <c r="BH169" s="153"/>
      <c r="BI169" s="153"/>
      <c r="BJ169" s="153"/>
      <c r="BK169" s="153"/>
      <c r="BL169" s="153"/>
      <c r="BM169" s="153"/>
    </row>
    <row r="170" spans="1:65" ht="15" customHeight="1" outlineLevel="1" x14ac:dyDescent="0.25">
      <c r="A170" s="40"/>
      <c r="B170" s="761"/>
      <c r="C170" s="760"/>
      <c r="D170" s="332"/>
      <c r="E170" s="332"/>
      <c r="F170" s="337"/>
      <c r="G170" s="337"/>
      <c r="H170" s="337"/>
      <c r="I170" s="337"/>
      <c r="J170" s="337"/>
      <c r="K170" s="171"/>
      <c r="L170" s="171"/>
      <c r="M170" s="337"/>
      <c r="N170" s="57"/>
      <c r="O170" s="749"/>
      <c r="P170" s="750"/>
      <c r="Q170" s="750"/>
      <c r="R170" s="754"/>
      <c r="S170" s="749"/>
      <c r="T170" s="750"/>
      <c r="U170" s="750"/>
      <c r="V170" s="754"/>
      <c r="W170" s="320"/>
      <c r="X170" s="320"/>
      <c r="Y170" s="743"/>
      <c r="Z170" s="743"/>
      <c r="AA170" s="743"/>
      <c r="AB170" s="743"/>
      <c r="AC170" s="743"/>
      <c r="AD170" s="743"/>
      <c r="AE170" s="743"/>
      <c r="AF170" s="743"/>
      <c r="AG170" s="743"/>
      <c r="AH170" s="743"/>
      <c r="BC170" s="155" t="str">
        <f t="shared" si="191"/>
        <v>-</v>
      </c>
      <c r="BD170" s="151"/>
      <c r="BE170" s="153"/>
      <c r="BF170" s="153"/>
      <c r="BG170" s="153"/>
      <c r="BH170" s="153"/>
      <c r="BI170" s="153"/>
      <c r="BJ170" s="153"/>
      <c r="BK170" s="153"/>
      <c r="BL170" s="153"/>
      <c r="BM170" s="153"/>
    </row>
    <row r="171" spans="1:65" ht="15" customHeight="1" outlineLevel="1" x14ac:dyDescent="0.25">
      <c r="A171" s="40"/>
      <c r="B171" s="761"/>
      <c r="C171" s="760"/>
      <c r="D171" s="332"/>
      <c r="E171" s="332"/>
      <c r="F171" s="56"/>
      <c r="G171" s="56"/>
      <c r="H171" s="56"/>
      <c r="I171" s="56"/>
      <c r="J171" s="56"/>
      <c r="K171" s="171"/>
      <c r="L171" s="171"/>
      <c r="M171" s="56"/>
      <c r="N171" s="55"/>
      <c r="O171" s="749"/>
      <c r="P171" s="750"/>
      <c r="Q171" s="750"/>
      <c r="R171" s="754"/>
      <c r="S171" s="749"/>
      <c r="T171" s="750"/>
      <c r="U171" s="750"/>
      <c r="V171" s="754"/>
      <c r="W171" s="320"/>
      <c r="X171" s="320"/>
      <c r="Y171" s="743"/>
      <c r="Z171" s="743"/>
      <c r="AA171" s="743"/>
      <c r="AB171" s="743"/>
      <c r="AC171" s="743"/>
      <c r="AD171" s="743"/>
      <c r="AE171" s="743"/>
      <c r="AF171" s="743"/>
      <c r="AG171" s="743"/>
      <c r="AH171" s="743"/>
      <c r="BC171" s="155" t="str">
        <f t="shared" si="191"/>
        <v>-</v>
      </c>
      <c r="BD171" s="151"/>
      <c r="BE171" s="153"/>
      <c r="BF171" s="153"/>
      <c r="BG171" s="153"/>
      <c r="BH171" s="153"/>
      <c r="BI171" s="153"/>
      <c r="BJ171" s="153"/>
      <c r="BK171" s="153"/>
      <c r="BL171" s="153"/>
      <c r="BM171" s="153"/>
    </row>
    <row r="172" spans="1:65" ht="15" customHeight="1" outlineLevel="1" x14ac:dyDescent="0.25">
      <c r="A172" s="40"/>
      <c r="B172" s="761"/>
      <c r="C172" s="760"/>
      <c r="D172" s="332"/>
      <c r="E172" s="332"/>
      <c r="F172" s="56"/>
      <c r="G172" s="56"/>
      <c r="H172" s="56"/>
      <c r="I172" s="56"/>
      <c r="J172" s="56"/>
      <c r="K172" s="171"/>
      <c r="L172" s="171"/>
      <c r="M172" s="56"/>
      <c r="N172" s="55"/>
      <c r="O172" s="749"/>
      <c r="P172" s="750"/>
      <c r="Q172" s="750"/>
      <c r="R172" s="754"/>
      <c r="S172" s="749"/>
      <c r="T172" s="750"/>
      <c r="U172" s="750"/>
      <c r="V172" s="754"/>
      <c r="W172" s="320"/>
      <c r="X172" s="320"/>
      <c r="Y172" s="743"/>
      <c r="Z172" s="743"/>
      <c r="AA172" s="743"/>
      <c r="AB172" s="743"/>
      <c r="AC172" s="743"/>
      <c r="AD172" s="743"/>
      <c r="AE172" s="743"/>
      <c r="AF172" s="743"/>
      <c r="AG172" s="743"/>
      <c r="AH172" s="743"/>
      <c r="BC172" s="155" t="str">
        <f t="shared" si="191"/>
        <v>-</v>
      </c>
      <c r="BD172" s="151" t="str">
        <f>B159</f>
        <v>s.s.e.t.</v>
      </c>
      <c r="BE172" s="153" t="str">
        <f t="shared" ref="BE172:BJ172" si="205">F162</f>
        <v>-</v>
      </c>
      <c r="BF172" s="153" t="str">
        <f t="shared" si="205"/>
        <v>-</v>
      </c>
      <c r="BG172" s="153" t="str">
        <f t="shared" si="205"/>
        <v>-</v>
      </c>
      <c r="BH172" s="153" t="str">
        <f t="shared" si="205"/>
        <v>-</v>
      </c>
      <c r="BI172" s="153" t="str">
        <f t="shared" si="205"/>
        <v>-</v>
      </c>
      <c r="BJ172" s="153" t="str">
        <f t="shared" si="205"/>
        <v>-</v>
      </c>
      <c r="BK172" s="153" t="str">
        <f t="shared" ref="BK172" si="206">L162</f>
        <v>-</v>
      </c>
      <c r="BL172" s="153" t="str">
        <f>M162</f>
        <v>-</v>
      </c>
      <c r="BM172" s="153">
        <f>N162</f>
        <v>0</v>
      </c>
    </row>
    <row r="173" spans="1:65" ht="15" customHeight="1" outlineLevel="1" x14ac:dyDescent="0.25">
      <c r="A173" s="40"/>
      <c r="B173" s="761"/>
      <c r="C173" s="760"/>
      <c r="D173" s="332"/>
      <c r="E173" s="332"/>
      <c r="F173" s="332"/>
      <c r="G173" s="332"/>
      <c r="H173" s="332"/>
      <c r="I173" s="332"/>
      <c r="J173" s="332"/>
      <c r="K173" s="171"/>
      <c r="L173" s="171"/>
      <c r="M173" s="332"/>
      <c r="N173" s="59"/>
      <c r="O173" s="749"/>
      <c r="P173" s="750"/>
      <c r="Q173" s="750"/>
      <c r="R173" s="754"/>
      <c r="S173" s="749"/>
      <c r="T173" s="750"/>
      <c r="U173" s="750"/>
      <c r="V173" s="754"/>
      <c r="W173" s="320"/>
      <c r="X173" s="320"/>
      <c r="Y173" s="743"/>
      <c r="Z173" s="743"/>
      <c r="AA173" s="743"/>
      <c r="AB173" s="743"/>
      <c r="AC173" s="743"/>
      <c r="AD173" s="743"/>
      <c r="AE173" s="743"/>
      <c r="AF173" s="743"/>
      <c r="AG173" s="743"/>
      <c r="AH173" s="743"/>
      <c r="BC173" s="155" t="str">
        <f t="shared" si="191"/>
        <v>-</v>
      </c>
      <c r="BD173" s="151"/>
      <c r="BE173" s="153"/>
      <c r="BF173" s="153"/>
      <c r="BG173" s="153"/>
      <c r="BH173" s="153"/>
      <c r="BI173" s="153"/>
      <c r="BJ173" s="153"/>
      <c r="BK173" s="153"/>
      <c r="BL173" s="153"/>
      <c r="BM173" s="153"/>
    </row>
    <row r="174" spans="1:65" ht="15" customHeight="1" outlineLevel="1" x14ac:dyDescent="0.25">
      <c r="A174" s="40"/>
      <c r="B174" s="761"/>
      <c r="C174" s="760"/>
      <c r="D174" s="332"/>
      <c r="E174" s="332"/>
      <c r="F174" s="337"/>
      <c r="G174" s="337"/>
      <c r="H174" s="337"/>
      <c r="I174" s="337"/>
      <c r="J174" s="337"/>
      <c r="K174" s="171"/>
      <c r="L174" s="171"/>
      <c r="M174" s="337"/>
      <c r="N174" s="57"/>
      <c r="O174" s="749"/>
      <c r="P174" s="750"/>
      <c r="Q174" s="750"/>
      <c r="R174" s="754"/>
      <c r="S174" s="749"/>
      <c r="T174" s="750"/>
      <c r="U174" s="750"/>
      <c r="V174" s="754"/>
      <c r="W174" s="320"/>
      <c r="X174" s="320"/>
      <c r="Y174" s="743"/>
      <c r="Z174" s="743"/>
      <c r="AA174" s="743"/>
      <c r="AB174" s="743"/>
      <c r="AC174" s="743"/>
      <c r="AD174" s="743"/>
      <c r="AE174" s="743"/>
      <c r="AF174" s="743"/>
      <c r="AG174" s="743"/>
      <c r="AH174" s="743"/>
      <c r="BC174" s="155" t="str">
        <f t="shared" si="191"/>
        <v>-</v>
      </c>
      <c r="BD174" s="151"/>
      <c r="BE174" s="153"/>
      <c r="BF174" s="153"/>
      <c r="BG174" s="153"/>
      <c r="BH174" s="153"/>
      <c r="BI174" s="153"/>
      <c r="BJ174" s="153"/>
      <c r="BK174" s="153"/>
      <c r="BL174" s="153"/>
      <c r="BM174" s="153"/>
    </row>
    <row r="175" spans="1:65" ht="15" customHeight="1" outlineLevel="1" x14ac:dyDescent="0.25">
      <c r="A175" s="40"/>
      <c r="B175" s="761"/>
      <c r="C175" s="760"/>
      <c r="D175" s="332"/>
      <c r="E175" s="332"/>
      <c r="F175" s="337"/>
      <c r="G175" s="337"/>
      <c r="H175" s="337"/>
      <c r="I175" s="337"/>
      <c r="J175" s="337"/>
      <c r="K175" s="171"/>
      <c r="L175" s="171"/>
      <c r="M175" s="337"/>
      <c r="N175" s="57"/>
      <c r="O175" s="749"/>
      <c r="P175" s="750"/>
      <c r="Q175" s="750"/>
      <c r="R175" s="754"/>
      <c r="S175" s="749"/>
      <c r="T175" s="750"/>
      <c r="U175" s="750"/>
      <c r="V175" s="754"/>
      <c r="W175" s="320"/>
      <c r="X175" s="320"/>
      <c r="Y175" s="743"/>
      <c r="Z175" s="743"/>
      <c r="AA175" s="743"/>
      <c r="AB175" s="743"/>
      <c r="AC175" s="743"/>
      <c r="AD175" s="743"/>
      <c r="AE175" s="743"/>
      <c r="AF175" s="743"/>
      <c r="AG175" s="743"/>
      <c r="AH175" s="743"/>
      <c r="BC175" s="155" t="str">
        <f t="shared" si="191"/>
        <v>-</v>
      </c>
      <c r="BD175" s="151"/>
      <c r="BE175" s="153"/>
      <c r="BF175" s="153"/>
      <c r="BG175" s="153"/>
      <c r="BH175" s="153"/>
      <c r="BI175" s="153"/>
      <c r="BJ175" s="153"/>
      <c r="BK175" s="153"/>
      <c r="BL175" s="153"/>
      <c r="BM175" s="153"/>
    </row>
    <row r="176" spans="1:65" ht="15" customHeight="1" outlineLevel="1" x14ac:dyDescent="0.25">
      <c r="A176" s="40"/>
      <c r="B176" s="761"/>
      <c r="C176" s="760"/>
      <c r="D176" s="332"/>
      <c r="E176" s="332"/>
      <c r="F176" s="56"/>
      <c r="G176" s="56"/>
      <c r="H176" s="56"/>
      <c r="I176" s="56"/>
      <c r="J176" s="56"/>
      <c r="K176" s="171"/>
      <c r="L176" s="171"/>
      <c r="M176" s="56"/>
      <c r="N176" s="55"/>
      <c r="O176" s="749"/>
      <c r="P176" s="750"/>
      <c r="Q176" s="750"/>
      <c r="R176" s="754"/>
      <c r="S176" s="749"/>
      <c r="T176" s="750"/>
      <c r="U176" s="750"/>
      <c r="V176" s="754"/>
      <c r="W176" s="320"/>
      <c r="X176" s="320"/>
      <c r="Y176" s="743"/>
      <c r="Z176" s="743"/>
      <c r="AA176" s="743"/>
      <c r="AB176" s="743"/>
      <c r="AC176" s="743"/>
      <c r="AD176" s="743"/>
      <c r="AE176" s="743"/>
      <c r="AF176" s="743"/>
      <c r="AG176" s="743"/>
      <c r="AH176" s="743"/>
      <c r="BC176" s="155" t="str">
        <f t="shared" si="191"/>
        <v>-</v>
      </c>
      <c r="BD176" s="151" t="str">
        <f>"IEF " &amp;B159</f>
        <v>IEF s.s.e.t.</v>
      </c>
      <c r="BE176" s="153" t="str">
        <f t="shared" ref="BE176:BJ176" si="207">IF(OR($C169="-",$C169="CET",$C169=""),"-",$C169)</f>
        <v>-</v>
      </c>
      <c r="BF176" s="153" t="str">
        <f t="shared" si="207"/>
        <v>-</v>
      </c>
      <c r="BG176" s="153" t="str">
        <f t="shared" si="207"/>
        <v>-</v>
      </c>
      <c r="BH176" s="153" t="str">
        <f t="shared" si="207"/>
        <v>-</v>
      </c>
      <c r="BI176" s="153" t="str">
        <f t="shared" si="207"/>
        <v>-</v>
      </c>
      <c r="BJ176" s="153" t="str">
        <f t="shared" si="207"/>
        <v>-</v>
      </c>
      <c r="BK176" s="153" t="str">
        <f t="shared" ref="BK176:BL176" si="208">IF(OR($C169="-",$C169="CET",$C169=""),"-",$C169)</f>
        <v>-</v>
      </c>
      <c r="BL176" s="153" t="str">
        <f t="shared" si="208"/>
        <v>-</v>
      </c>
      <c r="BM176" s="153" t="str">
        <f t="shared" ref="BM176" si="209">IF(OR($C169="-",$C169="CET",$C169=""),"-",$C169)</f>
        <v>-</v>
      </c>
    </row>
    <row r="177" spans="1:70" outlineLevel="1" x14ac:dyDescent="0.25">
      <c r="B177" s="761"/>
      <c r="C177" s="760"/>
      <c r="D177" s="332"/>
      <c r="E177" s="332"/>
      <c r="F177" s="56"/>
      <c r="G177" s="56"/>
      <c r="H177" s="56"/>
      <c r="I177" s="56"/>
      <c r="J177" s="56"/>
      <c r="K177" s="171"/>
      <c r="L177" s="171"/>
      <c r="M177" s="56"/>
      <c r="N177" s="55"/>
      <c r="O177" s="749"/>
      <c r="P177" s="750"/>
      <c r="Q177" s="750"/>
      <c r="R177" s="754"/>
      <c r="S177" s="749"/>
      <c r="T177" s="750"/>
      <c r="U177" s="750"/>
      <c r="V177" s="754"/>
      <c r="BC177" s="155" t="str">
        <f t="shared" si="191"/>
        <v>-</v>
      </c>
      <c r="BD177" s="156"/>
      <c r="BE177" s="156"/>
      <c r="BF177" s="156"/>
      <c r="BG177" s="156"/>
      <c r="BH177" s="156"/>
      <c r="BI177" s="156"/>
      <c r="BJ177" s="156"/>
      <c r="BK177" s="156"/>
      <c r="BL177" s="156"/>
      <c r="BM177" s="156"/>
    </row>
    <row r="178" spans="1:70" ht="15.75" outlineLevel="1" thickBot="1" x14ac:dyDescent="0.3">
      <c r="B178" s="796"/>
      <c r="C178" s="778"/>
      <c r="D178" s="334"/>
      <c r="E178" s="334"/>
      <c r="F178" s="334"/>
      <c r="G178" s="334"/>
      <c r="H178" s="334"/>
      <c r="I178" s="334"/>
      <c r="J178" s="334"/>
      <c r="K178" s="172"/>
      <c r="L178" s="172"/>
      <c r="M178" s="334"/>
      <c r="N178" s="54"/>
      <c r="O178" s="751"/>
      <c r="P178" s="752"/>
      <c r="Q178" s="752"/>
      <c r="R178" s="755"/>
      <c r="S178" s="751"/>
      <c r="T178" s="752"/>
      <c r="U178" s="752"/>
      <c r="V178" s="755"/>
      <c r="BC178" s="155" t="str">
        <f t="shared" si="191"/>
        <v>-</v>
      </c>
      <c r="BD178" s="156"/>
      <c r="BE178" s="156"/>
      <c r="BF178" s="156"/>
      <c r="BG178" s="156"/>
      <c r="BH178" s="156"/>
      <c r="BI178" s="156"/>
      <c r="BJ178" s="156"/>
      <c r="BK178" s="156"/>
      <c r="BL178" s="156"/>
      <c r="BM178" s="156"/>
    </row>
    <row r="179" spans="1:70" ht="15" customHeight="1" x14ac:dyDescent="0.25">
      <c r="A179" s="324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BC179" s="155" t="str">
        <f t="shared" si="191"/>
        <v>-</v>
      </c>
    </row>
    <row r="180" spans="1:70" ht="15" customHeight="1" x14ac:dyDescent="0.25">
      <c r="A180" s="324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BC180" s="155" t="str">
        <f t="shared" si="191"/>
        <v>-</v>
      </c>
    </row>
    <row r="181" spans="1:70" ht="15" customHeight="1" thickBot="1" x14ac:dyDescent="0.3">
      <c r="A181" s="324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BC181" s="155" t="str">
        <f t="shared" si="191"/>
        <v>-</v>
      </c>
    </row>
    <row r="182" spans="1:70" ht="24.95" customHeight="1" thickBot="1" x14ac:dyDescent="0.3">
      <c r="A182" s="324"/>
      <c r="B182" s="185">
        <v>7</v>
      </c>
      <c r="C182" s="757" t="s">
        <v>118</v>
      </c>
      <c r="D182" s="758"/>
      <c r="E182" s="758"/>
      <c r="F182" s="758"/>
      <c r="G182" s="758"/>
      <c r="H182" s="758"/>
      <c r="I182" s="758"/>
      <c r="J182" s="758"/>
      <c r="K182" s="758"/>
      <c r="L182" s="758"/>
      <c r="M182" s="758"/>
      <c r="N182" s="759"/>
      <c r="O182" s="49" t="s">
        <v>117</v>
      </c>
      <c r="P182" s="71" t="str">
        <f>IF(COUNTIF(F186:N205,"refused")&gt;0,"refused",IF(COUNTIF(F186:N205,"failed")&gt;0,"failed",IF(COUNTIF(F186:N205,"passed")&gt;0,"passed","-")))</f>
        <v>-</v>
      </c>
      <c r="Q182" s="70" t="s">
        <v>80</v>
      </c>
      <c r="R182" s="70" t="str">
        <f>IF(COUNT(F186:N187,F191:N192)&gt;0,"listed","not listed")</f>
        <v>not listed</v>
      </c>
      <c r="S182" s="319"/>
      <c r="T182" s="43"/>
      <c r="U182" s="43"/>
      <c r="V182" s="44"/>
      <c r="W182" s="47"/>
      <c r="X182" s="47"/>
      <c r="Y182" s="756"/>
      <c r="Z182" s="756"/>
      <c r="AA182" s="756"/>
      <c r="AB182" s="756"/>
      <c r="AC182" s="756"/>
      <c r="AD182" s="756"/>
      <c r="AE182" s="756"/>
      <c r="AF182" s="756"/>
      <c r="AG182" s="756"/>
      <c r="AH182" s="756"/>
      <c r="BC182" s="155" t="str">
        <f t="shared" si="191"/>
        <v>-</v>
      </c>
    </row>
    <row r="183" spans="1:70" ht="15" customHeight="1" outlineLevel="1" thickBot="1" x14ac:dyDescent="0.3">
      <c r="A183" s="324"/>
      <c r="B183" s="321"/>
      <c r="C183" s="322"/>
      <c r="D183" s="322"/>
      <c r="E183" s="322"/>
      <c r="F183" s="322"/>
      <c r="G183" s="322"/>
      <c r="H183" s="322"/>
      <c r="I183" s="322"/>
      <c r="J183" s="322"/>
      <c r="K183" s="162"/>
      <c r="L183" s="162"/>
      <c r="M183" s="322"/>
      <c r="N183" s="333"/>
      <c r="O183" s="322"/>
      <c r="P183" s="322"/>
      <c r="Q183" s="322"/>
      <c r="R183" s="322"/>
      <c r="S183" s="322"/>
      <c r="T183" s="45"/>
      <c r="U183" s="45"/>
      <c r="V183" s="46"/>
      <c r="W183" s="320"/>
      <c r="X183" s="320"/>
      <c r="Y183" s="743"/>
      <c r="Z183" s="743"/>
      <c r="AA183" s="743"/>
      <c r="AB183" s="743"/>
      <c r="AC183" s="743"/>
      <c r="AD183" s="743"/>
      <c r="AE183" s="743"/>
      <c r="AF183" s="743"/>
      <c r="AG183" s="743"/>
      <c r="AH183" s="743"/>
      <c r="BC183" s="155" t="str">
        <f t="shared" si="191"/>
        <v>-</v>
      </c>
      <c r="BD183" s="151" t="s">
        <v>85</v>
      </c>
      <c r="BE183" s="69" t="str">
        <f>$F$4</f>
        <v>NMHC 
[g/km]</v>
      </c>
      <c r="BF183" s="69" t="str">
        <f>$G$4</f>
        <v>THC
[g/km]</v>
      </c>
      <c r="BG183" s="69" t="str">
        <f>$H$4</f>
        <v>CO
[g/km]</v>
      </c>
      <c r="BH183" s="69" t="str">
        <f>$I$4</f>
        <v>NOx
[g/km]</v>
      </c>
      <c r="BI183" s="69" t="str">
        <f>$J$4</f>
        <v>PM
[mg/km]</v>
      </c>
      <c r="BJ183" s="163" t="str">
        <f>K$4</f>
        <v>PN
[#/km]</v>
      </c>
      <c r="BK183" s="163" t="str">
        <f t="shared" ref="BK183" si="210">L$4</f>
        <v>Additional component</v>
      </c>
      <c r="BL183" s="163" t="str">
        <f>M$4</f>
        <v>Additional
component 2</v>
      </c>
      <c r="BM183" s="163" t="str">
        <f>N$4</f>
        <v>CO2
[g/km]</v>
      </c>
    </row>
    <row r="184" spans="1:70" ht="15" customHeight="1" outlineLevel="1" thickBot="1" x14ac:dyDescent="0.3">
      <c r="A184" s="324"/>
      <c r="B184" s="744" t="s">
        <v>81</v>
      </c>
      <c r="C184" s="745"/>
      <c r="D184" s="745"/>
      <c r="E184" s="745"/>
      <c r="F184" s="745"/>
      <c r="G184" s="745"/>
      <c r="H184" s="745"/>
      <c r="I184" s="745"/>
      <c r="J184" s="745"/>
      <c r="K184" s="745"/>
      <c r="L184" s="745"/>
      <c r="M184" s="745"/>
      <c r="N184" s="746"/>
      <c r="O184" s="744" t="s">
        <v>82</v>
      </c>
      <c r="P184" s="745"/>
      <c r="Q184" s="745"/>
      <c r="R184" s="746"/>
      <c r="S184" s="744" t="s">
        <v>83</v>
      </c>
      <c r="T184" s="745"/>
      <c r="U184" s="745"/>
      <c r="V184" s="746"/>
      <c r="W184" s="320"/>
      <c r="X184" s="320"/>
      <c r="Y184" s="743"/>
      <c r="Z184" s="743"/>
      <c r="AA184" s="743"/>
      <c r="AB184" s="743"/>
      <c r="AC184" s="743"/>
      <c r="AD184" s="743"/>
      <c r="AE184" s="743"/>
      <c r="AF184" s="743"/>
      <c r="AG184" s="743"/>
      <c r="AH184" s="743"/>
      <c r="BC184" s="155" t="str">
        <f t="shared" si="191"/>
        <v>-</v>
      </c>
      <c r="BD184" s="151" t="str">
        <f>$E$4</f>
        <v>Euro 6c</v>
      </c>
      <c r="BE184" s="153">
        <v>1</v>
      </c>
      <c r="BF184" s="153">
        <v>1</v>
      </c>
      <c r="BG184" s="153">
        <v>1</v>
      </c>
      <c r="BH184" s="153">
        <v>1</v>
      </c>
      <c r="BI184" s="153">
        <v>1</v>
      </c>
      <c r="BJ184" s="153">
        <v>1</v>
      </c>
      <c r="BK184" s="153">
        <v>1</v>
      </c>
      <c r="BL184" s="153">
        <v>1</v>
      </c>
      <c r="BM184" s="153">
        <v>1</v>
      </c>
    </row>
    <row r="185" spans="1:70" ht="35.1" customHeight="1" outlineLevel="1" thickBot="1" x14ac:dyDescent="0.3">
      <c r="A185" s="324"/>
      <c r="B185" s="767" t="s">
        <v>84</v>
      </c>
      <c r="C185" s="768"/>
      <c r="D185" s="768"/>
      <c r="E185" s="769"/>
      <c r="F185" s="69" t="str">
        <f t="shared" ref="F185:N185" si="211">F$4</f>
        <v>NMHC 
[g/km]</v>
      </c>
      <c r="G185" s="69" t="str">
        <f t="shared" si="211"/>
        <v>THC
[g/km]</v>
      </c>
      <c r="H185" s="69" t="str">
        <f t="shared" si="211"/>
        <v>CO
[g/km]</v>
      </c>
      <c r="I185" s="69" t="str">
        <f t="shared" si="211"/>
        <v>NOx
[g/km]</v>
      </c>
      <c r="J185" s="69" t="str">
        <f t="shared" si="211"/>
        <v>PM
[mg/km]</v>
      </c>
      <c r="K185" s="69" t="str">
        <f t="shared" si="211"/>
        <v>PN
[#/km]</v>
      </c>
      <c r="L185" s="366" t="str">
        <f t="shared" si="211"/>
        <v>Additional component</v>
      </c>
      <c r="M185" s="366" t="str">
        <f t="shared" si="211"/>
        <v>Additional
component 2</v>
      </c>
      <c r="N185" s="69" t="str">
        <f t="shared" si="211"/>
        <v>CO2
[g/km]</v>
      </c>
      <c r="O185" s="747"/>
      <c r="P185" s="748"/>
      <c r="Q185" s="748"/>
      <c r="R185" s="753"/>
      <c r="S185" s="747"/>
      <c r="T185" s="748"/>
      <c r="U185" s="748"/>
      <c r="V185" s="753"/>
      <c r="W185" s="320"/>
      <c r="X185" s="320"/>
      <c r="Y185" s="743"/>
      <c r="Z185" s="743"/>
      <c r="AA185" s="743"/>
      <c r="AB185" s="743"/>
      <c r="AC185" s="743"/>
      <c r="AD185" s="743"/>
      <c r="AE185" s="743"/>
      <c r="AF185" s="743"/>
      <c r="AG185" s="743"/>
      <c r="AH185" s="743"/>
      <c r="BC185" s="155" t="str">
        <f t="shared" si="191"/>
        <v>-</v>
      </c>
      <c r="BD185" s="151" t="str">
        <f>"1st " &amp;  B186</f>
        <v>1st normal</v>
      </c>
      <c r="BE185" s="153" t="str">
        <f t="shared" ref="BE185:BJ185" si="212">IF((OR($C188="-",$C188="CET",$C188="")),"-",IF(AND(OR(F186="-",F186=""),OR(F187="-",F187="")),"-",IF(NOT(OR(F186="-",F186="")),F186/F$5,F187/F$5)))</f>
        <v>-</v>
      </c>
      <c r="BF185" s="153" t="str">
        <f t="shared" si="212"/>
        <v>-</v>
      </c>
      <c r="BG185" s="153" t="str">
        <f t="shared" si="212"/>
        <v>-</v>
      </c>
      <c r="BH185" s="153" t="str">
        <f t="shared" si="212"/>
        <v>-</v>
      </c>
      <c r="BI185" s="153" t="str">
        <f t="shared" si="212"/>
        <v>-</v>
      </c>
      <c r="BJ185" s="153" t="str">
        <f t="shared" si="212"/>
        <v>-</v>
      </c>
      <c r="BK185" s="153" t="str">
        <f t="shared" ref="BK185" si="213">IF((OR($C188="-",$C188="CET",$C188="")),"-",IF(AND(OR(L186="-",L186=""),OR(L187="-",L187="")),"-",IF(NOT(OR(L186="-",L186="")),L186/L$5,L187/L$5)))</f>
        <v>-</v>
      </c>
      <c r="BL185" s="153" t="str">
        <f>IF((OR($C188="-",$C188="CET",$C188="")),"-",IF(AND(OR(M186="-",M186=""),OR(M187="-",M187="")),"-",IF(NOT(OR(M186="-",M186="")),M186/M$5,M187/M$5)))</f>
        <v>-</v>
      </c>
      <c r="BM185" s="153" t="str">
        <f>IF((OR($C188="-",$C188="CET",$C188="")),"-",IF(AND(OR(N186="-",N186=""),OR(N187="-",N187="")),"-",IF(NOT(OR(N186="-",N186="")),N186/N$5,N187/N$5)))</f>
        <v>-</v>
      </c>
    </row>
    <row r="186" spans="1:70" s="50" customFormat="1" ht="15" customHeight="1" outlineLevel="1" x14ac:dyDescent="0.25">
      <c r="A186" s="53"/>
      <c r="B186" s="800" t="s">
        <v>116</v>
      </c>
      <c r="C186" s="770" t="s">
        <v>114</v>
      </c>
      <c r="D186" s="770" t="s">
        <v>113</v>
      </c>
      <c r="E186" s="106" t="s">
        <v>94</v>
      </c>
      <c r="F186" s="105" t="s">
        <v>5</v>
      </c>
      <c r="G186" s="105" t="s">
        <v>5</v>
      </c>
      <c r="H186" s="105" t="s">
        <v>5</v>
      </c>
      <c r="I186" s="105" t="s">
        <v>5</v>
      </c>
      <c r="J186" s="105" t="s">
        <v>5</v>
      </c>
      <c r="K186" s="173" t="s">
        <v>5</v>
      </c>
      <c r="L186" s="173" t="s">
        <v>5</v>
      </c>
      <c r="M186" s="105" t="s">
        <v>5</v>
      </c>
      <c r="N186" s="105" t="s">
        <v>5</v>
      </c>
      <c r="O186" s="749"/>
      <c r="P186" s="750"/>
      <c r="Q186" s="750"/>
      <c r="R186" s="754"/>
      <c r="S186" s="749"/>
      <c r="T186" s="750"/>
      <c r="U186" s="750"/>
      <c r="V186" s="754"/>
      <c r="W186" s="51"/>
      <c r="X186" s="51"/>
      <c r="Y186" s="743"/>
      <c r="Z186" s="743"/>
      <c r="AA186" s="743"/>
      <c r="AB186" s="743"/>
      <c r="AC186" s="743"/>
      <c r="AD186" s="743"/>
      <c r="AE186" s="743"/>
      <c r="AF186" s="743"/>
      <c r="AG186" s="743"/>
      <c r="AH186" s="743"/>
      <c r="BC186" s="155" t="str">
        <f t="shared" si="191"/>
        <v>-</v>
      </c>
      <c r="BD186" s="151" t="str">
        <f>"1st " &amp; B191</f>
        <v>1st aggressive</v>
      </c>
      <c r="BE186" s="153" t="str">
        <f t="shared" ref="BE186:BJ186" si="214">IF((OR($C193="-",$C193="CET",$C193="")),"-",IF(AND(OR(F191="-",F191=""),OR(F192="-",F192="")),"-",IF(NOT(OR(F191="-",F191="")),F191/F$5,F192/F$5)))</f>
        <v>-</v>
      </c>
      <c r="BF186" s="153" t="str">
        <f t="shared" si="214"/>
        <v>-</v>
      </c>
      <c r="BG186" s="153" t="str">
        <f t="shared" si="214"/>
        <v>-</v>
      </c>
      <c r="BH186" s="153" t="str">
        <f t="shared" si="214"/>
        <v>-</v>
      </c>
      <c r="BI186" s="153" t="str">
        <f t="shared" si="214"/>
        <v>-</v>
      </c>
      <c r="BJ186" s="153" t="str">
        <f t="shared" si="214"/>
        <v>-</v>
      </c>
      <c r="BK186" s="153" t="str">
        <f t="shared" ref="BK186" si="215">IF((OR($C193="-",$C193="CET",$C193="")),"-",IF(AND(OR(L191="-",L191=""),OR(L192="-",L192="")),"-",IF(NOT(OR(L191="-",L191="")),L191/L$5,L192/L$5)))</f>
        <v>-</v>
      </c>
      <c r="BL186" s="153" t="str">
        <f>IF((OR($C193="-",$C193="CET",$C193="")),"-",IF(AND(OR(M191="-",M191=""),OR(M192="-",M192="")),"-",IF(NOT(OR(M191="-",M191="")),M191/M$5,M192/M$5)))</f>
        <v>-</v>
      </c>
      <c r="BM186" s="153" t="str">
        <f>IF((OR($C193="-",$C193="CET",$C193="")),"-",IF(AND(OR(N191="-",N191=""),OR(N192="-",N192="")),"-",IF(NOT(OR(N191="-",N191="")),N191/N$5,N192/N$5)))</f>
        <v>-</v>
      </c>
      <c r="BN186" s="150"/>
      <c r="BO186" s="150"/>
      <c r="BP186" s="150"/>
      <c r="BQ186" s="150"/>
      <c r="BR186" s="150"/>
    </row>
    <row r="187" spans="1:70" ht="15" customHeight="1" outlineLevel="1" thickBot="1" x14ac:dyDescent="0.3">
      <c r="A187" s="324"/>
      <c r="B187" s="801"/>
      <c r="C187" s="741"/>
      <c r="D187" s="742"/>
      <c r="E187" s="104" t="s">
        <v>95</v>
      </c>
      <c r="F187" s="103" t="s">
        <v>5</v>
      </c>
      <c r="G187" s="103" t="s">
        <v>5</v>
      </c>
      <c r="H187" s="103" t="s">
        <v>5</v>
      </c>
      <c r="I187" s="103" t="s">
        <v>5</v>
      </c>
      <c r="J187" s="103" t="s">
        <v>5</v>
      </c>
      <c r="K187" s="174" t="s">
        <v>5</v>
      </c>
      <c r="L187" s="174" t="s">
        <v>5</v>
      </c>
      <c r="M187" s="103" t="s">
        <v>5</v>
      </c>
      <c r="N187" s="103" t="s">
        <v>5</v>
      </c>
      <c r="O187" s="749"/>
      <c r="P187" s="750"/>
      <c r="Q187" s="750"/>
      <c r="R187" s="754"/>
      <c r="S187" s="749"/>
      <c r="T187" s="750"/>
      <c r="U187" s="750"/>
      <c r="V187" s="754"/>
      <c r="W187" s="320"/>
      <c r="X187" s="320"/>
      <c r="Y187" s="743"/>
      <c r="Z187" s="743"/>
      <c r="AA187" s="743"/>
      <c r="AB187" s="743"/>
      <c r="AC187" s="743"/>
      <c r="AD187" s="743"/>
      <c r="AE187" s="743"/>
      <c r="AF187" s="743"/>
      <c r="AG187" s="743"/>
      <c r="AH187" s="743"/>
      <c r="BC187" s="155" t="str">
        <f t="shared" si="191"/>
        <v>-</v>
      </c>
      <c r="BD187" s="151"/>
      <c r="BE187" s="153"/>
      <c r="BF187" s="153"/>
      <c r="BG187" s="153"/>
      <c r="BH187" s="153"/>
      <c r="BI187" s="153"/>
      <c r="BJ187" s="153"/>
      <c r="BK187" s="153"/>
      <c r="BL187" s="153"/>
      <c r="BM187" s="153"/>
    </row>
    <row r="188" spans="1:70" ht="15" customHeight="1" outlineLevel="1" thickBot="1" x14ac:dyDescent="0.3">
      <c r="A188" s="324"/>
      <c r="B188" s="801"/>
      <c r="C188" s="764">
        <v>2</v>
      </c>
      <c r="D188" s="772" t="str">
        <f>IF(AND(F189="-",G189="-",H189="-",I189="-",J189="-",K189="-",L189="-",M189="-"),"-",MAX(F189,G189,H189,I189,J189,K189,L189,M189))</f>
        <v>-</v>
      </c>
      <c r="E188" s="66" t="s">
        <v>177</v>
      </c>
      <c r="F188" s="65" t="str">
        <f t="shared" ref="F188:M188" si="216">IF(OR(F187="-",F187=""),IF(OR(F186="-",F186=""),"-",F186),IF(OR(F186="-",F186=""),F187,(F186+F187)/2))</f>
        <v>-</v>
      </c>
      <c r="G188" s="65" t="str">
        <f t="shared" si="216"/>
        <v>-</v>
      </c>
      <c r="H188" s="65" t="str">
        <f t="shared" si="216"/>
        <v>-</v>
      </c>
      <c r="I188" s="65" t="str">
        <f t="shared" si="216"/>
        <v>-</v>
      </c>
      <c r="J188" s="65" t="str">
        <f t="shared" si="216"/>
        <v>-</v>
      </c>
      <c r="K188" s="167" t="str">
        <f t="shared" si="216"/>
        <v>-</v>
      </c>
      <c r="L188" s="167" t="str">
        <f t="shared" ref="L188" si="217">IF(OR(L187="-",L187=""),IF(OR(L186="-",L186=""),"-",L186),IF(OR(L186="-",L186=""),L187,(L186+L187)/2))</f>
        <v>-</v>
      </c>
      <c r="M188" s="65" t="str">
        <f t="shared" si="216"/>
        <v>-</v>
      </c>
      <c r="N188" s="822"/>
      <c r="O188" s="749"/>
      <c r="P188" s="750"/>
      <c r="Q188" s="750"/>
      <c r="R188" s="754"/>
      <c r="S188" s="749"/>
      <c r="T188" s="750"/>
      <c r="U188" s="750"/>
      <c r="V188" s="754"/>
      <c r="W188" s="320"/>
      <c r="X188" s="320"/>
      <c r="Y188" s="743"/>
      <c r="Z188" s="743"/>
      <c r="AA188" s="743"/>
      <c r="AB188" s="743"/>
      <c r="AC188" s="743"/>
      <c r="AD188" s="743"/>
      <c r="AE188" s="743"/>
      <c r="AF188" s="743"/>
      <c r="AG188" s="743"/>
      <c r="AH188" s="743"/>
      <c r="BC188" s="155" t="str">
        <f t="shared" si="191"/>
        <v>-</v>
      </c>
      <c r="BD188" s="151"/>
      <c r="BE188" s="153"/>
      <c r="BF188" s="153"/>
      <c r="BG188" s="153"/>
      <c r="BH188" s="153"/>
      <c r="BI188" s="153"/>
      <c r="BJ188" s="153"/>
      <c r="BK188" s="153"/>
      <c r="BL188" s="153"/>
      <c r="BM188" s="153"/>
    </row>
    <row r="189" spans="1:70" ht="15" customHeight="1" outlineLevel="1" thickBot="1" x14ac:dyDescent="0.3">
      <c r="A189" s="324"/>
      <c r="B189" s="801"/>
      <c r="C189" s="765"/>
      <c r="D189" s="773"/>
      <c r="E189" s="64" t="s">
        <v>97</v>
      </c>
      <c r="F189" s="63" t="str">
        <f t="shared" ref="F189:M189" si="218">IF(OR($C188="-",$C188="CET",$C188=""),"-",IF(AND(NOT(F188="-"),NOT(F$5="-"),NOT(F$5="")),F188/F$5,"-"))</f>
        <v>-</v>
      </c>
      <c r="G189" s="63" t="str">
        <f t="shared" si="218"/>
        <v>-</v>
      </c>
      <c r="H189" s="63" t="str">
        <f t="shared" si="218"/>
        <v>-</v>
      </c>
      <c r="I189" s="63" t="str">
        <f t="shared" si="218"/>
        <v>-</v>
      </c>
      <c r="J189" s="63" t="str">
        <f t="shared" si="218"/>
        <v>-</v>
      </c>
      <c r="K189" s="168" t="str">
        <f t="shared" si="218"/>
        <v>-</v>
      </c>
      <c r="L189" s="168" t="str">
        <f t="shared" ref="L189" si="219">IF(OR($C188="-",$C188="CET",$C188=""),"-",IF(AND(NOT(L188="-"),NOT(L$5="-"),NOT(L$5="")),L188/L$5,"-"))</f>
        <v>-</v>
      </c>
      <c r="M189" s="63" t="str">
        <f t="shared" si="218"/>
        <v>-</v>
      </c>
      <c r="N189" s="823"/>
      <c r="O189" s="749"/>
      <c r="P189" s="750"/>
      <c r="Q189" s="750"/>
      <c r="R189" s="754"/>
      <c r="S189" s="749"/>
      <c r="T189" s="750"/>
      <c r="U189" s="750"/>
      <c r="V189" s="754"/>
      <c r="W189" s="320"/>
      <c r="X189" s="320"/>
      <c r="Y189" s="743"/>
      <c r="Z189" s="743"/>
      <c r="AA189" s="743"/>
      <c r="AB189" s="743"/>
      <c r="AC189" s="743"/>
      <c r="AD189" s="743"/>
      <c r="AE189" s="743"/>
      <c r="AF189" s="743"/>
      <c r="AG189" s="743"/>
      <c r="AH189" s="743"/>
      <c r="BC189" s="155" t="str">
        <f t="shared" si="191"/>
        <v>-</v>
      </c>
      <c r="BD189" s="151"/>
      <c r="BE189" s="153"/>
      <c r="BF189" s="153"/>
      <c r="BG189" s="153"/>
      <c r="BH189" s="153"/>
      <c r="BI189" s="153"/>
      <c r="BJ189" s="153"/>
      <c r="BK189" s="153"/>
      <c r="BL189" s="153"/>
      <c r="BM189" s="153"/>
    </row>
    <row r="190" spans="1:70" ht="15" customHeight="1" outlineLevel="1" thickBot="1" x14ac:dyDescent="0.3">
      <c r="A190" s="324"/>
      <c r="B190" s="802"/>
      <c r="C190" s="771"/>
      <c r="D190" s="774"/>
      <c r="E190" s="68" t="s">
        <v>30</v>
      </c>
      <c r="F190" s="62" t="str">
        <f t="shared" ref="F190:M190" si="220">IF(AND(OR(F186="-",F186=""),OR(F187="-",F187="")),"-",IF(OR($C188="-",$C188="",$C188="CET"),"-",IF($R$182="not listed","-",IF(NOT(F$5="-"),IF(AND(AND(NOT(F186=0),NOT(F186="-"),NOT(F186="")),AND(NOT(F187="-"),NOT(F187=0),NOT(F187=""))),IF(AND((F186+F187)/2&lt;1*F$5*IF(OR($C188="CET",$C188="-",$C188=""),"-",$C188),F186&lt;1.1*F$5*IF(OR($C188="CET",$C188="-",$C188=""),"-",$C188),F187&lt;1.1*F$5*IF(OR($C188="CET",$C188="-",$C188=""),"-",$C188)),"passed","refused"),IF(IF(OR(F186="-",F186=""),F187,F186)&lt;0.7*F$5*IF(OR($C188="CET",$C188="-",$C188=""),"-",$C188),"passed",IF(IF(OR(F186="-",F186=""),F187,F186)&lt;1.1*IF(OR($C188="CET",$C188="-",$C188=""),"-",$C188)*F$5,"failed","refused"))),"-"))))</f>
        <v>-</v>
      </c>
      <c r="G190" s="62" t="str">
        <f t="shared" si="220"/>
        <v>-</v>
      </c>
      <c r="H190" s="62" t="str">
        <f t="shared" si="220"/>
        <v>-</v>
      </c>
      <c r="I190" s="62" t="str">
        <f t="shared" si="220"/>
        <v>-</v>
      </c>
      <c r="J190" s="62" t="str">
        <f t="shared" si="220"/>
        <v>-</v>
      </c>
      <c r="K190" s="169" t="str">
        <f t="shared" si="220"/>
        <v>-</v>
      </c>
      <c r="L190" s="169" t="str">
        <f t="shared" si="220"/>
        <v>-</v>
      </c>
      <c r="M190" s="62" t="str">
        <f t="shared" si="220"/>
        <v>-</v>
      </c>
      <c r="N190" s="824"/>
      <c r="O190" s="749"/>
      <c r="P190" s="750"/>
      <c r="Q190" s="750"/>
      <c r="R190" s="754"/>
      <c r="S190" s="749"/>
      <c r="T190" s="750"/>
      <c r="U190" s="750"/>
      <c r="V190" s="754"/>
      <c r="W190" s="320"/>
      <c r="X190" s="320"/>
      <c r="Y190" s="743"/>
      <c r="Z190" s="743"/>
      <c r="AA190" s="743"/>
      <c r="AB190" s="743"/>
      <c r="AC190" s="743"/>
      <c r="AD190" s="743"/>
      <c r="AE190" s="743"/>
      <c r="AF190" s="743"/>
      <c r="AG190" s="743"/>
      <c r="AH190" s="743"/>
      <c r="BC190" s="155" t="str">
        <f t="shared" si="191"/>
        <v>-</v>
      </c>
      <c r="BD190" s="151"/>
      <c r="BE190" s="153"/>
      <c r="BF190" s="153"/>
      <c r="BG190" s="153"/>
      <c r="BH190" s="153"/>
      <c r="BI190" s="153"/>
      <c r="BJ190" s="153"/>
      <c r="BK190" s="153"/>
      <c r="BL190" s="153"/>
      <c r="BM190" s="153"/>
    </row>
    <row r="191" spans="1:70" s="50" customFormat="1" ht="15" customHeight="1" outlineLevel="1" x14ac:dyDescent="0.25">
      <c r="A191" s="53"/>
      <c r="B191" s="800" t="s">
        <v>115</v>
      </c>
      <c r="C191" s="770" t="s">
        <v>114</v>
      </c>
      <c r="D191" s="770" t="s">
        <v>113</v>
      </c>
      <c r="E191" s="106" t="s">
        <v>94</v>
      </c>
      <c r="F191" s="105" t="s">
        <v>5</v>
      </c>
      <c r="G191" s="105" t="s">
        <v>5</v>
      </c>
      <c r="H191" s="105" t="s">
        <v>5</v>
      </c>
      <c r="I191" s="105" t="s">
        <v>5</v>
      </c>
      <c r="J191" s="105" t="s">
        <v>5</v>
      </c>
      <c r="K191" s="173" t="s">
        <v>5</v>
      </c>
      <c r="L191" s="173" t="s">
        <v>5</v>
      </c>
      <c r="M191" s="105" t="s">
        <v>5</v>
      </c>
      <c r="N191" s="105" t="s">
        <v>5</v>
      </c>
      <c r="O191" s="749"/>
      <c r="P191" s="750"/>
      <c r="Q191" s="750"/>
      <c r="R191" s="754"/>
      <c r="S191" s="749"/>
      <c r="T191" s="750"/>
      <c r="U191" s="750"/>
      <c r="V191" s="754"/>
      <c r="W191" s="51"/>
      <c r="X191" s="51"/>
      <c r="Y191" s="743"/>
      <c r="Z191" s="743"/>
      <c r="AA191" s="743"/>
      <c r="AB191" s="743"/>
      <c r="AC191" s="743"/>
      <c r="AD191" s="743"/>
      <c r="AE191" s="743"/>
      <c r="AF191" s="743"/>
      <c r="AG191" s="743"/>
      <c r="AH191" s="743"/>
      <c r="BC191" s="155" t="str">
        <f t="shared" si="191"/>
        <v>-</v>
      </c>
      <c r="BD191" s="151" t="str">
        <f>"0.7*IEF " &amp; (B186)</f>
        <v>0.7*IEF normal</v>
      </c>
      <c r="BE191" s="153">
        <f t="shared" ref="BE191:BJ191" si="221">IF(OR($C188="-",$C188="CET",$C188=""),"-",0.7*$C188)</f>
        <v>1.4</v>
      </c>
      <c r="BF191" s="153">
        <f t="shared" si="221"/>
        <v>1.4</v>
      </c>
      <c r="BG191" s="153">
        <f t="shared" si="221"/>
        <v>1.4</v>
      </c>
      <c r="BH191" s="153">
        <f t="shared" si="221"/>
        <v>1.4</v>
      </c>
      <c r="BI191" s="153">
        <f t="shared" si="221"/>
        <v>1.4</v>
      </c>
      <c r="BJ191" s="153">
        <f t="shared" si="221"/>
        <v>1.4</v>
      </c>
      <c r="BK191" s="153">
        <f t="shared" ref="BK191:BL191" si="222">IF(OR($C188="-",$C188="CET",$C188=""),"-",0.7*$C188)</f>
        <v>1.4</v>
      </c>
      <c r="BL191" s="153">
        <f t="shared" si="222"/>
        <v>1.4</v>
      </c>
      <c r="BM191" s="153">
        <f t="shared" ref="BM191" si="223">IF(OR($C188="-",$C188="CET",$C188=""),"-",0.7*$C188)</f>
        <v>1.4</v>
      </c>
      <c r="BN191" s="150"/>
      <c r="BO191" s="150"/>
      <c r="BP191" s="150"/>
      <c r="BQ191" s="150"/>
      <c r="BR191" s="150"/>
    </row>
    <row r="192" spans="1:70" ht="15" customHeight="1" outlineLevel="1" thickBot="1" x14ac:dyDescent="0.3">
      <c r="A192" s="324"/>
      <c r="B192" s="801"/>
      <c r="C192" s="741"/>
      <c r="D192" s="742"/>
      <c r="E192" s="104" t="s">
        <v>95</v>
      </c>
      <c r="F192" s="103" t="s">
        <v>5</v>
      </c>
      <c r="G192" s="103" t="s">
        <v>5</v>
      </c>
      <c r="H192" s="103" t="s">
        <v>5</v>
      </c>
      <c r="I192" s="103" t="s">
        <v>5</v>
      </c>
      <c r="J192" s="103" t="s">
        <v>5</v>
      </c>
      <c r="K192" s="174" t="s">
        <v>5</v>
      </c>
      <c r="L192" s="174" t="s">
        <v>5</v>
      </c>
      <c r="M192" s="103" t="s">
        <v>5</v>
      </c>
      <c r="N192" s="103" t="s">
        <v>5</v>
      </c>
      <c r="O192" s="749"/>
      <c r="P192" s="750"/>
      <c r="Q192" s="750"/>
      <c r="R192" s="754"/>
      <c r="S192" s="749"/>
      <c r="T192" s="750"/>
      <c r="U192" s="750"/>
      <c r="V192" s="754"/>
      <c r="W192" s="320"/>
      <c r="X192" s="320"/>
      <c r="Y192" s="743"/>
      <c r="Z192" s="743"/>
      <c r="AA192" s="743"/>
      <c r="AB192" s="743"/>
      <c r="AC192" s="743"/>
      <c r="AD192" s="743"/>
      <c r="AE192" s="743"/>
      <c r="AF192" s="743"/>
      <c r="AG192" s="743"/>
      <c r="AH192" s="743"/>
      <c r="BC192" s="155" t="str">
        <f t="shared" si="191"/>
        <v>-</v>
      </c>
      <c r="BD192" s="151" t="str">
        <f>"0.7*IEF " &amp; B191</f>
        <v>0.7*IEF aggressive</v>
      </c>
      <c r="BE192" s="153">
        <f t="shared" ref="BE192:BM192" si="224">IF(OR($C193="-",$C193="CET",$C193=""),"-",0.7*$C193)</f>
        <v>2.8</v>
      </c>
      <c r="BF192" s="153">
        <f t="shared" si="224"/>
        <v>2.8</v>
      </c>
      <c r="BG192" s="153">
        <f t="shared" si="224"/>
        <v>2.8</v>
      </c>
      <c r="BH192" s="153">
        <f t="shared" si="224"/>
        <v>2.8</v>
      </c>
      <c r="BI192" s="153">
        <f t="shared" si="224"/>
        <v>2.8</v>
      </c>
      <c r="BJ192" s="153">
        <f t="shared" si="224"/>
        <v>2.8</v>
      </c>
      <c r="BK192" s="153">
        <f t="shared" si="224"/>
        <v>2.8</v>
      </c>
      <c r="BL192" s="153">
        <f t="shared" si="224"/>
        <v>2.8</v>
      </c>
      <c r="BM192" s="153">
        <f t="shared" si="224"/>
        <v>2.8</v>
      </c>
    </row>
    <row r="193" spans="1:70" ht="15" customHeight="1" outlineLevel="1" thickBot="1" x14ac:dyDescent="0.3">
      <c r="A193" s="324"/>
      <c r="B193" s="801"/>
      <c r="C193" s="764">
        <v>4</v>
      </c>
      <c r="D193" s="772" t="str">
        <f>IF(AND(F194="-",G194="-",H194="-",I194="-",J194="-",K194="-",L194="-",M194="-"),"-",MAX(F194,G194,H194,I194,J194,K194,L194,M194))</f>
        <v>-</v>
      </c>
      <c r="E193" s="66" t="s">
        <v>177</v>
      </c>
      <c r="F193" s="65" t="str">
        <f t="shared" ref="F193:M193" si="225">IF(OR(F192="-",F192=""),IF(OR(F191="-",F191=""),"-",F191),IF(OR(F191="-",F191=""),F192,(F191+F192)/2))</f>
        <v>-</v>
      </c>
      <c r="G193" s="65" t="str">
        <f t="shared" si="225"/>
        <v>-</v>
      </c>
      <c r="H193" s="65" t="str">
        <f t="shared" si="225"/>
        <v>-</v>
      </c>
      <c r="I193" s="65" t="str">
        <f t="shared" si="225"/>
        <v>-</v>
      </c>
      <c r="J193" s="65" t="str">
        <f t="shared" si="225"/>
        <v>-</v>
      </c>
      <c r="K193" s="167" t="str">
        <f t="shared" si="225"/>
        <v>-</v>
      </c>
      <c r="L193" s="167" t="str">
        <f t="shared" ref="L193" si="226">IF(OR(L192="-",L192=""),IF(OR(L191="-",L191=""),"-",L191),IF(OR(L191="-",L191=""),L192,(L191+L192)/2))</f>
        <v>-</v>
      </c>
      <c r="M193" s="65" t="str">
        <f t="shared" si="225"/>
        <v>-</v>
      </c>
      <c r="N193" s="822"/>
      <c r="O193" s="749"/>
      <c r="P193" s="750"/>
      <c r="Q193" s="750"/>
      <c r="R193" s="754"/>
      <c r="S193" s="749"/>
      <c r="T193" s="750"/>
      <c r="U193" s="750"/>
      <c r="V193" s="754"/>
      <c r="W193" s="320"/>
      <c r="X193" s="320"/>
      <c r="Y193" s="743"/>
      <c r="Z193" s="743"/>
      <c r="AA193" s="743"/>
      <c r="AB193" s="743"/>
      <c r="AC193" s="743"/>
      <c r="AD193" s="743"/>
      <c r="AE193" s="743"/>
      <c r="AF193" s="743"/>
      <c r="AG193" s="743"/>
      <c r="AH193" s="743"/>
      <c r="BC193" s="155" t="str">
        <f t="shared" si="191"/>
        <v>-</v>
      </c>
      <c r="BD193" s="151"/>
      <c r="BE193" s="153"/>
      <c r="BF193" s="153"/>
      <c r="BG193" s="153"/>
      <c r="BH193" s="153"/>
      <c r="BI193" s="153"/>
      <c r="BJ193" s="153"/>
      <c r="BK193" s="153"/>
      <c r="BL193" s="153"/>
      <c r="BM193" s="153"/>
    </row>
    <row r="194" spans="1:70" ht="15" customHeight="1" outlineLevel="1" thickBot="1" x14ac:dyDescent="0.3">
      <c r="A194" s="40"/>
      <c r="B194" s="801"/>
      <c r="C194" s="765"/>
      <c r="D194" s="773"/>
      <c r="E194" s="64" t="s">
        <v>97</v>
      </c>
      <c r="F194" s="63" t="str">
        <f t="shared" ref="F194:M194" si="227">IF(OR($C193="-",$C193="CET",$C193=""),"-",IF(AND(NOT(F193="-"),NOT(F$5="-"),NOT(F$5="")),F193/F$5,"-"))</f>
        <v>-</v>
      </c>
      <c r="G194" s="63" t="str">
        <f t="shared" si="227"/>
        <v>-</v>
      </c>
      <c r="H194" s="63" t="str">
        <f t="shared" si="227"/>
        <v>-</v>
      </c>
      <c r="I194" s="63" t="str">
        <f t="shared" si="227"/>
        <v>-</v>
      </c>
      <c r="J194" s="63" t="str">
        <f t="shared" si="227"/>
        <v>-</v>
      </c>
      <c r="K194" s="168" t="str">
        <f t="shared" si="227"/>
        <v>-</v>
      </c>
      <c r="L194" s="168" t="str">
        <f t="shared" ref="L194" si="228">IF(OR($C193="-",$C193="CET",$C193=""),"-",IF(AND(NOT(L193="-"),NOT(L$5="-"),NOT(L$5="")),L193/L$5,"-"))</f>
        <v>-</v>
      </c>
      <c r="M194" s="63" t="str">
        <f t="shared" si="227"/>
        <v>-</v>
      </c>
      <c r="N194" s="823"/>
      <c r="O194" s="749"/>
      <c r="P194" s="750"/>
      <c r="Q194" s="750"/>
      <c r="R194" s="754"/>
      <c r="S194" s="749"/>
      <c r="T194" s="750"/>
      <c r="U194" s="750"/>
      <c r="V194" s="754"/>
      <c r="W194" s="320"/>
      <c r="X194" s="320"/>
      <c r="Y194" s="743"/>
      <c r="Z194" s="743"/>
      <c r="AA194" s="743"/>
      <c r="AB194" s="743"/>
      <c r="AC194" s="743"/>
      <c r="AD194" s="743"/>
      <c r="AE194" s="743"/>
      <c r="AF194" s="743"/>
      <c r="AG194" s="743"/>
      <c r="AH194" s="743"/>
      <c r="BC194" s="155" t="str">
        <f t="shared" si="191"/>
        <v>-</v>
      </c>
      <c r="BD194" s="151"/>
      <c r="BE194" s="153"/>
      <c r="BF194" s="153"/>
      <c r="BG194" s="153"/>
      <c r="BH194" s="153"/>
      <c r="BI194" s="153"/>
      <c r="BJ194" s="153"/>
      <c r="BK194" s="153"/>
      <c r="BL194" s="153"/>
      <c r="BM194" s="153"/>
    </row>
    <row r="195" spans="1:70" ht="15" customHeight="1" outlineLevel="1" thickBot="1" x14ac:dyDescent="0.3">
      <c r="A195" s="40"/>
      <c r="B195" s="803"/>
      <c r="C195" s="766"/>
      <c r="D195" s="774"/>
      <c r="E195" s="68" t="s">
        <v>30</v>
      </c>
      <c r="F195" s="68" t="str">
        <f t="shared" ref="F195:M195" si="229">IF(AND(OR(F191="-",F191=""),OR(F192="-",F192="")),"-",IF(OR($C193="-",$C193="",$C193="CET"),"-",IF($R$182="not listed","-",IF(NOT(F$5="-"),IF(AND(AND(NOT(F191=0),NOT(F191="-"),NOT(F191="")),AND(NOT(F192="-"),NOT(F192=0),NOT(F192=""))),IF(AND((F191+F192)/2&lt;1*F$5*IF(OR($C193="CET",$C193="-",$C193=""),"-",$C193),F191&lt;1.1*F$5*IF(OR($C193="CET",$C193="-",$C193=""),"-",$C193),F192&lt;1.1*F$5*IF(OR($C193="CET",$C193="-",$C193=""),"-",$C193)),"passed","refused"),IF(IF(OR(F191="-",F191=""),F192,F191)&lt;0.7*F$5*IF(OR($C193="CET",$C193="-",$C193=""),"-",$C193),"passed",IF(IF(OR(F191="-",F191=""),F192,F191)&lt;1.1*IF(OR($C193="CET",$C193="-",$C193=""),"-",$C193)*F$5,"failed","refused"))),"-"))))</f>
        <v>-</v>
      </c>
      <c r="G195" s="68" t="str">
        <f t="shared" si="229"/>
        <v>-</v>
      </c>
      <c r="H195" s="68" t="str">
        <f t="shared" si="229"/>
        <v>-</v>
      </c>
      <c r="I195" s="68" t="str">
        <f t="shared" si="229"/>
        <v>-</v>
      </c>
      <c r="J195" s="68" t="str">
        <f t="shared" si="229"/>
        <v>-</v>
      </c>
      <c r="K195" s="341" t="str">
        <f t="shared" si="229"/>
        <v>-</v>
      </c>
      <c r="L195" s="341" t="str">
        <f t="shared" si="229"/>
        <v>-</v>
      </c>
      <c r="M195" s="68" t="str">
        <f t="shared" si="229"/>
        <v>-</v>
      </c>
      <c r="N195" s="824"/>
      <c r="O195" s="749"/>
      <c r="P195" s="750"/>
      <c r="Q195" s="750"/>
      <c r="R195" s="754"/>
      <c r="S195" s="749"/>
      <c r="T195" s="750"/>
      <c r="U195" s="750"/>
      <c r="V195" s="754"/>
      <c r="W195" s="320"/>
      <c r="X195" s="320"/>
      <c r="Y195" s="743"/>
      <c r="Z195" s="743"/>
      <c r="AA195" s="743"/>
      <c r="AB195" s="743"/>
      <c r="AC195" s="743"/>
      <c r="AD195" s="743"/>
      <c r="AE195" s="743"/>
      <c r="AF195" s="743"/>
      <c r="AG195" s="743"/>
      <c r="AH195" s="743"/>
      <c r="BC195" s="155" t="str">
        <f t="shared" si="191"/>
        <v>-</v>
      </c>
      <c r="BD195" s="151"/>
      <c r="BE195" s="153"/>
      <c r="BF195" s="153"/>
      <c r="BG195" s="153"/>
      <c r="BH195" s="153"/>
      <c r="BI195" s="153"/>
      <c r="BJ195" s="153"/>
      <c r="BK195" s="153"/>
      <c r="BL195" s="153"/>
      <c r="BM195" s="153"/>
    </row>
    <row r="196" spans="1:70" s="50" customFormat="1" ht="15" customHeight="1" outlineLevel="1" x14ac:dyDescent="0.25">
      <c r="A196" s="52"/>
      <c r="B196" s="93"/>
      <c r="C196" s="92"/>
      <c r="D196" s="92"/>
      <c r="E196" s="91"/>
      <c r="F196" s="90"/>
      <c r="G196" s="90"/>
      <c r="H196" s="90"/>
      <c r="I196" s="90"/>
      <c r="J196" s="90"/>
      <c r="K196" s="176"/>
      <c r="L196" s="176"/>
      <c r="M196" s="90"/>
      <c r="N196" s="89"/>
      <c r="O196" s="749"/>
      <c r="P196" s="750"/>
      <c r="Q196" s="750"/>
      <c r="R196" s="754"/>
      <c r="S196" s="749"/>
      <c r="T196" s="750"/>
      <c r="U196" s="750"/>
      <c r="V196" s="754"/>
      <c r="W196" s="51"/>
      <c r="X196" s="51"/>
      <c r="Y196" s="743"/>
      <c r="Z196" s="743"/>
      <c r="AA196" s="743"/>
      <c r="AB196" s="743"/>
      <c r="AC196" s="743"/>
      <c r="AD196" s="743"/>
      <c r="AE196" s="743"/>
      <c r="AF196" s="743"/>
      <c r="AG196" s="743"/>
      <c r="AH196" s="743"/>
      <c r="BC196" s="155" t="str">
        <f t="shared" si="191"/>
        <v>-</v>
      </c>
      <c r="BD196" s="151"/>
      <c r="BE196" s="153"/>
      <c r="BF196" s="153"/>
      <c r="BG196" s="153"/>
      <c r="BH196" s="153"/>
      <c r="BI196" s="153"/>
      <c r="BJ196" s="153"/>
      <c r="BK196" s="153"/>
      <c r="BL196" s="153"/>
      <c r="BM196" s="153"/>
      <c r="BN196" s="150"/>
      <c r="BO196" s="150"/>
      <c r="BP196" s="150"/>
      <c r="BQ196" s="150"/>
      <c r="BR196" s="150"/>
    </row>
    <row r="197" spans="1:70" ht="15" customHeight="1" outlineLevel="1" x14ac:dyDescent="0.25">
      <c r="A197" s="40"/>
      <c r="B197" s="86"/>
      <c r="C197" s="78"/>
      <c r="D197" s="78"/>
      <c r="E197" s="77"/>
      <c r="F197" s="337"/>
      <c r="G197" s="337"/>
      <c r="H197" s="337"/>
      <c r="I197" s="337"/>
      <c r="J197" s="337"/>
      <c r="K197" s="171"/>
      <c r="L197" s="171"/>
      <c r="M197" s="337"/>
      <c r="N197" s="57"/>
      <c r="O197" s="749"/>
      <c r="P197" s="750"/>
      <c r="Q197" s="750"/>
      <c r="R197" s="754"/>
      <c r="S197" s="749"/>
      <c r="T197" s="750"/>
      <c r="U197" s="750"/>
      <c r="V197" s="754"/>
      <c r="W197" s="320"/>
      <c r="X197" s="320"/>
      <c r="Y197" s="743"/>
      <c r="Z197" s="743"/>
      <c r="AA197" s="743"/>
      <c r="AB197" s="743"/>
      <c r="AC197" s="743"/>
      <c r="AD197" s="743"/>
      <c r="AE197" s="743"/>
      <c r="AF197" s="743"/>
      <c r="AG197" s="743"/>
      <c r="AH197" s="743"/>
      <c r="BC197" s="155" t="str">
        <f t="shared" si="191"/>
        <v>-</v>
      </c>
      <c r="BD197" s="151" t="str">
        <f>$B186</f>
        <v>normal</v>
      </c>
      <c r="BE197" s="153" t="str">
        <f t="shared" ref="BE197:BJ197" si="230">F189</f>
        <v>-</v>
      </c>
      <c r="BF197" s="153" t="str">
        <f t="shared" si="230"/>
        <v>-</v>
      </c>
      <c r="BG197" s="153" t="str">
        <f t="shared" si="230"/>
        <v>-</v>
      </c>
      <c r="BH197" s="153" t="str">
        <f t="shared" si="230"/>
        <v>-</v>
      </c>
      <c r="BI197" s="153" t="str">
        <f t="shared" si="230"/>
        <v>-</v>
      </c>
      <c r="BJ197" s="153" t="str">
        <f t="shared" si="230"/>
        <v>-</v>
      </c>
      <c r="BK197" s="153" t="str">
        <f t="shared" ref="BK197" si="231">L189</f>
        <v>-</v>
      </c>
      <c r="BL197" s="153" t="str">
        <f>M189</f>
        <v>-</v>
      </c>
      <c r="BM197" s="153">
        <f>N189</f>
        <v>0</v>
      </c>
    </row>
    <row r="198" spans="1:70" ht="15" customHeight="1" outlineLevel="1" x14ac:dyDescent="0.25">
      <c r="A198" s="40"/>
      <c r="B198" s="86"/>
      <c r="C198" s="75"/>
      <c r="D198" s="74"/>
      <c r="E198" s="336"/>
      <c r="F198" s="336"/>
      <c r="G198" s="336"/>
      <c r="H198" s="336"/>
      <c r="I198" s="336"/>
      <c r="J198" s="336"/>
      <c r="K198" s="177"/>
      <c r="L198" s="177"/>
      <c r="M198" s="336"/>
      <c r="N198" s="87"/>
      <c r="O198" s="749"/>
      <c r="P198" s="750"/>
      <c r="Q198" s="750"/>
      <c r="R198" s="754"/>
      <c r="S198" s="749"/>
      <c r="T198" s="750"/>
      <c r="U198" s="750"/>
      <c r="V198" s="754"/>
      <c r="W198" s="320"/>
      <c r="X198" s="320"/>
      <c r="Y198" s="743"/>
      <c r="Z198" s="743"/>
      <c r="AA198" s="743"/>
      <c r="AB198" s="743"/>
      <c r="AC198" s="743"/>
      <c r="AD198" s="743"/>
      <c r="AE198" s="743"/>
      <c r="AF198" s="743"/>
      <c r="AG198" s="743"/>
      <c r="AH198" s="743"/>
      <c r="BC198" s="155" t="str">
        <f t="shared" si="191"/>
        <v>-</v>
      </c>
      <c r="BD198" s="151" t="str">
        <f>$B191</f>
        <v>aggressive</v>
      </c>
      <c r="BE198" s="153" t="str">
        <f t="shared" ref="BE198:BJ198" si="232">F194</f>
        <v>-</v>
      </c>
      <c r="BF198" s="153" t="str">
        <f t="shared" si="232"/>
        <v>-</v>
      </c>
      <c r="BG198" s="153" t="str">
        <f t="shared" si="232"/>
        <v>-</v>
      </c>
      <c r="BH198" s="153" t="str">
        <f t="shared" si="232"/>
        <v>-</v>
      </c>
      <c r="BI198" s="153" t="str">
        <f t="shared" si="232"/>
        <v>-</v>
      </c>
      <c r="BJ198" s="153" t="str">
        <f t="shared" si="232"/>
        <v>-</v>
      </c>
      <c r="BK198" s="153" t="str">
        <f t="shared" ref="BK198" si="233">L194</f>
        <v>-</v>
      </c>
      <c r="BL198" s="153" t="str">
        <f>M194</f>
        <v>-</v>
      </c>
      <c r="BM198" s="153">
        <f>N194</f>
        <v>0</v>
      </c>
    </row>
    <row r="199" spans="1:70" ht="15" customHeight="1" outlineLevel="1" x14ac:dyDescent="0.25">
      <c r="A199" s="40"/>
      <c r="B199" s="86"/>
      <c r="C199" s="75"/>
      <c r="D199" s="74"/>
      <c r="E199" s="77"/>
      <c r="F199" s="85"/>
      <c r="G199" s="85"/>
      <c r="H199" s="85"/>
      <c r="I199" s="85"/>
      <c r="J199" s="85"/>
      <c r="K199" s="177"/>
      <c r="L199" s="177"/>
      <c r="M199" s="85"/>
      <c r="N199" s="84"/>
      <c r="O199" s="749"/>
      <c r="P199" s="750"/>
      <c r="Q199" s="750"/>
      <c r="R199" s="754"/>
      <c r="S199" s="749"/>
      <c r="T199" s="750"/>
      <c r="U199" s="750"/>
      <c r="V199" s="754"/>
      <c r="W199" s="320"/>
      <c r="X199" s="320"/>
      <c r="Y199" s="743"/>
      <c r="Z199" s="743"/>
      <c r="AA199" s="743"/>
      <c r="AB199" s="743"/>
      <c r="AC199" s="743"/>
      <c r="AD199" s="743"/>
      <c r="AE199" s="743"/>
      <c r="AF199" s="743"/>
      <c r="AG199" s="743"/>
      <c r="AH199" s="743"/>
      <c r="BC199" s="155" t="str">
        <f t="shared" si="191"/>
        <v>-</v>
      </c>
      <c r="BD199" s="151"/>
      <c r="BE199" s="153"/>
      <c r="BF199" s="153"/>
      <c r="BG199" s="153"/>
      <c r="BH199" s="153"/>
      <c r="BI199" s="153"/>
      <c r="BJ199" s="153"/>
      <c r="BK199" s="153"/>
      <c r="BL199" s="153"/>
      <c r="BM199" s="153"/>
    </row>
    <row r="200" spans="1:70" ht="15" customHeight="1" outlineLevel="1" x14ac:dyDescent="0.25">
      <c r="A200" s="40"/>
      <c r="B200" s="86"/>
      <c r="C200" s="75"/>
      <c r="D200" s="74"/>
      <c r="E200" s="77"/>
      <c r="F200" s="77"/>
      <c r="G200" s="77"/>
      <c r="H200" s="77"/>
      <c r="I200" s="77"/>
      <c r="J200" s="77"/>
      <c r="K200" s="177"/>
      <c r="L200" s="177"/>
      <c r="M200" s="77"/>
      <c r="N200" s="88"/>
      <c r="O200" s="749"/>
      <c r="P200" s="750"/>
      <c r="Q200" s="750"/>
      <c r="R200" s="754"/>
      <c r="S200" s="749"/>
      <c r="T200" s="750"/>
      <c r="U200" s="750"/>
      <c r="V200" s="754"/>
      <c r="W200" s="320"/>
      <c r="X200" s="320"/>
      <c r="Y200" s="743"/>
      <c r="Z200" s="743"/>
      <c r="AA200" s="743"/>
      <c r="AB200" s="743"/>
      <c r="AC200" s="743"/>
      <c r="AD200" s="743"/>
      <c r="AE200" s="743"/>
      <c r="AF200" s="743"/>
      <c r="AG200" s="743"/>
      <c r="AH200" s="743"/>
      <c r="BC200" s="155" t="str">
        <f t="shared" si="191"/>
        <v>-</v>
      </c>
      <c r="BD200" s="151"/>
      <c r="BE200" s="153"/>
      <c r="BF200" s="153"/>
      <c r="BG200" s="153"/>
      <c r="BH200" s="153"/>
      <c r="BI200" s="153"/>
      <c r="BJ200" s="153"/>
      <c r="BK200" s="153"/>
      <c r="BL200" s="153"/>
      <c r="BM200" s="153"/>
    </row>
    <row r="201" spans="1:70" s="50" customFormat="1" ht="15" customHeight="1" outlineLevel="1" x14ac:dyDescent="0.25">
      <c r="A201" s="52"/>
      <c r="B201" s="86"/>
      <c r="C201" s="78"/>
      <c r="D201" s="78"/>
      <c r="E201" s="77"/>
      <c r="F201" s="337"/>
      <c r="G201" s="337"/>
      <c r="H201" s="337"/>
      <c r="I201" s="337"/>
      <c r="J201" s="337"/>
      <c r="K201" s="171"/>
      <c r="L201" s="171"/>
      <c r="M201" s="337"/>
      <c r="N201" s="57"/>
      <c r="O201" s="749"/>
      <c r="P201" s="750"/>
      <c r="Q201" s="750"/>
      <c r="R201" s="754"/>
      <c r="S201" s="749"/>
      <c r="T201" s="750"/>
      <c r="U201" s="750"/>
      <c r="V201" s="754"/>
      <c r="W201" s="51"/>
      <c r="X201" s="51"/>
      <c r="Y201" s="743"/>
      <c r="Z201" s="743"/>
      <c r="AA201" s="743"/>
      <c r="AB201" s="743"/>
      <c r="AC201" s="743"/>
      <c r="AD201" s="743"/>
      <c r="AE201" s="743"/>
      <c r="AF201" s="743"/>
      <c r="AG201" s="743"/>
      <c r="AH201" s="743"/>
      <c r="BC201" s="155" t="str">
        <f t="shared" si="191"/>
        <v>-</v>
      </c>
      <c r="BD201" s="151"/>
      <c r="BE201" s="153"/>
      <c r="BF201" s="153"/>
      <c r="BG201" s="153"/>
      <c r="BH201" s="153"/>
      <c r="BI201" s="153"/>
      <c r="BJ201" s="153"/>
      <c r="BK201" s="153"/>
      <c r="BL201" s="153"/>
      <c r="BM201" s="153"/>
      <c r="BN201" s="150"/>
      <c r="BO201" s="150"/>
      <c r="BP201" s="150"/>
      <c r="BQ201" s="150"/>
      <c r="BR201" s="150"/>
    </row>
    <row r="202" spans="1:70" ht="15" customHeight="1" outlineLevel="1" x14ac:dyDescent="0.25">
      <c r="A202" s="40"/>
      <c r="B202" s="86"/>
      <c r="C202" s="78"/>
      <c r="D202" s="78"/>
      <c r="E202" s="77"/>
      <c r="F202" s="337"/>
      <c r="G202" s="337"/>
      <c r="H202" s="337"/>
      <c r="I202" s="337"/>
      <c r="J202" s="337"/>
      <c r="K202" s="171"/>
      <c r="L202" s="171"/>
      <c r="M202" s="337"/>
      <c r="N202" s="57"/>
      <c r="O202" s="749"/>
      <c r="P202" s="750"/>
      <c r="Q202" s="750"/>
      <c r="R202" s="754"/>
      <c r="S202" s="749"/>
      <c r="T202" s="750"/>
      <c r="U202" s="750"/>
      <c r="V202" s="754"/>
      <c r="W202" s="320"/>
      <c r="X202" s="320"/>
      <c r="Y202" s="743"/>
      <c r="Z202" s="743"/>
      <c r="AA202" s="743"/>
      <c r="AB202" s="743"/>
      <c r="AC202" s="743"/>
      <c r="AD202" s="743"/>
      <c r="AE202" s="743"/>
      <c r="AF202" s="743"/>
      <c r="AG202" s="743"/>
      <c r="AH202" s="743"/>
      <c r="BC202" s="155" t="str">
        <f t="shared" si="191"/>
        <v>-</v>
      </c>
      <c r="BD202" s="151"/>
      <c r="BE202" s="153"/>
      <c r="BF202" s="153"/>
      <c r="BG202" s="153"/>
      <c r="BH202" s="153"/>
      <c r="BI202" s="153"/>
      <c r="BJ202" s="153"/>
      <c r="BK202" s="153"/>
      <c r="BL202" s="153"/>
      <c r="BM202" s="153"/>
    </row>
    <row r="203" spans="1:70" ht="15" customHeight="1" outlineLevel="1" x14ac:dyDescent="0.25">
      <c r="A203" s="40"/>
      <c r="B203" s="86"/>
      <c r="C203" s="75"/>
      <c r="D203" s="74"/>
      <c r="E203" s="336"/>
      <c r="F203" s="336"/>
      <c r="G203" s="336"/>
      <c r="H203" s="336"/>
      <c r="I203" s="336"/>
      <c r="J203" s="336"/>
      <c r="K203" s="177"/>
      <c r="L203" s="177"/>
      <c r="M203" s="336"/>
      <c r="N203" s="87"/>
      <c r="O203" s="749"/>
      <c r="P203" s="750"/>
      <c r="Q203" s="750"/>
      <c r="R203" s="754"/>
      <c r="S203" s="749"/>
      <c r="T203" s="750"/>
      <c r="U203" s="750"/>
      <c r="V203" s="754"/>
      <c r="W203" s="320"/>
      <c r="X203" s="320"/>
      <c r="Y203" s="743"/>
      <c r="Z203" s="743"/>
      <c r="AA203" s="743"/>
      <c r="AB203" s="743"/>
      <c r="AC203" s="743"/>
      <c r="AD203" s="743"/>
      <c r="AE203" s="743"/>
      <c r="AF203" s="743"/>
      <c r="AG203" s="743"/>
      <c r="AH203" s="743"/>
      <c r="BC203" s="155" t="str">
        <f t="shared" si="191"/>
        <v>-</v>
      </c>
      <c r="BD203" s="151" t="str">
        <f>"IEF " &amp;B186</f>
        <v>IEF normal</v>
      </c>
      <c r="BE203" s="153">
        <f t="shared" ref="BE203:BJ203" si="234">IF(OR($C188="-",$C188="CET",$C188=""),"-",$C188)</f>
        <v>2</v>
      </c>
      <c r="BF203" s="153">
        <f t="shared" si="234"/>
        <v>2</v>
      </c>
      <c r="BG203" s="153">
        <f t="shared" si="234"/>
        <v>2</v>
      </c>
      <c r="BH203" s="153">
        <f t="shared" si="234"/>
        <v>2</v>
      </c>
      <c r="BI203" s="153">
        <f t="shared" si="234"/>
        <v>2</v>
      </c>
      <c r="BJ203" s="153">
        <f t="shared" si="234"/>
        <v>2</v>
      </c>
      <c r="BK203" s="153">
        <f t="shared" ref="BK203:BL203" si="235">IF(OR($C188="-",$C188="CET",$C188=""),"-",$C188)</f>
        <v>2</v>
      </c>
      <c r="BL203" s="153">
        <f t="shared" si="235"/>
        <v>2</v>
      </c>
      <c r="BM203" s="153">
        <f t="shared" ref="BM203" si="236">IF(OR($C188="-",$C188="CET",$C188=""),"-",$C188)</f>
        <v>2</v>
      </c>
    </row>
    <row r="204" spans="1:70" ht="15" customHeight="1" outlineLevel="1" x14ac:dyDescent="0.25">
      <c r="A204" s="40"/>
      <c r="B204" s="86"/>
      <c r="C204" s="75"/>
      <c r="D204" s="74"/>
      <c r="E204" s="77"/>
      <c r="F204" s="85"/>
      <c r="G204" s="85"/>
      <c r="H204" s="85"/>
      <c r="I204" s="85"/>
      <c r="J204" s="85"/>
      <c r="K204" s="177"/>
      <c r="L204" s="177"/>
      <c r="M204" s="85"/>
      <c r="N204" s="84"/>
      <c r="O204" s="749"/>
      <c r="P204" s="750"/>
      <c r="Q204" s="750"/>
      <c r="R204" s="754"/>
      <c r="S204" s="749"/>
      <c r="T204" s="750"/>
      <c r="U204" s="750"/>
      <c r="V204" s="754"/>
      <c r="W204" s="320"/>
      <c r="X204" s="320"/>
      <c r="Y204" s="743"/>
      <c r="Z204" s="743"/>
      <c r="AA204" s="743"/>
      <c r="AB204" s="743"/>
      <c r="AC204" s="743"/>
      <c r="AD204" s="743"/>
      <c r="AE204" s="743"/>
      <c r="AF204" s="743"/>
      <c r="AG204" s="743"/>
      <c r="AH204" s="743"/>
      <c r="BC204" s="155" t="str">
        <f t="shared" si="191"/>
        <v>-</v>
      </c>
      <c r="BD204" s="151" t="str">
        <f>"IEF " &amp; B191</f>
        <v>IEF aggressive</v>
      </c>
      <c r="BE204" s="153">
        <f t="shared" ref="BE204:BJ204" si="237">IF(OR($C193="-",$C193="CET",$C193=""),"-",$C193)</f>
        <v>4</v>
      </c>
      <c r="BF204" s="153">
        <f t="shared" si="237"/>
        <v>4</v>
      </c>
      <c r="BG204" s="153">
        <f t="shared" si="237"/>
        <v>4</v>
      </c>
      <c r="BH204" s="153">
        <f t="shared" si="237"/>
        <v>4</v>
      </c>
      <c r="BI204" s="153">
        <f t="shared" si="237"/>
        <v>4</v>
      </c>
      <c r="BJ204" s="153">
        <f t="shared" si="237"/>
        <v>4</v>
      </c>
      <c r="BK204" s="153">
        <f t="shared" ref="BK204:BL204" si="238">IF(OR($C193="-",$C193="CET",$C193=""),"-",$C193)</f>
        <v>4</v>
      </c>
      <c r="BL204" s="153">
        <f t="shared" si="238"/>
        <v>4</v>
      </c>
      <c r="BM204" s="153">
        <f t="shared" ref="BM204" si="239">IF(OR($C193="-",$C193="CET",$C193=""),"-",$C193)</f>
        <v>4</v>
      </c>
    </row>
    <row r="205" spans="1:70" ht="15" customHeight="1" outlineLevel="1" thickBot="1" x14ac:dyDescent="0.3">
      <c r="A205" s="40"/>
      <c r="B205" s="83"/>
      <c r="C205" s="82"/>
      <c r="D205" s="81"/>
      <c r="E205" s="80"/>
      <c r="F205" s="80"/>
      <c r="G205" s="80"/>
      <c r="H205" s="80"/>
      <c r="I205" s="80"/>
      <c r="J205" s="80"/>
      <c r="K205" s="178"/>
      <c r="L205" s="178"/>
      <c r="M205" s="80"/>
      <c r="N205" s="79"/>
      <c r="O205" s="751"/>
      <c r="P205" s="752"/>
      <c r="Q205" s="752"/>
      <c r="R205" s="755"/>
      <c r="S205" s="751"/>
      <c r="T205" s="752"/>
      <c r="U205" s="752"/>
      <c r="V205" s="755"/>
      <c r="W205" s="320"/>
      <c r="X205" s="320"/>
      <c r="Y205" s="743"/>
      <c r="Z205" s="743"/>
      <c r="AA205" s="743"/>
      <c r="AB205" s="743"/>
      <c r="AC205" s="743"/>
      <c r="AD205" s="743"/>
      <c r="AE205" s="743"/>
      <c r="AF205" s="743"/>
      <c r="AG205" s="743"/>
      <c r="AH205" s="743"/>
      <c r="BC205" s="155" t="str">
        <f t="shared" si="191"/>
        <v>-</v>
      </c>
      <c r="BD205" s="156"/>
      <c r="BE205" s="156"/>
      <c r="BF205" s="156"/>
      <c r="BG205" s="156"/>
      <c r="BH205" s="156"/>
      <c r="BI205" s="156"/>
      <c r="BJ205" s="156"/>
      <c r="BK205" s="156"/>
      <c r="BL205" s="156"/>
      <c r="BM205" s="156"/>
    </row>
    <row r="206" spans="1:70" s="50" customFormat="1" ht="15" customHeight="1" x14ac:dyDescent="0.25">
      <c r="A206" s="52"/>
      <c r="B206" s="76"/>
      <c r="C206" s="78"/>
      <c r="D206" s="78"/>
      <c r="E206" s="77"/>
      <c r="F206" s="326"/>
      <c r="G206" s="326"/>
      <c r="H206" s="326"/>
      <c r="I206" s="326"/>
      <c r="J206" s="326"/>
      <c r="K206" s="171"/>
      <c r="L206" s="171"/>
      <c r="M206" s="326"/>
      <c r="N206" s="337"/>
      <c r="O206" s="72"/>
      <c r="P206" s="72"/>
      <c r="Q206" s="72"/>
      <c r="R206" s="72"/>
      <c r="S206" s="72"/>
      <c r="T206" s="72"/>
      <c r="U206" s="72"/>
      <c r="V206" s="72"/>
      <c r="W206" s="51"/>
      <c r="X206" s="51"/>
      <c r="Y206" s="743"/>
      <c r="Z206" s="743"/>
      <c r="AA206" s="743"/>
      <c r="AB206" s="743"/>
      <c r="AC206" s="743"/>
      <c r="AD206" s="743"/>
      <c r="AE206" s="743"/>
      <c r="AF206" s="743"/>
      <c r="AG206" s="743"/>
      <c r="AH206" s="743"/>
      <c r="BC206" s="155" t="str">
        <f t="shared" si="191"/>
        <v>-</v>
      </c>
      <c r="BD206" s="156"/>
      <c r="BE206" s="156"/>
      <c r="BF206" s="156"/>
      <c r="BG206" s="156"/>
      <c r="BH206" s="156"/>
      <c r="BI206" s="156"/>
      <c r="BJ206" s="156"/>
      <c r="BK206" s="156"/>
      <c r="BL206" s="156"/>
      <c r="BM206" s="156"/>
      <c r="BN206" s="150"/>
      <c r="BO206" s="150"/>
      <c r="BP206" s="150"/>
      <c r="BQ206" s="150"/>
      <c r="BR206" s="150"/>
    </row>
    <row r="207" spans="1:70" ht="15" customHeight="1" x14ac:dyDescent="0.25">
      <c r="A207" s="40"/>
      <c r="B207" s="76"/>
      <c r="C207" s="78"/>
      <c r="D207" s="78"/>
      <c r="E207" s="77"/>
      <c r="F207" s="326"/>
      <c r="G207" s="326"/>
      <c r="H207" s="326"/>
      <c r="I207" s="326"/>
      <c r="J207" s="326"/>
      <c r="K207" s="171"/>
      <c r="L207" s="171"/>
      <c r="M207" s="326"/>
      <c r="N207" s="337"/>
      <c r="O207" s="72"/>
      <c r="P207" s="72"/>
      <c r="Q207" s="72"/>
      <c r="R207" s="72"/>
      <c r="S207" s="72"/>
      <c r="T207" s="72"/>
      <c r="U207" s="72"/>
      <c r="V207" s="72"/>
      <c r="W207" s="320"/>
      <c r="X207" s="320"/>
      <c r="Y207" s="743"/>
      <c r="Z207" s="743"/>
      <c r="AA207" s="743"/>
      <c r="AB207" s="743"/>
      <c r="AC207" s="743"/>
      <c r="AD207" s="743"/>
      <c r="AE207" s="743"/>
      <c r="AF207" s="743"/>
      <c r="AG207" s="743"/>
      <c r="AH207" s="743"/>
      <c r="BC207" s="155" t="str">
        <f t="shared" si="191"/>
        <v>-</v>
      </c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6"/>
    </row>
    <row r="208" spans="1:70" ht="15" customHeight="1" thickBot="1" x14ac:dyDescent="0.3">
      <c r="A208" s="40"/>
      <c r="B208" s="76"/>
      <c r="C208" s="75"/>
      <c r="D208" s="74"/>
      <c r="E208" s="325"/>
      <c r="F208" s="325"/>
      <c r="G208" s="325"/>
      <c r="H208" s="325"/>
      <c r="I208" s="325"/>
      <c r="J208" s="325"/>
      <c r="K208" s="177"/>
      <c r="L208" s="177"/>
      <c r="M208" s="325"/>
      <c r="N208" s="336"/>
      <c r="O208" s="72"/>
      <c r="P208" s="72"/>
      <c r="Q208" s="72"/>
      <c r="R208" s="72"/>
      <c r="S208" s="72"/>
      <c r="T208" s="72"/>
      <c r="U208" s="72"/>
      <c r="V208" s="72"/>
      <c r="W208" s="320"/>
      <c r="X208" s="320"/>
      <c r="Y208" s="743"/>
      <c r="Z208" s="743"/>
      <c r="AA208" s="743"/>
      <c r="AB208" s="743"/>
      <c r="AC208" s="743"/>
      <c r="AD208" s="743"/>
      <c r="AE208" s="743"/>
      <c r="AF208" s="743"/>
      <c r="AG208" s="743"/>
      <c r="AH208" s="743"/>
      <c r="BC208" s="155" t="str">
        <f t="shared" si="191"/>
        <v>-</v>
      </c>
      <c r="BD208" s="156"/>
      <c r="BE208" s="156"/>
      <c r="BF208" s="156"/>
      <c r="BG208" s="156"/>
      <c r="BH208" s="156"/>
      <c r="BI208" s="156"/>
      <c r="BJ208" s="156"/>
      <c r="BK208" s="156"/>
      <c r="BL208" s="156"/>
      <c r="BM208" s="156"/>
    </row>
    <row r="209" spans="1:70" ht="24.95" customHeight="1" thickBot="1" x14ac:dyDescent="0.3">
      <c r="A209" s="324"/>
      <c r="B209" s="185">
        <v>8</v>
      </c>
      <c r="C209" s="757" t="s">
        <v>52</v>
      </c>
      <c r="D209" s="758"/>
      <c r="E209" s="758"/>
      <c r="F209" s="758"/>
      <c r="G209" s="758"/>
      <c r="H209" s="758"/>
      <c r="I209" s="758"/>
      <c r="J209" s="758"/>
      <c r="K209" s="758"/>
      <c r="L209" s="758"/>
      <c r="M209" s="758"/>
      <c r="N209" s="759"/>
      <c r="O209" s="49" t="s">
        <v>79</v>
      </c>
      <c r="P209" s="71" t="str">
        <f>IF(COUNTIF(F213:N242,"refused")&gt;0,"refused",IF(COUNTIF(F213:N242,"failed")&gt;0,"failed",IF(COUNTIF(F213:N242,"passed")&gt;0,"passed","-")))</f>
        <v>-</v>
      </c>
      <c r="Q209" s="70" t="s">
        <v>80</v>
      </c>
      <c r="R209" s="70" t="str">
        <f>IF(COUNT(F213:N214,F218:N219,F223:N224,F228:N229,F233:N234,F238:N239)&gt;0,"listed","not listed")</f>
        <v>not listed</v>
      </c>
      <c r="S209" s="114">
        <f>MAX(D215,D220,D225,D230,D235,D240)</f>
        <v>0</v>
      </c>
      <c r="T209" s="43"/>
      <c r="U209" s="43"/>
      <c r="V209" s="44"/>
      <c r="W209" s="47"/>
      <c r="X209" s="47"/>
      <c r="Y209" s="756"/>
      <c r="Z209" s="756"/>
      <c r="AA209" s="756"/>
      <c r="AB209" s="756"/>
      <c r="AC209" s="756"/>
      <c r="AD209" s="756"/>
      <c r="AE209" s="756"/>
      <c r="AF209" s="756"/>
      <c r="AG209" s="756"/>
      <c r="AH209" s="756"/>
      <c r="BC209" s="155" t="str">
        <f t="shared" si="191"/>
        <v>-</v>
      </c>
    </row>
    <row r="210" spans="1:70" ht="15" customHeight="1" outlineLevel="1" thickBot="1" x14ac:dyDescent="0.3">
      <c r="A210" s="324"/>
      <c r="B210" s="321"/>
      <c r="C210" s="322"/>
      <c r="D210" s="322"/>
      <c r="E210" s="322"/>
      <c r="F210" s="322"/>
      <c r="G210" s="322"/>
      <c r="H210" s="322"/>
      <c r="I210" s="322"/>
      <c r="J210" s="322"/>
      <c r="K210" s="162"/>
      <c r="L210" s="162"/>
      <c r="M210" s="322"/>
      <c r="N210" s="333"/>
      <c r="O210" s="322"/>
      <c r="P210" s="322"/>
      <c r="Q210" s="322"/>
      <c r="R210" s="322"/>
      <c r="S210" s="322"/>
      <c r="T210" s="45"/>
      <c r="U210" s="45"/>
      <c r="V210" s="46"/>
      <c r="W210" s="320"/>
      <c r="X210" s="320"/>
      <c r="Y210" s="743"/>
      <c r="Z210" s="743"/>
      <c r="AA210" s="743"/>
      <c r="AB210" s="743"/>
      <c r="AC210" s="743"/>
      <c r="AD210" s="743"/>
      <c r="AE210" s="743"/>
      <c r="AF210" s="743"/>
      <c r="AG210" s="743"/>
      <c r="AH210" s="743"/>
      <c r="BC210" s="155" t="str">
        <f t="shared" ref="BC210:BC243" si="240">IF(COUNTIF(F210:M210,"refused")&gt;0,"refused",IF(COUNTIF(F210:M210,"failed")&gt;0,"failed",IF(COUNTIF(F210:M210,"passed")&gt;0,"passed","-")))</f>
        <v>-</v>
      </c>
      <c r="BD210" s="151" t="s">
        <v>85</v>
      </c>
      <c r="BE210" s="69" t="str">
        <f>$F$4</f>
        <v>NMHC 
[g/km]</v>
      </c>
      <c r="BF210" s="69" t="str">
        <f>$G$4</f>
        <v>THC
[g/km]</v>
      </c>
      <c r="BG210" s="69" t="str">
        <f>$H$4</f>
        <v>CO
[g/km]</v>
      </c>
      <c r="BH210" s="69" t="str">
        <f>$I$4</f>
        <v>NOx
[g/km]</v>
      </c>
      <c r="BI210" s="69" t="str">
        <f>$J$4</f>
        <v>PM
[mg/km]</v>
      </c>
      <c r="BJ210" s="163" t="str">
        <f>K$4</f>
        <v>PN
[#/km]</v>
      </c>
      <c r="BK210" s="163" t="str">
        <f t="shared" ref="BK210" si="241">L$4</f>
        <v>Additional component</v>
      </c>
      <c r="BL210" s="163" t="str">
        <f>M$4</f>
        <v>Additional
component 2</v>
      </c>
      <c r="BM210" s="163" t="str">
        <f>N$4</f>
        <v>CO2
[g/km]</v>
      </c>
    </row>
    <row r="211" spans="1:70" ht="15" customHeight="1" outlineLevel="1" thickBot="1" x14ac:dyDescent="0.3">
      <c r="A211" s="324"/>
      <c r="B211" s="744" t="s">
        <v>81</v>
      </c>
      <c r="C211" s="745"/>
      <c r="D211" s="745"/>
      <c r="E211" s="745"/>
      <c r="F211" s="745"/>
      <c r="G211" s="745"/>
      <c r="H211" s="745"/>
      <c r="I211" s="745"/>
      <c r="J211" s="745"/>
      <c r="K211" s="745"/>
      <c r="L211" s="745"/>
      <c r="M211" s="745"/>
      <c r="N211" s="746"/>
      <c r="O211" s="744" t="s">
        <v>82</v>
      </c>
      <c r="P211" s="745"/>
      <c r="Q211" s="745"/>
      <c r="R211" s="746"/>
      <c r="S211" s="744" t="s">
        <v>83</v>
      </c>
      <c r="T211" s="745"/>
      <c r="U211" s="745"/>
      <c r="V211" s="746"/>
      <c r="W211" s="320"/>
      <c r="X211" s="320"/>
      <c r="Y211" s="743"/>
      <c r="Z211" s="743"/>
      <c r="AA211" s="743"/>
      <c r="AB211" s="743"/>
      <c r="AC211" s="743"/>
      <c r="AD211" s="743"/>
      <c r="AE211" s="743"/>
      <c r="AF211" s="743"/>
      <c r="AG211" s="743"/>
      <c r="AH211" s="743"/>
      <c r="BC211" s="155" t="str">
        <f t="shared" si="240"/>
        <v>-</v>
      </c>
      <c r="BD211" s="151" t="str">
        <f>$E$4</f>
        <v>Euro 6c</v>
      </c>
      <c r="BE211" s="153">
        <v>1</v>
      </c>
      <c r="BF211" s="153">
        <v>1</v>
      </c>
      <c r="BG211" s="153">
        <v>1</v>
      </c>
      <c r="BH211" s="153">
        <v>1</v>
      </c>
      <c r="BI211" s="153">
        <v>1</v>
      </c>
      <c r="BJ211" s="153">
        <v>1</v>
      </c>
      <c r="BK211" s="153">
        <v>1</v>
      </c>
      <c r="BL211" s="153">
        <v>1</v>
      </c>
      <c r="BM211" s="153">
        <v>1</v>
      </c>
    </row>
    <row r="212" spans="1:70" ht="35.1" customHeight="1" outlineLevel="1" thickBot="1" x14ac:dyDescent="0.3">
      <c r="A212" s="324"/>
      <c r="B212" s="767" t="s">
        <v>84</v>
      </c>
      <c r="C212" s="768"/>
      <c r="D212" s="768"/>
      <c r="E212" s="769"/>
      <c r="F212" s="69" t="str">
        <f t="shared" ref="F212:N212" si="242">F$4</f>
        <v>NMHC 
[g/km]</v>
      </c>
      <c r="G212" s="69" t="str">
        <f t="shared" si="242"/>
        <v>THC
[g/km]</v>
      </c>
      <c r="H212" s="69" t="str">
        <f t="shared" si="242"/>
        <v>CO
[g/km]</v>
      </c>
      <c r="I212" s="69" t="str">
        <f t="shared" si="242"/>
        <v>NOx
[g/km]</v>
      </c>
      <c r="J212" s="69" t="str">
        <f t="shared" si="242"/>
        <v>PM
[mg/km]</v>
      </c>
      <c r="K212" s="69" t="str">
        <f t="shared" si="242"/>
        <v>PN
[#/km]</v>
      </c>
      <c r="L212" s="366" t="str">
        <f t="shared" si="242"/>
        <v>Additional component</v>
      </c>
      <c r="M212" s="366" t="str">
        <f t="shared" si="242"/>
        <v>Additional
component 2</v>
      </c>
      <c r="N212" s="69" t="str">
        <f t="shared" si="242"/>
        <v>CO2
[g/km]</v>
      </c>
      <c r="O212" s="747"/>
      <c r="P212" s="748"/>
      <c r="Q212" s="748"/>
      <c r="R212" s="748"/>
      <c r="S212" s="747"/>
      <c r="T212" s="748"/>
      <c r="U212" s="748"/>
      <c r="V212" s="753"/>
      <c r="W212" s="320"/>
      <c r="X212" s="320"/>
      <c r="Y212" s="743"/>
      <c r="Z212" s="743"/>
      <c r="AA212" s="743"/>
      <c r="AB212" s="743"/>
      <c r="AC212" s="743"/>
      <c r="AD212" s="743"/>
      <c r="AE212" s="743"/>
      <c r="AF212" s="743"/>
      <c r="AG212" s="743"/>
      <c r="AH212" s="743"/>
      <c r="BC212" s="155" t="str">
        <f t="shared" si="240"/>
        <v>-</v>
      </c>
      <c r="BD212" s="151" t="str">
        <f>"1st " &amp;  B213</f>
        <v>1st City (unweighted)</v>
      </c>
      <c r="BE212" s="153" t="str">
        <f t="shared" ref="BE212:BJ212" si="243">IF((OR($C215="-",$C215="CET",$C215="")),"-",IF(AND(OR(F213="-",F213=""),OR(F214="-",F214="")),"-",IF(NOT(OR(F213="-",F213="")),F213/F$5,F214/F$5)))</f>
        <v>-</v>
      </c>
      <c r="BF212" s="153" t="str">
        <f t="shared" si="243"/>
        <v>-</v>
      </c>
      <c r="BG212" s="153" t="str">
        <f t="shared" si="243"/>
        <v>-</v>
      </c>
      <c r="BH212" s="153" t="str">
        <f t="shared" si="243"/>
        <v>-</v>
      </c>
      <c r="BI212" s="153" t="str">
        <f t="shared" si="243"/>
        <v>-</v>
      </c>
      <c r="BJ212" s="153" t="str">
        <f t="shared" si="243"/>
        <v>-</v>
      </c>
      <c r="BK212" s="153" t="str">
        <f t="shared" ref="BK212" si="244">IF((OR($C215="-",$C215="CET",$C215="")),"-",IF(AND(OR(L213="-",L213=""),OR(L214="-",L214="")),"-",IF(NOT(OR(L213="-",L213="")),L213/L$5,L214/L$5)))</f>
        <v>-</v>
      </c>
      <c r="BL212" s="153" t="str">
        <f>IF((OR($C215="-",$C215="CET",$C215="")),"-",IF(AND(OR(M213="-",M213=""),OR(M214="-",M214="")),"-",IF(NOT(OR(M213="-",M213="")),M213/M$5,M214/M$5)))</f>
        <v>-</v>
      </c>
      <c r="BM212" s="153" t="str">
        <f>IF((OR($C215="-",$C215="CET",$C215="")),"-",IF(AND(OR(N213="-",N213=""),OR(N214="-",N214="")),"-",IF(NOT(OR(N213="-",N213="")),N213/N$5,N214/N$5)))</f>
        <v>-</v>
      </c>
    </row>
    <row r="213" spans="1:70" s="50" customFormat="1" ht="15" customHeight="1" outlineLevel="1" x14ac:dyDescent="0.25">
      <c r="A213" s="53"/>
      <c r="B213" s="800" t="s">
        <v>107</v>
      </c>
      <c r="C213" s="770" t="s">
        <v>114</v>
      </c>
      <c r="D213" s="770" t="s">
        <v>113</v>
      </c>
      <c r="E213" s="106" t="s">
        <v>94</v>
      </c>
      <c r="F213" s="105" t="s">
        <v>5</v>
      </c>
      <c r="G213" s="105" t="s">
        <v>5</v>
      </c>
      <c r="H213" s="105" t="s">
        <v>5</v>
      </c>
      <c r="I213" s="105" t="s">
        <v>5</v>
      </c>
      <c r="J213" s="105" t="s">
        <v>5</v>
      </c>
      <c r="K213" s="173" t="s">
        <v>5</v>
      </c>
      <c r="L213" s="173" t="s">
        <v>5</v>
      </c>
      <c r="M213" s="105" t="s">
        <v>5</v>
      </c>
      <c r="N213" s="105" t="s">
        <v>5</v>
      </c>
      <c r="O213" s="749"/>
      <c r="P213" s="750"/>
      <c r="Q213" s="750"/>
      <c r="R213" s="750"/>
      <c r="S213" s="749"/>
      <c r="T213" s="750"/>
      <c r="U213" s="750"/>
      <c r="V213" s="754"/>
      <c r="W213" s="51"/>
      <c r="X213" s="51"/>
      <c r="Y213" s="743"/>
      <c r="Z213" s="743"/>
      <c r="AA213" s="743"/>
      <c r="AB213" s="743"/>
      <c r="AC213" s="743"/>
      <c r="AD213" s="743"/>
      <c r="AE213" s="743"/>
      <c r="AF213" s="743"/>
      <c r="AG213" s="743"/>
      <c r="AH213" s="743"/>
      <c r="BC213" s="155" t="str">
        <f t="shared" si="240"/>
        <v>-</v>
      </c>
      <c r="BD213" s="151" t="str">
        <f>"1st " &amp; B218</f>
        <v>1st City (EMROAD)</v>
      </c>
      <c r="BE213" s="153" t="str">
        <f t="shared" ref="BE213:BJ213" si="245">IF((OR($C220="-",$C220="CET",$C220="")),"-",IF(AND(OR(F218="-",F218=""),OR(F219="-",F219="")),"-",IF(NOT(OR(F218="-",F218="")),F218/F$5,F219/F$5)))</f>
        <v>-</v>
      </c>
      <c r="BF213" s="153" t="str">
        <f t="shared" si="245"/>
        <v>-</v>
      </c>
      <c r="BG213" s="153" t="str">
        <f t="shared" si="245"/>
        <v>-</v>
      </c>
      <c r="BH213" s="153" t="str">
        <f t="shared" si="245"/>
        <v>-</v>
      </c>
      <c r="BI213" s="153" t="str">
        <f t="shared" si="245"/>
        <v>-</v>
      </c>
      <c r="BJ213" s="153" t="str">
        <f t="shared" si="245"/>
        <v>-</v>
      </c>
      <c r="BK213" s="153" t="str">
        <f t="shared" ref="BK213" si="246">IF((OR($C220="-",$C220="CET",$C220="")),"-",IF(AND(OR(L218="-",L218=""),OR(L219="-",L219="")),"-",IF(NOT(OR(L218="-",L218="")),L218/L$5,L219/L$5)))</f>
        <v>-</v>
      </c>
      <c r="BL213" s="153" t="str">
        <f>IF((OR($C220="-",$C220="CET",$C220="")),"-",IF(AND(OR(M218="-",M218=""),OR(M219="-",M219="")),"-",IF(NOT(OR(M218="-",M218="")),M218/M$5,M219/M$5)))</f>
        <v>-</v>
      </c>
      <c r="BM213" s="153" t="str">
        <f>IF((OR($C220="-",$C220="CET",$C220="")),"-",IF(AND(OR(N218="-",N218=""),OR(N219="-",N219="")),"-",IF(NOT(OR(N218="-",N218="")),N218/N$5,N219/N$5)))</f>
        <v>-</v>
      </c>
      <c r="BN213" s="150"/>
      <c r="BO213" s="150"/>
      <c r="BP213" s="150"/>
      <c r="BQ213" s="150"/>
      <c r="BR213" s="150"/>
    </row>
    <row r="214" spans="1:70" ht="15" customHeight="1" outlineLevel="1" thickBot="1" x14ac:dyDescent="0.3">
      <c r="A214" s="324"/>
      <c r="B214" s="801"/>
      <c r="C214" s="741"/>
      <c r="D214" s="742"/>
      <c r="E214" s="104" t="s">
        <v>95</v>
      </c>
      <c r="F214" s="103" t="s">
        <v>5</v>
      </c>
      <c r="G214" s="103" t="s">
        <v>5</v>
      </c>
      <c r="H214" s="103" t="s">
        <v>5</v>
      </c>
      <c r="I214" s="103" t="s">
        <v>5</v>
      </c>
      <c r="J214" s="103" t="s">
        <v>5</v>
      </c>
      <c r="K214" s="174" t="s">
        <v>5</v>
      </c>
      <c r="L214" s="174" t="s">
        <v>5</v>
      </c>
      <c r="M214" s="103" t="s">
        <v>5</v>
      </c>
      <c r="N214" s="103" t="s">
        <v>5</v>
      </c>
      <c r="O214" s="749"/>
      <c r="P214" s="750"/>
      <c r="Q214" s="750"/>
      <c r="R214" s="750"/>
      <c r="S214" s="749"/>
      <c r="T214" s="750"/>
      <c r="U214" s="750"/>
      <c r="V214" s="754"/>
      <c r="W214" s="320"/>
      <c r="X214" s="320"/>
      <c r="Y214" s="743"/>
      <c r="Z214" s="743"/>
      <c r="AA214" s="743"/>
      <c r="AB214" s="743"/>
      <c r="AC214" s="743"/>
      <c r="AD214" s="743"/>
      <c r="AE214" s="743"/>
      <c r="AF214" s="743"/>
      <c r="AG214" s="743"/>
      <c r="AH214" s="743"/>
      <c r="BC214" s="155" t="str">
        <f t="shared" si="240"/>
        <v>-</v>
      </c>
      <c r="BD214" s="151" t="str">
        <f>"1st " &amp; B223</f>
        <v>1st City
 (SPF)</v>
      </c>
      <c r="BE214" s="153" t="str">
        <f t="shared" ref="BE214:BJ214" si="247">IF((OR($C225="-",$C225="CET",$C225="")),"-",IF(AND(OR(F223="-",F223=""),OR(F224="-",F224="")),"-",IF(NOT(OR(F223="-",F223="")),F223/F$5,F224/F$5)))</f>
        <v>-</v>
      </c>
      <c r="BF214" s="153" t="str">
        <f t="shared" si="247"/>
        <v>-</v>
      </c>
      <c r="BG214" s="153" t="str">
        <f t="shared" si="247"/>
        <v>-</v>
      </c>
      <c r="BH214" s="153" t="str">
        <f t="shared" si="247"/>
        <v>-</v>
      </c>
      <c r="BI214" s="153" t="str">
        <f t="shared" si="247"/>
        <v>-</v>
      </c>
      <c r="BJ214" s="153" t="str">
        <f t="shared" si="247"/>
        <v>-</v>
      </c>
      <c r="BK214" s="153" t="str">
        <f t="shared" ref="BK214" si="248">IF((OR($C225="-",$C225="CET",$C225="")),"-",IF(AND(OR(L223="-",L223=""),OR(L224="-",L224="")),"-",IF(NOT(OR(L223="-",L223="")),L223/L$5,L224/L$5)))</f>
        <v>-</v>
      </c>
      <c r="BL214" s="153" t="str">
        <f>IF((OR($C225="-",$C225="CET",$C225="")),"-",IF(AND(OR(M223="-",M223=""),OR(M224="-",M224="")),"-",IF(NOT(OR(M223="-",M223="")),M223/M$5,M224/M$5)))</f>
        <v>-</v>
      </c>
      <c r="BM214" s="153" t="str">
        <f>IF((OR($C225="-",$C225="CET",$C225="")),"-",IF(AND(OR(N223="-",N223=""),OR(N224="-",N224="")),"-",IF(NOT(OR(N223="-",N223="")),N223/N$5,N224/N$5)))</f>
        <v>-</v>
      </c>
    </row>
    <row r="215" spans="1:70" ht="15" customHeight="1" outlineLevel="1" thickBot="1" x14ac:dyDescent="0.3">
      <c r="A215" s="324"/>
      <c r="B215" s="801"/>
      <c r="C215" s="764">
        <v>4</v>
      </c>
      <c r="D215" s="772" t="str">
        <f>IF(AND(F216="-",G216="-",H216="-",I216="-",J216="-",K216="-",L216="-",M216="-"),"-",MAX(F216,G216,H216,I216,J216,K216,L216,M216))</f>
        <v>-</v>
      </c>
      <c r="E215" s="66" t="s">
        <v>177</v>
      </c>
      <c r="F215" s="65" t="str">
        <f t="shared" ref="F215:M215" si="249">IF(OR(F214="-",F214=""),IF(OR(F213="-",F213=""),"-",F213),IF(OR(F213="-",F213=""),F214,(F213+F214)/2))</f>
        <v>-</v>
      </c>
      <c r="G215" s="65" t="str">
        <f t="shared" si="249"/>
        <v>-</v>
      </c>
      <c r="H215" s="65" t="str">
        <f t="shared" si="249"/>
        <v>-</v>
      </c>
      <c r="I215" s="65" t="str">
        <f t="shared" si="249"/>
        <v>-</v>
      </c>
      <c r="J215" s="65" t="str">
        <f t="shared" si="249"/>
        <v>-</v>
      </c>
      <c r="K215" s="167" t="str">
        <f t="shared" si="249"/>
        <v>-</v>
      </c>
      <c r="L215" s="167" t="str">
        <f t="shared" ref="L215" si="250">IF(OR(L214="-",L214=""),IF(OR(L213="-",L213=""),"-",L213),IF(OR(L213="-",L213=""),L214,(L213+L214)/2))</f>
        <v>-</v>
      </c>
      <c r="M215" s="65" t="str">
        <f t="shared" si="249"/>
        <v>-</v>
      </c>
      <c r="N215" s="822"/>
      <c r="O215" s="749"/>
      <c r="P215" s="750"/>
      <c r="Q215" s="750"/>
      <c r="R215" s="750"/>
      <c r="S215" s="749"/>
      <c r="T215" s="750"/>
      <c r="U215" s="750"/>
      <c r="V215" s="754"/>
      <c r="W215" s="320"/>
      <c r="X215" s="320"/>
      <c r="Y215" s="743"/>
      <c r="Z215" s="743"/>
      <c r="AA215" s="743"/>
      <c r="AB215" s="743"/>
      <c r="AC215" s="743"/>
      <c r="AD215" s="743"/>
      <c r="AE215" s="743"/>
      <c r="AF215" s="743"/>
      <c r="AG215" s="743"/>
      <c r="AH215" s="743"/>
      <c r="BC215" s="155" t="str">
        <f t="shared" si="240"/>
        <v>-</v>
      </c>
      <c r="BD215" s="151" t="str">
        <f>"1st " &amp; B228</f>
        <v>1st Total (unweighted)</v>
      </c>
      <c r="BE215" s="153" t="str">
        <f t="shared" ref="BE215:BJ215" si="251">IF((OR($C230="-",$C230="CET",$C230="")),"-",IF(AND(OR(F228="-",F228=""),OR(F229="-",F229="")),"-",IF(NOT(OR(F228="-",F228="")),F228/F$5,F229/F$5)))</f>
        <v>-</v>
      </c>
      <c r="BF215" s="153" t="str">
        <f t="shared" si="251"/>
        <v>-</v>
      </c>
      <c r="BG215" s="153" t="str">
        <f t="shared" si="251"/>
        <v>-</v>
      </c>
      <c r="BH215" s="153" t="str">
        <f t="shared" si="251"/>
        <v>-</v>
      </c>
      <c r="BI215" s="153" t="str">
        <f t="shared" si="251"/>
        <v>-</v>
      </c>
      <c r="BJ215" s="153" t="str">
        <f t="shared" si="251"/>
        <v>-</v>
      </c>
      <c r="BK215" s="153" t="str">
        <f t="shared" ref="BK215" si="252">IF((OR($C230="-",$C230="CET",$C230="")),"-",IF(AND(OR(L228="-",L228=""),OR(L229="-",L229="")),"-",IF(NOT(OR(L228="-",L228="")),L228/L$5,L229/L$5)))</f>
        <v>-</v>
      </c>
      <c r="BL215" s="153" t="str">
        <f>IF((OR($C230="-",$C230="CET",$C230="")),"-",IF(AND(OR(M228="-",M228=""),OR(M229="-",M229="")),"-",IF(NOT(OR(M228="-",M228="")),M228/M$5,M229/M$5)))</f>
        <v>-</v>
      </c>
      <c r="BM215" s="153" t="str">
        <f>IF((OR($C230="-",$C230="CET",$C230="")),"-",IF(AND(OR(N228="-",N228=""),OR(N229="-",N229="")),"-",IF(NOT(OR(N228="-",N228="")),N228/N$5,N229/N$5)))</f>
        <v>-</v>
      </c>
    </row>
    <row r="216" spans="1:70" ht="15" customHeight="1" outlineLevel="1" thickBot="1" x14ac:dyDescent="0.3">
      <c r="A216" s="324"/>
      <c r="B216" s="801"/>
      <c r="C216" s="765"/>
      <c r="D216" s="773"/>
      <c r="E216" s="64" t="s">
        <v>97</v>
      </c>
      <c r="F216" s="63" t="str">
        <f t="shared" ref="F216:M216" si="253">IF(OR($C215="-",$C215="CET",$C215=""),"-",IF(AND(NOT(F215="-"),NOT(F$5="-"),NOT(F$5="")),F215/F$5,"-"))</f>
        <v>-</v>
      </c>
      <c r="G216" s="63" t="str">
        <f t="shared" si="253"/>
        <v>-</v>
      </c>
      <c r="H216" s="63" t="str">
        <f t="shared" si="253"/>
        <v>-</v>
      </c>
      <c r="I216" s="63" t="str">
        <f t="shared" si="253"/>
        <v>-</v>
      </c>
      <c r="J216" s="63" t="str">
        <f t="shared" si="253"/>
        <v>-</v>
      </c>
      <c r="K216" s="168" t="str">
        <f t="shared" si="253"/>
        <v>-</v>
      </c>
      <c r="L216" s="168" t="str">
        <f t="shared" ref="L216" si="254">IF(OR($C215="-",$C215="CET",$C215=""),"-",IF(AND(NOT(L215="-"),NOT(L$5="-"),NOT(L$5="")),L215/L$5,"-"))</f>
        <v>-</v>
      </c>
      <c r="M216" s="63" t="str">
        <f t="shared" si="253"/>
        <v>-</v>
      </c>
      <c r="N216" s="823"/>
      <c r="O216" s="749"/>
      <c r="P216" s="750"/>
      <c r="Q216" s="750"/>
      <c r="R216" s="750"/>
      <c r="S216" s="749"/>
      <c r="T216" s="750"/>
      <c r="U216" s="750"/>
      <c r="V216" s="754"/>
      <c r="W216" s="320"/>
      <c r="X216" s="320"/>
      <c r="Y216" s="743"/>
      <c r="Z216" s="743"/>
      <c r="AA216" s="743"/>
      <c r="AB216" s="743"/>
      <c r="AC216" s="743"/>
      <c r="AD216" s="743"/>
      <c r="AE216" s="743"/>
      <c r="AF216" s="743"/>
      <c r="AG216" s="743"/>
      <c r="AH216" s="743"/>
      <c r="BC216" s="155" t="str">
        <f t="shared" si="240"/>
        <v>-</v>
      </c>
      <c r="BD216" s="151" t="str">
        <f>"1st " &amp; B233</f>
        <v>1st Total (EMROAD)</v>
      </c>
      <c r="BE216" s="153" t="str">
        <f t="shared" ref="BE216:BJ216" si="255">IF((OR($C235="-",$C235="CET",$C235="")),"-",IF(AND(OR(F233="-",F233=""),OR(F234="-",F234="")),"-",IF(NOT(OR(F233="-",F233="")),F233/F$5,F234/F$5)))</f>
        <v>-</v>
      </c>
      <c r="BF216" s="153" t="str">
        <f t="shared" si="255"/>
        <v>-</v>
      </c>
      <c r="BG216" s="153" t="str">
        <f t="shared" si="255"/>
        <v>-</v>
      </c>
      <c r="BH216" s="153" t="str">
        <f t="shared" si="255"/>
        <v>-</v>
      </c>
      <c r="BI216" s="153" t="str">
        <f t="shared" si="255"/>
        <v>-</v>
      </c>
      <c r="BJ216" s="153" t="str">
        <f t="shared" si="255"/>
        <v>-</v>
      </c>
      <c r="BK216" s="153" t="str">
        <f t="shared" ref="BK216" si="256">IF((OR($C235="-",$C235="CET",$C235="")),"-",IF(AND(OR(L233="-",L233=""),OR(L234="-",L234="")),"-",IF(NOT(OR(L233="-",L233="")),L233/L$5,L234/L$5)))</f>
        <v>-</v>
      </c>
      <c r="BL216" s="153" t="str">
        <f>IF((OR($C235="-",$C235="CET",$C235="")),"-",IF(AND(OR(M233="-",M233=""),OR(M234="-",M234="")),"-",IF(NOT(OR(M233="-",M233="")),M233/M$5,M234/M$5)))</f>
        <v>-</v>
      </c>
      <c r="BM216" s="153" t="str">
        <f>IF((OR($C235="-",$C235="CET",$C235="")),"-",IF(AND(OR(N233="-",N233=""),OR(N234="-",N234="")),"-",IF(NOT(OR(N233="-",N233="")),N233/N$5,N234/N$5)))</f>
        <v>-</v>
      </c>
    </row>
    <row r="217" spans="1:70" ht="15" customHeight="1" outlineLevel="1" thickBot="1" x14ac:dyDescent="0.3">
      <c r="A217" s="324"/>
      <c r="B217" s="802"/>
      <c r="C217" s="771"/>
      <c r="D217" s="774"/>
      <c r="E217" s="68" t="s">
        <v>30</v>
      </c>
      <c r="F217" s="62" t="str">
        <f t="shared" ref="F217:M217" si="257">IF(AND(OR(F213="-",F213=""),OR(F214="-",F214="")),"-",IF(OR($C215="-",$C215="",$C215="CET"),"-",IF($R$209="not listed","-",IF(NOT(F$5="-"),IF(AND(AND(NOT(F213=0),NOT(F213="-"),NOT(F213="")),AND(NOT(F214="-"),NOT(F214=0),NOT(F214=""))),IF(AND((F213+F214)/2&lt;1*F$5*IF(OR($C215="CET",$C215="-",$C215=""),"-",$C215),F213&lt;1.1*F$5*IF(OR($C215="CET",$C215="-",$C215=""),"-",$C215),F214&lt;1.1*F$5*IF(OR($C215="CET",$C215="-",$C215=""),"-",$C215)),"passed","refused"),IF(IF(OR(F213="-",F213=""),F214,F213)&lt;0.7*F$5*IF(OR($C215="CET",$C215="-",$C215=""),"-",$C215),"passed",IF(IF(OR(F213="-",F213=""),F214,F213)&lt;1.1*IF(OR($C215="CET",$C215="-",$C215=""),"-",$C215)*F$5,"failed","refused"))),"-"))))</f>
        <v>-</v>
      </c>
      <c r="G217" s="62" t="str">
        <f t="shared" si="257"/>
        <v>-</v>
      </c>
      <c r="H217" s="62" t="str">
        <f t="shared" si="257"/>
        <v>-</v>
      </c>
      <c r="I217" s="62" t="str">
        <f t="shared" si="257"/>
        <v>-</v>
      </c>
      <c r="J217" s="62" t="str">
        <f t="shared" si="257"/>
        <v>-</v>
      </c>
      <c r="K217" s="169" t="str">
        <f t="shared" si="257"/>
        <v>-</v>
      </c>
      <c r="L217" s="169" t="str">
        <f t="shared" si="257"/>
        <v>-</v>
      </c>
      <c r="M217" s="62" t="str">
        <f t="shared" si="257"/>
        <v>-</v>
      </c>
      <c r="N217" s="824"/>
      <c r="O217" s="749"/>
      <c r="P217" s="750"/>
      <c r="Q217" s="750"/>
      <c r="R217" s="750"/>
      <c r="S217" s="749"/>
      <c r="T217" s="750"/>
      <c r="U217" s="750"/>
      <c r="V217" s="754"/>
      <c r="W217" s="320"/>
      <c r="X217" s="320"/>
      <c r="Y217" s="743"/>
      <c r="Z217" s="743"/>
      <c r="AA217" s="743"/>
      <c r="AB217" s="743"/>
      <c r="AC217" s="743"/>
      <c r="AD217" s="743"/>
      <c r="AE217" s="743"/>
      <c r="AF217" s="743"/>
      <c r="AG217" s="743"/>
      <c r="AH217" s="743"/>
      <c r="BC217" s="155" t="str">
        <f t="shared" si="240"/>
        <v>-</v>
      </c>
      <c r="BD217" s="151" t="str">
        <f>"1st " &amp; B238</f>
        <v>1st Total (SPF)</v>
      </c>
      <c r="BE217" s="153" t="str">
        <f t="shared" ref="BE217:BJ217" si="258">IF((OR($C240="-",$C240="CET",$C240="")),"-",IF(AND(OR(F238="-",F238=""),OR(F239="-",F239="")),"-",IF(NOT(OR(F238="-",F238="")),F238/F$5,F239/F$5)))</f>
        <v>-</v>
      </c>
      <c r="BF217" s="153" t="str">
        <f t="shared" si="258"/>
        <v>-</v>
      </c>
      <c r="BG217" s="153" t="str">
        <f t="shared" si="258"/>
        <v>-</v>
      </c>
      <c r="BH217" s="153" t="str">
        <f t="shared" si="258"/>
        <v>-</v>
      </c>
      <c r="BI217" s="153" t="str">
        <f t="shared" si="258"/>
        <v>-</v>
      </c>
      <c r="BJ217" s="153" t="str">
        <f t="shared" si="258"/>
        <v>-</v>
      </c>
      <c r="BK217" s="153" t="str">
        <f t="shared" ref="BK217" si="259">IF((OR($C240="-",$C240="CET",$C240="")),"-",IF(AND(OR(L238="-",L238=""),OR(L239="-",L239="")),"-",IF(NOT(OR(L238="-",L238="")),L238/L$5,L239/L$5)))</f>
        <v>-</v>
      </c>
      <c r="BL217" s="153" t="str">
        <f>IF((OR($C240="-",$C240="CET",$C240="")),"-",IF(AND(OR(M238="-",M238=""),OR(M239="-",M239="")),"-",IF(NOT(OR(M238="-",M238="")),M238/M$5,M239/M$5)))</f>
        <v>-</v>
      </c>
      <c r="BM217" s="153" t="str">
        <f>IF((OR($C240="-",$C240="CET",$C240="")),"-",IF(AND(OR(N238="-",N238=""),OR(N239="-",N239="")),"-",IF(NOT(OR(N238="-",N238="")),N238/N$5,N239/N$5)))</f>
        <v>-</v>
      </c>
    </row>
    <row r="218" spans="1:70" s="50" customFormat="1" ht="15" customHeight="1" outlineLevel="1" x14ac:dyDescent="0.25">
      <c r="A218" s="53"/>
      <c r="B218" s="800" t="s">
        <v>106</v>
      </c>
      <c r="C218" s="770" t="s">
        <v>114</v>
      </c>
      <c r="D218" s="770" t="s">
        <v>113</v>
      </c>
      <c r="E218" s="106" t="s">
        <v>94</v>
      </c>
      <c r="F218" s="105" t="s">
        <v>5</v>
      </c>
      <c r="G218" s="105" t="s">
        <v>5</v>
      </c>
      <c r="H218" s="105" t="s">
        <v>5</v>
      </c>
      <c r="I218" s="105" t="s">
        <v>5</v>
      </c>
      <c r="J218" s="105" t="s">
        <v>5</v>
      </c>
      <c r="K218" s="173" t="s">
        <v>5</v>
      </c>
      <c r="L218" s="173" t="s">
        <v>5</v>
      </c>
      <c r="M218" s="105" t="s">
        <v>5</v>
      </c>
      <c r="N218" s="105" t="s">
        <v>5</v>
      </c>
      <c r="O218" s="749"/>
      <c r="P218" s="750"/>
      <c r="Q218" s="750"/>
      <c r="R218" s="750"/>
      <c r="S218" s="749"/>
      <c r="T218" s="750"/>
      <c r="U218" s="750"/>
      <c r="V218" s="754"/>
      <c r="W218" s="51"/>
      <c r="X218" s="51"/>
      <c r="Y218" s="743"/>
      <c r="Z218" s="743"/>
      <c r="AA218" s="743"/>
      <c r="AB218" s="743"/>
      <c r="AC218" s="743"/>
      <c r="AD218" s="743"/>
      <c r="AE218" s="743"/>
      <c r="AF218" s="743"/>
      <c r="AG218" s="743"/>
      <c r="AH218" s="743"/>
      <c r="BC218" s="155" t="str">
        <f t="shared" si="240"/>
        <v>-</v>
      </c>
      <c r="BD218" s="151" t="str">
        <f>"0.7*IEF " &amp; (B213)</f>
        <v>0.7*IEF City (unweighted)</v>
      </c>
      <c r="BE218" s="153">
        <f t="shared" ref="BE218:BJ218" si="260">IF(OR($C215="-",$C215="CET",$C215=""),"-",0.7*$C215)</f>
        <v>2.8</v>
      </c>
      <c r="BF218" s="153">
        <f t="shared" si="260"/>
        <v>2.8</v>
      </c>
      <c r="BG218" s="153">
        <f t="shared" si="260"/>
        <v>2.8</v>
      </c>
      <c r="BH218" s="153">
        <f t="shared" si="260"/>
        <v>2.8</v>
      </c>
      <c r="BI218" s="153">
        <f t="shared" si="260"/>
        <v>2.8</v>
      </c>
      <c r="BJ218" s="153">
        <f t="shared" si="260"/>
        <v>2.8</v>
      </c>
      <c r="BK218" s="153">
        <f t="shared" ref="BK218:BL218" si="261">IF(OR($C215="-",$C215="CET",$C215=""),"-",0.7*$C215)</f>
        <v>2.8</v>
      </c>
      <c r="BL218" s="153">
        <f t="shared" si="261"/>
        <v>2.8</v>
      </c>
      <c r="BM218" s="153">
        <f t="shared" ref="BM218" si="262">IF(OR($C215="-",$C215="CET",$C215=""),"-",0.7*$C215)</f>
        <v>2.8</v>
      </c>
      <c r="BN218" s="150"/>
      <c r="BO218" s="150"/>
      <c r="BP218" s="150"/>
      <c r="BQ218" s="150"/>
      <c r="BR218" s="150"/>
    </row>
    <row r="219" spans="1:70" ht="15" customHeight="1" outlineLevel="1" thickBot="1" x14ac:dyDescent="0.3">
      <c r="A219" s="324"/>
      <c r="B219" s="801"/>
      <c r="C219" s="741"/>
      <c r="D219" s="742"/>
      <c r="E219" s="104" t="s">
        <v>95</v>
      </c>
      <c r="F219" s="103" t="s">
        <v>5</v>
      </c>
      <c r="G219" s="103" t="s">
        <v>5</v>
      </c>
      <c r="H219" s="103" t="s">
        <v>5</v>
      </c>
      <c r="I219" s="103" t="s">
        <v>5</v>
      </c>
      <c r="J219" s="103" t="s">
        <v>5</v>
      </c>
      <c r="K219" s="174" t="s">
        <v>5</v>
      </c>
      <c r="L219" s="174" t="s">
        <v>5</v>
      </c>
      <c r="M219" s="103" t="s">
        <v>5</v>
      </c>
      <c r="N219" s="103" t="s">
        <v>5</v>
      </c>
      <c r="O219" s="749"/>
      <c r="P219" s="750"/>
      <c r="Q219" s="750"/>
      <c r="R219" s="750"/>
      <c r="S219" s="749"/>
      <c r="T219" s="750"/>
      <c r="U219" s="750"/>
      <c r="V219" s="754"/>
      <c r="W219" s="320"/>
      <c r="X219" s="320"/>
      <c r="Y219" s="743"/>
      <c r="Z219" s="743"/>
      <c r="AA219" s="743"/>
      <c r="AB219" s="743"/>
      <c r="AC219" s="743"/>
      <c r="AD219" s="743"/>
      <c r="AE219" s="743"/>
      <c r="AF219" s="743"/>
      <c r="AG219" s="743"/>
      <c r="AH219" s="743"/>
      <c r="BC219" s="155" t="str">
        <f t="shared" si="240"/>
        <v>-</v>
      </c>
      <c r="BD219" s="151" t="str">
        <f>"0.7*IEF " &amp; B218</f>
        <v>0.7*IEF City (EMROAD)</v>
      </c>
      <c r="BE219" s="153">
        <f t="shared" ref="BE219:BM219" si="263">IF(OR($C220="-",$C220="CET",$C220=""),"-",0.7*$C220)</f>
        <v>2.8</v>
      </c>
      <c r="BF219" s="153">
        <f t="shared" si="263"/>
        <v>2.8</v>
      </c>
      <c r="BG219" s="153">
        <f t="shared" si="263"/>
        <v>2.8</v>
      </c>
      <c r="BH219" s="153">
        <f t="shared" si="263"/>
        <v>2.8</v>
      </c>
      <c r="BI219" s="153">
        <f t="shared" si="263"/>
        <v>2.8</v>
      </c>
      <c r="BJ219" s="153">
        <f t="shared" si="263"/>
        <v>2.8</v>
      </c>
      <c r="BK219" s="153">
        <f t="shared" si="263"/>
        <v>2.8</v>
      </c>
      <c r="BL219" s="153">
        <f t="shared" si="263"/>
        <v>2.8</v>
      </c>
      <c r="BM219" s="153">
        <f t="shared" si="263"/>
        <v>2.8</v>
      </c>
    </row>
    <row r="220" spans="1:70" ht="15" customHeight="1" outlineLevel="1" thickBot="1" x14ac:dyDescent="0.3">
      <c r="A220" s="324"/>
      <c r="B220" s="801"/>
      <c r="C220" s="764">
        <v>4</v>
      </c>
      <c r="D220" s="772" t="str">
        <f>IF(AND(F221="-",G221="-",H221="-",I221="-",J221="-",K221="-",L221="-",M221="-"),"-",MAX(F221,G221,H221,I221,J221,K221,L221,M221))</f>
        <v>-</v>
      </c>
      <c r="E220" s="66" t="s">
        <v>177</v>
      </c>
      <c r="F220" s="65" t="str">
        <f t="shared" ref="F220:M220" si="264">IF(OR(F219="-",F219=""),IF(OR(F218="-",F218=""),"-",F218),IF(OR(F218="-",F218=""),F219,(F218+F219)/2))</f>
        <v>-</v>
      </c>
      <c r="G220" s="65" t="str">
        <f t="shared" si="264"/>
        <v>-</v>
      </c>
      <c r="H220" s="65" t="str">
        <f t="shared" si="264"/>
        <v>-</v>
      </c>
      <c r="I220" s="65" t="str">
        <f t="shared" si="264"/>
        <v>-</v>
      </c>
      <c r="J220" s="65" t="str">
        <f t="shared" si="264"/>
        <v>-</v>
      </c>
      <c r="K220" s="167" t="str">
        <f t="shared" si="264"/>
        <v>-</v>
      </c>
      <c r="L220" s="167" t="str">
        <f t="shared" ref="L220" si="265">IF(OR(L219="-",L219=""),IF(OR(L218="-",L218=""),"-",L218),IF(OR(L218="-",L218=""),L219,(L218+L219)/2))</f>
        <v>-</v>
      </c>
      <c r="M220" s="65" t="str">
        <f t="shared" si="264"/>
        <v>-</v>
      </c>
      <c r="N220" s="822"/>
      <c r="O220" s="749"/>
      <c r="P220" s="750"/>
      <c r="Q220" s="750"/>
      <c r="R220" s="750"/>
      <c r="S220" s="749"/>
      <c r="T220" s="750"/>
      <c r="U220" s="750"/>
      <c r="V220" s="754"/>
      <c r="W220" s="320"/>
      <c r="X220" s="320"/>
      <c r="Y220" s="743"/>
      <c r="Z220" s="743"/>
      <c r="AA220" s="743"/>
      <c r="AB220" s="743"/>
      <c r="AC220" s="743"/>
      <c r="AD220" s="743"/>
      <c r="AE220" s="743"/>
      <c r="AF220" s="743"/>
      <c r="AG220" s="743"/>
      <c r="AH220" s="743"/>
      <c r="BC220" s="155" t="str">
        <f t="shared" si="240"/>
        <v>-</v>
      </c>
      <c r="BD220" s="151" t="str">
        <f>"0.7*IEF " &amp; B223</f>
        <v>0.7*IEF City
 (SPF)</v>
      </c>
      <c r="BE220" s="153">
        <f t="shared" ref="BE220:BJ220" si="266">IF(OR($C225="-",$C225="CET",$C225=""),"-",0.7*$C225)</f>
        <v>2.8</v>
      </c>
      <c r="BF220" s="153">
        <f t="shared" si="266"/>
        <v>2.8</v>
      </c>
      <c r="BG220" s="153">
        <f t="shared" si="266"/>
        <v>2.8</v>
      </c>
      <c r="BH220" s="153">
        <f t="shared" si="266"/>
        <v>2.8</v>
      </c>
      <c r="BI220" s="153">
        <f t="shared" si="266"/>
        <v>2.8</v>
      </c>
      <c r="BJ220" s="153">
        <f t="shared" si="266"/>
        <v>2.8</v>
      </c>
      <c r="BK220" s="153">
        <f t="shared" ref="BK220:BL220" si="267">IF(OR($C225="-",$C225="CET",$C225=""),"-",0.7*$C225)</f>
        <v>2.8</v>
      </c>
      <c r="BL220" s="153">
        <f t="shared" si="267"/>
        <v>2.8</v>
      </c>
      <c r="BM220" s="153">
        <f t="shared" ref="BM220" si="268">IF(OR($C225="-",$C225="CET",$C225=""),"-",0.7*$C225)</f>
        <v>2.8</v>
      </c>
    </row>
    <row r="221" spans="1:70" ht="15" customHeight="1" outlineLevel="1" thickBot="1" x14ac:dyDescent="0.3">
      <c r="A221" s="40"/>
      <c r="B221" s="801"/>
      <c r="C221" s="765"/>
      <c r="D221" s="773"/>
      <c r="E221" s="64" t="s">
        <v>97</v>
      </c>
      <c r="F221" s="63" t="str">
        <f t="shared" ref="F221:M221" si="269">IF(OR($C220="-",$C220="CET",$C220=""),"-",IF(AND(NOT(F220="-"),NOT(F$5="-"),NOT(F$5="")),F220/F$5,"-"))</f>
        <v>-</v>
      </c>
      <c r="G221" s="63" t="str">
        <f t="shared" si="269"/>
        <v>-</v>
      </c>
      <c r="H221" s="63" t="str">
        <f t="shared" si="269"/>
        <v>-</v>
      </c>
      <c r="I221" s="63" t="str">
        <f t="shared" si="269"/>
        <v>-</v>
      </c>
      <c r="J221" s="63" t="str">
        <f t="shared" si="269"/>
        <v>-</v>
      </c>
      <c r="K221" s="168" t="str">
        <f t="shared" si="269"/>
        <v>-</v>
      </c>
      <c r="L221" s="168" t="str">
        <f t="shared" ref="L221" si="270">IF(OR($C220="-",$C220="CET",$C220=""),"-",IF(AND(NOT(L220="-"),NOT(L$5="-"),NOT(L$5="")),L220/L$5,"-"))</f>
        <v>-</v>
      </c>
      <c r="M221" s="63" t="str">
        <f t="shared" si="269"/>
        <v>-</v>
      </c>
      <c r="N221" s="823"/>
      <c r="O221" s="749"/>
      <c r="P221" s="750"/>
      <c r="Q221" s="750"/>
      <c r="R221" s="750"/>
      <c r="S221" s="749"/>
      <c r="T221" s="750"/>
      <c r="U221" s="750"/>
      <c r="V221" s="754"/>
      <c r="W221" s="320"/>
      <c r="X221" s="320"/>
      <c r="Y221" s="743"/>
      <c r="Z221" s="743"/>
      <c r="AA221" s="743"/>
      <c r="AB221" s="743"/>
      <c r="AC221" s="743"/>
      <c r="AD221" s="743"/>
      <c r="AE221" s="743"/>
      <c r="AF221" s="743"/>
      <c r="AG221" s="743"/>
      <c r="AH221" s="743"/>
      <c r="BC221" s="155" t="str">
        <f t="shared" si="240"/>
        <v>-</v>
      </c>
      <c r="BD221" s="151" t="str">
        <f>"0.7*IEF " &amp; B228</f>
        <v>0.7*IEF Total (unweighted)</v>
      </c>
      <c r="BE221" s="153">
        <f t="shared" ref="BE221:BJ221" si="271">IF(OR($C230="-",$C230="CET",$C230=""),"-",0.7*$C230)</f>
        <v>2.8</v>
      </c>
      <c r="BF221" s="153">
        <f t="shared" si="271"/>
        <v>2.8</v>
      </c>
      <c r="BG221" s="153">
        <f t="shared" si="271"/>
        <v>2.8</v>
      </c>
      <c r="BH221" s="153">
        <f t="shared" si="271"/>
        <v>2.8</v>
      </c>
      <c r="BI221" s="153">
        <f t="shared" si="271"/>
        <v>2.8</v>
      </c>
      <c r="BJ221" s="153">
        <f t="shared" si="271"/>
        <v>2.8</v>
      </c>
      <c r="BK221" s="153">
        <f t="shared" ref="BK221:BL221" si="272">IF(OR($C230="-",$C230="CET",$C230=""),"-",0.7*$C230)</f>
        <v>2.8</v>
      </c>
      <c r="BL221" s="153">
        <f t="shared" si="272"/>
        <v>2.8</v>
      </c>
      <c r="BM221" s="153">
        <f t="shared" ref="BM221" si="273">IF(OR($C230="-",$C230="CET",$C230=""),"-",0.7*$C230)</f>
        <v>2.8</v>
      </c>
    </row>
    <row r="222" spans="1:70" ht="15" customHeight="1" outlineLevel="1" thickBot="1" x14ac:dyDescent="0.3">
      <c r="A222" s="40"/>
      <c r="B222" s="802"/>
      <c r="C222" s="771"/>
      <c r="D222" s="774"/>
      <c r="E222" s="62" t="s">
        <v>30</v>
      </c>
      <c r="F222" s="62" t="str">
        <f t="shared" ref="F222:M222" si="274">IF(AND(OR(F218="-",F218=""),OR(F219="-",F219="")),"-",IF(OR($C220="-",$C220="",$C220="CET"),"-",IF($R$209="not listed","-",IF(NOT(F$5="-"),IF(AND(AND(NOT(F218=0),NOT(F218="-"),NOT(F218="")),AND(NOT(F219="-"),NOT(F219=0),NOT(F219=""))),IF(AND((F218+F219)/2&lt;1*F$5*IF(OR($C220="CET",$C220="-",$C220=""),"-",$C220),F218&lt;1.1*F$5*IF(OR($C220="CET",$C220="-",$C220=""),"-",$C220),F219&lt;1.1*F$5*IF(OR($C220="CET",$C220="-",$C220=""),"-",$C220)),"passed","refused"),IF(IF(OR(F218="-",F218=""),F219,F218)&lt;0.7*F$5*IF(OR($C220="CET",$C220="-",$C220=""),"-",$C220),"passed",IF(IF(OR(F218="-",F218=""),F219,F218)&lt;1.1*IF(OR($C220="CET",$C220="-",$C220=""),"-",$C220)*F$5,"failed","refused"))),"-"))))</f>
        <v>-</v>
      </c>
      <c r="G222" s="62" t="str">
        <f t="shared" si="274"/>
        <v>-</v>
      </c>
      <c r="H222" s="62" t="str">
        <f t="shared" si="274"/>
        <v>-</v>
      </c>
      <c r="I222" s="62" t="str">
        <f t="shared" si="274"/>
        <v>-</v>
      </c>
      <c r="J222" s="62" t="str">
        <f t="shared" si="274"/>
        <v>-</v>
      </c>
      <c r="K222" s="169" t="str">
        <f t="shared" si="274"/>
        <v>-</v>
      </c>
      <c r="L222" s="169" t="str">
        <f t="shared" si="274"/>
        <v>-</v>
      </c>
      <c r="M222" s="62" t="str">
        <f t="shared" si="274"/>
        <v>-</v>
      </c>
      <c r="N222" s="824"/>
      <c r="O222" s="749"/>
      <c r="P222" s="750"/>
      <c r="Q222" s="750"/>
      <c r="R222" s="750"/>
      <c r="S222" s="749"/>
      <c r="T222" s="750"/>
      <c r="U222" s="750"/>
      <c r="V222" s="754"/>
      <c r="W222" s="320"/>
      <c r="X222" s="320"/>
      <c r="Y222" s="743"/>
      <c r="Z222" s="743"/>
      <c r="AA222" s="743"/>
      <c r="AB222" s="743"/>
      <c r="AC222" s="743"/>
      <c r="AD222" s="743"/>
      <c r="AE222" s="743"/>
      <c r="AF222" s="743"/>
      <c r="AG222" s="743"/>
      <c r="AH222" s="743"/>
      <c r="BC222" s="155" t="str">
        <f t="shared" si="240"/>
        <v>-</v>
      </c>
      <c r="BD222" s="151" t="str">
        <f>"0.7*IEF " &amp; B233</f>
        <v>0.7*IEF Total (EMROAD)</v>
      </c>
      <c r="BE222" s="153">
        <f t="shared" ref="BE222:BJ222" si="275">IF(OR($C235="-",$C235="CET",$C235=""),"-",0.7*$C235)</f>
        <v>2.8</v>
      </c>
      <c r="BF222" s="153">
        <f t="shared" si="275"/>
        <v>2.8</v>
      </c>
      <c r="BG222" s="153">
        <f t="shared" si="275"/>
        <v>2.8</v>
      </c>
      <c r="BH222" s="153">
        <f t="shared" si="275"/>
        <v>2.8</v>
      </c>
      <c r="BI222" s="153">
        <f t="shared" si="275"/>
        <v>2.8</v>
      </c>
      <c r="BJ222" s="153">
        <f t="shared" si="275"/>
        <v>2.8</v>
      </c>
      <c r="BK222" s="153">
        <f t="shared" ref="BK222:BL222" si="276">IF(OR($C235="-",$C235="CET",$C235=""),"-",0.7*$C235)</f>
        <v>2.8</v>
      </c>
      <c r="BL222" s="153">
        <f t="shared" si="276"/>
        <v>2.8</v>
      </c>
      <c r="BM222" s="153">
        <f t="shared" ref="BM222" si="277">IF(OR($C235="-",$C235="CET",$C235=""),"-",0.7*$C235)</f>
        <v>2.8</v>
      </c>
    </row>
    <row r="223" spans="1:70" s="50" customFormat="1" ht="15" customHeight="1" outlineLevel="1" x14ac:dyDescent="0.25">
      <c r="A223" s="52"/>
      <c r="B223" s="797" t="s">
        <v>141</v>
      </c>
      <c r="C223" s="770" t="s">
        <v>114</v>
      </c>
      <c r="D223" s="770" t="s">
        <v>113</v>
      </c>
      <c r="E223" s="106" t="s">
        <v>94</v>
      </c>
      <c r="F223" s="105" t="s">
        <v>5</v>
      </c>
      <c r="G223" s="105" t="s">
        <v>5</v>
      </c>
      <c r="H223" s="105" t="s">
        <v>5</v>
      </c>
      <c r="I223" s="105" t="s">
        <v>5</v>
      </c>
      <c r="J223" s="105" t="s">
        <v>5</v>
      </c>
      <c r="K223" s="173" t="s">
        <v>5</v>
      </c>
      <c r="L223" s="173" t="s">
        <v>5</v>
      </c>
      <c r="M223" s="105" t="s">
        <v>5</v>
      </c>
      <c r="N223" s="105" t="s">
        <v>5</v>
      </c>
      <c r="O223" s="749"/>
      <c r="P223" s="750"/>
      <c r="Q223" s="750"/>
      <c r="R223" s="750"/>
      <c r="S223" s="749"/>
      <c r="T223" s="750"/>
      <c r="U223" s="750"/>
      <c r="V223" s="754"/>
      <c r="W223" s="51"/>
      <c r="X223" s="51"/>
      <c r="Y223" s="743"/>
      <c r="Z223" s="743"/>
      <c r="AA223" s="743"/>
      <c r="AB223" s="743"/>
      <c r="AC223" s="743"/>
      <c r="AD223" s="743"/>
      <c r="AE223" s="743"/>
      <c r="AF223" s="743"/>
      <c r="AG223" s="743"/>
      <c r="AH223" s="743"/>
      <c r="BC223" s="155" t="str">
        <f t="shared" si="240"/>
        <v>-</v>
      </c>
      <c r="BD223" s="151" t="str">
        <f>"0.7*IEF " &amp; B238</f>
        <v>0.7*IEF Total (SPF)</v>
      </c>
      <c r="BE223" s="153">
        <f t="shared" ref="BE223:BJ223" si="278">IF(OR($C240="-",$C240="CET",$C240=""),"-",0.7*$C240)</f>
        <v>2.8</v>
      </c>
      <c r="BF223" s="153">
        <f t="shared" si="278"/>
        <v>2.8</v>
      </c>
      <c r="BG223" s="153">
        <f t="shared" si="278"/>
        <v>2.8</v>
      </c>
      <c r="BH223" s="153">
        <f t="shared" si="278"/>
        <v>2.8</v>
      </c>
      <c r="BI223" s="153">
        <f t="shared" si="278"/>
        <v>2.8</v>
      </c>
      <c r="BJ223" s="153">
        <f t="shared" si="278"/>
        <v>2.8</v>
      </c>
      <c r="BK223" s="153">
        <f t="shared" ref="BK223:BL223" si="279">IF(OR($C240="-",$C240="CET",$C240=""),"-",0.7*$C240)</f>
        <v>2.8</v>
      </c>
      <c r="BL223" s="153">
        <f t="shared" si="279"/>
        <v>2.8</v>
      </c>
      <c r="BM223" s="153">
        <f t="shared" ref="BM223" si="280">IF(OR($C240="-",$C240="CET",$C240=""),"-",0.7*$C240)</f>
        <v>2.8</v>
      </c>
      <c r="BN223" s="150"/>
      <c r="BO223" s="150"/>
      <c r="BP223" s="150"/>
      <c r="BQ223" s="150"/>
      <c r="BR223" s="150"/>
    </row>
    <row r="224" spans="1:70" ht="15" customHeight="1" outlineLevel="1" thickBot="1" x14ac:dyDescent="0.3">
      <c r="A224" s="40"/>
      <c r="B224" s="798"/>
      <c r="C224" s="741"/>
      <c r="D224" s="742"/>
      <c r="E224" s="104" t="s">
        <v>95</v>
      </c>
      <c r="F224" s="103" t="s">
        <v>5</v>
      </c>
      <c r="G224" s="103" t="s">
        <v>5</v>
      </c>
      <c r="H224" s="103" t="s">
        <v>5</v>
      </c>
      <c r="I224" s="103" t="s">
        <v>5</v>
      </c>
      <c r="J224" s="103" t="s">
        <v>5</v>
      </c>
      <c r="K224" s="174" t="s">
        <v>5</v>
      </c>
      <c r="L224" s="174" t="s">
        <v>5</v>
      </c>
      <c r="M224" s="103" t="s">
        <v>5</v>
      </c>
      <c r="N224" s="103" t="s">
        <v>5</v>
      </c>
      <c r="O224" s="749"/>
      <c r="P224" s="750"/>
      <c r="Q224" s="750"/>
      <c r="R224" s="750"/>
      <c r="S224" s="749"/>
      <c r="T224" s="750"/>
      <c r="U224" s="750"/>
      <c r="V224" s="754"/>
      <c r="W224" s="320"/>
      <c r="X224" s="320"/>
      <c r="Y224" s="743"/>
      <c r="Z224" s="743"/>
      <c r="AA224" s="743"/>
      <c r="AB224" s="743"/>
      <c r="AC224" s="743"/>
      <c r="AD224" s="743"/>
      <c r="AE224" s="743"/>
      <c r="AF224" s="743"/>
      <c r="AG224" s="743"/>
      <c r="AH224" s="743"/>
      <c r="BC224" s="155" t="str">
        <f t="shared" si="240"/>
        <v>-</v>
      </c>
      <c r="BD224" s="151" t="str">
        <f>$B213</f>
        <v>City (unweighted)</v>
      </c>
      <c r="BE224" s="153" t="str">
        <f t="shared" ref="BE224:BJ224" si="281">F216</f>
        <v>-</v>
      </c>
      <c r="BF224" s="153" t="str">
        <f t="shared" si="281"/>
        <v>-</v>
      </c>
      <c r="BG224" s="153" t="str">
        <f t="shared" si="281"/>
        <v>-</v>
      </c>
      <c r="BH224" s="153" t="str">
        <f t="shared" si="281"/>
        <v>-</v>
      </c>
      <c r="BI224" s="153" t="str">
        <f t="shared" si="281"/>
        <v>-</v>
      </c>
      <c r="BJ224" s="153" t="str">
        <f t="shared" si="281"/>
        <v>-</v>
      </c>
      <c r="BK224" s="153" t="str">
        <f t="shared" ref="BK224" si="282">L216</f>
        <v>-</v>
      </c>
      <c r="BL224" s="153" t="str">
        <f>M216</f>
        <v>-</v>
      </c>
      <c r="BM224" s="153">
        <f>N216</f>
        <v>0</v>
      </c>
    </row>
    <row r="225" spans="1:70" ht="15" customHeight="1" outlineLevel="1" thickBot="1" x14ac:dyDescent="0.3">
      <c r="A225" s="40"/>
      <c r="B225" s="798"/>
      <c r="C225" s="764">
        <v>4</v>
      </c>
      <c r="D225" s="772" t="str">
        <f>IF(AND(F226="-",G226="-",H226="-",I226="-",J226="-",K226="-",L226="-",M226="-"),"-",MAX(F226,G226,H226,I226,J226,K226,L226,M226))</f>
        <v>-</v>
      </c>
      <c r="E225" s="66" t="s">
        <v>177</v>
      </c>
      <c r="F225" s="65" t="str">
        <f t="shared" ref="F225:M225" si="283">IF(OR(F224="-",F224=""),IF(OR(F223="-",F223=""),"-",F223),IF(OR(F223="-",F223=""),F224,(F223+F224)/2))</f>
        <v>-</v>
      </c>
      <c r="G225" s="65" t="str">
        <f t="shared" si="283"/>
        <v>-</v>
      </c>
      <c r="H225" s="65" t="str">
        <f t="shared" si="283"/>
        <v>-</v>
      </c>
      <c r="I225" s="65" t="str">
        <f t="shared" si="283"/>
        <v>-</v>
      </c>
      <c r="J225" s="65" t="str">
        <f t="shared" si="283"/>
        <v>-</v>
      </c>
      <c r="K225" s="167" t="str">
        <f t="shared" si="283"/>
        <v>-</v>
      </c>
      <c r="L225" s="167" t="str">
        <f t="shared" ref="L225" si="284">IF(OR(L224="-",L224=""),IF(OR(L223="-",L223=""),"-",L223),IF(OR(L223="-",L223=""),L224,(L223+L224)/2))</f>
        <v>-</v>
      </c>
      <c r="M225" s="65" t="str">
        <f t="shared" si="283"/>
        <v>-</v>
      </c>
      <c r="N225" s="822"/>
      <c r="O225" s="749"/>
      <c r="P225" s="750"/>
      <c r="Q225" s="750"/>
      <c r="R225" s="750"/>
      <c r="S225" s="749"/>
      <c r="T225" s="750"/>
      <c r="U225" s="750"/>
      <c r="V225" s="754"/>
      <c r="W225" s="320"/>
      <c r="X225" s="320"/>
      <c r="Y225" s="743"/>
      <c r="Z225" s="743"/>
      <c r="AA225" s="743"/>
      <c r="AB225" s="743"/>
      <c r="AC225" s="743"/>
      <c r="AD225" s="743"/>
      <c r="AE225" s="743"/>
      <c r="AF225" s="743"/>
      <c r="AG225" s="743"/>
      <c r="AH225" s="743"/>
      <c r="BC225" s="155" t="str">
        <f t="shared" si="240"/>
        <v>-</v>
      </c>
      <c r="BD225" s="151" t="str">
        <f>$B218</f>
        <v>City (EMROAD)</v>
      </c>
      <c r="BE225" s="153" t="str">
        <f t="shared" ref="BE225:BJ225" si="285">F221</f>
        <v>-</v>
      </c>
      <c r="BF225" s="153" t="str">
        <f t="shared" si="285"/>
        <v>-</v>
      </c>
      <c r="BG225" s="153" t="str">
        <f t="shared" si="285"/>
        <v>-</v>
      </c>
      <c r="BH225" s="153" t="str">
        <f t="shared" si="285"/>
        <v>-</v>
      </c>
      <c r="BI225" s="153" t="str">
        <f t="shared" si="285"/>
        <v>-</v>
      </c>
      <c r="BJ225" s="153" t="str">
        <f t="shared" si="285"/>
        <v>-</v>
      </c>
      <c r="BK225" s="153" t="str">
        <f t="shared" ref="BK225" si="286">L221</f>
        <v>-</v>
      </c>
      <c r="BL225" s="153" t="str">
        <f>M221</f>
        <v>-</v>
      </c>
      <c r="BM225" s="153">
        <f>N221</f>
        <v>0</v>
      </c>
    </row>
    <row r="226" spans="1:70" ht="15" customHeight="1" outlineLevel="1" thickBot="1" x14ac:dyDescent="0.3">
      <c r="A226" s="40"/>
      <c r="B226" s="798"/>
      <c r="C226" s="765"/>
      <c r="D226" s="773"/>
      <c r="E226" s="64" t="s">
        <v>97</v>
      </c>
      <c r="F226" s="63" t="str">
        <f t="shared" ref="F226:M226" si="287">IF(OR($C225="-",$C225="CET",$C225=""),"-",IF(AND(NOT(F225="-"),NOT(F$5="-"),NOT(F$5="")),F225/F$5,"-"))</f>
        <v>-</v>
      </c>
      <c r="G226" s="63" t="str">
        <f t="shared" si="287"/>
        <v>-</v>
      </c>
      <c r="H226" s="63" t="str">
        <f t="shared" si="287"/>
        <v>-</v>
      </c>
      <c r="I226" s="63" t="str">
        <f t="shared" si="287"/>
        <v>-</v>
      </c>
      <c r="J226" s="63" t="str">
        <f t="shared" si="287"/>
        <v>-</v>
      </c>
      <c r="K226" s="168" t="str">
        <f t="shared" si="287"/>
        <v>-</v>
      </c>
      <c r="L226" s="168" t="str">
        <f t="shared" ref="L226" si="288">IF(OR($C225="-",$C225="CET",$C225=""),"-",IF(AND(NOT(L225="-"),NOT(L$5="-"),NOT(L$5="")),L225/L$5,"-"))</f>
        <v>-</v>
      </c>
      <c r="M226" s="63" t="str">
        <f t="shared" si="287"/>
        <v>-</v>
      </c>
      <c r="N226" s="823"/>
      <c r="O226" s="749"/>
      <c r="P226" s="750"/>
      <c r="Q226" s="750"/>
      <c r="R226" s="750"/>
      <c r="S226" s="749"/>
      <c r="T226" s="750"/>
      <c r="U226" s="750"/>
      <c r="V226" s="754"/>
      <c r="W226" s="320"/>
      <c r="X226" s="320"/>
      <c r="Y226" s="743"/>
      <c r="Z226" s="743"/>
      <c r="AA226" s="743"/>
      <c r="AB226" s="743"/>
      <c r="AC226" s="743"/>
      <c r="AD226" s="743"/>
      <c r="AE226" s="743"/>
      <c r="AF226" s="743"/>
      <c r="AG226" s="743"/>
      <c r="AH226" s="743"/>
      <c r="BC226" s="155" t="str">
        <f t="shared" si="240"/>
        <v>-</v>
      </c>
      <c r="BD226" s="151" t="str">
        <f>$B223</f>
        <v>City
 (SPF)</v>
      </c>
      <c r="BE226" s="153" t="str">
        <f t="shared" ref="BE226:BJ226" si="289">F226</f>
        <v>-</v>
      </c>
      <c r="BF226" s="153" t="str">
        <f t="shared" si="289"/>
        <v>-</v>
      </c>
      <c r="BG226" s="153" t="str">
        <f t="shared" si="289"/>
        <v>-</v>
      </c>
      <c r="BH226" s="153" t="str">
        <f t="shared" si="289"/>
        <v>-</v>
      </c>
      <c r="BI226" s="153" t="str">
        <f t="shared" si="289"/>
        <v>-</v>
      </c>
      <c r="BJ226" s="153" t="str">
        <f t="shared" si="289"/>
        <v>-</v>
      </c>
      <c r="BK226" s="153" t="str">
        <f t="shared" ref="BK226" si="290">L226</f>
        <v>-</v>
      </c>
      <c r="BL226" s="153" t="str">
        <f>M226</f>
        <v>-</v>
      </c>
      <c r="BM226" s="153">
        <f>N226</f>
        <v>0</v>
      </c>
    </row>
    <row r="227" spans="1:70" ht="15" customHeight="1" outlineLevel="1" thickBot="1" x14ac:dyDescent="0.3">
      <c r="A227" s="40"/>
      <c r="B227" s="799"/>
      <c r="C227" s="771"/>
      <c r="D227" s="774"/>
      <c r="E227" s="62" t="s">
        <v>30</v>
      </c>
      <c r="F227" s="62" t="str">
        <f t="shared" ref="F227:M227" si="291">IF(AND(OR(F223="-",F223=""),OR(F224="-",F224="")),"-",IF(OR($C225="-",$C225="",$C225="CET"),"-",IF($R$209="not listed","-",IF(NOT(F$5="-"),IF(AND(AND(NOT(F223=0),NOT(F223="-"),NOT(F223="")),AND(NOT(F224="-"),NOT(F224=0),NOT(F224=""))),IF(AND((F223+F224)/2&lt;1*F$5*IF(OR($C225="CET",$C225="-",$C225=""),"-",$C225),F223&lt;1.1*F$5*IF(OR($C225="CET",$C225="-",$C225=""),"-",$C225),F224&lt;1.1*F$5*IF(OR($C225="CET",$C225="-",$C225=""),"-",$C225)),"passed","refused"),IF(IF(OR(F223="-",F223=""),F224,F223)&lt;0.7*F$5*IF(OR($C225="CET",$C225="-",$C225=""),"-",$C225),"passed",IF(IF(OR(F223="-",F223=""),F224,F223)&lt;1.1*IF(OR($C225="CET",$C225="-",$C225=""),"-",$C225)*F$5,"failed","refused"))),"-"))))</f>
        <v>-</v>
      </c>
      <c r="G227" s="62" t="str">
        <f t="shared" si="291"/>
        <v>-</v>
      </c>
      <c r="H227" s="62" t="str">
        <f t="shared" si="291"/>
        <v>-</v>
      </c>
      <c r="I227" s="62" t="str">
        <f t="shared" si="291"/>
        <v>-</v>
      </c>
      <c r="J227" s="62" t="str">
        <f t="shared" si="291"/>
        <v>-</v>
      </c>
      <c r="K227" s="169" t="str">
        <f t="shared" si="291"/>
        <v>-</v>
      </c>
      <c r="L227" s="169" t="str">
        <f t="shared" si="291"/>
        <v>-</v>
      </c>
      <c r="M227" s="62" t="str">
        <f t="shared" si="291"/>
        <v>-</v>
      </c>
      <c r="N227" s="824"/>
      <c r="O227" s="749"/>
      <c r="P227" s="750"/>
      <c r="Q227" s="750"/>
      <c r="R227" s="750"/>
      <c r="S227" s="749"/>
      <c r="T227" s="750"/>
      <c r="U227" s="750"/>
      <c r="V227" s="754"/>
      <c r="W227" s="320"/>
      <c r="X227" s="320"/>
      <c r="Y227" s="743"/>
      <c r="Z227" s="743"/>
      <c r="AA227" s="743"/>
      <c r="AB227" s="743"/>
      <c r="AC227" s="743"/>
      <c r="AD227" s="743"/>
      <c r="AE227" s="743"/>
      <c r="AF227" s="743"/>
      <c r="AG227" s="743"/>
      <c r="AH227" s="743"/>
      <c r="BC227" s="155" t="str">
        <f t="shared" si="240"/>
        <v>-</v>
      </c>
      <c r="BD227" s="151" t="str">
        <f>$B228</f>
        <v>Total (unweighted)</v>
      </c>
      <c r="BE227" s="153" t="str">
        <f t="shared" ref="BE227:BJ227" si="292">F231</f>
        <v>-</v>
      </c>
      <c r="BF227" s="153" t="str">
        <f t="shared" si="292"/>
        <v>-</v>
      </c>
      <c r="BG227" s="153" t="str">
        <f t="shared" si="292"/>
        <v>-</v>
      </c>
      <c r="BH227" s="153" t="str">
        <f t="shared" si="292"/>
        <v>-</v>
      </c>
      <c r="BI227" s="153" t="str">
        <f t="shared" si="292"/>
        <v>-</v>
      </c>
      <c r="BJ227" s="153" t="str">
        <f t="shared" si="292"/>
        <v>-</v>
      </c>
      <c r="BK227" s="153" t="str">
        <f t="shared" ref="BK227" si="293">L231</f>
        <v>-</v>
      </c>
      <c r="BL227" s="153" t="str">
        <f>M231</f>
        <v>-</v>
      </c>
      <c r="BM227" s="153">
        <f>N231</f>
        <v>0</v>
      </c>
    </row>
    <row r="228" spans="1:70" s="50" customFormat="1" ht="15" customHeight="1" outlineLevel="1" x14ac:dyDescent="0.25">
      <c r="A228" s="52"/>
      <c r="B228" s="800" t="s">
        <v>105</v>
      </c>
      <c r="C228" s="770" t="s">
        <v>114</v>
      </c>
      <c r="D228" s="770" t="s">
        <v>113</v>
      </c>
      <c r="E228" s="106" t="s">
        <v>94</v>
      </c>
      <c r="F228" s="105" t="s">
        <v>5</v>
      </c>
      <c r="G228" s="105" t="s">
        <v>5</v>
      </c>
      <c r="H228" s="105" t="s">
        <v>5</v>
      </c>
      <c r="I228" s="105" t="s">
        <v>5</v>
      </c>
      <c r="J228" s="105" t="s">
        <v>5</v>
      </c>
      <c r="K228" s="173" t="s">
        <v>5</v>
      </c>
      <c r="L228" s="173" t="s">
        <v>5</v>
      </c>
      <c r="M228" s="105" t="s">
        <v>5</v>
      </c>
      <c r="N228" s="105" t="s">
        <v>5</v>
      </c>
      <c r="O228" s="749"/>
      <c r="P228" s="750"/>
      <c r="Q228" s="750"/>
      <c r="R228" s="750"/>
      <c r="S228" s="749"/>
      <c r="T228" s="750"/>
      <c r="U228" s="750"/>
      <c r="V228" s="754"/>
      <c r="W228" s="51"/>
      <c r="X228" s="51"/>
      <c r="Y228" s="743"/>
      <c r="Z228" s="743"/>
      <c r="AA228" s="743"/>
      <c r="AB228" s="743"/>
      <c r="AC228" s="743"/>
      <c r="AD228" s="743"/>
      <c r="AE228" s="743"/>
      <c r="AF228" s="743"/>
      <c r="AG228" s="743"/>
      <c r="AH228" s="743"/>
      <c r="BC228" s="155" t="str">
        <f t="shared" si="240"/>
        <v>-</v>
      </c>
      <c r="BD228" s="151" t="str">
        <f>$B233</f>
        <v>Total (EMROAD)</v>
      </c>
      <c r="BE228" s="153" t="str">
        <f t="shared" ref="BE228:BJ228" si="294">F236</f>
        <v>-</v>
      </c>
      <c r="BF228" s="153" t="str">
        <f t="shared" si="294"/>
        <v>-</v>
      </c>
      <c r="BG228" s="153" t="str">
        <f t="shared" si="294"/>
        <v>-</v>
      </c>
      <c r="BH228" s="153" t="str">
        <f t="shared" si="294"/>
        <v>-</v>
      </c>
      <c r="BI228" s="153" t="str">
        <f t="shared" si="294"/>
        <v>-</v>
      </c>
      <c r="BJ228" s="153" t="str">
        <f t="shared" si="294"/>
        <v>-</v>
      </c>
      <c r="BK228" s="153" t="str">
        <f t="shared" ref="BK228" si="295">L236</f>
        <v>-</v>
      </c>
      <c r="BL228" s="153" t="str">
        <f>M236</f>
        <v>-</v>
      </c>
      <c r="BM228" s="153">
        <f>N236</f>
        <v>0</v>
      </c>
      <c r="BN228" s="150"/>
      <c r="BO228" s="150"/>
      <c r="BP228" s="150"/>
      <c r="BQ228" s="150"/>
      <c r="BR228" s="150"/>
    </row>
    <row r="229" spans="1:70" ht="15" customHeight="1" outlineLevel="1" thickBot="1" x14ac:dyDescent="0.3">
      <c r="A229" s="40"/>
      <c r="B229" s="801"/>
      <c r="C229" s="741"/>
      <c r="D229" s="742"/>
      <c r="E229" s="104" t="s">
        <v>95</v>
      </c>
      <c r="F229" s="103" t="s">
        <v>5</v>
      </c>
      <c r="G229" s="103" t="s">
        <v>5</v>
      </c>
      <c r="H229" s="103" t="s">
        <v>5</v>
      </c>
      <c r="I229" s="103" t="s">
        <v>5</v>
      </c>
      <c r="J229" s="103" t="s">
        <v>5</v>
      </c>
      <c r="K229" s="174" t="s">
        <v>5</v>
      </c>
      <c r="L229" s="174" t="s">
        <v>5</v>
      </c>
      <c r="M229" s="103" t="s">
        <v>5</v>
      </c>
      <c r="N229" s="103" t="s">
        <v>5</v>
      </c>
      <c r="O229" s="749"/>
      <c r="P229" s="750"/>
      <c r="Q229" s="750"/>
      <c r="R229" s="750"/>
      <c r="S229" s="749"/>
      <c r="T229" s="750"/>
      <c r="U229" s="750"/>
      <c r="V229" s="754"/>
      <c r="W229" s="320"/>
      <c r="X229" s="320"/>
      <c r="Y229" s="743"/>
      <c r="Z229" s="743"/>
      <c r="AA229" s="743"/>
      <c r="AB229" s="743"/>
      <c r="AC229" s="743"/>
      <c r="AD229" s="743"/>
      <c r="AE229" s="743"/>
      <c r="AF229" s="743"/>
      <c r="AG229" s="743"/>
      <c r="AH229" s="743"/>
      <c r="BC229" s="155" t="str">
        <f t="shared" si="240"/>
        <v>-</v>
      </c>
      <c r="BD229" s="151" t="str">
        <f>$B238</f>
        <v>Total (SPF)</v>
      </c>
      <c r="BE229" s="153" t="str">
        <f t="shared" ref="BE229:BJ229" si="296">F241</f>
        <v>-</v>
      </c>
      <c r="BF229" s="153" t="str">
        <f t="shared" si="296"/>
        <v>-</v>
      </c>
      <c r="BG229" s="153" t="str">
        <f t="shared" si="296"/>
        <v>-</v>
      </c>
      <c r="BH229" s="153" t="str">
        <f t="shared" si="296"/>
        <v>-</v>
      </c>
      <c r="BI229" s="153" t="str">
        <f t="shared" si="296"/>
        <v>-</v>
      </c>
      <c r="BJ229" s="153" t="str">
        <f t="shared" si="296"/>
        <v>-</v>
      </c>
      <c r="BK229" s="153" t="str">
        <f t="shared" ref="BK229" si="297">L241</f>
        <v>-</v>
      </c>
      <c r="BL229" s="153" t="str">
        <f>M241</f>
        <v>-</v>
      </c>
      <c r="BM229" s="153">
        <f>N241</f>
        <v>0</v>
      </c>
    </row>
    <row r="230" spans="1:70" ht="15" customHeight="1" outlineLevel="1" thickBot="1" x14ac:dyDescent="0.3">
      <c r="A230" s="40"/>
      <c r="B230" s="801"/>
      <c r="C230" s="764">
        <v>4</v>
      </c>
      <c r="D230" s="772" t="str">
        <f>IF(AND(F231="-",G231="-",H231="-",I231="-",J231="-",K231="-",L231="-",M231="-"),"-",MAX(F231,G231,H231,I231,J231,K231,L231,M231))</f>
        <v>-</v>
      </c>
      <c r="E230" s="66" t="s">
        <v>177</v>
      </c>
      <c r="F230" s="65" t="str">
        <f t="shared" ref="F230:M230" si="298">IF(OR(F229="-",F229=""),IF(OR(F228="-",F228=""),"-",F228),IF(OR(F228="-",F228=""),F229,(F228+F229)/2))</f>
        <v>-</v>
      </c>
      <c r="G230" s="65" t="str">
        <f t="shared" si="298"/>
        <v>-</v>
      </c>
      <c r="H230" s="65" t="str">
        <f t="shared" si="298"/>
        <v>-</v>
      </c>
      <c r="I230" s="65" t="str">
        <f t="shared" si="298"/>
        <v>-</v>
      </c>
      <c r="J230" s="65" t="str">
        <f t="shared" si="298"/>
        <v>-</v>
      </c>
      <c r="K230" s="167" t="str">
        <f t="shared" si="298"/>
        <v>-</v>
      </c>
      <c r="L230" s="167" t="str">
        <f t="shared" ref="L230" si="299">IF(OR(L229="-",L229=""),IF(OR(L228="-",L228=""),"-",L228),IF(OR(L228="-",L228=""),L229,(L228+L229)/2))</f>
        <v>-</v>
      </c>
      <c r="M230" s="65" t="str">
        <f t="shared" si="298"/>
        <v>-</v>
      </c>
      <c r="N230" s="822"/>
      <c r="O230" s="749"/>
      <c r="P230" s="750"/>
      <c r="Q230" s="750"/>
      <c r="R230" s="750"/>
      <c r="S230" s="749"/>
      <c r="T230" s="750"/>
      <c r="U230" s="750"/>
      <c r="V230" s="754"/>
      <c r="W230" s="320"/>
      <c r="X230" s="320"/>
      <c r="Y230" s="743"/>
      <c r="Z230" s="743"/>
      <c r="AA230" s="743"/>
      <c r="AB230" s="743"/>
      <c r="AC230" s="743"/>
      <c r="AD230" s="743"/>
      <c r="AE230" s="743"/>
      <c r="AF230" s="743"/>
      <c r="AG230" s="743"/>
      <c r="AH230" s="743"/>
      <c r="BC230" s="155" t="str">
        <f t="shared" si="240"/>
        <v>-</v>
      </c>
      <c r="BD230" s="151" t="str">
        <f>"IEF " &amp;B213</f>
        <v>IEF City (unweighted)</v>
      </c>
      <c r="BE230" s="153">
        <f t="shared" ref="BE230:BJ230" si="300">IF(OR($C215="-",$C215="CET",$C215=""),"-",$C215)</f>
        <v>4</v>
      </c>
      <c r="BF230" s="153">
        <f t="shared" si="300"/>
        <v>4</v>
      </c>
      <c r="BG230" s="153">
        <f t="shared" si="300"/>
        <v>4</v>
      </c>
      <c r="BH230" s="153">
        <f t="shared" si="300"/>
        <v>4</v>
      </c>
      <c r="BI230" s="153">
        <f t="shared" si="300"/>
        <v>4</v>
      </c>
      <c r="BJ230" s="153">
        <f t="shared" si="300"/>
        <v>4</v>
      </c>
      <c r="BK230" s="153">
        <f t="shared" ref="BK230:BL230" si="301">IF(OR($C215="-",$C215="CET",$C215=""),"-",$C215)</f>
        <v>4</v>
      </c>
      <c r="BL230" s="153">
        <f t="shared" si="301"/>
        <v>4</v>
      </c>
      <c r="BM230" s="153">
        <f t="shared" ref="BM230" si="302">IF(OR($C215="-",$C215="CET",$C215=""),"-",$C215)</f>
        <v>4</v>
      </c>
    </row>
    <row r="231" spans="1:70" ht="15" customHeight="1" outlineLevel="1" thickBot="1" x14ac:dyDescent="0.3">
      <c r="A231" s="40"/>
      <c r="B231" s="801"/>
      <c r="C231" s="765"/>
      <c r="D231" s="773"/>
      <c r="E231" s="64" t="s">
        <v>97</v>
      </c>
      <c r="F231" s="63" t="str">
        <f t="shared" ref="F231:M231" si="303">IF(OR($C230="-",$C230="CET",$C230=""),"-",IF(AND(NOT(F230="-"),NOT(F$5="-"),NOT(F$5="")),F230/F$5,"-"))</f>
        <v>-</v>
      </c>
      <c r="G231" s="63" t="str">
        <f t="shared" si="303"/>
        <v>-</v>
      </c>
      <c r="H231" s="63" t="str">
        <f t="shared" si="303"/>
        <v>-</v>
      </c>
      <c r="I231" s="63" t="str">
        <f t="shared" si="303"/>
        <v>-</v>
      </c>
      <c r="J231" s="63" t="str">
        <f t="shared" si="303"/>
        <v>-</v>
      </c>
      <c r="K231" s="168" t="str">
        <f t="shared" si="303"/>
        <v>-</v>
      </c>
      <c r="L231" s="168" t="str">
        <f t="shared" ref="L231" si="304">IF(OR($C230="-",$C230="CET",$C230=""),"-",IF(AND(NOT(L230="-"),NOT(L$5="-"),NOT(L$5="")),L230/L$5,"-"))</f>
        <v>-</v>
      </c>
      <c r="M231" s="63" t="str">
        <f t="shared" si="303"/>
        <v>-</v>
      </c>
      <c r="N231" s="823"/>
      <c r="O231" s="749"/>
      <c r="P231" s="750"/>
      <c r="Q231" s="750"/>
      <c r="R231" s="750"/>
      <c r="S231" s="749"/>
      <c r="T231" s="750"/>
      <c r="U231" s="750"/>
      <c r="V231" s="754"/>
      <c r="W231" s="320"/>
      <c r="X231" s="320"/>
      <c r="Y231" s="743"/>
      <c r="Z231" s="743"/>
      <c r="AA231" s="743"/>
      <c r="AB231" s="743"/>
      <c r="AC231" s="743"/>
      <c r="AD231" s="743"/>
      <c r="AE231" s="743"/>
      <c r="AF231" s="743"/>
      <c r="AG231" s="743"/>
      <c r="AH231" s="743"/>
      <c r="BC231" s="155" t="str">
        <f t="shared" si="240"/>
        <v>-</v>
      </c>
      <c r="BD231" s="151" t="str">
        <f>"IEF " &amp; B218</f>
        <v>IEF City (EMROAD)</v>
      </c>
      <c r="BE231" s="153">
        <f t="shared" ref="BE231:BJ231" si="305">IF(OR($C220="-",$C220="CET",$C220=""),"-",$C220)</f>
        <v>4</v>
      </c>
      <c r="BF231" s="153">
        <f t="shared" si="305"/>
        <v>4</v>
      </c>
      <c r="BG231" s="153">
        <f t="shared" si="305"/>
        <v>4</v>
      </c>
      <c r="BH231" s="153">
        <f t="shared" si="305"/>
        <v>4</v>
      </c>
      <c r="BI231" s="153">
        <f t="shared" si="305"/>
        <v>4</v>
      </c>
      <c r="BJ231" s="153">
        <f t="shared" si="305"/>
        <v>4</v>
      </c>
      <c r="BK231" s="153">
        <f t="shared" ref="BK231:BL231" si="306">IF(OR($C220="-",$C220="CET",$C220=""),"-",$C220)</f>
        <v>4</v>
      </c>
      <c r="BL231" s="153">
        <f t="shared" si="306"/>
        <v>4</v>
      </c>
      <c r="BM231" s="153">
        <f t="shared" ref="BM231" si="307">IF(OR($C220="-",$C220="CET",$C220=""),"-",$C220)</f>
        <v>4</v>
      </c>
    </row>
    <row r="232" spans="1:70" ht="15" customHeight="1" outlineLevel="1" thickBot="1" x14ac:dyDescent="0.3">
      <c r="A232" s="40"/>
      <c r="B232" s="802"/>
      <c r="C232" s="771"/>
      <c r="D232" s="774"/>
      <c r="E232" s="62" t="s">
        <v>30</v>
      </c>
      <c r="F232" s="62" t="str">
        <f t="shared" ref="F232:M232" si="308">IF(AND(OR(F228="-",F228=""),OR(F229="-",F229="")),"-",IF(OR($C230="-",$C230="",$C230="CET"),"-",IF($R$209="not listed","-",IF(NOT(F$5="-"),IF(AND(AND(NOT(F228=0),NOT(F228="-"),NOT(F228="")),AND(NOT(F229="-"),NOT(F229=0),NOT(F229=""))),IF(AND((F228+F229)/2&lt;1*F$5*IF(OR($C230="CET",$C230="-",$C230=""),"-",$C230),F228&lt;1.1*F$5*IF(OR($C230="CET",$C230="-",$C230=""),"-",$C230),F229&lt;1.1*F$5*IF(OR($C230="CET",$C230="-",$C230=""),"-",$C230)),"passed","refused"),IF(IF(OR(F228="-",F228=""),F229,F228)&lt;0.7*F$5*IF(OR($C230="CET",$C230="-",$C230=""),"-",$C230),"passed",IF(IF(OR(F228="-",F228=""),F229,F228)&lt;1.1*IF(OR($C230="CET",$C230="-",$C230=""),"-",$C230)*F$5,"failed","refused"))),"-"))))</f>
        <v>-</v>
      </c>
      <c r="G232" s="62" t="str">
        <f t="shared" si="308"/>
        <v>-</v>
      </c>
      <c r="H232" s="62" t="str">
        <f t="shared" si="308"/>
        <v>-</v>
      </c>
      <c r="I232" s="62" t="str">
        <f t="shared" si="308"/>
        <v>-</v>
      </c>
      <c r="J232" s="62" t="str">
        <f t="shared" si="308"/>
        <v>-</v>
      </c>
      <c r="K232" s="169" t="str">
        <f t="shared" si="308"/>
        <v>-</v>
      </c>
      <c r="L232" s="169" t="str">
        <f t="shared" si="308"/>
        <v>-</v>
      </c>
      <c r="M232" s="62" t="str">
        <f t="shared" si="308"/>
        <v>-</v>
      </c>
      <c r="N232" s="824"/>
      <c r="O232" s="749"/>
      <c r="P232" s="750"/>
      <c r="Q232" s="750"/>
      <c r="R232" s="750"/>
      <c r="S232" s="749"/>
      <c r="T232" s="750"/>
      <c r="U232" s="750"/>
      <c r="V232" s="754"/>
      <c r="W232" s="320"/>
      <c r="X232" s="320"/>
      <c r="Y232" s="743"/>
      <c r="Z232" s="743"/>
      <c r="AA232" s="743"/>
      <c r="AB232" s="743"/>
      <c r="AC232" s="743"/>
      <c r="AD232" s="743"/>
      <c r="AE232" s="743"/>
      <c r="AF232" s="743"/>
      <c r="AG232" s="743"/>
      <c r="AH232" s="743"/>
      <c r="BC232" s="155" t="str">
        <f t="shared" si="240"/>
        <v>-</v>
      </c>
      <c r="BD232" s="151" t="str">
        <f>"IEF " &amp; B223</f>
        <v>IEF City
 (SPF)</v>
      </c>
      <c r="BE232" s="153">
        <f t="shared" ref="BE232:BJ232" si="309">IF(OR($C225="-",$C225="CET",$C225=""),"-",$C225)</f>
        <v>4</v>
      </c>
      <c r="BF232" s="153">
        <f t="shared" si="309"/>
        <v>4</v>
      </c>
      <c r="BG232" s="153">
        <f t="shared" si="309"/>
        <v>4</v>
      </c>
      <c r="BH232" s="153">
        <f t="shared" si="309"/>
        <v>4</v>
      </c>
      <c r="BI232" s="153">
        <f t="shared" si="309"/>
        <v>4</v>
      </c>
      <c r="BJ232" s="153">
        <f t="shared" si="309"/>
        <v>4</v>
      </c>
      <c r="BK232" s="153">
        <f t="shared" ref="BK232:BL232" si="310">IF(OR($C225="-",$C225="CET",$C225=""),"-",$C225)</f>
        <v>4</v>
      </c>
      <c r="BL232" s="153">
        <f t="shared" si="310"/>
        <v>4</v>
      </c>
      <c r="BM232" s="153">
        <f t="shared" ref="BM232" si="311">IF(OR($C225="-",$C225="CET",$C225=""),"-",$C225)</f>
        <v>4</v>
      </c>
    </row>
    <row r="233" spans="1:70" s="50" customFormat="1" ht="15" customHeight="1" outlineLevel="1" x14ac:dyDescent="0.25">
      <c r="A233" s="52"/>
      <c r="B233" s="800" t="s">
        <v>104</v>
      </c>
      <c r="C233" s="770" t="s">
        <v>114</v>
      </c>
      <c r="D233" s="770" t="s">
        <v>113</v>
      </c>
      <c r="E233" s="106" t="s">
        <v>94</v>
      </c>
      <c r="F233" s="105" t="s">
        <v>5</v>
      </c>
      <c r="G233" s="105" t="s">
        <v>5</v>
      </c>
      <c r="H233" s="105" t="s">
        <v>5</v>
      </c>
      <c r="I233" s="105" t="s">
        <v>5</v>
      </c>
      <c r="J233" s="105" t="s">
        <v>5</v>
      </c>
      <c r="K233" s="173" t="s">
        <v>5</v>
      </c>
      <c r="L233" s="173" t="s">
        <v>5</v>
      </c>
      <c r="M233" s="105" t="s">
        <v>5</v>
      </c>
      <c r="N233" s="105" t="s">
        <v>5</v>
      </c>
      <c r="O233" s="749"/>
      <c r="P233" s="750"/>
      <c r="Q233" s="750"/>
      <c r="R233" s="750"/>
      <c r="S233" s="749"/>
      <c r="T233" s="750"/>
      <c r="U233" s="750"/>
      <c r="V233" s="754"/>
      <c r="W233" s="51"/>
      <c r="X233" s="51"/>
      <c r="Y233" s="743"/>
      <c r="Z233" s="743"/>
      <c r="AA233" s="743"/>
      <c r="AB233" s="743"/>
      <c r="AC233" s="743"/>
      <c r="AD233" s="743"/>
      <c r="AE233" s="743"/>
      <c r="AF233" s="743"/>
      <c r="AG233" s="743"/>
      <c r="AH233" s="743"/>
      <c r="BC233" s="155" t="str">
        <f t="shared" si="240"/>
        <v>-</v>
      </c>
      <c r="BD233" s="151" t="str">
        <f>"IEF " &amp; B228</f>
        <v>IEF Total (unweighted)</v>
      </c>
      <c r="BE233" s="153">
        <f t="shared" ref="BE233:BJ233" si="312">IF(OR($C230="-",$C230="CET",$C230=""),"-",$C230)</f>
        <v>4</v>
      </c>
      <c r="BF233" s="153">
        <f t="shared" si="312"/>
        <v>4</v>
      </c>
      <c r="BG233" s="153">
        <f t="shared" si="312"/>
        <v>4</v>
      </c>
      <c r="BH233" s="153">
        <f t="shared" si="312"/>
        <v>4</v>
      </c>
      <c r="BI233" s="153">
        <f t="shared" si="312"/>
        <v>4</v>
      </c>
      <c r="BJ233" s="153">
        <f t="shared" si="312"/>
        <v>4</v>
      </c>
      <c r="BK233" s="153">
        <f t="shared" ref="BK233:BL233" si="313">IF(OR($C230="-",$C230="CET",$C230=""),"-",$C230)</f>
        <v>4</v>
      </c>
      <c r="BL233" s="153">
        <f t="shared" si="313"/>
        <v>4</v>
      </c>
      <c r="BM233" s="153">
        <f t="shared" ref="BM233" si="314">IF(OR($C230="-",$C230="CET",$C230=""),"-",$C230)</f>
        <v>4</v>
      </c>
      <c r="BN233" s="150"/>
      <c r="BO233" s="150"/>
      <c r="BP233" s="150"/>
      <c r="BQ233" s="150"/>
      <c r="BR233" s="150"/>
    </row>
    <row r="234" spans="1:70" ht="15" customHeight="1" outlineLevel="1" thickBot="1" x14ac:dyDescent="0.3">
      <c r="A234" s="40"/>
      <c r="B234" s="801"/>
      <c r="C234" s="741"/>
      <c r="D234" s="742"/>
      <c r="E234" s="104" t="s">
        <v>95</v>
      </c>
      <c r="F234" s="103" t="s">
        <v>5</v>
      </c>
      <c r="G234" s="103" t="s">
        <v>5</v>
      </c>
      <c r="H234" s="103" t="s">
        <v>5</v>
      </c>
      <c r="I234" s="103" t="s">
        <v>5</v>
      </c>
      <c r="J234" s="103" t="s">
        <v>5</v>
      </c>
      <c r="K234" s="174" t="s">
        <v>5</v>
      </c>
      <c r="L234" s="174" t="s">
        <v>5</v>
      </c>
      <c r="M234" s="103" t="s">
        <v>5</v>
      </c>
      <c r="N234" s="103" t="s">
        <v>5</v>
      </c>
      <c r="O234" s="749"/>
      <c r="P234" s="750"/>
      <c r="Q234" s="750"/>
      <c r="R234" s="750"/>
      <c r="S234" s="749"/>
      <c r="T234" s="750"/>
      <c r="U234" s="750"/>
      <c r="V234" s="754"/>
      <c r="W234" s="320"/>
      <c r="X234" s="320"/>
      <c r="Y234" s="743"/>
      <c r="Z234" s="743"/>
      <c r="AA234" s="743"/>
      <c r="AB234" s="743"/>
      <c r="AC234" s="743"/>
      <c r="AD234" s="743"/>
      <c r="AE234" s="743"/>
      <c r="AF234" s="743"/>
      <c r="AG234" s="743"/>
      <c r="AH234" s="743"/>
      <c r="BC234" s="155" t="str">
        <f t="shared" si="240"/>
        <v>-</v>
      </c>
      <c r="BD234" s="151" t="str">
        <f>"IEF " &amp; B233</f>
        <v>IEF Total (EMROAD)</v>
      </c>
      <c r="BE234" s="153">
        <f t="shared" ref="BE234:BM234" si="315">IF(OR($C235="-",$C235="CET",$C235=""),"-",$C235)</f>
        <v>4</v>
      </c>
      <c r="BF234" s="153">
        <f t="shared" si="315"/>
        <v>4</v>
      </c>
      <c r="BG234" s="153">
        <f t="shared" si="315"/>
        <v>4</v>
      </c>
      <c r="BH234" s="153">
        <f t="shared" si="315"/>
        <v>4</v>
      </c>
      <c r="BI234" s="153">
        <f t="shared" si="315"/>
        <v>4</v>
      </c>
      <c r="BJ234" s="153">
        <f t="shared" si="315"/>
        <v>4</v>
      </c>
      <c r="BK234" s="153">
        <f t="shared" si="315"/>
        <v>4</v>
      </c>
      <c r="BL234" s="153">
        <f t="shared" si="315"/>
        <v>4</v>
      </c>
      <c r="BM234" s="153">
        <f t="shared" si="315"/>
        <v>4</v>
      </c>
    </row>
    <row r="235" spans="1:70" ht="15" customHeight="1" outlineLevel="1" thickBot="1" x14ac:dyDescent="0.3">
      <c r="A235" s="40"/>
      <c r="B235" s="801"/>
      <c r="C235" s="764">
        <v>4</v>
      </c>
      <c r="D235" s="772" t="str">
        <f>IF(AND(F236="-",G236="-",H236="-",I236="-",J236="-",K236="-",L236="-",M236="-"),"-",MAX(F236,G236,H236,I236,J236,K236,L236,M236))</f>
        <v>-</v>
      </c>
      <c r="E235" s="66" t="s">
        <v>177</v>
      </c>
      <c r="F235" s="65" t="str">
        <f t="shared" ref="F235:M235" si="316">IF(OR(F234="-",F234=""),IF(OR(F233="-",F233=""),"-",F233),IF(OR(F233="-",F233=""),F234,(F233+F234)/2))</f>
        <v>-</v>
      </c>
      <c r="G235" s="65" t="str">
        <f t="shared" si="316"/>
        <v>-</v>
      </c>
      <c r="H235" s="65" t="str">
        <f t="shared" si="316"/>
        <v>-</v>
      </c>
      <c r="I235" s="65" t="str">
        <f t="shared" si="316"/>
        <v>-</v>
      </c>
      <c r="J235" s="65" t="str">
        <f t="shared" si="316"/>
        <v>-</v>
      </c>
      <c r="K235" s="167" t="str">
        <f t="shared" si="316"/>
        <v>-</v>
      </c>
      <c r="L235" s="167" t="str">
        <f t="shared" ref="L235" si="317">IF(OR(L234="-",L234=""),IF(OR(L233="-",L233=""),"-",L233),IF(OR(L233="-",L233=""),L234,(L233+L234)/2))</f>
        <v>-</v>
      </c>
      <c r="M235" s="65" t="str">
        <f t="shared" si="316"/>
        <v>-</v>
      </c>
      <c r="N235" s="822"/>
      <c r="O235" s="749"/>
      <c r="P235" s="750"/>
      <c r="Q235" s="750"/>
      <c r="R235" s="750"/>
      <c r="S235" s="749"/>
      <c r="T235" s="750"/>
      <c r="U235" s="750"/>
      <c r="V235" s="754"/>
      <c r="W235" s="320"/>
      <c r="X235" s="320"/>
      <c r="Y235" s="743"/>
      <c r="Z235" s="743"/>
      <c r="AA235" s="743"/>
      <c r="AB235" s="743"/>
      <c r="AC235" s="743"/>
      <c r="AD235" s="743"/>
      <c r="AE235" s="743"/>
      <c r="AF235" s="743"/>
      <c r="AG235" s="743"/>
      <c r="AH235" s="743"/>
      <c r="BC235" s="155" t="str">
        <f t="shared" si="240"/>
        <v>-</v>
      </c>
      <c r="BD235" s="151" t="str">
        <f>"IEF " &amp; B238</f>
        <v>IEF Total (SPF)</v>
      </c>
      <c r="BE235" s="153">
        <f t="shared" ref="BE235:BJ235" si="318">IF(OR($C240="-",$C240="CET",$C240=""),"-",$C240)</f>
        <v>4</v>
      </c>
      <c r="BF235" s="153">
        <f t="shared" si="318"/>
        <v>4</v>
      </c>
      <c r="BG235" s="153">
        <f t="shared" si="318"/>
        <v>4</v>
      </c>
      <c r="BH235" s="153">
        <f t="shared" si="318"/>
        <v>4</v>
      </c>
      <c r="BI235" s="153">
        <f t="shared" si="318"/>
        <v>4</v>
      </c>
      <c r="BJ235" s="153">
        <f t="shared" si="318"/>
        <v>4</v>
      </c>
      <c r="BK235" s="153">
        <f t="shared" ref="BK235:BL235" si="319">IF(OR($C240="-",$C240="CET",$C240=""),"-",$C240)</f>
        <v>4</v>
      </c>
      <c r="BL235" s="153">
        <f t="shared" si="319"/>
        <v>4</v>
      </c>
      <c r="BM235" s="153">
        <f t="shared" ref="BM235" si="320">IF(OR($C240="-",$C240="CET",$C240=""),"-",$C240)</f>
        <v>4</v>
      </c>
    </row>
    <row r="236" spans="1:70" ht="15" customHeight="1" outlineLevel="1" thickBot="1" x14ac:dyDescent="0.3">
      <c r="A236" s="40"/>
      <c r="B236" s="801"/>
      <c r="C236" s="765"/>
      <c r="D236" s="773"/>
      <c r="E236" s="64" t="s">
        <v>97</v>
      </c>
      <c r="F236" s="63" t="str">
        <f t="shared" ref="F236:M236" si="321">IF(OR($C235="-",$C235="CET",$C235=""),"-",IF(AND(NOT(F235="-"),NOT(F$5="-"),NOT(F$5="")),F235/F$5,"-"))</f>
        <v>-</v>
      </c>
      <c r="G236" s="63" t="str">
        <f t="shared" si="321"/>
        <v>-</v>
      </c>
      <c r="H236" s="63" t="str">
        <f t="shared" si="321"/>
        <v>-</v>
      </c>
      <c r="I236" s="63" t="str">
        <f t="shared" si="321"/>
        <v>-</v>
      </c>
      <c r="J236" s="63" t="str">
        <f t="shared" si="321"/>
        <v>-</v>
      </c>
      <c r="K236" s="168" t="str">
        <f t="shared" si="321"/>
        <v>-</v>
      </c>
      <c r="L236" s="168" t="str">
        <f t="shared" ref="L236" si="322">IF(OR($C235="-",$C235="CET",$C235=""),"-",IF(AND(NOT(L235="-"),NOT(L$5="-"),NOT(L$5="")),L235/L$5,"-"))</f>
        <v>-</v>
      </c>
      <c r="M236" s="63" t="str">
        <f t="shared" si="321"/>
        <v>-</v>
      </c>
      <c r="N236" s="823"/>
      <c r="O236" s="749"/>
      <c r="P236" s="750"/>
      <c r="Q236" s="750"/>
      <c r="R236" s="750"/>
      <c r="S236" s="749"/>
      <c r="T236" s="750"/>
      <c r="U236" s="750"/>
      <c r="V236" s="754"/>
      <c r="W236" s="320"/>
      <c r="X236" s="320"/>
      <c r="Y236" s="743"/>
      <c r="Z236" s="743"/>
      <c r="AA236" s="743"/>
      <c r="AB236" s="743"/>
      <c r="AC236" s="743"/>
      <c r="AD236" s="743"/>
      <c r="AE236" s="743"/>
      <c r="AF236" s="743"/>
      <c r="AG236" s="743"/>
      <c r="AH236" s="743"/>
      <c r="BC236" s="155" t="str">
        <f t="shared" si="240"/>
        <v>-</v>
      </c>
    </row>
    <row r="237" spans="1:70" ht="15" customHeight="1" outlineLevel="1" thickBot="1" x14ac:dyDescent="0.3">
      <c r="A237" s="40"/>
      <c r="B237" s="802"/>
      <c r="C237" s="771"/>
      <c r="D237" s="774"/>
      <c r="E237" s="62" t="s">
        <v>30</v>
      </c>
      <c r="F237" s="62" t="str">
        <f t="shared" ref="F237:M237" si="323">IF(AND(OR(F233="-",F233=""),OR(F234="-",F234="")),"-",IF(OR($C235="-",$C235="",$C235="CET"),"-",IF($R$209="not listed","-",IF(NOT(F$5="-"),IF(AND(AND(NOT(F233=0),NOT(F233="-"),NOT(F233="")),AND(NOT(F234="-"),NOT(F234=0),NOT(F234=""))),IF(AND((F233+F234)/2&lt;1*F$5*IF(OR($C235="CET",$C235="-",$C235=""),"-",$C235),F233&lt;1.1*F$5*IF(OR($C235="CET",$C235="-",$C235=""),"-",$C235),F234&lt;1.1*F$5*IF(OR($C235="CET",$C235="-",$C235=""),"-",$C235)),"passed","refused"),IF(IF(OR(F233="-",F233=""),F234,F233)&lt;0.7*F$5*IF(OR($C235="CET",$C235="-",$C235=""),"-",$C235),"passed",IF(IF(OR(F233="-",F233=""),F234,F233)&lt;1.1*IF(OR($C235="CET",$C235="-",$C235=""),"-",$C235)*F$5,"failed","refused"))),"-"))))</f>
        <v>-</v>
      </c>
      <c r="G237" s="62" t="str">
        <f t="shared" si="323"/>
        <v>-</v>
      </c>
      <c r="H237" s="62" t="str">
        <f t="shared" si="323"/>
        <v>-</v>
      </c>
      <c r="I237" s="62" t="str">
        <f t="shared" si="323"/>
        <v>-</v>
      </c>
      <c r="J237" s="62" t="str">
        <f t="shared" si="323"/>
        <v>-</v>
      </c>
      <c r="K237" s="169" t="str">
        <f t="shared" si="323"/>
        <v>-</v>
      </c>
      <c r="L237" s="169" t="str">
        <f t="shared" si="323"/>
        <v>-</v>
      </c>
      <c r="M237" s="62" t="str">
        <f t="shared" si="323"/>
        <v>-</v>
      </c>
      <c r="N237" s="824"/>
      <c r="O237" s="749"/>
      <c r="P237" s="750"/>
      <c r="Q237" s="750"/>
      <c r="R237" s="750"/>
      <c r="S237" s="749"/>
      <c r="T237" s="750"/>
      <c r="U237" s="750"/>
      <c r="V237" s="754"/>
      <c r="W237" s="320"/>
      <c r="X237" s="320"/>
      <c r="Y237" s="743"/>
      <c r="Z237" s="743"/>
      <c r="AA237" s="743"/>
      <c r="AB237" s="743"/>
      <c r="AC237" s="743"/>
      <c r="AD237" s="743"/>
      <c r="AE237" s="743"/>
      <c r="AF237" s="743"/>
      <c r="AG237" s="743"/>
      <c r="AH237" s="743"/>
      <c r="BC237" s="155" t="str">
        <f t="shared" si="240"/>
        <v>-</v>
      </c>
      <c r="BD237" s="156"/>
      <c r="BE237" s="156"/>
      <c r="BF237" s="156"/>
      <c r="BG237" s="156"/>
      <c r="BH237" s="156"/>
      <c r="BI237" s="156"/>
      <c r="BJ237" s="156"/>
      <c r="BK237" s="156"/>
      <c r="BL237" s="156"/>
      <c r="BM237" s="156"/>
    </row>
    <row r="238" spans="1:70" s="50" customFormat="1" ht="15" customHeight="1" outlineLevel="1" x14ac:dyDescent="0.25">
      <c r="A238" s="52"/>
      <c r="B238" s="797" t="s">
        <v>140</v>
      </c>
      <c r="C238" s="770" t="s">
        <v>114</v>
      </c>
      <c r="D238" s="770" t="s">
        <v>113</v>
      </c>
      <c r="E238" s="106" t="s">
        <v>94</v>
      </c>
      <c r="F238" s="105" t="s">
        <v>5</v>
      </c>
      <c r="G238" s="105" t="s">
        <v>5</v>
      </c>
      <c r="H238" s="105" t="s">
        <v>5</v>
      </c>
      <c r="I238" s="105" t="s">
        <v>5</v>
      </c>
      <c r="J238" s="105" t="s">
        <v>5</v>
      </c>
      <c r="K238" s="173" t="s">
        <v>5</v>
      </c>
      <c r="L238" s="173" t="s">
        <v>5</v>
      </c>
      <c r="M238" s="105" t="s">
        <v>5</v>
      </c>
      <c r="N238" s="105" t="s">
        <v>5</v>
      </c>
      <c r="O238" s="749"/>
      <c r="P238" s="750"/>
      <c r="Q238" s="750"/>
      <c r="R238" s="750"/>
      <c r="S238" s="749"/>
      <c r="T238" s="750"/>
      <c r="U238" s="750"/>
      <c r="V238" s="754"/>
      <c r="W238" s="51"/>
      <c r="X238" s="51"/>
      <c r="Y238" s="743"/>
      <c r="Z238" s="743"/>
      <c r="AA238" s="743"/>
      <c r="AB238" s="743"/>
      <c r="AC238" s="743"/>
      <c r="AD238" s="743"/>
      <c r="AE238" s="743"/>
      <c r="AF238" s="743"/>
      <c r="AG238" s="743"/>
      <c r="AH238" s="743"/>
      <c r="BC238" s="155" t="str">
        <f t="shared" si="240"/>
        <v>-</v>
      </c>
      <c r="BD238" s="156"/>
      <c r="BE238" s="156"/>
      <c r="BF238" s="156"/>
      <c r="BG238" s="156"/>
      <c r="BH238" s="156"/>
      <c r="BI238" s="156"/>
      <c r="BJ238" s="156"/>
      <c r="BK238" s="156"/>
      <c r="BL238" s="156"/>
      <c r="BM238" s="156"/>
      <c r="BN238" s="150"/>
      <c r="BO238" s="150"/>
      <c r="BP238" s="150"/>
      <c r="BQ238" s="150"/>
      <c r="BR238" s="150"/>
    </row>
    <row r="239" spans="1:70" ht="15" customHeight="1" outlineLevel="1" thickBot="1" x14ac:dyDescent="0.3">
      <c r="A239" s="40"/>
      <c r="B239" s="798"/>
      <c r="C239" s="741"/>
      <c r="D239" s="742"/>
      <c r="E239" s="104" t="s">
        <v>95</v>
      </c>
      <c r="F239" s="103" t="s">
        <v>5</v>
      </c>
      <c r="G239" s="103" t="s">
        <v>5</v>
      </c>
      <c r="H239" s="103" t="s">
        <v>5</v>
      </c>
      <c r="I239" s="103" t="s">
        <v>5</v>
      </c>
      <c r="J239" s="103" t="s">
        <v>5</v>
      </c>
      <c r="K239" s="174" t="s">
        <v>5</v>
      </c>
      <c r="L239" s="174" t="s">
        <v>5</v>
      </c>
      <c r="M239" s="103" t="s">
        <v>5</v>
      </c>
      <c r="N239" s="103" t="s">
        <v>5</v>
      </c>
      <c r="O239" s="749"/>
      <c r="P239" s="750"/>
      <c r="Q239" s="750"/>
      <c r="R239" s="750"/>
      <c r="S239" s="749"/>
      <c r="T239" s="750"/>
      <c r="U239" s="750"/>
      <c r="V239" s="754"/>
      <c r="W239" s="320"/>
      <c r="X239" s="320"/>
      <c r="Y239" s="743"/>
      <c r="Z239" s="743"/>
      <c r="AA239" s="743"/>
      <c r="AB239" s="743"/>
      <c r="AC239" s="743"/>
      <c r="AD239" s="743"/>
      <c r="AE239" s="743"/>
      <c r="AF239" s="743"/>
      <c r="AG239" s="743"/>
      <c r="AH239" s="743"/>
      <c r="BC239" s="155" t="str">
        <f t="shared" si="240"/>
        <v>-</v>
      </c>
      <c r="BD239" s="157"/>
      <c r="BE239" s="157"/>
      <c r="BF239" s="157"/>
      <c r="BG239" s="157"/>
      <c r="BH239" s="157"/>
      <c r="BI239" s="157"/>
      <c r="BJ239" s="157"/>
      <c r="BK239" s="157"/>
      <c r="BL239" s="157"/>
      <c r="BM239" s="157"/>
    </row>
    <row r="240" spans="1:70" ht="15" customHeight="1" outlineLevel="1" thickBot="1" x14ac:dyDescent="0.3">
      <c r="A240" s="40"/>
      <c r="B240" s="798"/>
      <c r="C240" s="764">
        <v>4</v>
      </c>
      <c r="D240" s="772" t="str">
        <f>IF(AND(F241="-",G241="-",H241="-",I241="-",J241="-",K241="-",L241="-",M241="-"),"-",MAX(F241,G241,H241,I241,J241,K241,L241,M241))</f>
        <v>-</v>
      </c>
      <c r="E240" s="66" t="s">
        <v>177</v>
      </c>
      <c r="F240" s="65" t="str">
        <f t="shared" ref="F240:M240" si="324">IF(OR(F239="-",F239=""),IF(OR(F238="-",F238=""),"-",F238),IF(OR(F238="-",F238=""),F239,(F238+F239)/2))</f>
        <v>-</v>
      </c>
      <c r="G240" s="65" t="str">
        <f t="shared" si="324"/>
        <v>-</v>
      </c>
      <c r="H240" s="65" t="str">
        <f t="shared" si="324"/>
        <v>-</v>
      </c>
      <c r="I240" s="65" t="str">
        <f t="shared" si="324"/>
        <v>-</v>
      </c>
      <c r="J240" s="65" t="str">
        <f t="shared" si="324"/>
        <v>-</v>
      </c>
      <c r="K240" s="167" t="str">
        <f t="shared" si="324"/>
        <v>-</v>
      </c>
      <c r="L240" s="167" t="str">
        <f t="shared" ref="L240" si="325">IF(OR(L239="-",L239=""),IF(OR(L238="-",L238=""),"-",L238),IF(OR(L238="-",L238=""),L239,(L238+L239)/2))</f>
        <v>-</v>
      </c>
      <c r="M240" s="65" t="str">
        <f t="shared" si="324"/>
        <v>-</v>
      </c>
      <c r="N240" s="822"/>
      <c r="O240" s="749"/>
      <c r="P240" s="750"/>
      <c r="Q240" s="750"/>
      <c r="R240" s="750"/>
      <c r="S240" s="749"/>
      <c r="T240" s="750"/>
      <c r="U240" s="750"/>
      <c r="V240" s="754"/>
      <c r="W240" s="320"/>
      <c r="X240" s="320"/>
      <c r="Y240" s="743"/>
      <c r="Z240" s="743"/>
      <c r="AA240" s="743"/>
      <c r="AB240" s="743"/>
      <c r="AC240" s="743"/>
      <c r="AD240" s="743"/>
      <c r="AE240" s="743"/>
      <c r="AF240" s="743"/>
      <c r="AG240" s="743"/>
      <c r="AH240" s="743"/>
      <c r="BC240" s="155" t="str">
        <f t="shared" si="240"/>
        <v>-</v>
      </c>
      <c r="BD240" s="157"/>
      <c r="BE240" s="157"/>
      <c r="BF240" s="157"/>
      <c r="BG240" s="157"/>
      <c r="BH240" s="157"/>
      <c r="BI240" s="157"/>
      <c r="BJ240" s="157"/>
      <c r="BK240" s="157"/>
      <c r="BL240" s="157"/>
      <c r="BM240" s="157"/>
    </row>
    <row r="241" spans="2:55" ht="15.75" outlineLevel="1" thickBot="1" x14ac:dyDescent="0.3">
      <c r="B241" s="798"/>
      <c r="C241" s="765"/>
      <c r="D241" s="773"/>
      <c r="E241" s="64" t="s">
        <v>97</v>
      </c>
      <c r="F241" s="63" t="str">
        <f t="shared" ref="F241:M241" si="326">IF(OR($C240="-",$C240="CET",$C240=""),"-",IF(AND(NOT(F240="-"),NOT(F$5="-"),NOT(F$5="")),F240/F$5,"-"))</f>
        <v>-</v>
      </c>
      <c r="G241" s="63" t="str">
        <f t="shared" si="326"/>
        <v>-</v>
      </c>
      <c r="H241" s="63" t="str">
        <f t="shared" si="326"/>
        <v>-</v>
      </c>
      <c r="I241" s="63" t="str">
        <f t="shared" si="326"/>
        <v>-</v>
      </c>
      <c r="J241" s="63" t="str">
        <f t="shared" si="326"/>
        <v>-</v>
      </c>
      <c r="K241" s="168" t="str">
        <f t="shared" si="326"/>
        <v>-</v>
      </c>
      <c r="L241" s="168" t="str">
        <f t="shared" ref="L241" si="327">IF(OR($C240="-",$C240="CET",$C240=""),"-",IF(AND(NOT(L240="-"),NOT(L$5="-"),NOT(L$5="")),L240/L$5,"-"))</f>
        <v>-</v>
      </c>
      <c r="M241" s="63" t="str">
        <f t="shared" si="326"/>
        <v>-</v>
      </c>
      <c r="N241" s="823"/>
      <c r="O241" s="749"/>
      <c r="P241" s="750"/>
      <c r="Q241" s="750"/>
      <c r="R241" s="750"/>
      <c r="S241" s="749"/>
      <c r="T241" s="750"/>
      <c r="U241" s="750"/>
      <c r="V241" s="754"/>
      <c r="BC241" s="155" t="str">
        <f t="shared" si="240"/>
        <v>-</v>
      </c>
    </row>
    <row r="242" spans="2:55" ht="15.75" outlineLevel="1" thickBot="1" x14ac:dyDescent="0.3">
      <c r="B242" s="799"/>
      <c r="C242" s="771"/>
      <c r="D242" s="774"/>
      <c r="E242" s="62" t="s">
        <v>30</v>
      </c>
      <c r="F242" s="62" t="str">
        <f t="shared" ref="F242:M242" si="328">IF(AND(OR(F238="-",F238=""),OR(F239="-",F239="")),"-",IF(OR($C240="-",$C240="",$C240="CET"),"-",IF($R$209="not listed","-",IF(NOT(F$5="-"),IF(AND(AND(NOT(F238=0),NOT(F238="-"),NOT(F238="")),AND(NOT(F239="-"),NOT(F239=0),NOT(F239=""))),IF(AND((F238+F239)/2&lt;1*F$5*IF(OR($C240="CET",$C240="-",$C240=""),"-",$C240),F238&lt;1.1*F$5*IF(OR($C240="CET",$C240="-",$C240=""),"-",$C240),F239&lt;1.1*F$5*IF(OR($C240="CET",$C240="-",$C240=""),"-",$C240)),"passed","refused"),IF(IF(OR(F238="-",F238=""),F239,F238)&lt;0.7*F$5*IF(OR($C240="CET",$C240="-",$C240=""),"-",$C240),"passed",IF(IF(OR(F238="-",F238=""),F239,F238)&lt;1.1*IF(OR($C240="CET",$C240="-",$C240=""),"-",$C240)*F$5,"failed","refused"))),"-"))))</f>
        <v>-</v>
      </c>
      <c r="G242" s="62" t="str">
        <f t="shared" si="328"/>
        <v>-</v>
      </c>
      <c r="H242" s="62" t="str">
        <f t="shared" si="328"/>
        <v>-</v>
      </c>
      <c r="I242" s="62" t="str">
        <f t="shared" si="328"/>
        <v>-</v>
      </c>
      <c r="J242" s="62" t="str">
        <f t="shared" si="328"/>
        <v>-</v>
      </c>
      <c r="K242" s="169" t="str">
        <f t="shared" si="328"/>
        <v>-</v>
      </c>
      <c r="L242" s="169" t="str">
        <f t="shared" si="328"/>
        <v>-</v>
      </c>
      <c r="M242" s="62" t="str">
        <f t="shared" si="328"/>
        <v>-</v>
      </c>
      <c r="N242" s="824"/>
      <c r="O242" s="751"/>
      <c r="P242" s="752"/>
      <c r="Q242" s="752"/>
      <c r="R242" s="752"/>
      <c r="S242" s="751"/>
      <c r="T242" s="752"/>
      <c r="U242" s="752"/>
      <c r="V242" s="755"/>
      <c r="BC242" s="155" t="str">
        <f t="shared" si="240"/>
        <v>-</v>
      </c>
    </row>
    <row r="243" spans="2:55" x14ac:dyDescent="0.25">
      <c r="BC243" s="155" t="str">
        <f t="shared" si="240"/>
        <v>-</v>
      </c>
    </row>
  </sheetData>
  <sheetProtection algorithmName="SHA-512" hashValue="U6+8CfyHvtHYbGhQ+c9dsMwACB+tblU6+0dlajMH4AE3gdHAg/pi8JYGR1V4hoF5OCdRsWHfZbDFLhOSEOGELw==" saltValue="9hE26k+h7unrB0gtwp7wdg==" spinCount="100000" sheet="1" objects="1" scenarios="1" selectLockedCells="1"/>
  <mergeCells count="248">
    <mergeCell ref="K1:Q2"/>
    <mergeCell ref="B238:B242"/>
    <mergeCell ref="C238:C239"/>
    <mergeCell ref="D238:D239"/>
    <mergeCell ref="C240:C242"/>
    <mergeCell ref="D240:D242"/>
    <mergeCell ref="B228:B232"/>
    <mergeCell ref="C228:C229"/>
    <mergeCell ref="D228:D229"/>
    <mergeCell ref="C230:C232"/>
    <mergeCell ref="D230:D232"/>
    <mergeCell ref="B233:B237"/>
    <mergeCell ref="C233:C234"/>
    <mergeCell ref="D233:D234"/>
    <mergeCell ref="C235:C237"/>
    <mergeCell ref="D235:D237"/>
    <mergeCell ref="D94:D96"/>
    <mergeCell ref="N20:N22"/>
    <mergeCell ref="D89:D91"/>
    <mergeCell ref="B92:B96"/>
    <mergeCell ref="C92:C93"/>
    <mergeCell ref="D92:D93"/>
    <mergeCell ref="C94:C96"/>
    <mergeCell ref="C36:N36"/>
    <mergeCell ref="Y209:AH209"/>
    <mergeCell ref="Y210:AH240"/>
    <mergeCell ref="O211:R211"/>
    <mergeCell ref="S211:V211"/>
    <mergeCell ref="B212:E212"/>
    <mergeCell ref="O212:R242"/>
    <mergeCell ref="S212:V242"/>
    <mergeCell ref="B213:B217"/>
    <mergeCell ref="C213:C214"/>
    <mergeCell ref="D213:D214"/>
    <mergeCell ref="C215:C217"/>
    <mergeCell ref="D215:D217"/>
    <mergeCell ref="B218:B222"/>
    <mergeCell ref="C218:C219"/>
    <mergeCell ref="D218:D219"/>
    <mergeCell ref="C220:C222"/>
    <mergeCell ref="D220:D222"/>
    <mergeCell ref="B223:B227"/>
    <mergeCell ref="C223:C224"/>
    <mergeCell ref="D223:D224"/>
    <mergeCell ref="C225:C227"/>
    <mergeCell ref="D225:D227"/>
    <mergeCell ref="C209:N209"/>
    <mergeCell ref="B211:N211"/>
    <mergeCell ref="Y182:AH182"/>
    <mergeCell ref="Y183:AH208"/>
    <mergeCell ref="O184:R184"/>
    <mergeCell ref="S184:V184"/>
    <mergeCell ref="B185:E185"/>
    <mergeCell ref="O185:R205"/>
    <mergeCell ref="S185:V205"/>
    <mergeCell ref="B186:B190"/>
    <mergeCell ref="C186:C187"/>
    <mergeCell ref="D186:D187"/>
    <mergeCell ref="C188:C190"/>
    <mergeCell ref="D188:D190"/>
    <mergeCell ref="B191:B195"/>
    <mergeCell ref="C191:C192"/>
    <mergeCell ref="D191:D192"/>
    <mergeCell ref="C193:C195"/>
    <mergeCell ref="D193:D195"/>
    <mergeCell ref="C182:N182"/>
    <mergeCell ref="B184:N184"/>
    <mergeCell ref="N188:N190"/>
    <mergeCell ref="N193:N195"/>
    <mergeCell ref="Y155:AH155"/>
    <mergeCell ref="Y156:AH176"/>
    <mergeCell ref="O157:R157"/>
    <mergeCell ref="S157:V157"/>
    <mergeCell ref="B158:E158"/>
    <mergeCell ref="O158:R178"/>
    <mergeCell ref="S158:V178"/>
    <mergeCell ref="B159:B163"/>
    <mergeCell ref="B169:B173"/>
    <mergeCell ref="C169:C170"/>
    <mergeCell ref="C171:C173"/>
    <mergeCell ref="B174:B178"/>
    <mergeCell ref="C174:C175"/>
    <mergeCell ref="C176:C178"/>
    <mergeCell ref="C159:C160"/>
    <mergeCell ref="D159:D160"/>
    <mergeCell ref="C161:C163"/>
    <mergeCell ref="D161:D163"/>
    <mergeCell ref="B164:B168"/>
    <mergeCell ref="C164:C165"/>
    <mergeCell ref="C166:C168"/>
    <mergeCell ref="B157:N157"/>
    <mergeCell ref="C155:N155"/>
    <mergeCell ref="N161:N163"/>
    <mergeCell ref="Y128:AH128"/>
    <mergeCell ref="O129:R129"/>
    <mergeCell ref="S129:V129"/>
    <mergeCell ref="Y129:AH149"/>
    <mergeCell ref="B130:E130"/>
    <mergeCell ref="O130:R151"/>
    <mergeCell ref="S130:V151"/>
    <mergeCell ref="B131:B136"/>
    <mergeCell ref="B142:B146"/>
    <mergeCell ref="C142:C143"/>
    <mergeCell ref="C144:C146"/>
    <mergeCell ref="B147:B151"/>
    <mergeCell ref="C147:C148"/>
    <mergeCell ref="C149:C151"/>
    <mergeCell ref="D131:E131"/>
    <mergeCell ref="D132:D133"/>
    <mergeCell ref="C134:C136"/>
    <mergeCell ref="D134:D136"/>
    <mergeCell ref="B137:B141"/>
    <mergeCell ref="C137:C138"/>
    <mergeCell ref="C139:C141"/>
    <mergeCell ref="B129:N129"/>
    <mergeCell ref="N134:N136"/>
    <mergeCell ref="Y101:AH101"/>
    <mergeCell ref="O102:R102"/>
    <mergeCell ref="S102:V102"/>
    <mergeCell ref="Y102:AH122"/>
    <mergeCell ref="B103:E103"/>
    <mergeCell ref="O103:R123"/>
    <mergeCell ref="S103:V123"/>
    <mergeCell ref="B104:B108"/>
    <mergeCell ref="B114:B118"/>
    <mergeCell ref="C114:C115"/>
    <mergeCell ref="C116:C118"/>
    <mergeCell ref="B119:B123"/>
    <mergeCell ref="C119:C120"/>
    <mergeCell ref="C121:C123"/>
    <mergeCell ref="C104:C105"/>
    <mergeCell ref="D104:D105"/>
    <mergeCell ref="C106:C108"/>
    <mergeCell ref="D106:D108"/>
    <mergeCell ref="B109:B113"/>
    <mergeCell ref="C109:C110"/>
    <mergeCell ref="C111:C113"/>
    <mergeCell ref="N106:N108"/>
    <mergeCell ref="Y64:AH64"/>
    <mergeCell ref="O65:R65"/>
    <mergeCell ref="S65:V65"/>
    <mergeCell ref="Y65:AH95"/>
    <mergeCell ref="B66:E66"/>
    <mergeCell ref="O66:R96"/>
    <mergeCell ref="S66:V96"/>
    <mergeCell ref="B67:B71"/>
    <mergeCell ref="C67:C68"/>
    <mergeCell ref="D67:D68"/>
    <mergeCell ref="C69:C71"/>
    <mergeCell ref="D69:D71"/>
    <mergeCell ref="B72:B76"/>
    <mergeCell ref="C72:C73"/>
    <mergeCell ref="D72:D73"/>
    <mergeCell ref="C74:C76"/>
    <mergeCell ref="D74:D76"/>
    <mergeCell ref="B77:B81"/>
    <mergeCell ref="C77:C78"/>
    <mergeCell ref="D77:D78"/>
    <mergeCell ref="C79:C81"/>
    <mergeCell ref="D79:D81"/>
    <mergeCell ref="B82:B86"/>
    <mergeCell ref="C82:C83"/>
    <mergeCell ref="Y37:AH37"/>
    <mergeCell ref="O38:R38"/>
    <mergeCell ref="S38:V38"/>
    <mergeCell ref="Y38:AH58"/>
    <mergeCell ref="B39:E39"/>
    <mergeCell ref="O39:R59"/>
    <mergeCell ref="S39:V59"/>
    <mergeCell ref="B40:B44"/>
    <mergeCell ref="C40:C41"/>
    <mergeCell ref="B50:B54"/>
    <mergeCell ref="C50:C51"/>
    <mergeCell ref="C52:C54"/>
    <mergeCell ref="B55:B59"/>
    <mergeCell ref="C55:C56"/>
    <mergeCell ref="C57:C59"/>
    <mergeCell ref="D40:D41"/>
    <mergeCell ref="C42:C44"/>
    <mergeCell ref="D42:D44"/>
    <mergeCell ref="B45:B49"/>
    <mergeCell ref="C45:C46"/>
    <mergeCell ref="C47:C49"/>
    <mergeCell ref="B38:N38"/>
    <mergeCell ref="Y10:AH10"/>
    <mergeCell ref="A1:J2"/>
    <mergeCell ref="B4:D4"/>
    <mergeCell ref="O4:P4"/>
    <mergeCell ref="B5:E5"/>
    <mergeCell ref="O5:P5"/>
    <mergeCell ref="C8:N8"/>
    <mergeCell ref="B10:N10"/>
    <mergeCell ref="Y11:AH31"/>
    <mergeCell ref="B12:B17"/>
    <mergeCell ref="D12:E12"/>
    <mergeCell ref="C13:C14"/>
    <mergeCell ref="D13:D14"/>
    <mergeCell ref="C15:C17"/>
    <mergeCell ref="D15:D17"/>
    <mergeCell ref="B28:B32"/>
    <mergeCell ref="C28:C29"/>
    <mergeCell ref="B6:E6"/>
    <mergeCell ref="O10:R10"/>
    <mergeCell ref="S10:V10"/>
    <mergeCell ref="B11:E11"/>
    <mergeCell ref="O11:R32"/>
    <mergeCell ref="S11:V32"/>
    <mergeCell ref="N15:N17"/>
    <mergeCell ref="D82:D83"/>
    <mergeCell ref="C84:C86"/>
    <mergeCell ref="D84:D86"/>
    <mergeCell ref="D28:D29"/>
    <mergeCell ref="C30:C32"/>
    <mergeCell ref="D30:D32"/>
    <mergeCell ref="B18:B22"/>
    <mergeCell ref="C18:C19"/>
    <mergeCell ref="D18:D19"/>
    <mergeCell ref="C20:C22"/>
    <mergeCell ref="D20:D22"/>
    <mergeCell ref="B23:B27"/>
    <mergeCell ref="C23:C24"/>
    <mergeCell ref="D23:D24"/>
    <mergeCell ref="C25:C27"/>
    <mergeCell ref="D25:D27"/>
    <mergeCell ref="N215:N217"/>
    <mergeCell ref="N220:N222"/>
    <mergeCell ref="N225:N227"/>
    <mergeCell ref="N230:N232"/>
    <mergeCell ref="N235:N237"/>
    <mergeCell ref="N240:N242"/>
    <mergeCell ref="N25:N27"/>
    <mergeCell ref="N30:N32"/>
    <mergeCell ref="N42:N44"/>
    <mergeCell ref="N69:N71"/>
    <mergeCell ref="N74:N76"/>
    <mergeCell ref="N79:N81"/>
    <mergeCell ref="N84:N86"/>
    <mergeCell ref="N89:N91"/>
    <mergeCell ref="N94:N96"/>
    <mergeCell ref="C127:N127"/>
    <mergeCell ref="B65:N65"/>
    <mergeCell ref="C63:N63"/>
    <mergeCell ref="B102:N102"/>
    <mergeCell ref="C100:N100"/>
    <mergeCell ref="B87:B91"/>
    <mergeCell ref="C87:C88"/>
    <mergeCell ref="D87:D88"/>
    <mergeCell ref="C89:C91"/>
  </mergeCells>
  <conditionalFormatting sqref="A3 P8 F205:N205 F200:N200 P36 P63 P100 P127 P155 P182 P209 F17:M17 F22:M22 F27:M27 F32:M32 F44:M44 F71:M71 F76:M76 F81:M81 F86:M86 F91:M91 F96:M96 F108:M108 F136:M136 F163:M163 F190:M190 F195:M195 F217:M217 F222:M222 F227:M227 F232:M232 F237:M237 F242:M242">
    <cfRule type="containsText" dxfId="2470" priority="58" operator="containsText" text="passed">
      <formula>NOT(ISERROR(SEARCH("passed",A3)))</formula>
    </cfRule>
    <cfRule type="containsText" dxfId="2469" priority="59" operator="containsText" text="failed">
      <formula>NOT(ISERROR(SEARCH("failed",A3)))</formula>
    </cfRule>
    <cfRule type="containsText" dxfId="2468" priority="60" operator="containsText" text="refused">
      <formula>NOT(ISERROR(SEARCH("refused",A3)))</formula>
    </cfRule>
  </conditionalFormatting>
  <conditionalFormatting sqref="F18:K19 M18:M19">
    <cfRule type="expression" dxfId="2467" priority="433806">
      <formula>IF(AND(NOT(F18=""),NOT(F18="-")),F18&gt;=1.1*F$5*BE$26,"-")</formula>
    </cfRule>
  </conditionalFormatting>
  <conditionalFormatting sqref="F23:K24 M23:M24">
    <cfRule type="expression" dxfId="2466" priority="433807">
      <formula>IF(AND(NOT(F23=""),NOT(F23="-")),F23&gt;=1.1*F$5*BE$27,"-")</formula>
    </cfRule>
  </conditionalFormatting>
  <conditionalFormatting sqref="F28:K29 M28:M29">
    <cfRule type="expression" dxfId="2465" priority="433808">
      <formula>IF(AND(NOT(F28=""),NOT(F28="-")),F28&gt;=1.1*F$5*BE$28,"-")</formula>
    </cfRule>
  </conditionalFormatting>
  <conditionalFormatting sqref="F67:K68 M67:M68">
    <cfRule type="expression" dxfId="2464" priority="433810">
      <formula>IF(AND(NOT(F67=""),NOT(F67="-")),F67&gt;=1.1*F$5*BE$85,"-")</formula>
    </cfRule>
  </conditionalFormatting>
  <conditionalFormatting sqref="F77:K78 M77:M78">
    <cfRule type="expression" dxfId="2463" priority="433811">
      <formula>IF(AND(NOT(F77=""),NOT(F77="-")),F77&gt;=1.1*F$5*BE$87,"-")</formula>
    </cfRule>
  </conditionalFormatting>
  <conditionalFormatting sqref="F82:K83 M82:M83">
    <cfRule type="expression" dxfId="2462" priority="433812">
      <formula>IF(AND(NOT(F82=""),NOT(F82="-")),F82&gt;=1.1*F$5*BE$88,"-")</formula>
    </cfRule>
  </conditionalFormatting>
  <conditionalFormatting sqref="F72:K73 M72:M73">
    <cfRule type="expression" dxfId="2461" priority="433813">
      <formula>IF(AND(NOT(F72=""),NOT(F72="-")),F72&gt;=1.1*F$5*BE$86,"-")</formula>
    </cfRule>
  </conditionalFormatting>
  <conditionalFormatting sqref="F87:K88 M87:M88">
    <cfRule type="expression" dxfId="2460" priority="433814">
      <formula>IF(AND(NOT(F87=""),NOT(F87="-")),F87&gt;=1.1*F$5*BE$89,"-")</formula>
    </cfRule>
  </conditionalFormatting>
  <conditionalFormatting sqref="F92:K93 M92:M93">
    <cfRule type="expression" dxfId="2459" priority="433815">
      <formula>IF(AND(NOT(F92=""),NOT(F92="-")),F92&gt;=1.1*F$5*BE$90,"-")</formula>
    </cfRule>
  </conditionalFormatting>
  <conditionalFormatting sqref="F104:K105 M104:M105">
    <cfRule type="expression" dxfId="2458" priority="433816">
      <formula>IF(AND(NOT(F104=""),NOT(F104="-")),F104&gt;=1.1*F$5*BE$122,"-")</formula>
    </cfRule>
  </conditionalFormatting>
  <conditionalFormatting sqref="F213:K214 M213:M214">
    <cfRule type="expression" dxfId="2457" priority="433818">
      <formula>IF(AND(NOT(F213=""),NOT(F213="-")),F213&gt;=1.1*F$5*BE$230,"-")</formula>
    </cfRule>
  </conditionalFormatting>
  <conditionalFormatting sqref="F218:K219 M218:M219">
    <cfRule type="expression" dxfId="2456" priority="433819">
      <formula>IF(AND(NOT(F218=""),NOT(F218="-")),F218&gt;=1.1*F$5*BE$231,"-")</formula>
    </cfRule>
  </conditionalFormatting>
  <conditionalFormatting sqref="M13:M14 F13:K14">
    <cfRule type="expression" dxfId="2455" priority="4">
      <formula>IF(AND(NOT(F13=""),NOT(F13="-")),F13&gt;=1.1*F$5*BE$25,"-")</formula>
    </cfRule>
  </conditionalFormatting>
  <conditionalFormatting sqref="F223:K224 M223:M224">
    <cfRule type="expression" dxfId="2454" priority="436448">
      <formula>IF(AND(NOT(F223=""),NOT(F223="-")),F223&gt;=1.1*F$5*BE$232,"-")</formula>
    </cfRule>
  </conditionalFormatting>
  <conditionalFormatting sqref="F228:K229 M228:M229">
    <cfRule type="expression" dxfId="2453" priority="436449">
      <formula>IF(AND(NOT(F228=""),NOT(F228="-")),F228&gt;=1.1*F$5*BE$233,"-")</formula>
    </cfRule>
  </conditionalFormatting>
  <conditionalFormatting sqref="F233:K234 M233:M234">
    <cfRule type="expression" dxfId="2452" priority="436450">
      <formula>IF(AND(NOT(F233=""),NOT(F233="-")),F233&gt;=1.1*F$5*BE$234,"-")</formula>
    </cfRule>
  </conditionalFormatting>
  <conditionalFormatting sqref="F238:K239 M238:M239">
    <cfRule type="expression" dxfId="2451" priority="436451">
      <formula>IF(AND(NOT(F238=""),NOT(F238="-")),F238&gt;=1.1*F$5*BE$235,"-")</formula>
    </cfRule>
  </conditionalFormatting>
  <conditionalFormatting sqref="F40:K41 M40:M41">
    <cfRule type="expression" dxfId="2450" priority="436460">
      <formula>IF(AND(NOT(F40=""),NOT(F40="-")),F40&gt;=1.1*F$5*BE$52,"-")</formula>
    </cfRule>
  </conditionalFormatting>
  <conditionalFormatting sqref="F186:K187 M186:M187">
    <cfRule type="expression" dxfId="2449" priority="436476">
      <formula>IF(AND(NOT(F186=""),NOT(F186="-")),F186&gt;=1.1*F$5*BE$203,"-")</formula>
    </cfRule>
  </conditionalFormatting>
  <conditionalFormatting sqref="F159:K160 M159:M160">
    <cfRule type="expression" dxfId="2448" priority="436484">
      <formula>IF(AND(NOT(F159=""),NOT(F159="-")),F159&gt;=1.1*F$5*BE$176,"-")</formula>
    </cfRule>
  </conditionalFormatting>
  <conditionalFormatting sqref="F191:K192 M191:M192">
    <cfRule type="expression" dxfId="2447" priority="436486">
      <formula>IF(AND(NOT(F191=""),NOT(F191="-")),F191&gt;=1.1*F$5*BE$204,"-")</formula>
    </cfRule>
  </conditionalFormatting>
  <conditionalFormatting sqref="L13:L14">
    <cfRule type="expression" dxfId="2446" priority="436599">
      <formula>IF(AND(NOT(L13=""),NOT(L13="-")),L13&gt;=1.1*L$5*BL$25,"-")</formula>
    </cfRule>
  </conditionalFormatting>
  <conditionalFormatting sqref="L18:L19">
    <cfRule type="expression" dxfId="2445" priority="436601">
      <formula>IF(AND(NOT(L18=""),NOT(L18="-")),L18&gt;=1.1*L$5*BL$26,"-")</formula>
    </cfRule>
  </conditionalFormatting>
  <conditionalFormatting sqref="L23:L24">
    <cfRule type="expression" dxfId="2444" priority="436603">
      <formula>IF(AND(NOT(L23=""),NOT(L23="-")),L23&gt;=1.1*L$5*BL$27,"-")</formula>
    </cfRule>
  </conditionalFormatting>
  <conditionalFormatting sqref="L28:L29">
    <cfRule type="expression" dxfId="2443" priority="436605">
      <formula>IF(AND(NOT(L28=""),NOT(L28="-")),L28&gt;=1.1*L$5*BL$28,"-")</formula>
    </cfRule>
  </conditionalFormatting>
  <conditionalFormatting sqref="L40:L41">
    <cfRule type="expression" dxfId="2442" priority="436607">
      <formula>IF(AND(NOT(L40=""),NOT(L40="-")),L40&gt;=1.1*L$5*BL$52,"-")</formula>
    </cfRule>
  </conditionalFormatting>
  <conditionalFormatting sqref="L67:L68">
    <cfRule type="expression" dxfId="2441" priority="436609">
      <formula>IF(AND(NOT(L67=""),NOT(L67="-")),L67&gt;=1.1*L$5*BL$85,"-")</formula>
    </cfRule>
  </conditionalFormatting>
  <conditionalFormatting sqref="L77:L78">
    <cfRule type="expression" dxfId="2440" priority="436611">
      <formula>IF(AND(NOT(L77=""),NOT(L77="-")),L77&gt;=1.1*L$5*BL$87,"-")</formula>
    </cfRule>
  </conditionalFormatting>
  <conditionalFormatting sqref="L82:L83">
    <cfRule type="expression" dxfId="2439" priority="436613">
      <formula>IF(AND(NOT(L82=""),NOT(L82="-")),L82&gt;=1.1*L$5*BL$88,"-")</formula>
    </cfRule>
  </conditionalFormatting>
  <conditionalFormatting sqref="L72:L73">
    <cfRule type="expression" dxfId="2438" priority="436615">
      <formula>IF(AND(NOT(L72=""),NOT(L72="-")),L72&gt;=1.1*L$5*BL$86,"-")</formula>
    </cfRule>
  </conditionalFormatting>
  <conditionalFormatting sqref="L87:L88">
    <cfRule type="expression" dxfId="2437" priority="436617">
      <formula>IF(AND(NOT(L87=""),NOT(L87="-")),L87&gt;=1.1*L$5*BL$89,"-")</formula>
    </cfRule>
  </conditionalFormatting>
  <conditionalFormatting sqref="L92:L93">
    <cfRule type="expression" dxfId="2436" priority="436619">
      <formula>IF(AND(NOT(L92=""),NOT(L92="-")),L92&gt;=1.1*L$5*BL$90,"-")</formula>
    </cfRule>
  </conditionalFormatting>
  <conditionalFormatting sqref="L104:L105">
    <cfRule type="expression" dxfId="2435" priority="436621">
      <formula>IF(AND(NOT(L104=""),NOT(L104="-")),L104&gt;=1.1*L$5*BL$122,"-")</formula>
    </cfRule>
  </conditionalFormatting>
  <conditionalFormatting sqref="L186:L187">
    <cfRule type="expression" dxfId="2434" priority="436623">
      <formula>IF(AND(NOT(L186=""),NOT(L186="-")),L186&gt;=1.1*L$5*BL$203,"-")</formula>
    </cfRule>
  </conditionalFormatting>
  <conditionalFormatting sqref="L213:L214">
    <cfRule type="expression" dxfId="2433" priority="436625">
      <formula>IF(AND(NOT(L213=""),NOT(L213="-")),L213&gt;=1.1*L$5*BL$230,"-")</formula>
    </cfRule>
  </conditionalFormatting>
  <conditionalFormatting sqref="L218:L219">
    <cfRule type="expression" dxfId="2432" priority="436627">
      <formula>IF(AND(NOT(L218=""),NOT(L218="-")),L218&gt;=1.1*L$5*BL$231,"-")</formula>
    </cfRule>
  </conditionalFormatting>
  <conditionalFormatting sqref="L159:L160">
    <cfRule type="expression" dxfId="2431" priority="436630">
      <formula>IF(AND(NOT(L159=""),NOT(L159="-")),L159&gt;=1.1*L$5*BL$176,"-")</formula>
    </cfRule>
  </conditionalFormatting>
  <conditionalFormatting sqref="L191:L192">
    <cfRule type="expression" dxfId="2430" priority="436632">
      <formula>IF(AND(NOT(L191=""),NOT(L191="-")),L191&gt;=1.1*L$5*BL$204,"-")</formula>
    </cfRule>
  </conditionalFormatting>
  <conditionalFormatting sqref="L223:L224">
    <cfRule type="expression" dxfId="2429" priority="436634">
      <formula>IF(AND(NOT(L223=""),NOT(L223="-")),L223&gt;=1.1*L$5*BL$232,"-")</formula>
    </cfRule>
  </conditionalFormatting>
  <conditionalFormatting sqref="L228:L229">
    <cfRule type="expression" dxfId="2428" priority="436636">
      <formula>IF(AND(NOT(L228=""),NOT(L228="-")),L228&gt;=1.1*L$5*BL$233,"-")</formula>
    </cfRule>
  </conditionalFormatting>
  <conditionalFormatting sqref="L233:L234">
    <cfRule type="expression" dxfId="2427" priority="436638">
      <formula>IF(AND(NOT(L233=""),NOT(L233="-")),L233&gt;=1.1*L$5*BL$234,"-")</formula>
    </cfRule>
  </conditionalFormatting>
  <conditionalFormatting sqref="L238:L239">
    <cfRule type="expression" dxfId="2426" priority="436640">
      <formula>IF(AND(NOT(L238=""),NOT(L238="-")),L238&gt;=1.1*L$5*BL$235,"-")</formula>
    </cfRule>
  </conditionalFormatting>
  <conditionalFormatting sqref="F132:F133">
    <cfRule type="expression" dxfId="2425" priority="436671">
      <formula>IF(AND(NOT(F132=""),NOT(F132="-")),F132&gt;=1.1*F$6*#REF!,"-")</formula>
    </cfRule>
  </conditionalFormatting>
  <conditionalFormatting sqref="G132:L133">
    <cfRule type="expression" dxfId="2424" priority="436737">
      <formula>IF(AND(NOT(G132=""),NOT(G132="-")),G132&gt;=1.1*G$6*BM$149,"-")</formula>
    </cfRule>
  </conditionalFormatting>
  <conditionalFormatting sqref="N77:N78 N82:N83 N87:N88 N92:N93 N67:N68 N72:N73">
    <cfRule type="expression" dxfId="2423" priority="436741">
      <formula>IF(AND(NOT(N67=""),NOT(N67="-")),N67&gt;=1.1*N$5*#REF!,"-")</formula>
    </cfRule>
  </conditionalFormatting>
  <conditionalFormatting sqref="N104:N105">
    <cfRule type="expression" dxfId="2422" priority="436753">
      <formula>IF(AND(NOT(N104=""),NOT(N104="-")),N104&gt;=1.1*N$5*#REF!,"-")</formula>
    </cfRule>
  </conditionalFormatting>
  <conditionalFormatting sqref="N218:N219 N223:N224 N228:N229 N233:N234 N238:N239 N213:N214">
    <cfRule type="expression" dxfId="2421" priority="436755">
      <formula>IF(AND(NOT(N213=""),NOT(N213="-")),N213&gt;=1.1*N$5*#REF!,"-")</formula>
    </cfRule>
  </conditionalFormatting>
  <conditionalFormatting sqref="N18:N19 N13:N14 N23:N24 N28:N29">
    <cfRule type="expression" dxfId="2420" priority="436764">
      <formula>IF(AND(NOT(N13=""),NOT(N13="-")),N13&gt;=1.1*N$5*#REF!,"-")</formula>
    </cfRule>
  </conditionalFormatting>
  <conditionalFormatting sqref="N40:N41">
    <cfRule type="expression" dxfId="2419" priority="436773">
      <formula>IF(AND(NOT(N40=""),NOT(N40="-")),N40&gt;=1.1*N$5*#REF!,"-")</formula>
    </cfRule>
  </conditionalFormatting>
  <conditionalFormatting sqref="N186:N187">
    <cfRule type="expression" dxfId="2418" priority="436775">
      <formula>IF(AND(NOT(N186=""),NOT(N186="-")),N186&gt;=1.1*N$5*#REF!,"-")</formula>
    </cfRule>
  </conditionalFormatting>
  <conditionalFormatting sqref="N159:N160">
    <cfRule type="expression" dxfId="2417" priority="436777">
      <formula>IF(AND(NOT(N159=""),NOT(N159="-")),N159&gt;=1.1*N$5*#REF!,"-")</formula>
    </cfRule>
  </conditionalFormatting>
  <conditionalFormatting sqref="N191:N192">
    <cfRule type="expression" dxfId="2416" priority="436779">
      <formula>IF(AND(NOT(N191=""),NOT(N191="-")),N191&gt;=1.1*N$5*#REF!,"-")</formula>
    </cfRule>
  </conditionalFormatting>
  <conditionalFormatting sqref="M132:N133">
    <cfRule type="expression" dxfId="2415" priority="436824">
      <formula>IF(AND(NOT(M132=""),NOT(M132="-")),M132&gt;=1.1*M$6*BR$149,"-")</formula>
    </cfRule>
  </conditionalFormatting>
  <pageMargins left="0.7" right="0.7" top="0.75" bottom="0.75" header="0.3" footer="0.3"/>
  <pageSetup paperSize="9" scale="50" fitToHeight="0" orientation="landscape" r:id="rId1"/>
  <rowBreaks count="5" manualBreakCount="5">
    <brk id="33" max="19" man="1"/>
    <brk id="60" max="19" man="1"/>
    <brk id="98" max="19" man="1"/>
    <brk id="179" max="19" man="1"/>
    <brk id="206" max="1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0">
    <pageSetUpPr fitToPage="1"/>
  </sheetPr>
  <dimension ref="A1:BZ214"/>
  <sheetViews>
    <sheetView showGridLines="0" zoomScale="90" zoomScaleNormal="90" workbookViewId="0">
      <selection activeCell="C8" sqref="C8:N8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3.140625" style="401" bestFit="1" customWidth="1"/>
    <col min="56" max="56" width="24.85546875" style="405" bestFit="1" customWidth="1"/>
    <col min="57" max="60" width="7.85546875" style="405" customWidth="1"/>
    <col min="61" max="61" width="8.7109375" style="405" customWidth="1"/>
    <col min="62" max="64" width="7.85546875" style="405" hidden="1" customWidth="1"/>
    <col min="65" max="65" width="6.5703125" style="405" customWidth="1"/>
    <col min="66" max="66" width="4.5703125" style="405" customWidth="1"/>
    <col min="67" max="67" width="4.140625" style="405" customWidth="1"/>
    <col min="68" max="68" width="4.85546875" style="405" customWidth="1"/>
    <col min="69" max="71" width="4.140625" style="405" hidden="1" customWidth="1"/>
    <col min="72" max="72" width="5.28515625" style="405" hidden="1" customWidth="1"/>
    <col min="73" max="73" width="1.7109375" style="401" customWidth="1"/>
    <col min="74" max="74" width="1.7109375" style="401" hidden="1" customWidth="1"/>
    <col min="75" max="78" width="1.7109375" style="401" customWidth="1"/>
    <col min="79" max="80" width="9.140625" style="401"/>
    <col min="81" max="84" width="9.140625" style="401" customWidth="1"/>
    <col min="85" max="88" width="0" style="401" hidden="1" customWidth="1"/>
    <col min="89" max="16384" width="9.140625" style="401"/>
  </cols>
  <sheetData>
    <row r="1" spans="1:78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  <c r="BC1" s="533" t="s">
        <v>206</v>
      </c>
    </row>
    <row r="2" spans="1:78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78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78" ht="39.950000000000003" customHeight="1" thickBot="1" x14ac:dyDescent="0.3">
      <c r="A4" s="396"/>
      <c r="B4" s="664" t="s">
        <v>71</v>
      </c>
      <c r="C4" s="665"/>
      <c r="D4" s="666"/>
      <c r="E4" s="407"/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">
        <v>284</v>
      </c>
      <c r="M4" s="410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78" s="405" customFormat="1" ht="24.95" customHeight="1" thickBot="1" x14ac:dyDescent="0.3">
      <c r="A5" s="396"/>
      <c r="B5" s="664" t="s">
        <v>143</v>
      </c>
      <c r="C5" s="665"/>
      <c r="D5" s="665"/>
      <c r="E5" s="666"/>
      <c r="F5" s="361" t="e">
        <f>VLOOKUP(E4,'Daten Gasoline'!BC14:BK17,2,FALSE)</f>
        <v>#N/A</v>
      </c>
      <c r="G5" s="361" t="e">
        <f>VLOOKUP(E4,'Daten Gasoline'!BC14:BK17,3,FALSE)</f>
        <v>#N/A</v>
      </c>
      <c r="H5" s="361" t="e">
        <f>VLOOKUP(E4,'Daten Gasoline'!BC14:BK17,4,FALSE)</f>
        <v>#N/A</v>
      </c>
      <c r="I5" s="361" t="e">
        <f>VLOOKUP(E4,'Daten Gasoline'!BC14:BK17,5,FALSE)</f>
        <v>#N/A</v>
      </c>
      <c r="J5" s="361" t="e">
        <f>VLOOKUP(E4,'Daten Gasoline'!BC14:BK17,6,FALSE)</f>
        <v>#N/A</v>
      </c>
      <c r="K5" s="361" t="e">
        <f>VLOOKUP(E4,'Daten Gasoline'!BC14:BK17,7,FALSE)</f>
        <v>#N/A</v>
      </c>
      <c r="L5" s="355" t="e">
        <f>VLOOKUP(E4,'Daten Gasoline'!BC14:BK17,8,FALSE)</f>
        <v>#N/A</v>
      </c>
      <c r="M5" s="355" t="e">
        <f>VLOOKUP(E4,'Daten Gasoline'!BC14:BK17,9,FALSE)</f>
        <v>#N/A</v>
      </c>
      <c r="N5" s="355">
        <v>1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1"/>
      <c r="AJ5" s="401"/>
      <c r="AK5" s="401"/>
      <c r="AL5" s="401"/>
      <c r="AM5" s="401"/>
      <c r="AN5" s="401"/>
      <c r="AO5" s="401"/>
      <c r="AP5" s="401"/>
      <c r="AQ5" s="401"/>
      <c r="AR5" s="401"/>
      <c r="AS5" s="401"/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U5" s="401"/>
      <c r="BV5" s="401"/>
      <c r="BW5" s="401"/>
      <c r="BX5" s="401"/>
      <c r="BY5" s="401"/>
      <c r="BZ5" s="401"/>
    </row>
    <row r="6" spans="1:78" s="405" customFormat="1" ht="24.95" customHeight="1" x14ac:dyDescent="0.25">
      <c r="A6" s="396"/>
      <c r="B6" s="545"/>
      <c r="C6" s="545"/>
      <c r="D6" s="545"/>
      <c r="E6" s="545"/>
      <c r="F6" s="546"/>
      <c r="G6" s="546"/>
      <c r="H6" s="546"/>
      <c r="I6" s="546"/>
      <c r="J6" s="546"/>
      <c r="K6" s="546"/>
      <c r="L6" s="512"/>
      <c r="M6" s="512"/>
      <c r="N6" s="512"/>
      <c r="O6" s="510"/>
      <c r="P6" s="510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  <c r="AI6" s="401"/>
      <c r="AJ6" s="401"/>
      <c r="AK6" s="401"/>
      <c r="AL6" s="401"/>
      <c r="AM6" s="401"/>
      <c r="AN6" s="401"/>
      <c r="AO6" s="401"/>
      <c r="AP6" s="401"/>
      <c r="AQ6" s="401"/>
      <c r="AR6" s="401"/>
      <c r="AS6" s="401"/>
      <c r="AT6" s="401"/>
      <c r="AU6" s="401"/>
      <c r="AV6" s="401"/>
      <c r="AW6" s="401"/>
      <c r="AX6" s="401"/>
      <c r="AY6" s="401"/>
      <c r="AZ6" s="401"/>
      <c r="BA6" s="401"/>
      <c r="BB6" s="401"/>
      <c r="BC6" s="401"/>
      <c r="BU6" s="401"/>
      <c r="BV6" s="401"/>
      <c r="BW6" s="401"/>
      <c r="BX6" s="401"/>
      <c r="BY6" s="401"/>
      <c r="BZ6" s="401"/>
    </row>
    <row r="7" spans="1:78" s="405" customFormat="1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  <c r="AI7" s="401"/>
      <c r="AJ7" s="401"/>
      <c r="AK7" s="401"/>
      <c r="AL7" s="401"/>
      <c r="AM7" s="401"/>
      <c r="AN7" s="401"/>
      <c r="AO7" s="401"/>
      <c r="AP7" s="401"/>
      <c r="AQ7" s="401"/>
      <c r="AR7" s="401"/>
      <c r="AS7" s="401"/>
      <c r="AT7" s="401"/>
      <c r="AU7" s="401"/>
      <c r="AV7" s="401"/>
      <c r="AW7" s="401"/>
      <c r="AX7" s="401"/>
      <c r="AY7" s="401"/>
      <c r="AZ7" s="401"/>
      <c r="BA7" s="401"/>
      <c r="BB7" s="401"/>
      <c r="BC7" s="401"/>
      <c r="BU7" s="401"/>
      <c r="BV7" s="401"/>
      <c r="BW7" s="401"/>
      <c r="BX7" s="401"/>
      <c r="BY7" s="401"/>
      <c r="BZ7" s="401"/>
    </row>
    <row r="8" spans="1:78" s="405" customFormat="1" ht="24.95" customHeight="1" thickBot="1" x14ac:dyDescent="0.3">
      <c r="A8" s="396"/>
      <c r="B8" s="415">
        <v>1</v>
      </c>
      <c r="C8" s="839" t="s">
        <v>163</v>
      </c>
      <c r="D8" s="840"/>
      <c r="E8" s="840"/>
      <c r="F8" s="840"/>
      <c r="G8" s="840"/>
      <c r="H8" s="840"/>
      <c r="I8" s="840"/>
      <c r="J8" s="840"/>
      <c r="K8" s="840"/>
      <c r="L8" s="840"/>
      <c r="M8" s="840"/>
      <c r="N8" s="841"/>
      <c r="O8" s="416" t="s">
        <v>117</v>
      </c>
      <c r="P8" s="398" t="str">
        <f>IF(COUNTIF(F16:M32,"refused")&gt;0,"refused",IF(COUNTIF(F16:M32,"failed")&gt;0,"failed",IF(COUNTIF(F16:M32,"passed")&gt;0,"passed","-")))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511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  <c r="AI8" s="401"/>
      <c r="AJ8" s="401"/>
      <c r="AK8" s="401"/>
      <c r="AL8" s="401"/>
      <c r="AM8" s="401"/>
      <c r="AN8" s="401"/>
      <c r="AO8" s="401"/>
      <c r="AP8" s="401"/>
      <c r="AQ8" s="401"/>
      <c r="AR8" s="401"/>
      <c r="AS8" s="401"/>
      <c r="AT8" s="401"/>
      <c r="AU8" s="401"/>
      <c r="AV8" s="401"/>
      <c r="AW8" s="401"/>
      <c r="AX8" s="401"/>
      <c r="AY8" s="401"/>
      <c r="AZ8" s="401"/>
      <c r="BA8" s="401"/>
      <c r="BB8" s="401"/>
      <c r="BC8" s="401"/>
      <c r="BU8" s="401"/>
      <c r="BV8" s="401"/>
      <c r="BW8" s="401"/>
      <c r="BX8" s="401"/>
      <c r="BY8" s="401"/>
      <c r="BZ8" s="401"/>
    </row>
    <row r="9" spans="1:78" s="405" customFormat="1" ht="15" customHeight="1" outlineLevel="1" thickBot="1" x14ac:dyDescent="0.3">
      <c r="A9" s="396"/>
      <c r="B9" s="513"/>
      <c r="C9" s="514"/>
      <c r="D9" s="514"/>
      <c r="E9" s="514"/>
      <c r="F9" s="514"/>
      <c r="G9" s="514"/>
      <c r="H9" s="514"/>
      <c r="I9" s="514"/>
      <c r="J9" s="514"/>
      <c r="K9" s="421"/>
      <c r="L9" s="421"/>
      <c r="M9" s="421"/>
      <c r="N9" s="514"/>
      <c r="O9" s="514"/>
      <c r="P9" s="514"/>
      <c r="Q9" s="514"/>
      <c r="R9" s="514"/>
      <c r="S9" s="514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  <c r="AI9" s="401"/>
      <c r="AJ9" s="401"/>
      <c r="AK9" s="401"/>
      <c r="AL9" s="401"/>
      <c r="AM9" s="401"/>
      <c r="AN9" s="401"/>
      <c r="AO9" s="401"/>
      <c r="AP9" s="401"/>
      <c r="AQ9" s="401"/>
      <c r="AR9" s="401"/>
      <c r="AS9" s="401"/>
      <c r="AT9" s="401"/>
      <c r="AU9" s="401"/>
      <c r="AV9" s="401"/>
      <c r="AW9" s="401"/>
      <c r="AX9" s="401"/>
      <c r="AY9" s="401"/>
      <c r="AZ9" s="401"/>
      <c r="BA9" s="401"/>
      <c r="BB9" s="401"/>
      <c r="BC9" s="401"/>
      <c r="BU9" s="401"/>
      <c r="BV9" s="401"/>
      <c r="BW9" s="401"/>
      <c r="BX9" s="401"/>
      <c r="BY9" s="401"/>
      <c r="BZ9" s="401"/>
    </row>
    <row r="10" spans="1:78" s="405" customFormat="1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  <c r="AI10" s="401"/>
      <c r="AJ10" s="401"/>
      <c r="AK10" s="401"/>
      <c r="AL10" s="401"/>
      <c r="AM10" s="401"/>
      <c r="AN10" s="401"/>
      <c r="AO10" s="401"/>
      <c r="AP10" s="401"/>
      <c r="AQ10" s="401"/>
      <c r="AR10" s="401"/>
      <c r="AS10" s="401"/>
      <c r="AT10" s="401"/>
      <c r="AU10" s="401"/>
      <c r="AV10" s="401"/>
      <c r="AW10" s="401"/>
      <c r="AX10" s="401"/>
      <c r="AY10" s="401"/>
      <c r="AZ10" s="401"/>
      <c r="BA10" s="401"/>
      <c r="BB10" s="401"/>
      <c r="BC10" s="401"/>
      <c r="BU10" s="401"/>
      <c r="BV10" s="401"/>
      <c r="BW10" s="401"/>
      <c r="BX10" s="401"/>
      <c r="BY10" s="401"/>
      <c r="BZ10" s="401"/>
    </row>
    <row r="11" spans="1:78" s="405" customFormat="1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">
        <v>72</v>
      </c>
      <c r="G11" s="517" t="s">
        <v>73</v>
      </c>
      <c r="H11" s="425" t="s">
        <v>74</v>
      </c>
      <c r="I11" s="425" t="s">
        <v>75</v>
      </c>
      <c r="J11" s="425" t="s">
        <v>76</v>
      </c>
      <c r="K11" s="534" t="s">
        <v>170</v>
      </c>
      <c r="L11" s="535" t="str">
        <f>$L$4</f>
        <v>Additional
component</v>
      </c>
      <c r="M11" s="535" t="str">
        <f>$M$4</f>
        <v>Additional
component 2</v>
      </c>
      <c r="N11" s="425" t="s">
        <v>77</v>
      </c>
      <c r="O11" s="669"/>
      <c r="P11" s="670"/>
      <c r="Q11" s="670"/>
      <c r="R11" s="671"/>
      <c r="S11" s="669"/>
      <c r="T11" s="670"/>
      <c r="U11" s="670"/>
      <c r="V11" s="671"/>
      <c r="W11" s="512"/>
      <c r="X11" s="512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AI11" s="401"/>
      <c r="AJ11" s="401"/>
      <c r="AK11" s="401"/>
      <c r="AL11" s="401"/>
      <c r="AM11" s="401"/>
      <c r="AN11" s="401"/>
      <c r="AO11" s="401"/>
      <c r="AP11" s="401"/>
      <c r="AQ11" s="401"/>
      <c r="AR11" s="401"/>
      <c r="AS11" s="401"/>
      <c r="AT11" s="401"/>
      <c r="AU11" s="401"/>
      <c r="AV11" s="401"/>
      <c r="AW11" s="401"/>
      <c r="AX11" s="401"/>
      <c r="AY11" s="401"/>
      <c r="AZ11" s="401"/>
      <c r="BA11" s="401"/>
      <c r="BB11" s="401"/>
      <c r="BC11" s="401"/>
      <c r="BD11" s="429" t="s">
        <v>85</v>
      </c>
      <c r="BE11" s="430" t="str">
        <f>F$4</f>
        <v>NMHC 
[g/km]</v>
      </c>
      <c r="BF11" s="430" t="str">
        <f t="shared" ref="BF11:BL11" si="0">G4</f>
        <v>THC
[g/km]</v>
      </c>
      <c r="BG11" s="430" t="str">
        <f t="shared" si="0"/>
        <v>CO
[g/km]</v>
      </c>
      <c r="BH11" s="430" t="str">
        <f t="shared" si="0"/>
        <v>NOx
[g/km]</v>
      </c>
      <c r="BI11" s="430" t="str">
        <f t="shared" si="0"/>
        <v>PM
[mg/km]</v>
      </c>
      <c r="BJ11" s="430" t="str">
        <f t="shared" si="0"/>
        <v>PN
[#/km]</v>
      </c>
      <c r="BK11" s="430" t="str">
        <f t="shared" si="0"/>
        <v>Additional
component</v>
      </c>
      <c r="BL11" s="430" t="str">
        <f t="shared" si="0"/>
        <v>Additional
component 2</v>
      </c>
      <c r="BU11" s="401"/>
      <c r="BV11" s="401"/>
      <c r="BW11" s="401"/>
      <c r="BX11" s="401"/>
      <c r="BY11" s="401"/>
      <c r="BZ11" s="401"/>
    </row>
    <row r="12" spans="1:78" s="405" customFormat="1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512"/>
      <c r="X12" s="512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AI12" s="401"/>
      <c r="AJ12" s="401"/>
      <c r="AK12" s="401"/>
      <c r="AL12" s="401"/>
      <c r="AM12" s="401"/>
      <c r="AN12" s="401"/>
      <c r="AO12" s="401"/>
      <c r="AP12" s="401"/>
      <c r="AQ12" s="401"/>
      <c r="AR12" s="401"/>
      <c r="AS12" s="401"/>
      <c r="AT12" s="401"/>
      <c r="AU12" s="401"/>
      <c r="AV12" s="401"/>
      <c r="AW12" s="401"/>
      <c r="AX12" s="401"/>
      <c r="AY12" s="401"/>
      <c r="AZ12" s="401"/>
      <c r="BA12" s="401"/>
      <c r="BB12" s="401"/>
      <c r="BC12" s="536"/>
      <c r="BD12" s="429">
        <f>$E$4</f>
        <v>0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  <c r="BU12" s="401"/>
      <c r="BV12" s="401"/>
      <c r="BW12" s="401"/>
      <c r="BX12" s="401"/>
      <c r="BY12" s="401"/>
      <c r="BZ12" s="401"/>
    </row>
    <row r="13" spans="1:78" s="405" customFormat="1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512"/>
      <c r="X13" s="512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AI13" s="401"/>
      <c r="AJ13" s="401"/>
      <c r="AK13" s="401"/>
      <c r="AL13" s="401"/>
      <c r="AM13" s="401"/>
      <c r="AN13" s="401"/>
      <c r="AO13" s="401"/>
      <c r="AP13" s="401"/>
      <c r="AQ13" s="401"/>
      <c r="AR13" s="401"/>
      <c r="AS13" s="401"/>
      <c r="AT13" s="401"/>
      <c r="AU13" s="401"/>
      <c r="AV13" s="401"/>
      <c r="AW13" s="401"/>
      <c r="AX13" s="401"/>
      <c r="AY13" s="401"/>
      <c r="AZ13" s="401"/>
      <c r="BA13" s="401"/>
      <c r="BB13" s="401"/>
      <c r="BC13" s="536"/>
      <c r="BD13" s="429" t="str">
        <f>"1st " &amp;  B12</f>
        <v>1st Cold</v>
      </c>
      <c r="BE13" s="435" t="str">
        <f t="shared" ref="BE13:BL13" si="1">IF(AND(OR($C15="-",$C15="CET",$C15=""),OR(F12="-",F12="CET",F12="")),"-",IF(AND(OR(F13="-",F13=""),OR(F14="-",F14="")),"-",IF(NOT(OR(F13="-",F13="")),F13/F$5,F14/F$5)))</f>
        <v>-</v>
      </c>
      <c r="BF13" s="435" t="str">
        <f t="shared" si="1"/>
        <v>-</v>
      </c>
      <c r="BG13" s="435" t="str">
        <f t="shared" si="1"/>
        <v>-</v>
      </c>
      <c r="BH13" s="435" t="str">
        <f t="shared" si="1"/>
        <v>-</v>
      </c>
      <c r="BI13" s="435" t="str">
        <f t="shared" si="1"/>
        <v>-</v>
      </c>
      <c r="BJ13" s="435" t="str">
        <f t="shared" si="1"/>
        <v>-</v>
      </c>
      <c r="BK13" s="435" t="str">
        <f t="shared" si="1"/>
        <v>-</v>
      </c>
      <c r="BL13" s="435" t="str">
        <f t="shared" si="1"/>
        <v>-</v>
      </c>
      <c r="BU13" s="401"/>
      <c r="BV13" s="401"/>
      <c r="BW13" s="401"/>
      <c r="BX13" s="401"/>
      <c r="BY13" s="401"/>
      <c r="BZ13" s="401"/>
    </row>
    <row r="14" spans="1:78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C14" s="536"/>
      <c r="BD14" s="429" t="str">
        <f>"1st " &amp; B18</f>
        <v>1st Warm</v>
      </c>
      <c r="BE14" s="435" t="str">
        <f t="shared" ref="BE14:BL14" si="2">IF((OR($C20="-",$C20="CET",$C20="")),"-",IF(AND(OR(F18="-",F18=""),OR(F19="-",F19="")),"-",IF(NOT(OR(F18="-",F18="")),F18/F$5,F19/F$5)))</f>
        <v>-</v>
      </c>
      <c r="BF14" s="435" t="str">
        <f t="shared" si="2"/>
        <v>-</v>
      </c>
      <c r="BG14" s="435" t="str">
        <f t="shared" si="2"/>
        <v>-</v>
      </c>
      <c r="BH14" s="435" t="str">
        <f t="shared" si="2"/>
        <v>-</v>
      </c>
      <c r="BI14" s="435" t="str">
        <f t="shared" si="2"/>
        <v>-</v>
      </c>
      <c r="BJ14" s="435" t="str">
        <f t="shared" si="2"/>
        <v>-</v>
      </c>
      <c r="BK14" s="435" t="str">
        <f t="shared" si="2"/>
        <v>-</v>
      </c>
      <c r="BL14" s="435" t="str">
        <f t="shared" si="2"/>
        <v>-</v>
      </c>
    </row>
    <row r="15" spans="1:78" s="405" customFormat="1" ht="15" customHeight="1" outlineLevel="1" thickBot="1" x14ac:dyDescent="0.3">
      <c r="A15" s="396"/>
      <c r="B15" s="680"/>
      <c r="C15" s="686" t="s">
        <v>64</v>
      </c>
      <c r="D15" s="689" t="str">
        <f>IF(AND(F15="-",G15="-",H15="-",I15="-",J15="-",K15="-",L15="-",M15="-"),"-",MAX(F15,G15,H15,I15,J15,K15,L15,M15))</f>
        <v>-</v>
      </c>
      <c r="E15" s="444" t="s">
        <v>177</v>
      </c>
      <c r="F15" s="445" t="str">
        <f t="shared" ref="F15:M15" si="3">IF(OR(F14="-",F14=""),IF(OR(F13="-",F13=""),"-",F13),IF(OR(F13="-",F13=""),F14,(F13+F14)/2))</f>
        <v>-</v>
      </c>
      <c r="G15" s="445" t="str">
        <f t="shared" si="3"/>
        <v>-</v>
      </c>
      <c r="H15" s="445" t="str">
        <f t="shared" si="3"/>
        <v>-</v>
      </c>
      <c r="I15" s="445" t="str">
        <f t="shared" si="3"/>
        <v>-</v>
      </c>
      <c r="J15" s="445" t="str">
        <f t="shared" si="3"/>
        <v>-</v>
      </c>
      <c r="K15" s="446" t="str">
        <f t="shared" si="3"/>
        <v>-</v>
      </c>
      <c r="L15" s="446" t="str">
        <f t="shared" si="3"/>
        <v>-</v>
      </c>
      <c r="M15" s="446" t="str">
        <f t="shared" si="3"/>
        <v>-</v>
      </c>
      <c r="N15" s="828"/>
      <c r="O15" s="672"/>
      <c r="P15" s="673"/>
      <c r="Q15" s="673"/>
      <c r="R15" s="674"/>
      <c r="S15" s="672"/>
      <c r="T15" s="673"/>
      <c r="U15" s="673"/>
      <c r="V15" s="674"/>
      <c r="W15" s="512"/>
      <c r="X15" s="512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401"/>
      <c r="AJ15" s="401"/>
      <c r="AK15" s="401"/>
      <c r="AL15" s="401"/>
      <c r="AM15" s="401"/>
      <c r="AN15" s="401"/>
      <c r="AO15" s="401"/>
      <c r="AP15" s="401"/>
      <c r="AQ15" s="401"/>
      <c r="AR15" s="401"/>
      <c r="AS15" s="401"/>
      <c r="AT15" s="401"/>
      <c r="AU15" s="401"/>
      <c r="AV15" s="401"/>
      <c r="AW15" s="401"/>
      <c r="AX15" s="401"/>
      <c r="AY15" s="401"/>
      <c r="AZ15" s="401"/>
      <c r="BA15" s="401"/>
      <c r="BB15" s="401"/>
      <c r="BC15" s="536"/>
      <c r="BD15" s="429" t="str">
        <f>"1st " &amp; B23</f>
        <v>1st Hot 1</v>
      </c>
      <c r="BE15" s="435" t="str">
        <f t="shared" ref="BE15:BL15" si="4">IF((OR($C25="-",$C25="CET",$C25="")),"-",IF(AND(OR(F23="-",F23=""),OR(F24="-",F24="")),"-",IF(NOT(OR(F23="-",F23="")),F23/F$5,F24/F$5)))</f>
        <v>-</v>
      </c>
      <c r="BF15" s="435" t="str">
        <f t="shared" si="4"/>
        <v>-</v>
      </c>
      <c r="BG15" s="435" t="str">
        <f t="shared" si="4"/>
        <v>-</v>
      </c>
      <c r="BH15" s="435" t="str">
        <f t="shared" si="4"/>
        <v>-</v>
      </c>
      <c r="BI15" s="435" t="str">
        <f t="shared" si="4"/>
        <v>-</v>
      </c>
      <c r="BJ15" s="435" t="str">
        <f t="shared" si="4"/>
        <v>-</v>
      </c>
      <c r="BK15" s="435" t="str">
        <f t="shared" si="4"/>
        <v>-</v>
      </c>
      <c r="BL15" s="435" t="str">
        <f t="shared" si="4"/>
        <v>-</v>
      </c>
      <c r="BU15" s="401"/>
      <c r="BV15" s="401"/>
      <c r="BW15" s="401"/>
      <c r="BX15" s="401"/>
      <c r="BY15" s="401"/>
      <c r="BZ15" s="401"/>
    </row>
    <row r="16" spans="1:78" s="405" customFormat="1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M16" si="5">IF(AND(OR($C15="-",$C15="CET",$C15=""),OR(F12="-",F12="CET",F12="")),"-",IF(AND(NOT(F15="-"),NOT(F$5="-"),NOT(F$5="")),F15/F$5,"-"))</f>
        <v>-</v>
      </c>
      <c r="G16" s="448" t="str">
        <f t="shared" si="5"/>
        <v>-</v>
      </c>
      <c r="H16" s="448" t="str">
        <f t="shared" si="5"/>
        <v>-</v>
      </c>
      <c r="I16" s="448" t="str">
        <f t="shared" si="5"/>
        <v>-</v>
      </c>
      <c r="J16" s="448" t="str">
        <f t="shared" si="5"/>
        <v>-</v>
      </c>
      <c r="K16" s="449" t="str">
        <f t="shared" si="5"/>
        <v>-</v>
      </c>
      <c r="L16" s="449" t="str">
        <f t="shared" si="5"/>
        <v>-</v>
      </c>
      <c r="M16" s="449" t="str">
        <f t="shared" si="5"/>
        <v>-</v>
      </c>
      <c r="N16" s="702"/>
      <c r="O16" s="672"/>
      <c r="P16" s="673"/>
      <c r="Q16" s="673"/>
      <c r="R16" s="674"/>
      <c r="S16" s="672"/>
      <c r="T16" s="673"/>
      <c r="U16" s="673"/>
      <c r="V16" s="674"/>
      <c r="W16" s="512"/>
      <c r="X16" s="512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401"/>
      <c r="AJ16" s="401"/>
      <c r="AK16" s="401"/>
      <c r="AL16" s="401"/>
      <c r="AM16" s="401"/>
      <c r="AN16" s="401"/>
      <c r="AO16" s="401"/>
      <c r="AP16" s="401"/>
      <c r="AQ16" s="401"/>
      <c r="AR16" s="401"/>
      <c r="AS16" s="401"/>
      <c r="AT16" s="401"/>
      <c r="AU16" s="401"/>
      <c r="AV16" s="401"/>
      <c r="AW16" s="401"/>
      <c r="AX16" s="401"/>
      <c r="AY16" s="401"/>
      <c r="AZ16" s="401"/>
      <c r="BA16" s="401"/>
      <c r="BB16" s="401"/>
      <c r="BC16" s="536"/>
      <c r="BD16" s="429" t="str">
        <f>"1st " &amp; B28</f>
        <v>1st Hot 2</v>
      </c>
      <c r="BE16" s="435" t="str">
        <f t="shared" ref="BE16:BL16" si="6">IF((OR($C30="-",$C30="CET",$C30="")),"-",IF(AND(OR(F28="-",F28=""),OR(F29="-",F29="")),"-",IF(NOT(OR(F28="-",F28="")),F28/F$5,F29/F$5)))</f>
        <v>-</v>
      </c>
      <c r="BF16" s="435" t="str">
        <f t="shared" si="6"/>
        <v>-</v>
      </c>
      <c r="BG16" s="435" t="str">
        <f t="shared" si="6"/>
        <v>-</v>
      </c>
      <c r="BH16" s="435" t="str">
        <f t="shared" si="6"/>
        <v>-</v>
      </c>
      <c r="BI16" s="435" t="str">
        <f t="shared" si="6"/>
        <v>-</v>
      </c>
      <c r="BJ16" s="435" t="str">
        <f t="shared" si="6"/>
        <v>-</v>
      </c>
      <c r="BK16" s="435" t="str">
        <f t="shared" si="6"/>
        <v>-</v>
      </c>
      <c r="BL16" s="435" t="str">
        <f t="shared" si="6"/>
        <v>-</v>
      </c>
      <c r="BU16" s="401"/>
      <c r="BV16" s="401"/>
      <c r="BW16" s="401"/>
      <c r="BX16" s="401"/>
      <c r="BY16" s="401"/>
      <c r="BZ16" s="401"/>
    </row>
    <row r="17" spans="1:78" s="405" customFormat="1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7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7"/>
        <v>-</v>
      </c>
      <c r="H17" s="451" t="str">
        <f t="shared" si="7"/>
        <v>-</v>
      </c>
      <c r="I17" s="451" t="str">
        <f t="shared" si="7"/>
        <v>-</v>
      </c>
      <c r="J17" s="451" t="str">
        <f t="shared" si="7"/>
        <v>-</v>
      </c>
      <c r="K17" s="452" t="str">
        <f t="shared" si="7"/>
        <v>-</v>
      </c>
      <c r="L17" s="452" t="str">
        <f t="shared" si="7"/>
        <v>-</v>
      </c>
      <c r="M17" s="452" t="str">
        <f t="shared" si="7"/>
        <v>-</v>
      </c>
      <c r="N17" s="685"/>
      <c r="O17" s="672"/>
      <c r="P17" s="673"/>
      <c r="Q17" s="673"/>
      <c r="R17" s="674"/>
      <c r="S17" s="672"/>
      <c r="T17" s="673"/>
      <c r="U17" s="673"/>
      <c r="V17" s="674"/>
      <c r="W17" s="512"/>
      <c r="X17" s="512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401"/>
      <c r="AJ17" s="401"/>
      <c r="AK17" s="401"/>
      <c r="AL17" s="401"/>
      <c r="AM17" s="401"/>
      <c r="AN17" s="401"/>
      <c r="AO17" s="401"/>
      <c r="AP17" s="401"/>
      <c r="AQ17" s="401"/>
      <c r="AR17" s="401"/>
      <c r="AS17" s="401"/>
      <c r="AT17" s="401"/>
      <c r="AU17" s="401"/>
      <c r="AV17" s="401"/>
      <c r="AW17" s="401"/>
      <c r="AX17" s="401"/>
      <c r="AY17" s="401"/>
      <c r="AZ17" s="401"/>
      <c r="BA17" s="401"/>
      <c r="BB17" s="401"/>
      <c r="BC17" s="399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8">IF(AND(OR($C15="-",$C15="CET",$C15=""),OR(F12="-",F12="CET",F12="")),"-",0.7*IF(OR(F12="CET",F12="-",F12=""),IF(OR($C15="CET",$C15="-",$C15=""),"-",$C15),F12))</f>
        <v>-</v>
      </c>
      <c r="BF17" s="435" t="str">
        <f t="shared" si="8"/>
        <v>-</v>
      </c>
      <c r="BG17" s="435" t="str">
        <f t="shared" si="8"/>
        <v>-</v>
      </c>
      <c r="BH17" s="435" t="str">
        <f t="shared" si="8"/>
        <v>-</v>
      </c>
      <c r="BI17" s="435" t="str">
        <f t="shared" si="8"/>
        <v>-</v>
      </c>
      <c r="BJ17" s="435" t="str">
        <f t="shared" si="8"/>
        <v>-</v>
      </c>
      <c r="BK17" s="435" t="str">
        <f t="shared" si="8"/>
        <v>-</v>
      </c>
      <c r="BL17" s="435" t="str">
        <f t="shared" si="8"/>
        <v>-</v>
      </c>
      <c r="BU17" s="401"/>
      <c r="BV17" s="401"/>
      <c r="BW17" s="401"/>
      <c r="BX17" s="401"/>
      <c r="BY17" s="401"/>
      <c r="BZ17" s="401"/>
    </row>
    <row r="18" spans="1:78" s="405" customFormat="1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512"/>
      <c r="X18" s="512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AI18" s="401"/>
      <c r="AJ18" s="401"/>
      <c r="AK18" s="401"/>
      <c r="AL18" s="401"/>
      <c r="AM18" s="401"/>
      <c r="AN18" s="401"/>
      <c r="AO18" s="401"/>
      <c r="AP18" s="401"/>
      <c r="AQ18" s="401"/>
      <c r="AR18" s="401"/>
      <c r="AS18" s="401"/>
      <c r="AT18" s="401"/>
      <c r="AU18" s="401"/>
      <c r="AV18" s="401"/>
      <c r="AW18" s="401"/>
      <c r="AX18" s="401"/>
      <c r="AY18" s="401"/>
      <c r="AZ18" s="401"/>
      <c r="BA18" s="401"/>
      <c r="BB18" s="401"/>
      <c r="BC18" s="536"/>
      <c r="BD18" s="429" t="str">
        <f>"0.7*IEF" &amp; B18</f>
        <v>0.7*IEFWarm</v>
      </c>
      <c r="BE18" s="435">
        <f t="shared" ref="BE18:BL18" si="9">IF(OR($C20="-",$C20="CET",$C20=""),"-",0.7*$C20)</f>
        <v>0.7</v>
      </c>
      <c r="BF18" s="435">
        <f t="shared" si="9"/>
        <v>0.7</v>
      </c>
      <c r="BG18" s="435">
        <f t="shared" si="9"/>
        <v>0.7</v>
      </c>
      <c r="BH18" s="435">
        <f t="shared" si="9"/>
        <v>0.7</v>
      </c>
      <c r="BI18" s="435">
        <f t="shared" si="9"/>
        <v>0.7</v>
      </c>
      <c r="BJ18" s="435">
        <f t="shared" si="9"/>
        <v>0.7</v>
      </c>
      <c r="BK18" s="435">
        <f t="shared" si="9"/>
        <v>0.7</v>
      </c>
      <c r="BL18" s="435">
        <f t="shared" si="9"/>
        <v>0.7</v>
      </c>
      <c r="BU18" s="401"/>
      <c r="BV18" s="401"/>
      <c r="BW18" s="401"/>
      <c r="BX18" s="401"/>
      <c r="BY18" s="401"/>
      <c r="BZ18" s="401"/>
    </row>
    <row r="19" spans="1:78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536"/>
      <c r="BD19" s="429" t="str">
        <f>"0.7*IEF " &amp; B23</f>
        <v>0.7*IEF Hot 1</v>
      </c>
      <c r="BE19" s="435">
        <f t="shared" ref="BE19:BL19" si="10">IF(OR($C25="-",$C25="CET",$C25=""),"-",0.7*$C25)</f>
        <v>0.7</v>
      </c>
      <c r="BF19" s="435">
        <f t="shared" si="10"/>
        <v>0.7</v>
      </c>
      <c r="BG19" s="435">
        <f t="shared" si="10"/>
        <v>0.7</v>
      </c>
      <c r="BH19" s="435">
        <f t="shared" si="10"/>
        <v>0.7</v>
      </c>
      <c r="BI19" s="435">
        <f t="shared" si="10"/>
        <v>0.7</v>
      </c>
      <c r="BJ19" s="435">
        <f t="shared" si="10"/>
        <v>0.7</v>
      </c>
      <c r="BK19" s="435">
        <f t="shared" si="10"/>
        <v>0.7</v>
      </c>
      <c r="BL19" s="435">
        <f t="shared" si="10"/>
        <v>0.7</v>
      </c>
    </row>
    <row r="20" spans="1:78" s="405" customFormat="1" ht="15" customHeight="1" outlineLevel="1" thickBot="1" x14ac:dyDescent="0.3">
      <c r="A20" s="396"/>
      <c r="B20" s="680"/>
      <c r="C20" s="686">
        <v>1</v>
      </c>
      <c r="D20" s="689" t="str">
        <f>IF(AND(F20="-",G20="-",H20="-",I20="-",J20="-",K20="-",L20="-",M20="-"),"-",MAX(F20,G20,H20,I20,J20,K20,L20,M20))</f>
        <v>-</v>
      </c>
      <c r="E20" s="444" t="s">
        <v>177</v>
      </c>
      <c r="F20" s="445" t="str">
        <f t="shared" ref="F20:M20" si="11">IF(OR(F19="-",F19=""),IF(OR(F18="-",F18=""),"-",F18),IF(OR(F18="-",F18=""),F19,(F18+F19)/2))</f>
        <v>-</v>
      </c>
      <c r="G20" s="445" t="str">
        <f t="shared" si="11"/>
        <v>-</v>
      </c>
      <c r="H20" s="445" t="str">
        <f t="shared" si="11"/>
        <v>-</v>
      </c>
      <c r="I20" s="445" t="str">
        <f t="shared" si="11"/>
        <v>-</v>
      </c>
      <c r="J20" s="445" t="str">
        <f t="shared" si="11"/>
        <v>-</v>
      </c>
      <c r="K20" s="446" t="str">
        <f t="shared" si="11"/>
        <v>-</v>
      </c>
      <c r="L20" s="446" t="str">
        <f t="shared" si="11"/>
        <v>-</v>
      </c>
      <c r="M20" s="446" t="str">
        <f t="shared" si="11"/>
        <v>-</v>
      </c>
      <c r="N20" s="828"/>
      <c r="O20" s="672"/>
      <c r="P20" s="673"/>
      <c r="Q20" s="673"/>
      <c r="R20" s="674"/>
      <c r="S20" s="672"/>
      <c r="T20" s="673"/>
      <c r="U20" s="673"/>
      <c r="V20" s="674"/>
      <c r="W20" s="512"/>
      <c r="X20" s="512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AI20" s="401"/>
      <c r="AJ20" s="401"/>
      <c r="AK20" s="401"/>
      <c r="AL20" s="401"/>
      <c r="AM20" s="401"/>
      <c r="AN20" s="401"/>
      <c r="AO20" s="401"/>
      <c r="AP20" s="401"/>
      <c r="AQ20" s="401"/>
      <c r="AR20" s="401"/>
      <c r="AS20" s="401"/>
      <c r="AT20" s="401"/>
      <c r="AU20" s="401"/>
      <c r="AV20" s="401"/>
      <c r="AW20" s="401"/>
      <c r="AX20" s="401"/>
      <c r="AY20" s="401"/>
      <c r="AZ20" s="401"/>
      <c r="BA20" s="401"/>
      <c r="BB20" s="401"/>
      <c r="BC20" s="536"/>
      <c r="BD20" s="429" t="str">
        <f>"0.7*IEF " &amp; B28</f>
        <v>0.7*IEF Hot 2</v>
      </c>
      <c r="BE20" s="435">
        <f t="shared" ref="BE20:BL20" si="12">IF(OR($C30="-",$C30="CET",$C30=""),"-",0.7*$C30)</f>
        <v>0.7</v>
      </c>
      <c r="BF20" s="435">
        <f t="shared" si="12"/>
        <v>0.7</v>
      </c>
      <c r="BG20" s="435">
        <f t="shared" si="12"/>
        <v>0.7</v>
      </c>
      <c r="BH20" s="435">
        <f t="shared" si="12"/>
        <v>0.7</v>
      </c>
      <c r="BI20" s="435">
        <f t="shared" si="12"/>
        <v>0.7</v>
      </c>
      <c r="BJ20" s="435">
        <f t="shared" si="12"/>
        <v>0.7</v>
      </c>
      <c r="BK20" s="435">
        <f t="shared" si="12"/>
        <v>0.7</v>
      </c>
      <c r="BL20" s="435">
        <f t="shared" si="12"/>
        <v>0.7</v>
      </c>
      <c r="BU20" s="401"/>
      <c r="BV20" s="401"/>
      <c r="BW20" s="401"/>
      <c r="BX20" s="401"/>
      <c r="BY20" s="401"/>
      <c r="BZ20" s="401"/>
    </row>
    <row r="21" spans="1:78" s="405" customFormat="1" ht="15" customHeight="1" outlineLevel="1" thickBot="1" x14ac:dyDescent="0.3">
      <c r="A21" s="396"/>
      <c r="B21" s="680"/>
      <c r="C21" s="687"/>
      <c r="D21" s="690"/>
      <c r="E21" s="447" t="s">
        <v>97</v>
      </c>
      <c r="F21" s="448" t="e">
        <f t="shared" ref="F21:M21" si="13">IF(OR($C20="-",$C20="CET",$C20=""),"-",IF(AND(NOT(F20="-"),NOT(F$5="-"),NOT(F$5="")),F20/F$5,"-"))</f>
        <v>#N/A</v>
      </c>
      <c r="G21" s="448" t="e">
        <f t="shared" si="13"/>
        <v>#N/A</v>
      </c>
      <c r="H21" s="448" t="e">
        <f t="shared" si="13"/>
        <v>#N/A</v>
      </c>
      <c r="I21" s="448" t="e">
        <f t="shared" si="13"/>
        <v>#N/A</v>
      </c>
      <c r="J21" s="448" t="e">
        <f t="shared" si="13"/>
        <v>#N/A</v>
      </c>
      <c r="K21" s="449" t="e">
        <f t="shared" si="13"/>
        <v>#N/A</v>
      </c>
      <c r="L21" s="449" t="e">
        <f t="shared" si="13"/>
        <v>#N/A</v>
      </c>
      <c r="M21" s="449" t="e">
        <f t="shared" si="13"/>
        <v>#N/A</v>
      </c>
      <c r="N21" s="702"/>
      <c r="O21" s="672"/>
      <c r="P21" s="673"/>
      <c r="Q21" s="673"/>
      <c r="R21" s="674"/>
      <c r="S21" s="672"/>
      <c r="T21" s="673"/>
      <c r="U21" s="673"/>
      <c r="V21" s="674"/>
      <c r="W21" s="512"/>
      <c r="X21" s="512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401"/>
      <c r="AJ21" s="401"/>
      <c r="AK21" s="401"/>
      <c r="AL21" s="401"/>
      <c r="AM21" s="401"/>
      <c r="AN21" s="401"/>
      <c r="AO21" s="401"/>
      <c r="AP21" s="401"/>
      <c r="AQ21" s="401"/>
      <c r="AR21" s="401"/>
      <c r="AS21" s="401"/>
      <c r="AT21" s="401"/>
      <c r="AU21" s="401"/>
      <c r="AV21" s="401"/>
      <c r="AW21" s="401"/>
      <c r="AX21" s="401"/>
      <c r="AY21" s="401"/>
      <c r="AZ21" s="401"/>
      <c r="BA21" s="401"/>
      <c r="BB21" s="401"/>
      <c r="BC21" s="536"/>
      <c r="BD21" s="429" t="str">
        <f>B12</f>
        <v>Cold</v>
      </c>
      <c r="BE21" s="435" t="str">
        <f t="shared" ref="BE21:BL21" si="14">F16</f>
        <v>-</v>
      </c>
      <c r="BF21" s="435" t="str">
        <f t="shared" si="14"/>
        <v>-</v>
      </c>
      <c r="BG21" s="435" t="str">
        <f t="shared" si="14"/>
        <v>-</v>
      </c>
      <c r="BH21" s="435" t="str">
        <f t="shared" si="14"/>
        <v>-</v>
      </c>
      <c r="BI21" s="435" t="str">
        <f t="shared" si="14"/>
        <v>-</v>
      </c>
      <c r="BJ21" s="435" t="str">
        <f t="shared" si="14"/>
        <v>-</v>
      </c>
      <c r="BK21" s="435" t="str">
        <f t="shared" si="14"/>
        <v>-</v>
      </c>
      <c r="BL21" s="435" t="str">
        <f t="shared" si="14"/>
        <v>-</v>
      </c>
      <c r="BU21" s="401"/>
      <c r="BV21" s="401"/>
      <c r="BW21" s="401"/>
      <c r="BX21" s="401"/>
      <c r="BY21" s="401"/>
      <c r="BZ21" s="401"/>
    </row>
    <row r="22" spans="1:78" s="405" customFormat="1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5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5"/>
        <v>-</v>
      </c>
      <c r="H22" s="451" t="str">
        <f t="shared" si="15"/>
        <v>-</v>
      </c>
      <c r="I22" s="451" t="str">
        <f t="shared" si="15"/>
        <v>-</v>
      </c>
      <c r="J22" s="451" t="str">
        <f t="shared" si="15"/>
        <v>-</v>
      </c>
      <c r="K22" s="452" t="str">
        <f t="shared" si="15"/>
        <v>-</v>
      </c>
      <c r="L22" s="452" t="str">
        <f t="shared" si="15"/>
        <v>-</v>
      </c>
      <c r="M22" s="452" t="str">
        <f t="shared" si="15"/>
        <v>-</v>
      </c>
      <c r="N22" s="685"/>
      <c r="O22" s="672"/>
      <c r="P22" s="673"/>
      <c r="Q22" s="673"/>
      <c r="R22" s="674"/>
      <c r="S22" s="672"/>
      <c r="T22" s="673"/>
      <c r="U22" s="673"/>
      <c r="V22" s="674"/>
      <c r="W22" s="512"/>
      <c r="X22" s="512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401"/>
      <c r="AJ22" s="401"/>
      <c r="AK22" s="401"/>
      <c r="AL22" s="401"/>
      <c r="AM22" s="401"/>
      <c r="AN22" s="401"/>
      <c r="AO22" s="401"/>
      <c r="AP22" s="401"/>
      <c r="AQ22" s="401"/>
      <c r="AR22" s="401"/>
      <c r="AS22" s="401"/>
      <c r="AT22" s="401"/>
      <c r="AU22" s="401"/>
      <c r="AV22" s="401"/>
      <c r="AW22" s="401"/>
      <c r="AX22" s="401"/>
      <c r="AY22" s="401"/>
      <c r="AZ22" s="401"/>
      <c r="BA22" s="401"/>
      <c r="BB22" s="401"/>
      <c r="BC22" s="399" t="str">
        <f>IF(COUNTIF(F22:M22,"refused")&gt;0,"refused",IF(COUNTIF(F22:M22,"failed")&gt;0,"failed",IF(COUNTIF(F22:M22,"passed")&gt;0,"passed","-")))</f>
        <v>-</v>
      </c>
      <c r="BD22" s="429" t="str">
        <f>B18</f>
        <v>Warm</v>
      </c>
      <c r="BE22" s="435" t="e">
        <f t="shared" ref="BE22:BL22" si="16">F21</f>
        <v>#N/A</v>
      </c>
      <c r="BF22" s="435" t="e">
        <f t="shared" si="16"/>
        <v>#N/A</v>
      </c>
      <c r="BG22" s="435" t="e">
        <f t="shared" si="16"/>
        <v>#N/A</v>
      </c>
      <c r="BH22" s="435" t="e">
        <f t="shared" si="16"/>
        <v>#N/A</v>
      </c>
      <c r="BI22" s="435" t="e">
        <f t="shared" si="16"/>
        <v>#N/A</v>
      </c>
      <c r="BJ22" s="435" t="e">
        <f t="shared" si="16"/>
        <v>#N/A</v>
      </c>
      <c r="BK22" s="435" t="e">
        <f t="shared" si="16"/>
        <v>#N/A</v>
      </c>
      <c r="BL22" s="435" t="e">
        <f t="shared" si="16"/>
        <v>#N/A</v>
      </c>
      <c r="BU22" s="401"/>
      <c r="BV22" s="401"/>
      <c r="BW22" s="401"/>
      <c r="BX22" s="401"/>
      <c r="BY22" s="401"/>
      <c r="BZ22" s="401"/>
    </row>
    <row r="23" spans="1:78" s="405" customFormat="1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512"/>
      <c r="X23" s="512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AI23" s="401"/>
      <c r="AJ23" s="401"/>
      <c r="AK23" s="401"/>
      <c r="AL23" s="401"/>
      <c r="AM23" s="401"/>
      <c r="AN23" s="401"/>
      <c r="AO23" s="401"/>
      <c r="AP23" s="401"/>
      <c r="AQ23" s="401"/>
      <c r="AR23" s="401"/>
      <c r="AS23" s="401"/>
      <c r="AT23" s="401"/>
      <c r="AU23" s="401"/>
      <c r="AV23" s="401"/>
      <c r="AW23" s="401"/>
      <c r="AX23" s="401"/>
      <c r="AY23" s="401"/>
      <c r="AZ23" s="401"/>
      <c r="BA23" s="401"/>
      <c r="BB23" s="401"/>
      <c r="BC23" s="536"/>
      <c r="BD23" s="429" t="str">
        <f>B23</f>
        <v>Hot 1</v>
      </c>
      <c r="BE23" s="435" t="e">
        <f t="shared" ref="BE23:BL23" si="17">F26</f>
        <v>#N/A</v>
      </c>
      <c r="BF23" s="435" t="e">
        <f t="shared" si="17"/>
        <v>#N/A</v>
      </c>
      <c r="BG23" s="435" t="e">
        <f t="shared" si="17"/>
        <v>#N/A</v>
      </c>
      <c r="BH23" s="435" t="e">
        <f t="shared" si="17"/>
        <v>#N/A</v>
      </c>
      <c r="BI23" s="435" t="e">
        <f t="shared" si="17"/>
        <v>#N/A</v>
      </c>
      <c r="BJ23" s="435" t="e">
        <f t="shared" si="17"/>
        <v>#N/A</v>
      </c>
      <c r="BK23" s="435" t="e">
        <f t="shared" si="17"/>
        <v>#N/A</v>
      </c>
      <c r="BL23" s="435" t="e">
        <f t="shared" si="17"/>
        <v>#N/A</v>
      </c>
      <c r="BU23" s="401"/>
      <c r="BV23" s="401"/>
      <c r="BW23" s="401"/>
      <c r="BX23" s="401"/>
      <c r="BY23" s="401"/>
      <c r="BZ23" s="401"/>
    </row>
    <row r="24" spans="1:78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536"/>
      <c r="BD24" s="429" t="str">
        <f>B28</f>
        <v>Hot 2</v>
      </c>
      <c r="BE24" s="435" t="e">
        <f t="shared" ref="BE24:BL24" si="18">F31</f>
        <v>#N/A</v>
      </c>
      <c r="BF24" s="435" t="e">
        <f t="shared" si="18"/>
        <v>#N/A</v>
      </c>
      <c r="BG24" s="435" t="e">
        <f t="shared" si="18"/>
        <v>#N/A</v>
      </c>
      <c r="BH24" s="435" t="e">
        <f t="shared" si="18"/>
        <v>#N/A</v>
      </c>
      <c r="BI24" s="435" t="e">
        <f t="shared" si="18"/>
        <v>#N/A</v>
      </c>
      <c r="BJ24" s="435" t="e">
        <f t="shared" si="18"/>
        <v>#N/A</v>
      </c>
      <c r="BK24" s="435" t="e">
        <f t="shared" si="18"/>
        <v>#N/A</v>
      </c>
      <c r="BL24" s="435" t="e">
        <f t="shared" si="18"/>
        <v>#N/A</v>
      </c>
    </row>
    <row r="25" spans="1:78" s="405" customFormat="1" ht="15" customHeight="1" outlineLevel="1" thickBot="1" x14ac:dyDescent="0.3">
      <c r="A25" s="404"/>
      <c r="B25" s="680"/>
      <c r="C25" s="686">
        <v>1</v>
      </c>
      <c r="D25" s="689" t="str">
        <f>IF(AND(F25="-",G25="-",H25="-",I25="-",J25="-",K25="-",L25="-",M25="-"),"-",MAX(F25,G25,H25,I25,J25,K25,L25,M25))</f>
        <v>-</v>
      </c>
      <c r="E25" s="444" t="s">
        <v>177</v>
      </c>
      <c r="F25" s="445" t="str">
        <f t="shared" ref="F25:M25" si="19">IF(OR(F24="-",F24=""),IF(OR(F23="-",F23=""),"-",F23),IF(OR(F23="-",F23=""),F24,(F23+F24)/2))</f>
        <v>-</v>
      </c>
      <c r="G25" s="445" t="str">
        <f t="shared" si="19"/>
        <v>-</v>
      </c>
      <c r="H25" s="445" t="str">
        <f t="shared" si="19"/>
        <v>-</v>
      </c>
      <c r="I25" s="445" t="str">
        <f t="shared" si="19"/>
        <v>-</v>
      </c>
      <c r="J25" s="445" t="str">
        <f t="shared" si="19"/>
        <v>-</v>
      </c>
      <c r="K25" s="446" t="str">
        <f t="shared" si="19"/>
        <v>-</v>
      </c>
      <c r="L25" s="446" t="str">
        <f t="shared" si="19"/>
        <v>-</v>
      </c>
      <c r="M25" s="446" t="str">
        <f t="shared" si="19"/>
        <v>-</v>
      </c>
      <c r="N25" s="828"/>
      <c r="O25" s="672"/>
      <c r="P25" s="673"/>
      <c r="Q25" s="673"/>
      <c r="R25" s="674"/>
      <c r="S25" s="672"/>
      <c r="T25" s="673"/>
      <c r="U25" s="673"/>
      <c r="V25" s="674"/>
      <c r="W25" s="512"/>
      <c r="X25" s="512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AI25" s="401"/>
      <c r="AJ25" s="401"/>
      <c r="AK25" s="401"/>
      <c r="AL25" s="401"/>
      <c r="AM25" s="401"/>
      <c r="AN25" s="401"/>
      <c r="AO25" s="401"/>
      <c r="AP25" s="401"/>
      <c r="AQ25" s="401"/>
      <c r="AR25" s="401"/>
      <c r="AS25" s="401"/>
      <c r="AT25" s="401"/>
      <c r="AU25" s="401"/>
      <c r="AV25" s="401"/>
      <c r="AW25" s="401"/>
      <c r="AX25" s="401"/>
      <c r="AY25" s="401"/>
      <c r="AZ25" s="401"/>
      <c r="BA25" s="401"/>
      <c r="BB25" s="401"/>
      <c r="BC25" s="536"/>
      <c r="BD25" s="429" t="str">
        <f>"IEF " &amp;B12</f>
        <v>IEF Cold</v>
      </c>
      <c r="BE25" s="435" t="str">
        <f t="shared" ref="BE25:BL25" si="20">IF(AND(OR($C15="-",$C15="CET",$C15=""),OR(F12="-",F12="CET",F12="")),"-",IF(OR(F12="CET",F12="-",F12=""),IF(OR($C15="CET",$C15="-",$C15=""),"-",$C15),F12))</f>
        <v>-</v>
      </c>
      <c r="BF25" s="435" t="str">
        <f t="shared" si="20"/>
        <v>-</v>
      </c>
      <c r="BG25" s="435" t="str">
        <f t="shared" si="20"/>
        <v>-</v>
      </c>
      <c r="BH25" s="435" t="str">
        <f t="shared" si="20"/>
        <v>-</v>
      </c>
      <c r="BI25" s="435" t="str">
        <f t="shared" si="20"/>
        <v>-</v>
      </c>
      <c r="BJ25" s="435" t="str">
        <f t="shared" si="20"/>
        <v>-</v>
      </c>
      <c r="BK25" s="435" t="str">
        <f t="shared" si="20"/>
        <v>-</v>
      </c>
      <c r="BL25" s="435" t="str">
        <f t="shared" si="20"/>
        <v>-</v>
      </c>
      <c r="BU25" s="401"/>
      <c r="BV25" s="401"/>
      <c r="BW25" s="401"/>
      <c r="BX25" s="401"/>
      <c r="BY25" s="401"/>
      <c r="BZ25" s="401"/>
    </row>
    <row r="26" spans="1:78" s="405" customFormat="1" ht="15" customHeight="1" outlineLevel="1" thickBot="1" x14ac:dyDescent="0.3">
      <c r="A26" s="404"/>
      <c r="B26" s="680"/>
      <c r="C26" s="687"/>
      <c r="D26" s="690"/>
      <c r="E26" s="447" t="s">
        <v>97</v>
      </c>
      <c r="F26" s="448" t="e">
        <f t="shared" ref="F26:M26" si="21">IF(OR($C25="-",$C25="CET",$C25=""),"-",IF(AND(NOT(F25="-"),NOT(F$5="-"),NOT(F$5="")),F25/F$5,"-"))</f>
        <v>#N/A</v>
      </c>
      <c r="G26" s="448" t="e">
        <f t="shared" si="21"/>
        <v>#N/A</v>
      </c>
      <c r="H26" s="448" t="e">
        <f t="shared" si="21"/>
        <v>#N/A</v>
      </c>
      <c r="I26" s="448" t="e">
        <f t="shared" si="21"/>
        <v>#N/A</v>
      </c>
      <c r="J26" s="448" t="e">
        <f t="shared" si="21"/>
        <v>#N/A</v>
      </c>
      <c r="K26" s="449" t="e">
        <f t="shared" si="21"/>
        <v>#N/A</v>
      </c>
      <c r="L26" s="449" t="e">
        <f t="shared" si="21"/>
        <v>#N/A</v>
      </c>
      <c r="M26" s="449" t="e">
        <f t="shared" si="21"/>
        <v>#N/A</v>
      </c>
      <c r="N26" s="702"/>
      <c r="O26" s="672"/>
      <c r="P26" s="673"/>
      <c r="Q26" s="673"/>
      <c r="R26" s="674"/>
      <c r="S26" s="672"/>
      <c r="T26" s="673"/>
      <c r="U26" s="673"/>
      <c r="V26" s="674"/>
      <c r="W26" s="512"/>
      <c r="X26" s="512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AI26" s="401"/>
      <c r="AJ26" s="401"/>
      <c r="AK26" s="401"/>
      <c r="AL26" s="401"/>
      <c r="AM26" s="401"/>
      <c r="AN26" s="401"/>
      <c r="AO26" s="401"/>
      <c r="AP26" s="401"/>
      <c r="AQ26" s="401"/>
      <c r="AR26" s="401"/>
      <c r="AS26" s="401"/>
      <c r="AT26" s="401"/>
      <c r="AU26" s="401"/>
      <c r="AV26" s="401"/>
      <c r="AW26" s="401"/>
      <c r="AX26" s="401"/>
      <c r="AY26" s="401"/>
      <c r="AZ26" s="401"/>
      <c r="BA26" s="401"/>
      <c r="BB26" s="401"/>
      <c r="BC26" s="536"/>
      <c r="BD26" s="429" t="str">
        <f>"IEF " &amp; B18</f>
        <v>IEF Warm</v>
      </c>
      <c r="BE26" s="435">
        <f t="shared" ref="BE26:BL26" si="22">IF(OR($C20="CET",$C20="-",$C20=""),"-",$C20)</f>
        <v>1</v>
      </c>
      <c r="BF26" s="435">
        <f t="shared" si="22"/>
        <v>1</v>
      </c>
      <c r="BG26" s="435">
        <f t="shared" si="22"/>
        <v>1</v>
      </c>
      <c r="BH26" s="435">
        <f t="shared" si="22"/>
        <v>1</v>
      </c>
      <c r="BI26" s="435">
        <f t="shared" si="22"/>
        <v>1</v>
      </c>
      <c r="BJ26" s="435">
        <f t="shared" si="22"/>
        <v>1</v>
      </c>
      <c r="BK26" s="435">
        <f t="shared" si="22"/>
        <v>1</v>
      </c>
      <c r="BL26" s="435">
        <f t="shared" si="22"/>
        <v>1</v>
      </c>
      <c r="BU26" s="401"/>
      <c r="BV26" s="401"/>
      <c r="BW26" s="401"/>
      <c r="BX26" s="401"/>
      <c r="BY26" s="401"/>
      <c r="BZ26" s="401"/>
    </row>
    <row r="27" spans="1:78" s="405" customFormat="1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3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3"/>
        <v>-</v>
      </c>
      <c r="H27" s="451" t="str">
        <f t="shared" si="23"/>
        <v>-</v>
      </c>
      <c r="I27" s="451" t="str">
        <f t="shared" si="23"/>
        <v>-</v>
      </c>
      <c r="J27" s="451" t="str">
        <f t="shared" si="23"/>
        <v>-</v>
      </c>
      <c r="K27" s="452" t="str">
        <f t="shared" si="23"/>
        <v>-</v>
      </c>
      <c r="L27" s="452" t="str">
        <f t="shared" si="23"/>
        <v>-</v>
      </c>
      <c r="M27" s="452" t="str">
        <f t="shared" si="23"/>
        <v>-</v>
      </c>
      <c r="N27" s="685"/>
      <c r="O27" s="672"/>
      <c r="P27" s="673"/>
      <c r="Q27" s="673"/>
      <c r="R27" s="674"/>
      <c r="S27" s="672"/>
      <c r="T27" s="673"/>
      <c r="U27" s="673"/>
      <c r="V27" s="674"/>
      <c r="W27" s="512"/>
      <c r="X27" s="512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401"/>
      <c r="AJ27" s="401"/>
      <c r="AK27" s="401"/>
      <c r="AL27" s="401"/>
      <c r="AM27" s="401"/>
      <c r="AN27" s="401"/>
      <c r="AO27" s="401"/>
      <c r="AP27" s="401"/>
      <c r="AQ27" s="401"/>
      <c r="AR27" s="401"/>
      <c r="AS27" s="401"/>
      <c r="AT27" s="401"/>
      <c r="AU27" s="401"/>
      <c r="AV27" s="401"/>
      <c r="AW27" s="401"/>
      <c r="AX27" s="401"/>
      <c r="AY27" s="401"/>
      <c r="AZ27" s="401"/>
      <c r="BA27" s="401"/>
      <c r="BB27" s="401"/>
      <c r="BC27" s="399" t="str">
        <f>IF(COUNTIF(F27:M27,"refused")&gt;0,"refused",IF(COUNTIF(F27:M27,"failed")&gt;0,"failed",IF(COUNTIF(F27:M27,"passed")&gt;0,"passed","-")))</f>
        <v>-</v>
      </c>
      <c r="BD27" s="429" t="str">
        <f>"IEF " &amp; B23</f>
        <v>IEF Hot 1</v>
      </c>
      <c r="BE27" s="435">
        <f t="shared" ref="BE27:BL27" si="24">IF(OR($C25="CET",$C25="-",$C25=""),"-",$C25)</f>
        <v>1</v>
      </c>
      <c r="BF27" s="435">
        <f t="shared" si="24"/>
        <v>1</v>
      </c>
      <c r="BG27" s="435">
        <f t="shared" si="24"/>
        <v>1</v>
      </c>
      <c r="BH27" s="435">
        <f t="shared" si="24"/>
        <v>1</v>
      </c>
      <c r="BI27" s="435">
        <f t="shared" si="24"/>
        <v>1</v>
      </c>
      <c r="BJ27" s="435">
        <f t="shared" si="24"/>
        <v>1</v>
      </c>
      <c r="BK27" s="435">
        <f t="shared" si="24"/>
        <v>1</v>
      </c>
      <c r="BL27" s="435">
        <f t="shared" si="24"/>
        <v>1</v>
      </c>
      <c r="BU27" s="401"/>
      <c r="BV27" s="401"/>
      <c r="BW27" s="401"/>
      <c r="BX27" s="401"/>
      <c r="BY27" s="401"/>
      <c r="BZ27" s="401"/>
    </row>
    <row r="28" spans="1:78" s="405" customFormat="1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512"/>
      <c r="X28" s="512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401"/>
      <c r="AJ28" s="401"/>
      <c r="AK28" s="401"/>
      <c r="AL28" s="401"/>
      <c r="AM28" s="401"/>
      <c r="AN28" s="401"/>
      <c r="AO28" s="401"/>
      <c r="AP28" s="401"/>
      <c r="AQ28" s="401"/>
      <c r="AR28" s="401"/>
      <c r="AS28" s="401"/>
      <c r="AT28" s="401"/>
      <c r="AU28" s="401"/>
      <c r="AV28" s="401"/>
      <c r="AW28" s="401"/>
      <c r="AX28" s="401"/>
      <c r="AY28" s="401"/>
      <c r="AZ28" s="401"/>
      <c r="BA28" s="401"/>
      <c r="BB28" s="401"/>
      <c r="BC28" s="536"/>
      <c r="BD28" s="429" t="str">
        <f>"IEF " &amp; B28</f>
        <v>IEF Hot 2</v>
      </c>
      <c r="BE28" s="435">
        <f t="shared" ref="BE28:BL28" si="25">IF(OR($C30="CET",$C30="-",$C30=""),"-",$C30)</f>
        <v>1</v>
      </c>
      <c r="BF28" s="435">
        <f t="shared" si="25"/>
        <v>1</v>
      </c>
      <c r="BG28" s="435">
        <f t="shared" si="25"/>
        <v>1</v>
      </c>
      <c r="BH28" s="435">
        <f t="shared" si="25"/>
        <v>1</v>
      </c>
      <c r="BI28" s="435">
        <f t="shared" si="25"/>
        <v>1</v>
      </c>
      <c r="BJ28" s="435">
        <f t="shared" si="25"/>
        <v>1</v>
      </c>
      <c r="BK28" s="435">
        <f t="shared" si="25"/>
        <v>1</v>
      </c>
      <c r="BL28" s="435">
        <f t="shared" si="25"/>
        <v>1</v>
      </c>
      <c r="BU28" s="401"/>
      <c r="BV28" s="401"/>
      <c r="BW28" s="401"/>
      <c r="BX28" s="401"/>
      <c r="BY28" s="401"/>
      <c r="BZ28" s="401"/>
    </row>
    <row r="29" spans="1:78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536"/>
    </row>
    <row r="30" spans="1:78" s="405" customFormat="1" ht="15" customHeight="1" outlineLevel="1" thickBot="1" x14ac:dyDescent="0.3">
      <c r="A30" s="404"/>
      <c r="B30" s="680"/>
      <c r="C30" s="686">
        <v>1</v>
      </c>
      <c r="D30" s="689" t="str">
        <f>IF(AND(F30="-",G30="-",H30="-",I30="-",J30="-",K30="-",L30="-",M30="-"),"-",MAX(F30,G30,H30,I30,J30,K30,L30,M30))</f>
        <v>-</v>
      </c>
      <c r="E30" s="444" t="s">
        <v>177</v>
      </c>
      <c r="F30" s="445" t="str">
        <f t="shared" ref="F30:M30" si="26">IF(OR(F29="-",F29=""),IF(OR(F28="-",F28=""),"-",F28),IF(OR(F28="-",F28=""),F29,(F28+F29)/2))</f>
        <v>-</v>
      </c>
      <c r="G30" s="445" t="str">
        <f t="shared" si="26"/>
        <v>-</v>
      </c>
      <c r="H30" s="445" t="str">
        <f t="shared" si="26"/>
        <v>-</v>
      </c>
      <c r="I30" s="445" t="str">
        <f t="shared" si="26"/>
        <v>-</v>
      </c>
      <c r="J30" s="445" t="str">
        <f t="shared" si="26"/>
        <v>-</v>
      </c>
      <c r="K30" s="446" t="str">
        <f t="shared" si="26"/>
        <v>-</v>
      </c>
      <c r="L30" s="446" t="str">
        <f t="shared" si="26"/>
        <v>-</v>
      </c>
      <c r="M30" s="446" t="str">
        <f t="shared" si="26"/>
        <v>-</v>
      </c>
      <c r="N30" s="828"/>
      <c r="O30" s="672"/>
      <c r="P30" s="673"/>
      <c r="Q30" s="673"/>
      <c r="R30" s="674"/>
      <c r="S30" s="672"/>
      <c r="T30" s="673"/>
      <c r="U30" s="673"/>
      <c r="V30" s="674"/>
      <c r="W30" s="512"/>
      <c r="X30" s="512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AI30" s="401"/>
      <c r="AJ30" s="401"/>
      <c r="AK30" s="401"/>
      <c r="AL30" s="401"/>
      <c r="AM30" s="401"/>
      <c r="AN30" s="401"/>
      <c r="AO30" s="401"/>
      <c r="AP30" s="401"/>
      <c r="AQ30" s="401"/>
      <c r="AR30" s="401"/>
      <c r="AS30" s="401"/>
      <c r="AT30" s="401"/>
      <c r="AU30" s="401"/>
      <c r="AV30" s="401"/>
      <c r="AW30" s="401"/>
      <c r="AX30" s="401"/>
      <c r="AY30" s="401"/>
      <c r="AZ30" s="401"/>
      <c r="BA30" s="401"/>
      <c r="BB30" s="401"/>
      <c r="BC30" s="536"/>
      <c r="BU30" s="401"/>
      <c r="BV30" s="401"/>
      <c r="BW30" s="401"/>
      <c r="BX30" s="401"/>
      <c r="BY30" s="401"/>
      <c r="BZ30" s="401"/>
    </row>
    <row r="31" spans="1:78" s="405" customFormat="1" ht="15" customHeight="1" outlineLevel="1" thickBot="1" x14ac:dyDescent="0.3">
      <c r="A31" s="404"/>
      <c r="B31" s="680"/>
      <c r="C31" s="687"/>
      <c r="D31" s="690"/>
      <c r="E31" s="447" t="s">
        <v>97</v>
      </c>
      <c r="F31" s="448" t="e">
        <f t="shared" ref="F31:M31" si="27">IF(OR($C30="-",$C30="CET",$C30=""),"-",IF(AND(NOT(F30="-"),NOT(F$5="-"),NOT(F$5="")),F30/F$5,"-"))</f>
        <v>#N/A</v>
      </c>
      <c r="G31" s="448" t="e">
        <f t="shared" si="27"/>
        <v>#N/A</v>
      </c>
      <c r="H31" s="448" t="e">
        <f t="shared" si="27"/>
        <v>#N/A</v>
      </c>
      <c r="I31" s="448" t="e">
        <f t="shared" si="27"/>
        <v>#N/A</v>
      </c>
      <c r="J31" s="448" t="e">
        <f t="shared" si="27"/>
        <v>#N/A</v>
      </c>
      <c r="K31" s="449" t="e">
        <f t="shared" si="27"/>
        <v>#N/A</v>
      </c>
      <c r="L31" s="449" t="e">
        <f t="shared" si="27"/>
        <v>#N/A</v>
      </c>
      <c r="M31" s="449" t="e">
        <f t="shared" si="27"/>
        <v>#N/A</v>
      </c>
      <c r="N31" s="702"/>
      <c r="O31" s="672"/>
      <c r="P31" s="673"/>
      <c r="Q31" s="673"/>
      <c r="R31" s="674"/>
      <c r="S31" s="672"/>
      <c r="T31" s="673"/>
      <c r="U31" s="673"/>
      <c r="V31" s="674"/>
      <c r="W31" s="512"/>
      <c r="X31" s="512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AI31" s="401"/>
      <c r="AJ31" s="401"/>
      <c r="AK31" s="401"/>
      <c r="AL31" s="401"/>
      <c r="AM31" s="401"/>
      <c r="AN31" s="401"/>
      <c r="AO31" s="401"/>
      <c r="AP31" s="401"/>
      <c r="AQ31" s="401"/>
      <c r="AR31" s="401"/>
      <c r="AS31" s="401"/>
      <c r="AT31" s="401"/>
      <c r="AU31" s="401"/>
      <c r="AV31" s="401"/>
      <c r="AW31" s="401"/>
      <c r="AX31" s="401"/>
      <c r="AY31" s="401"/>
      <c r="AZ31" s="401"/>
      <c r="BA31" s="401"/>
      <c r="BB31" s="401"/>
      <c r="BC31" s="536"/>
      <c r="BU31" s="401"/>
      <c r="BV31" s="401"/>
      <c r="BW31" s="401"/>
      <c r="BX31" s="401"/>
      <c r="BY31" s="401"/>
      <c r="BZ31" s="401"/>
    </row>
    <row r="32" spans="1:78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28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28"/>
        <v>-</v>
      </c>
      <c r="H32" s="451" t="str">
        <f t="shared" si="28"/>
        <v>-</v>
      </c>
      <c r="I32" s="451" t="str">
        <f t="shared" si="28"/>
        <v>-</v>
      </c>
      <c r="J32" s="451" t="str">
        <f t="shared" si="28"/>
        <v>-</v>
      </c>
      <c r="K32" s="452" t="str">
        <f t="shared" si="28"/>
        <v>-</v>
      </c>
      <c r="L32" s="452" t="str">
        <f t="shared" si="28"/>
        <v>-</v>
      </c>
      <c r="M32" s="452" t="str">
        <f t="shared" si="28"/>
        <v>-</v>
      </c>
      <c r="N32" s="685"/>
      <c r="O32" s="675"/>
      <c r="P32" s="676"/>
      <c r="Q32" s="676"/>
      <c r="R32" s="677"/>
      <c r="S32" s="675"/>
      <c r="T32" s="676"/>
      <c r="U32" s="676"/>
      <c r="V32" s="677"/>
      <c r="BC32" s="399" t="str">
        <f>IF(COUNTIF(F32:M32,"refused")&gt;0,"refused",IF(COUNTIF(F32:M32,"failed")&gt;0,"failed",IF(COUNTIF(F32:M32,"passed")&gt;0,"passed","-")))</f>
        <v>-</v>
      </c>
    </row>
    <row r="33" spans="1:72" ht="15" customHeight="1" x14ac:dyDescent="0.25"/>
    <row r="34" spans="1:72" ht="15" customHeight="1" x14ac:dyDescent="0.25"/>
    <row r="35" spans="1:72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</row>
    <row r="36" spans="1:72" ht="24.95" customHeight="1" thickBot="1" x14ac:dyDescent="0.3">
      <c r="A36" s="396"/>
      <c r="B36" s="415">
        <v>2</v>
      </c>
      <c r="C36" s="839" t="s">
        <v>164</v>
      </c>
      <c r="D36" s="840"/>
      <c r="E36" s="840"/>
      <c r="F36" s="840"/>
      <c r="G36" s="840"/>
      <c r="H36" s="840"/>
      <c r="I36" s="840"/>
      <c r="J36" s="840"/>
      <c r="K36" s="840"/>
      <c r="L36" s="840"/>
      <c r="M36" s="840"/>
      <c r="N36" s="841"/>
      <c r="O36" s="416" t="s">
        <v>117</v>
      </c>
      <c r="P36" s="398" t="str">
        <f>IF(COUNTIF(F44:M59,"refused")&gt;0,"refused",IF(COUNTIF(F44:M59,"failed")&gt;0,"failed",IF(COUNTIF(F44:M59,"passed")&gt;0,"passed","-")))</f>
        <v>-</v>
      </c>
      <c r="Q36" s="399" t="s">
        <v>80</v>
      </c>
      <c r="R36" s="399" t="str">
        <f>IF(COUNT(F40:M41)&gt;0,"listed","not listed")</f>
        <v>not listed</v>
      </c>
      <c r="S36" s="511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</row>
    <row r="37" spans="1:72" ht="15" customHeight="1" outlineLevel="1" thickBot="1" x14ac:dyDescent="0.3">
      <c r="A37" s="396"/>
      <c r="B37" s="513"/>
      <c r="C37" s="514"/>
      <c r="D37" s="514"/>
      <c r="E37" s="514"/>
      <c r="F37" s="514"/>
      <c r="G37" s="514"/>
      <c r="H37" s="514"/>
      <c r="I37" s="514"/>
      <c r="J37" s="514"/>
      <c r="K37" s="421"/>
      <c r="L37" s="421"/>
      <c r="M37" s="421"/>
      <c r="N37" s="514"/>
      <c r="O37" s="514"/>
      <c r="P37" s="514"/>
      <c r="Q37" s="514"/>
      <c r="R37" s="514"/>
      <c r="S37" s="514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</row>
    <row r="38" spans="1:72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512"/>
      <c r="X38" s="512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M38" s="430" t="str">
        <f t="shared" ref="BM38:BT38" si="29">F4</f>
        <v>NMHC 
[g/km]</v>
      </c>
      <c r="BN38" s="430" t="str">
        <f t="shared" si="29"/>
        <v>THC
[g/km]</v>
      </c>
      <c r="BO38" s="430" t="str">
        <f t="shared" si="29"/>
        <v>CO
[g/km]</v>
      </c>
      <c r="BP38" s="430" t="str">
        <f t="shared" si="29"/>
        <v>NOx
[g/km]</v>
      </c>
      <c r="BQ38" s="430" t="str">
        <f t="shared" si="29"/>
        <v>PM
[mg/km]</v>
      </c>
      <c r="BR38" s="430" t="str">
        <f t="shared" si="29"/>
        <v>PN
[#/km]</v>
      </c>
      <c r="BS38" s="430" t="str">
        <f t="shared" si="29"/>
        <v>Additional
component</v>
      </c>
      <c r="BT38" s="430" t="str">
        <f t="shared" si="29"/>
        <v>Additional
component 2</v>
      </c>
    </row>
    <row r="39" spans="1:72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">
        <v>72</v>
      </c>
      <c r="G39" s="517" t="s">
        <v>73</v>
      </c>
      <c r="H39" s="425" t="s">
        <v>74</v>
      </c>
      <c r="I39" s="425" t="s">
        <v>75</v>
      </c>
      <c r="J39" s="425" t="s">
        <v>76</v>
      </c>
      <c r="K39" s="534" t="s">
        <v>170</v>
      </c>
      <c r="L39" s="535" t="str">
        <f>$L$4</f>
        <v>Additional
component</v>
      </c>
      <c r="M39" s="535" t="str">
        <f>$M$4</f>
        <v>Additional
component 2</v>
      </c>
      <c r="N39" s="425" t="s">
        <v>77</v>
      </c>
      <c r="O39" s="669"/>
      <c r="P39" s="670"/>
      <c r="Q39" s="670"/>
      <c r="R39" s="671"/>
      <c r="S39" s="669"/>
      <c r="T39" s="670"/>
      <c r="U39" s="670"/>
      <c r="V39" s="671"/>
      <c r="W39" s="512"/>
      <c r="X39" s="512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536"/>
      <c r="BM39" s="435">
        <v>1</v>
      </c>
      <c r="BN39" s="435">
        <v>1</v>
      </c>
      <c r="BO39" s="435">
        <v>1</v>
      </c>
      <c r="BP39" s="435">
        <v>1</v>
      </c>
      <c r="BQ39" s="435">
        <v>1</v>
      </c>
      <c r="BR39" s="435">
        <v>1</v>
      </c>
      <c r="BS39" s="435">
        <v>1</v>
      </c>
      <c r="BT39" s="435">
        <v>1</v>
      </c>
    </row>
    <row r="40" spans="1:72" ht="15" customHeight="1" outlineLevel="1" x14ac:dyDescent="0.25">
      <c r="A40" s="396"/>
      <c r="B40" s="679" t="s">
        <v>165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4"/>
      <c r="S40" s="672"/>
      <c r="T40" s="673"/>
      <c r="U40" s="673"/>
      <c r="V40" s="674"/>
      <c r="W40" s="512"/>
      <c r="X40" s="512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536"/>
      <c r="BM40" s="435" t="str">
        <f t="shared" ref="BM40:BT40" si="30">IF((OR($C42="-",$C42="CET",$C42="")),"-",IF(AND(OR(F40="-",F40=""),OR(F41="-",F41="")),"-",IF(NOT(OR(F40="-",F40="")),F40/F$5,F41/F$5)))</f>
        <v>-</v>
      </c>
      <c r="BN40" s="435" t="str">
        <f t="shared" si="30"/>
        <v>-</v>
      </c>
      <c r="BO40" s="435" t="str">
        <f t="shared" si="30"/>
        <v>-</v>
      </c>
      <c r="BP40" s="435" t="str">
        <f t="shared" si="30"/>
        <v>-</v>
      </c>
      <c r="BQ40" s="435" t="str">
        <f t="shared" si="30"/>
        <v>-</v>
      </c>
      <c r="BR40" s="435" t="str">
        <f t="shared" si="30"/>
        <v>-</v>
      </c>
      <c r="BS40" s="435" t="str">
        <f t="shared" si="30"/>
        <v>-</v>
      </c>
      <c r="BT40" s="435" t="str">
        <f t="shared" si="30"/>
        <v>-</v>
      </c>
    </row>
    <row r="41" spans="1:72" s="405" customFormat="1" ht="15" customHeight="1" outlineLevel="1" thickBot="1" x14ac:dyDescent="0.3">
      <c r="A41" s="439"/>
      <c r="B41" s="680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4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536"/>
      <c r="BM41" s="435"/>
      <c r="BN41" s="435"/>
      <c r="BO41" s="435"/>
      <c r="BP41" s="435"/>
      <c r="BQ41" s="435"/>
      <c r="BR41" s="435"/>
      <c r="BS41" s="435"/>
      <c r="BT41" s="435"/>
    </row>
    <row r="42" spans="1:72" ht="15" customHeight="1" outlineLevel="1" thickBot="1" x14ac:dyDescent="0.3">
      <c r="A42" s="396"/>
      <c r="B42" s="680"/>
      <c r="C42" s="686">
        <v>1</v>
      </c>
      <c r="D42" s="689" t="str">
        <f>IF(AND(F42="-",G42="-",H42="-",I42="-",J42="-",K42="-",L42="-",M42="-"),"-",MAX(F42,G42,H42,I42,J42,K42,L42,M42))</f>
        <v>-</v>
      </c>
      <c r="E42" s="444" t="s">
        <v>177</v>
      </c>
      <c r="F42" s="445" t="str">
        <f t="shared" ref="F42:M42" si="31">IF(OR(F41="-",F41=""),IF(OR(F40="-",F40=""),"-",F40),IF(OR(F40="-",F40=""),F41,(F40+F41)/2))</f>
        <v>-</v>
      </c>
      <c r="G42" s="445" t="str">
        <f t="shared" si="31"/>
        <v>-</v>
      </c>
      <c r="H42" s="445" t="str">
        <f t="shared" si="31"/>
        <v>-</v>
      </c>
      <c r="I42" s="445" t="str">
        <f t="shared" si="31"/>
        <v>-</v>
      </c>
      <c r="J42" s="445" t="str">
        <f t="shared" si="31"/>
        <v>-</v>
      </c>
      <c r="K42" s="446" t="str">
        <f t="shared" si="31"/>
        <v>-</v>
      </c>
      <c r="L42" s="446" t="str">
        <f t="shared" si="31"/>
        <v>-</v>
      </c>
      <c r="M42" s="446" t="str">
        <f t="shared" si="31"/>
        <v>-</v>
      </c>
      <c r="N42" s="828"/>
      <c r="O42" s="672"/>
      <c r="P42" s="673"/>
      <c r="Q42" s="673"/>
      <c r="R42" s="674"/>
      <c r="S42" s="672"/>
      <c r="T42" s="673"/>
      <c r="U42" s="673"/>
      <c r="V42" s="674"/>
      <c r="W42" s="512"/>
      <c r="X42" s="512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536"/>
      <c r="BM42" s="435"/>
      <c r="BN42" s="435"/>
      <c r="BO42" s="435"/>
      <c r="BP42" s="435"/>
      <c r="BQ42" s="435"/>
      <c r="BR42" s="435"/>
      <c r="BS42" s="435"/>
      <c r="BT42" s="435"/>
    </row>
    <row r="43" spans="1:72" ht="15" customHeight="1" outlineLevel="1" thickBot="1" x14ac:dyDescent="0.3">
      <c r="A43" s="396"/>
      <c r="B43" s="680"/>
      <c r="C43" s="687"/>
      <c r="D43" s="690"/>
      <c r="E43" s="537" t="s">
        <v>97</v>
      </c>
      <c r="F43" s="448" t="e">
        <f t="shared" ref="F43:M43" si="32">IF(OR($C42="-",$C42="CET",$C42=""),"-",IF(AND(NOT(F42="-"),NOT(F$5="-"),NOT(F$5="")),F42/F$5,"-"))</f>
        <v>#N/A</v>
      </c>
      <c r="G43" s="448" t="e">
        <f t="shared" si="32"/>
        <v>#N/A</v>
      </c>
      <c r="H43" s="448" t="e">
        <f t="shared" si="32"/>
        <v>#N/A</v>
      </c>
      <c r="I43" s="448" t="e">
        <f t="shared" si="32"/>
        <v>#N/A</v>
      </c>
      <c r="J43" s="448" t="e">
        <f t="shared" si="32"/>
        <v>#N/A</v>
      </c>
      <c r="K43" s="449" t="e">
        <f t="shared" si="32"/>
        <v>#N/A</v>
      </c>
      <c r="L43" s="449" t="e">
        <f t="shared" si="32"/>
        <v>#N/A</v>
      </c>
      <c r="M43" s="449" t="e">
        <f t="shared" si="32"/>
        <v>#N/A</v>
      </c>
      <c r="N43" s="702"/>
      <c r="O43" s="672"/>
      <c r="P43" s="673"/>
      <c r="Q43" s="673"/>
      <c r="R43" s="674"/>
      <c r="S43" s="672"/>
      <c r="T43" s="673"/>
      <c r="U43" s="673"/>
      <c r="V43" s="674"/>
      <c r="W43" s="512"/>
      <c r="X43" s="512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536"/>
      <c r="BM43" s="435"/>
      <c r="BN43" s="435"/>
      <c r="BO43" s="435"/>
      <c r="BP43" s="435"/>
      <c r="BQ43" s="435"/>
      <c r="BR43" s="435"/>
      <c r="BS43" s="435"/>
      <c r="BT43" s="435"/>
    </row>
    <row r="44" spans="1:72" ht="15" customHeight="1" outlineLevel="1" thickBot="1" x14ac:dyDescent="0.3">
      <c r="A44" s="396"/>
      <c r="B44" s="681"/>
      <c r="C44" s="688"/>
      <c r="D44" s="691"/>
      <c r="E44" s="451" t="s">
        <v>30</v>
      </c>
      <c r="F44" s="451" t="str">
        <f t="shared" ref="F44:M44" si="33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33"/>
        <v>-</v>
      </c>
      <c r="H44" s="451" t="str">
        <f t="shared" si="33"/>
        <v>-</v>
      </c>
      <c r="I44" s="451" t="str">
        <f t="shared" si="33"/>
        <v>-</v>
      </c>
      <c r="J44" s="451" t="str">
        <f t="shared" si="33"/>
        <v>-</v>
      </c>
      <c r="K44" s="452" t="str">
        <f t="shared" si="33"/>
        <v>-</v>
      </c>
      <c r="L44" s="452" t="str">
        <f t="shared" si="33"/>
        <v>-</v>
      </c>
      <c r="M44" s="452" t="str">
        <f t="shared" si="33"/>
        <v>-</v>
      </c>
      <c r="N44" s="685"/>
      <c r="O44" s="672"/>
      <c r="P44" s="673"/>
      <c r="Q44" s="673"/>
      <c r="R44" s="674"/>
      <c r="S44" s="672"/>
      <c r="T44" s="673"/>
      <c r="U44" s="673"/>
      <c r="V44" s="674"/>
      <c r="W44" s="512"/>
      <c r="X44" s="512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399" t="str">
        <f>IF(COUNTIF(F44:M44,"refused")&gt;0,"refused",IF(COUNTIF(F44:M44,"failed")&gt;0,"failed",IF(COUNTIF(F44:M44,"passed")&gt;0,"passed","-")))</f>
        <v>-</v>
      </c>
      <c r="BM44" s="435">
        <f t="shared" ref="BM44:BT44" si="34">IF(OR($C42="-",$C42="CET",$C42=""),"-",0.7*$C42)</f>
        <v>0.7</v>
      </c>
      <c r="BN44" s="435">
        <f t="shared" si="34"/>
        <v>0.7</v>
      </c>
      <c r="BO44" s="435">
        <f t="shared" si="34"/>
        <v>0.7</v>
      </c>
      <c r="BP44" s="435">
        <f t="shared" si="34"/>
        <v>0.7</v>
      </c>
      <c r="BQ44" s="435">
        <f t="shared" si="34"/>
        <v>0.7</v>
      </c>
      <c r="BR44" s="435">
        <f t="shared" si="34"/>
        <v>0.7</v>
      </c>
      <c r="BS44" s="435">
        <f t="shared" si="34"/>
        <v>0.7</v>
      </c>
      <c r="BT44" s="435">
        <f t="shared" si="34"/>
        <v>0.7</v>
      </c>
    </row>
    <row r="45" spans="1:72" ht="15" customHeight="1" outlineLevel="1" x14ac:dyDescent="0.25">
      <c r="A45" s="396"/>
      <c r="B45" s="721"/>
      <c r="C45" s="668"/>
      <c r="D45" s="510"/>
      <c r="E45" s="510"/>
      <c r="F45" s="463"/>
      <c r="G45" s="463"/>
      <c r="H45" s="463"/>
      <c r="I45" s="463"/>
      <c r="J45" s="463"/>
      <c r="K45" s="464"/>
      <c r="L45" s="464"/>
      <c r="M45" s="464"/>
      <c r="N45" s="465"/>
      <c r="O45" s="672"/>
      <c r="P45" s="673"/>
      <c r="Q45" s="673"/>
      <c r="R45" s="674"/>
      <c r="S45" s="672"/>
      <c r="T45" s="673"/>
      <c r="U45" s="673"/>
      <c r="V45" s="674"/>
      <c r="W45" s="512"/>
      <c r="X45" s="512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536"/>
      <c r="BM45" s="435"/>
      <c r="BN45" s="435"/>
      <c r="BO45" s="435"/>
      <c r="BP45" s="435"/>
      <c r="BQ45" s="435"/>
      <c r="BR45" s="435"/>
      <c r="BS45" s="435"/>
      <c r="BT45" s="435"/>
    </row>
    <row r="46" spans="1:72" ht="15" customHeight="1" outlineLevel="1" x14ac:dyDescent="0.25">
      <c r="A46" s="396"/>
      <c r="B46" s="721"/>
      <c r="C46" s="668"/>
      <c r="D46" s="510"/>
      <c r="E46" s="510"/>
      <c r="F46" s="463"/>
      <c r="G46" s="463"/>
      <c r="H46" s="463"/>
      <c r="I46" s="463"/>
      <c r="J46" s="463"/>
      <c r="K46" s="464"/>
      <c r="L46" s="464"/>
      <c r="M46" s="464"/>
      <c r="N46" s="465"/>
      <c r="O46" s="672"/>
      <c r="P46" s="673"/>
      <c r="Q46" s="673"/>
      <c r="R46" s="674"/>
      <c r="S46" s="672"/>
      <c r="T46" s="673"/>
      <c r="U46" s="673"/>
      <c r="V46" s="674"/>
      <c r="W46" s="512"/>
      <c r="X46" s="512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536"/>
      <c r="BM46" s="435"/>
      <c r="BN46" s="435"/>
      <c r="BO46" s="435"/>
      <c r="BP46" s="435"/>
      <c r="BQ46" s="435"/>
      <c r="BR46" s="435"/>
      <c r="BS46" s="435"/>
      <c r="BT46" s="435"/>
    </row>
    <row r="47" spans="1:72" ht="15" customHeight="1" outlineLevel="1" x14ac:dyDescent="0.25">
      <c r="A47" s="396"/>
      <c r="B47" s="721"/>
      <c r="C47" s="668"/>
      <c r="D47" s="510"/>
      <c r="E47" s="510"/>
      <c r="F47" s="466"/>
      <c r="G47" s="466"/>
      <c r="H47" s="466"/>
      <c r="I47" s="466"/>
      <c r="J47" s="466"/>
      <c r="K47" s="464"/>
      <c r="L47" s="464"/>
      <c r="M47" s="464"/>
      <c r="N47" s="467"/>
      <c r="O47" s="672"/>
      <c r="P47" s="673"/>
      <c r="Q47" s="673"/>
      <c r="R47" s="674"/>
      <c r="S47" s="672"/>
      <c r="T47" s="673"/>
      <c r="U47" s="673"/>
      <c r="V47" s="674"/>
      <c r="W47" s="512"/>
      <c r="X47" s="512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536"/>
      <c r="BM47" s="435"/>
      <c r="BN47" s="435"/>
      <c r="BO47" s="435"/>
      <c r="BP47" s="435"/>
      <c r="BQ47" s="435"/>
      <c r="BR47" s="435"/>
      <c r="BS47" s="435"/>
      <c r="BT47" s="435"/>
    </row>
    <row r="48" spans="1:72" ht="15" customHeight="1" outlineLevel="1" x14ac:dyDescent="0.25">
      <c r="A48" s="396"/>
      <c r="B48" s="721"/>
      <c r="C48" s="668"/>
      <c r="D48" s="510"/>
      <c r="E48" s="510"/>
      <c r="F48" s="466"/>
      <c r="G48" s="466"/>
      <c r="H48" s="466"/>
      <c r="I48" s="466"/>
      <c r="J48" s="466"/>
      <c r="K48" s="464"/>
      <c r="L48" s="464"/>
      <c r="M48" s="464"/>
      <c r="N48" s="467"/>
      <c r="O48" s="672"/>
      <c r="P48" s="673"/>
      <c r="Q48" s="673"/>
      <c r="R48" s="674"/>
      <c r="S48" s="672"/>
      <c r="T48" s="673"/>
      <c r="U48" s="673"/>
      <c r="V48" s="674"/>
      <c r="W48" s="512"/>
      <c r="X48" s="512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536"/>
      <c r="BM48" s="435" t="e">
        <f t="shared" ref="BM48:BT48" si="35">IF(OR($C42="-",$C42="CET"),"-",F43)</f>
        <v>#N/A</v>
      </c>
      <c r="BN48" s="435" t="e">
        <f t="shared" si="35"/>
        <v>#N/A</v>
      </c>
      <c r="BO48" s="435" t="e">
        <f t="shared" si="35"/>
        <v>#N/A</v>
      </c>
      <c r="BP48" s="435" t="e">
        <f t="shared" si="35"/>
        <v>#N/A</v>
      </c>
      <c r="BQ48" s="435" t="e">
        <f t="shared" si="35"/>
        <v>#N/A</v>
      </c>
      <c r="BR48" s="435" t="e">
        <f t="shared" si="35"/>
        <v>#N/A</v>
      </c>
      <c r="BS48" s="435" t="e">
        <f t="shared" si="35"/>
        <v>#N/A</v>
      </c>
      <c r="BT48" s="435" t="e">
        <f t="shared" si="35"/>
        <v>#N/A</v>
      </c>
    </row>
    <row r="49" spans="1:78" ht="15" customHeight="1" outlineLevel="1" x14ac:dyDescent="0.25">
      <c r="A49" s="404"/>
      <c r="B49" s="721"/>
      <c r="C49" s="668"/>
      <c r="D49" s="510"/>
      <c r="E49" s="510"/>
      <c r="F49" s="510"/>
      <c r="G49" s="510"/>
      <c r="H49" s="510"/>
      <c r="I49" s="510"/>
      <c r="J49" s="510"/>
      <c r="K49" s="464"/>
      <c r="L49" s="464"/>
      <c r="M49" s="464"/>
      <c r="N49" s="468"/>
      <c r="O49" s="672"/>
      <c r="P49" s="673"/>
      <c r="Q49" s="673"/>
      <c r="R49" s="674"/>
      <c r="S49" s="672"/>
      <c r="T49" s="673"/>
      <c r="U49" s="673"/>
      <c r="V49" s="674"/>
      <c r="W49" s="512"/>
      <c r="X49" s="512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536"/>
      <c r="BM49" s="435"/>
      <c r="BN49" s="435"/>
      <c r="BO49" s="435"/>
      <c r="BP49" s="435"/>
      <c r="BQ49" s="435"/>
      <c r="BR49" s="435"/>
      <c r="BS49" s="435"/>
      <c r="BT49" s="435"/>
    </row>
    <row r="50" spans="1:78" ht="15" customHeight="1" outlineLevel="1" x14ac:dyDescent="0.25">
      <c r="A50" s="404"/>
      <c r="B50" s="721"/>
      <c r="C50" s="668"/>
      <c r="D50" s="510"/>
      <c r="E50" s="510"/>
      <c r="F50" s="463"/>
      <c r="G50" s="463"/>
      <c r="H50" s="463"/>
      <c r="I50" s="463"/>
      <c r="J50" s="463"/>
      <c r="K50" s="464"/>
      <c r="L50" s="464"/>
      <c r="M50" s="464"/>
      <c r="N50" s="465"/>
      <c r="O50" s="672"/>
      <c r="P50" s="673"/>
      <c r="Q50" s="673"/>
      <c r="R50" s="674"/>
      <c r="S50" s="672"/>
      <c r="T50" s="673"/>
      <c r="U50" s="673"/>
      <c r="V50" s="674"/>
      <c r="W50" s="512"/>
      <c r="X50" s="512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536"/>
      <c r="BM50" s="435"/>
      <c r="BN50" s="435"/>
      <c r="BO50" s="435"/>
      <c r="BP50" s="435"/>
      <c r="BQ50" s="435"/>
      <c r="BR50" s="435"/>
      <c r="BS50" s="435"/>
      <c r="BT50" s="435"/>
    </row>
    <row r="51" spans="1:78" ht="15" customHeight="1" outlineLevel="1" x14ac:dyDescent="0.25">
      <c r="A51" s="404"/>
      <c r="B51" s="721"/>
      <c r="C51" s="668"/>
      <c r="D51" s="510"/>
      <c r="E51" s="510"/>
      <c r="F51" s="463"/>
      <c r="G51" s="463"/>
      <c r="H51" s="463"/>
      <c r="I51" s="463"/>
      <c r="J51" s="463"/>
      <c r="K51" s="464"/>
      <c r="L51" s="464"/>
      <c r="M51" s="464"/>
      <c r="N51" s="465"/>
      <c r="O51" s="672"/>
      <c r="P51" s="673"/>
      <c r="Q51" s="673"/>
      <c r="R51" s="674"/>
      <c r="S51" s="672"/>
      <c r="T51" s="673"/>
      <c r="U51" s="673"/>
      <c r="V51" s="674"/>
      <c r="W51" s="512"/>
      <c r="X51" s="512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536"/>
      <c r="BM51" s="435"/>
      <c r="BN51" s="435"/>
      <c r="BO51" s="435"/>
      <c r="BP51" s="435"/>
      <c r="BQ51" s="435"/>
      <c r="BR51" s="435"/>
      <c r="BS51" s="435"/>
      <c r="BT51" s="435"/>
    </row>
    <row r="52" spans="1:78" ht="15" customHeight="1" outlineLevel="1" x14ac:dyDescent="0.25">
      <c r="A52" s="404"/>
      <c r="B52" s="721"/>
      <c r="C52" s="668"/>
      <c r="D52" s="510"/>
      <c r="E52" s="510"/>
      <c r="F52" s="466"/>
      <c r="G52" s="466"/>
      <c r="H52" s="466"/>
      <c r="I52" s="538"/>
      <c r="J52" s="466"/>
      <c r="K52" s="464"/>
      <c r="L52" s="464"/>
      <c r="M52" s="464"/>
      <c r="N52" s="467"/>
      <c r="O52" s="672"/>
      <c r="P52" s="673"/>
      <c r="Q52" s="673"/>
      <c r="R52" s="674"/>
      <c r="S52" s="672"/>
      <c r="T52" s="673"/>
      <c r="U52" s="673"/>
      <c r="V52" s="674"/>
      <c r="W52" s="512"/>
      <c r="X52" s="512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536"/>
      <c r="BM52" s="435">
        <f t="shared" ref="BM52:BT52" si="36">IF(OR($C42="CET",$C42="-",$C42=""),"-",$C42)</f>
        <v>1</v>
      </c>
      <c r="BN52" s="435">
        <f t="shared" si="36"/>
        <v>1</v>
      </c>
      <c r="BO52" s="435">
        <f t="shared" si="36"/>
        <v>1</v>
      </c>
      <c r="BP52" s="435">
        <f t="shared" si="36"/>
        <v>1</v>
      </c>
      <c r="BQ52" s="435">
        <f t="shared" si="36"/>
        <v>1</v>
      </c>
      <c r="BR52" s="435">
        <f t="shared" si="36"/>
        <v>1</v>
      </c>
      <c r="BS52" s="435">
        <f t="shared" si="36"/>
        <v>1</v>
      </c>
      <c r="BT52" s="435">
        <f t="shared" si="36"/>
        <v>1</v>
      </c>
    </row>
    <row r="53" spans="1:78" ht="15" customHeight="1" outlineLevel="1" x14ac:dyDescent="0.25">
      <c r="A53" s="404"/>
      <c r="B53" s="721"/>
      <c r="C53" s="668"/>
      <c r="D53" s="510"/>
      <c r="E53" s="510"/>
      <c r="F53" s="466"/>
      <c r="G53" s="466"/>
      <c r="H53" s="466"/>
      <c r="I53" s="466"/>
      <c r="J53" s="466"/>
      <c r="K53" s="464"/>
      <c r="L53" s="464"/>
      <c r="M53" s="464"/>
      <c r="N53" s="467"/>
      <c r="O53" s="672"/>
      <c r="P53" s="673"/>
      <c r="Q53" s="673"/>
      <c r="R53" s="674"/>
      <c r="S53" s="672"/>
      <c r="T53" s="673"/>
      <c r="U53" s="673"/>
      <c r="V53" s="674"/>
      <c r="W53" s="512"/>
      <c r="X53" s="512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536"/>
      <c r="BD53" s="459"/>
      <c r="BE53" s="459"/>
      <c r="BF53" s="459"/>
      <c r="BG53" s="459"/>
      <c r="BH53" s="459"/>
      <c r="BI53" s="459"/>
      <c r="BJ53" s="459"/>
      <c r="BK53" s="459"/>
      <c r="BL53" s="459"/>
    </row>
    <row r="54" spans="1:78" ht="15" customHeight="1" outlineLevel="1" x14ac:dyDescent="0.25">
      <c r="A54" s="404"/>
      <c r="B54" s="721"/>
      <c r="C54" s="668"/>
      <c r="D54" s="510"/>
      <c r="E54" s="510"/>
      <c r="F54" s="510"/>
      <c r="G54" s="510"/>
      <c r="H54" s="510"/>
      <c r="I54" s="510"/>
      <c r="J54" s="510"/>
      <c r="K54" s="464"/>
      <c r="L54" s="464"/>
      <c r="M54" s="464"/>
      <c r="N54" s="468"/>
      <c r="O54" s="672"/>
      <c r="P54" s="673"/>
      <c r="Q54" s="673"/>
      <c r="R54" s="674"/>
      <c r="S54" s="672"/>
      <c r="T54" s="673"/>
      <c r="U54" s="673"/>
      <c r="V54" s="674"/>
      <c r="W54" s="512"/>
      <c r="X54" s="512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536"/>
      <c r="BD54" s="459"/>
      <c r="BE54" s="459"/>
      <c r="BF54" s="459"/>
      <c r="BG54" s="459"/>
      <c r="BH54" s="459"/>
      <c r="BI54" s="459"/>
      <c r="BJ54" s="459"/>
      <c r="BK54" s="459"/>
      <c r="BL54" s="459"/>
    </row>
    <row r="55" spans="1:78" ht="15" customHeight="1" outlineLevel="1" x14ac:dyDescent="0.25">
      <c r="A55" s="404"/>
      <c r="B55" s="721"/>
      <c r="C55" s="668"/>
      <c r="D55" s="510"/>
      <c r="E55" s="510"/>
      <c r="F55" s="463"/>
      <c r="G55" s="463"/>
      <c r="H55" s="463"/>
      <c r="I55" s="463"/>
      <c r="J55" s="463"/>
      <c r="K55" s="464"/>
      <c r="L55" s="464"/>
      <c r="M55" s="464"/>
      <c r="N55" s="465"/>
      <c r="O55" s="672"/>
      <c r="P55" s="673"/>
      <c r="Q55" s="673"/>
      <c r="R55" s="674"/>
      <c r="S55" s="672"/>
      <c r="T55" s="673"/>
      <c r="U55" s="673"/>
      <c r="V55" s="674"/>
      <c r="W55" s="512"/>
      <c r="X55" s="512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536"/>
      <c r="BD55" s="459"/>
      <c r="BE55" s="459"/>
      <c r="BF55" s="459"/>
      <c r="BG55" s="459"/>
      <c r="BH55" s="459"/>
      <c r="BI55" s="459"/>
      <c r="BJ55" s="459"/>
      <c r="BK55" s="459"/>
      <c r="BL55" s="459"/>
    </row>
    <row r="56" spans="1:78" ht="15" customHeight="1" outlineLevel="1" x14ac:dyDescent="0.25">
      <c r="A56" s="404"/>
      <c r="B56" s="721"/>
      <c r="C56" s="668"/>
      <c r="D56" s="510"/>
      <c r="E56" s="510"/>
      <c r="F56" s="463"/>
      <c r="G56" s="463"/>
      <c r="H56" s="463"/>
      <c r="I56" s="463"/>
      <c r="J56" s="463"/>
      <c r="K56" s="464"/>
      <c r="L56" s="464"/>
      <c r="M56" s="464"/>
      <c r="N56" s="465"/>
      <c r="O56" s="672"/>
      <c r="P56" s="673"/>
      <c r="Q56" s="673"/>
      <c r="R56" s="674"/>
      <c r="S56" s="672"/>
      <c r="T56" s="673"/>
      <c r="U56" s="673"/>
      <c r="V56" s="674"/>
      <c r="W56" s="512"/>
      <c r="X56" s="512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536"/>
    </row>
    <row r="57" spans="1:78" ht="15" customHeight="1" outlineLevel="1" x14ac:dyDescent="0.25">
      <c r="A57" s="404"/>
      <c r="B57" s="721"/>
      <c r="C57" s="668"/>
      <c r="D57" s="510"/>
      <c r="E57" s="510"/>
      <c r="F57" s="466"/>
      <c r="G57" s="466"/>
      <c r="H57" s="466"/>
      <c r="I57" s="466"/>
      <c r="J57" s="466"/>
      <c r="K57" s="464"/>
      <c r="L57" s="464"/>
      <c r="M57" s="464"/>
      <c r="N57" s="467"/>
      <c r="O57" s="672"/>
      <c r="P57" s="673"/>
      <c r="Q57" s="673"/>
      <c r="R57" s="674"/>
      <c r="S57" s="672"/>
      <c r="T57" s="673"/>
      <c r="U57" s="673"/>
      <c r="V57" s="674"/>
      <c r="W57" s="512"/>
      <c r="X57" s="512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536"/>
    </row>
    <row r="58" spans="1:78" ht="15" customHeight="1" outlineLevel="1" x14ac:dyDescent="0.25">
      <c r="A58" s="404"/>
      <c r="B58" s="721"/>
      <c r="C58" s="668"/>
      <c r="D58" s="510"/>
      <c r="E58" s="510"/>
      <c r="F58" s="466"/>
      <c r="G58" s="466"/>
      <c r="H58" s="466"/>
      <c r="I58" s="466"/>
      <c r="J58" s="466"/>
      <c r="K58" s="464"/>
      <c r="L58" s="464"/>
      <c r="M58" s="464"/>
      <c r="N58" s="467"/>
      <c r="O58" s="672"/>
      <c r="P58" s="673"/>
      <c r="Q58" s="673"/>
      <c r="R58" s="674"/>
      <c r="S58" s="672"/>
      <c r="T58" s="673"/>
      <c r="U58" s="673"/>
      <c r="V58" s="674"/>
      <c r="W58" s="512"/>
      <c r="X58" s="512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536"/>
    </row>
    <row r="59" spans="1:78" ht="15.75" outlineLevel="1" thickBot="1" x14ac:dyDescent="0.3">
      <c r="B59" s="722"/>
      <c r="C59" s="723"/>
      <c r="D59" s="516"/>
      <c r="E59" s="516"/>
      <c r="F59" s="516"/>
      <c r="G59" s="516"/>
      <c r="H59" s="516"/>
      <c r="I59" s="516"/>
      <c r="J59" s="516"/>
      <c r="K59" s="470"/>
      <c r="L59" s="470"/>
      <c r="M59" s="470"/>
      <c r="N59" s="471"/>
      <c r="O59" s="675"/>
      <c r="P59" s="676"/>
      <c r="Q59" s="676"/>
      <c r="R59" s="677"/>
      <c r="S59" s="675"/>
      <c r="T59" s="676"/>
      <c r="U59" s="676"/>
      <c r="V59" s="677"/>
      <c r="BC59" s="536"/>
    </row>
    <row r="60" spans="1:78" ht="15" customHeight="1" x14ac:dyDescent="0.25"/>
    <row r="61" spans="1:78" ht="15" customHeight="1" x14ac:dyDescent="0.25"/>
    <row r="62" spans="1:78" ht="15" customHeight="1" thickBot="1" x14ac:dyDescent="0.3">
      <c r="A62" s="396"/>
      <c r="W62" s="414"/>
      <c r="X62" s="414"/>
      <c r="Y62" s="414"/>
      <c r="Z62" s="414"/>
      <c r="AA62" s="414"/>
      <c r="AB62" s="414"/>
      <c r="AC62" s="414"/>
      <c r="AD62" s="414"/>
      <c r="AE62" s="414"/>
      <c r="AF62" s="414"/>
      <c r="AG62" s="414"/>
      <c r="AH62" s="414"/>
    </row>
    <row r="63" spans="1:78" ht="24.95" customHeight="1" thickBot="1" x14ac:dyDescent="0.3">
      <c r="A63" s="396"/>
      <c r="B63" s="415">
        <v>3</v>
      </c>
      <c r="C63" s="838" t="s">
        <v>166</v>
      </c>
      <c r="D63" s="838"/>
      <c r="E63" s="838"/>
      <c r="F63" s="838"/>
      <c r="G63" s="838"/>
      <c r="H63" s="838"/>
      <c r="I63" s="838"/>
      <c r="J63" s="838"/>
      <c r="K63" s="838"/>
      <c r="L63" s="838"/>
      <c r="M63" s="838"/>
      <c r="N63" s="838"/>
      <c r="O63" s="416" t="s">
        <v>117</v>
      </c>
      <c r="P63" s="398" t="str">
        <f>IF(COUNTIF(F71:M96,"refused")&gt;0,"refused",IF(COUNTIF(F71:M96,"failed")&gt;0,"failed",IF(COUNTIF(F71:M96,"passed")&gt;0,"passed","-")))</f>
        <v>-</v>
      </c>
      <c r="Q63" s="399" t="s">
        <v>80</v>
      </c>
      <c r="R63" s="399" t="str">
        <f>IF(COUNT(F67:M68,F72:M73,F77:M78,F82:M83,F87:M88,F92:M93)&gt;0,"listed","not listed")</f>
        <v>not listed</v>
      </c>
      <c r="S63" s="511"/>
      <c r="T63" s="418"/>
      <c r="U63" s="418"/>
      <c r="V63" s="419"/>
      <c r="W63" s="414"/>
      <c r="X63" s="414"/>
      <c r="Y63" s="414"/>
      <c r="Z63" s="414"/>
      <c r="AA63" s="414"/>
      <c r="AB63" s="414"/>
      <c r="AC63" s="414"/>
      <c r="AD63" s="414"/>
      <c r="AE63" s="414"/>
      <c r="AF63" s="414"/>
      <c r="AG63" s="414"/>
      <c r="AH63" s="414"/>
    </row>
    <row r="64" spans="1:78" s="405" customFormat="1" ht="15" customHeight="1" outlineLevel="1" thickBot="1" x14ac:dyDescent="0.3">
      <c r="A64" s="396"/>
      <c r="B64" s="513"/>
      <c r="C64" s="514"/>
      <c r="D64" s="514"/>
      <c r="E64" s="514"/>
      <c r="F64" s="514"/>
      <c r="G64" s="514"/>
      <c r="H64" s="514"/>
      <c r="I64" s="514"/>
      <c r="J64" s="514"/>
      <c r="K64" s="421"/>
      <c r="L64" s="421"/>
      <c r="M64" s="421"/>
      <c r="N64" s="514"/>
      <c r="O64" s="514"/>
      <c r="P64" s="514"/>
      <c r="Q64" s="514"/>
      <c r="R64" s="514"/>
      <c r="S64" s="514"/>
      <c r="T64" s="422"/>
      <c r="U64" s="422"/>
      <c r="V64" s="423"/>
      <c r="W64" s="424"/>
      <c r="X64" s="424"/>
      <c r="Y64" s="698"/>
      <c r="Z64" s="698"/>
      <c r="AA64" s="698"/>
      <c r="AB64" s="698"/>
      <c r="AC64" s="698"/>
      <c r="AD64" s="698"/>
      <c r="AE64" s="698"/>
      <c r="AF64" s="698"/>
      <c r="AG64" s="698"/>
      <c r="AH64" s="698"/>
      <c r="AI64" s="401"/>
      <c r="AJ64" s="401"/>
      <c r="AK64" s="401"/>
      <c r="AL64" s="401"/>
      <c r="AM64" s="401"/>
      <c r="AN64" s="401"/>
      <c r="AO64" s="401"/>
      <c r="AP64" s="401"/>
      <c r="AQ64" s="401"/>
      <c r="AR64" s="401"/>
      <c r="AS64" s="401"/>
      <c r="AT64" s="401"/>
      <c r="AU64" s="401"/>
      <c r="AV64" s="401"/>
      <c r="AW64" s="401"/>
      <c r="AX64" s="401"/>
      <c r="AY64" s="401"/>
      <c r="AZ64" s="401"/>
      <c r="BA64" s="401"/>
      <c r="BB64" s="401"/>
      <c r="BC64" s="401"/>
      <c r="BU64" s="401"/>
      <c r="BV64" s="401"/>
      <c r="BW64" s="401"/>
      <c r="BX64" s="401"/>
      <c r="BY64" s="401"/>
      <c r="BZ64" s="401"/>
    </row>
    <row r="65" spans="1:78" s="405" customFormat="1" ht="15" customHeight="1" outlineLevel="1" thickBot="1" x14ac:dyDescent="0.3">
      <c r="A65" s="396"/>
      <c r="B65" s="695" t="s">
        <v>81</v>
      </c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7"/>
      <c r="O65" s="695" t="s">
        <v>82</v>
      </c>
      <c r="P65" s="696"/>
      <c r="Q65" s="696"/>
      <c r="R65" s="697"/>
      <c r="S65" s="695" t="s">
        <v>83</v>
      </c>
      <c r="T65" s="696"/>
      <c r="U65" s="696"/>
      <c r="V65" s="697"/>
      <c r="W65" s="512"/>
      <c r="X65" s="512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AI65" s="401"/>
      <c r="AJ65" s="401"/>
      <c r="AK65" s="401"/>
      <c r="AL65" s="401"/>
      <c r="AM65" s="401"/>
      <c r="AN65" s="401"/>
      <c r="AO65" s="401"/>
      <c r="AP65" s="401"/>
      <c r="AQ65" s="401"/>
      <c r="AR65" s="401"/>
      <c r="AS65" s="401"/>
      <c r="AT65" s="401"/>
      <c r="AU65" s="401"/>
      <c r="AV65" s="401"/>
      <c r="AW65" s="401"/>
      <c r="AX65" s="401"/>
      <c r="AY65" s="401"/>
      <c r="AZ65" s="401"/>
      <c r="BA65" s="401"/>
      <c r="BB65" s="401"/>
      <c r="BC65" s="401"/>
      <c r="BD65" s="429" t="s">
        <v>85</v>
      </c>
      <c r="BE65" s="430" t="str">
        <f>F$4</f>
        <v>NMHC 
[g/km]</v>
      </c>
      <c r="BF65" s="430" t="str">
        <f t="shared" ref="BF65:BL65" si="37">G$4</f>
        <v>THC
[g/km]</v>
      </c>
      <c r="BG65" s="430" t="str">
        <f t="shared" si="37"/>
        <v>CO
[g/km]</v>
      </c>
      <c r="BH65" s="430" t="str">
        <f t="shared" si="37"/>
        <v>NOx
[g/km]</v>
      </c>
      <c r="BI65" s="430" t="str">
        <f t="shared" si="37"/>
        <v>PM
[mg/km]</v>
      </c>
      <c r="BJ65" s="430" t="str">
        <f t="shared" si="37"/>
        <v>PN
[#/km]</v>
      </c>
      <c r="BK65" s="430" t="str">
        <f t="shared" si="37"/>
        <v>Additional
component</v>
      </c>
      <c r="BL65" s="430" t="str">
        <f t="shared" si="37"/>
        <v>Additional
component 2</v>
      </c>
      <c r="BU65" s="401"/>
      <c r="BV65" s="401"/>
      <c r="BW65" s="401"/>
      <c r="BX65" s="401"/>
      <c r="BY65" s="401"/>
      <c r="BZ65" s="401"/>
    </row>
    <row r="66" spans="1:78" s="405" customFormat="1" ht="35.1" customHeight="1" outlineLevel="1" thickBot="1" x14ac:dyDescent="0.3">
      <c r="A66" s="396"/>
      <c r="B66" s="709" t="s">
        <v>84</v>
      </c>
      <c r="C66" s="682"/>
      <c r="D66" s="682"/>
      <c r="E66" s="683"/>
      <c r="F66" s="425" t="s">
        <v>72</v>
      </c>
      <c r="G66" s="517" t="s">
        <v>73</v>
      </c>
      <c r="H66" s="425" t="s">
        <v>74</v>
      </c>
      <c r="I66" s="425" t="s">
        <v>75</v>
      </c>
      <c r="J66" s="425" t="s">
        <v>76</v>
      </c>
      <c r="K66" s="534" t="s">
        <v>170</v>
      </c>
      <c r="L66" s="535" t="str">
        <f>$L$4</f>
        <v>Additional
component</v>
      </c>
      <c r="M66" s="535" t="str">
        <f>$M$4</f>
        <v>Additional
component 2</v>
      </c>
      <c r="N66" s="425" t="s">
        <v>77</v>
      </c>
      <c r="O66" s="669"/>
      <c r="P66" s="670"/>
      <c r="Q66" s="670"/>
      <c r="R66" s="670"/>
      <c r="S66" s="669"/>
      <c r="T66" s="670"/>
      <c r="U66" s="670"/>
      <c r="V66" s="671"/>
      <c r="W66" s="512"/>
      <c r="X66" s="512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401"/>
      <c r="AJ66" s="401"/>
      <c r="AK66" s="401"/>
      <c r="AL66" s="401"/>
      <c r="AM66" s="401"/>
      <c r="AN66" s="401"/>
      <c r="AO66" s="401"/>
      <c r="AP66" s="401"/>
      <c r="AQ66" s="401"/>
      <c r="AR66" s="401"/>
      <c r="AS66" s="401"/>
      <c r="AT66" s="401"/>
      <c r="AU66" s="401"/>
      <c r="AV66" s="401"/>
      <c r="AW66" s="401"/>
      <c r="AX66" s="401"/>
      <c r="AY66" s="401"/>
      <c r="AZ66" s="401"/>
      <c r="BA66" s="401"/>
      <c r="BB66" s="401"/>
      <c r="BC66" s="536"/>
      <c r="BD66" s="429">
        <f>$E$4</f>
        <v>0</v>
      </c>
      <c r="BE66" s="435">
        <v>1</v>
      </c>
      <c r="BF66" s="435">
        <v>1</v>
      </c>
      <c r="BG66" s="435">
        <v>1</v>
      </c>
      <c r="BH66" s="435">
        <v>1</v>
      </c>
      <c r="BI66" s="435">
        <v>1</v>
      </c>
      <c r="BJ66" s="435">
        <v>1</v>
      </c>
      <c r="BK66" s="435">
        <v>2</v>
      </c>
      <c r="BL66" s="435">
        <v>3</v>
      </c>
      <c r="BU66" s="401"/>
      <c r="BV66" s="401"/>
      <c r="BW66" s="401"/>
      <c r="BX66" s="401"/>
      <c r="BY66" s="401"/>
      <c r="BZ66" s="401"/>
    </row>
    <row r="67" spans="1:78" s="405" customFormat="1" ht="15" customHeight="1" outlineLevel="1" x14ac:dyDescent="0.25">
      <c r="A67" s="396"/>
      <c r="B67" s="710" t="s">
        <v>125</v>
      </c>
      <c r="C67" s="684" t="s">
        <v>114</v>
      </c>
      <c r="D67" s="684" t="s">
        <v>113</v>
      </c>
      <c r="E67" s="453" t="s">
        <v>94</v>
      </c>
      <c r="F67" s="437" t="s">
        <v>5</v>
      </c>
      <c r="G67" s="437" t="s">
        <v>5</v>
      </c>
      <c r="H67" s="437" t="s">
        <v>5</v>
      </c>
      <c r="I67" s="437" t="s">
        <v>5</v>
      </c>
      <c r="J67" s="437" t="s">
        <v>5</v>
      </c>
      <c r="K67" s="438" t="s">
        <v>5</v>
      </c>
      <c r="L67" s="438" t="s">
        <v>5</v>
      </c>
      <c r="M67" s="438" t="s">
        <v>5</v>
      </c>
      <c r="N67" s="437" t="s">
        <v>5</v>
      </c>
      <c r="O67" s="672"/>
      <c r="P67" s="673"/>
      <c r="Q67" s="673"/>
      <c r="R67" s="673"/>
      <c r="S67" s="672"/>
      <c r="T67" s="673"/>
      <c r="U67" s="673"/>
      <c r="V67" s="674"/>
      <c r="W67" s="512"/>
      <c r="X67" s="512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401"/>
      <c r="AJ67" s="401"/>
      <c r="AK67" s="401"/>
      <c r="AL67" s="401"/>
      <c r="AM67" s="401"/>
      <c r="AN67" s="401"/>
      <c r="AO67" s="401"/>
      <c r="AP67" s="401"/>
      <c r="AQ67" s="401"/>
      <c r="AR67" s="401"/>
      <c r="AS67" s="401"/>
      <c r="AT67" s="401"/>
      <c r="AU67" s="401"/>
      <c r="AV67" s="401"/>
      <c r="AW67" s="401"/>
      <c r="AX67" s="401"/>
      <c r="AY67" s="401"/>
      <c r="AZ67" s="401"/>
      <c r="BA67" s="401"/>
      <c r="BB67" s="401"/>
      <c r="BC67" s="536"/>
      <c r="BD67" s="429" t="str">
        <f>"1st " &amp;  B67</f>
        <v>1st Drive Mode 1</v>
      </c>
      <c r="BE67" s="435" t="str">
        <f t="shared" ref="BE67:BL67" si="38">IF((OR($C69="-",$C69="CET",$C69="")),"-",IF(AND(OR(F67="-",F67=""),OR(F68="-",F68="")),"-",IF(NOT(OR(F67="-",F67="")),F67/F$5,F68/F$5)))</f>
        <v>-</v>
      </c>
      <c r="BF67" s="435" t="str">
        <f t="shared" si="38"/>
        <v>-</v>
      </c>
      <c r="BG67" s="435" t="str">
        <f t="shared" si="38"/>
        <v>-</v>
      </c>
      <c r="BH67" s="435" t="str">
        <f t="shared" si="38"/>
        <v>-</v>
      </c>
      <c r="BI67" s="435" t="str">
        <f t="shared" si="38"/>
        <v>-</v>
      </c>
      <c r="BJ67" s="435" t="str">
        <f t="shared" si="38"/>
        <v>-</v>
      </c>
      <c r="BK67" s="435" t="str">
        <f t="shared" si="38"/>
        <v>-</v>
      </c>
      <c r="BL67" s="435" t="str">
        <f t="shared" si="38"/>
        <v>-</v>
      </c>
      <c r="BU67" s="401"/>
      <c r="BV67" s="401"/>
      <c r="BW67" s="401"/>
      <c r="BX67" s="401"/>
      <c r="BY67" s="401"/>
      <c r="BZ67" s="401"/>
    </row>
    <row r="68" spans="1:78" s="405" customFormat="1" ht="15" customHeight="1" outlineLevel="1" thickBot="1" x14ac:dyDescent="0.3">
      <c r="A68" s="439"/>
      <c r="B68" s="711"/>
      <c r="C68" s="702"/>
      <c r="D68" s="685"/>
      <c r="E68" s="440" t="s">
        <v>95</v>
      </c>
      <c r="F68" s="441" t="s">
        <v>5</v>
      </c>
      <c r="G68" s="441" t="s">
        <v>5</v>
      </c>
      <c r="H68" s="441" t="s">
        <v>5</v>
      </c>
      <c r="I68" s="441" t="s">
        <v>5</v>
      </c>
      <c r="J68" s="441" t="s">
        <v>5</v>
      </c>
      <c r="K68" s="442" t="s">
        <v>5</v>
      </c>
      <c r="L68" s="442" t="s">
        <v>5</v>
      </c>
      <c r="M68" s="442" t="s">
        <v>5</v>
      </c>
      <c r="N68" s="441" t="s">
        <v>5</v>
      </c>
      <c r="O68" s="672"/>
      <c r="P68" s="673"/>
      <c r="Q68" s="673"/>
      <c r="R68" s="673"/>
      <c r="S68" s="672"/>
      <c r="T68" s="673"/>
      <c r="U68" s="673"/>
      <c r="V68" s="674"/>
      <c r="W68" s="443"/>
      <c r="X68" s="443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536"/>
      <c r="BD68" s="429" t="str">
        <f>"1st " &amp; B72</f>
        <v>1st Drive Mode 2</v>
      </c>
      <c r="BE68" s="435" t="str">
        <f t="shared" ref="BE68:BL68" si="39">IF((OR($C74="-",$C74="CET",$C74="")),"-",IF(AND(OR(F72="-",F72=""),OR(F73="-",F73="")),"-",IF(NOT(OR(F72="-",F72="")),F72/F$5,F73/F$5)))</f>
        <v>-</v>
      </c>
      <c r="BF68" s="435" t="str">
        <f t="shared" si="39"/>
        <v>-</v>
      </c>
      <c r="BG68" s="435" t="str">
        <f t="shared" si="39"/>
        <v>-</v>
      </c>
      <c r="BH68" s="435" t="str">
        <f t="shared" si="39"/>
        <v>-</v>
      </c>
      <c r="BI68" s="435" t="str">
        <f t="shared" si="39"/>
        <v>-</v>
      </c>
      <c r="BJ68" s="435" t="str">
        <f t="shared" si="39"/>
        <v>-</v>
      </c>
      <c r="BK68" s="435" t="str">
        <f t="shared" si="39"/>
        <v>-</v>
      </c>
      <c r="BL68" s="435" t="str">
        <f t="shared" si="39"/>
        <v>-</v>
      </c>
    </row>
    <row r="69" spans="1:78" s="405" customFormat="1" ht="15" customHeight="1" outlineLevel="1" thickBot="1" x14ac:dyDescent="0.3">
      <c r="A69" s="396"/>
      <c r="B69" s="711"/>
      <c r="C69" s="686">
        <v>1</v>
      </c>
      <c r="D69" s="689" t="str">
        <f>IF(AND(F69="-",G69="-",H69="-",I69="-",J69="-",K69="-",L69="-",M69="-"),"-",MAX(F69,G69,H69,I69,J69,K69,L69,M69))</f>
        <v>-</v>
      </c>
      <c r="E69" s="444" t="s">
        <v>177</v>
      </c>
      <c r="F69" s="445" t="str">
        <f t="shared" ref="F69:M69" si="40">IF(OR(F68="-",F68=""),IF(OR(F67="-",F67=""),"-",F67),IF(OR(F67="-",F67=""),F68,(F67+F68)/2))</f>
        <v>-</v>
      </c>
      <c r="G69" s="445" t="str">
        <f t="shared" si="40"/>
        <v>-</v>
      </c>
      <c r="H69" s="445" t="str">
        <f t="shared" si="40"/>
        <v>-</v>
      </c>
      <c r="I69" s="445" t="str">
        <f t="shared" si="40"/>
        <v>-</v>
      </c>
      <c r="J69" s="445" t="str">
        <f t="shared" si="40"/>
        <v>-</v>
      </c>
      <c r="K69" s="446" t="str">
        <f t="shared" si="40"/>
        <v>-</v>
      </c>
      <c r="L69" s="446" t="str">
        <f t="shared" si="40"/>
        <v>-</v>
      </c>
      <c r="M69" s="446" t="str">
        <f t="shared" si="40"/>
        <v>-</v>
      </c>
      <c r="N69" s="828"/>
      <c r="O69" s="672"/>
      <c r="P69" s="673"/>
      <c r="Q69" s="673"/>
      <c r="R69" s="673"/>
      <c r="S69" s="672"/>
      <c r="T69" s="673"/>
      <c r="U69" s="673"/>
      <c r="V69" s="674"/>
      <c r="W69" s="512"/>
      <c r="X69" s="512"/>
      <c r="Y69" s="678"/>
      <c r="Z69" s="678"/>
      <c r="AA69" s="678"/>
      <c r="AB69" s="678"/>
      <c r="AC69" s="678"/>
      <c r="AD69" s="678"/>
      <c r="AE69" s="678"/>
      <c r="AF69" s="678"/>
      <c r="AG69" s="678"/>
      <c r="AH69" s="678"/>
      <c r="AI69" s="401"/>
      <c r="AJ69" s="401"/>
      <c r="AK69" s="401"/>
      <c r="AL69" s="401"/>
      <c r="AM69" s="401"/>
      <c r="AN69" s="401"/>
      <c r="AO69" s="401"/>
      <c r="AP69" s="401"/>
      <c r="AQ69" s="401"/>
      <c r="AR69" s="401"/>
      <c r="AS69" s="401"/>
      <c r="AT69" s="401"/>
      <c r="AU69" s="401"/>
      <c r="AV69" s="401"/>
      <c r="AW69" s="401"/>
      <c r="AX69" s="401"/>
      <c r="AY69" s="401"/>
      <c r="AZ69" s="401"/>
      <c r="BA69" s="401"/>
      <c r="BB69" s="401"/>
      <c r="BC69" s="536"/>
      <c r="BD69" s="429" t="str">
        <f>"1st " &amp; B77</f>
        <v>1st Drive Mode 3</v>
      </c>
      <c r="BE69" s="435" t="str">
        <f t="shared" ref="BE69:BL69" si="41">IF((OR($C79="-",$C79="CET",$C79="")),"-",IF(AND(OR(F77="-",F77=""),OR(F78="-",F78="")),"-",IF(NOT(OR(F77="-",F77="")),F77/F$5,F78/F$5)))</f>
        <v>-</v>
      </c>
      <c r="BF69" s="435" t="str">
        <f t="shared" si="41"/>
        <v>-</v>
      </c>
      <c r="BG69" s="435" t="str">
        <f t="shared" si="41"/>
        <v>-</v>
      </c>
      <c r="BH69" s="435" t="str">
        <f t="shared" si="41"/>
        <v>-</v>
      </c>
      <c r="BI69" s="435" t="str">
        <f t="shared" si="41"/>
        <v>-</v>
      </c>
      <c r="BJ69" s="435" t="str">
        <f t="shared" si="41"/>
        <v>-</v>
      </c>
      <c r="BK69" s="435" t="str">
        <f t="shared" si="41"/>
        <v>-</v>
      </c>
      <c r="BL69" s="435" t="str">
        <f t="shared" si="41"/>
        <v>-</v>
      </c>
      <c r="BU69" s="401"/>
      <c r="BV69" s="401"/>
      <c r="BW69" s="401"/>
      <c r="BX69" s="401"/>
      <c r="BY69" s="401"/>
      <c r="BZ69" s="401"/>
    </row>
    <row r="70" spans="1:78" s="405" customFormat="1" ht="15" customHeight="1" outlineLevel="1" thickBot="1" x14ac:dyDescent="0.3">
      <c r="A70" s="396"/>
      <c r="B70" s="711"/>
      <c r="C70" s="687"/>
      <c r="D70" s="690"/>
      <c r="E70" s="447" t="s">
        <v>97</v>
      </c>
      <c r="F70" s="448" t="e">
        <f t="shared" ref="F70:M70" si="42">IF(OR($C69="-",$C69="CET",$C69=""),"-",IF(AND(NOT(F69="-"),NOT(F$5="-"),NOT(F$5="")),F69/F$5,"-"))</f>
        <v>#N/A</v>
      </c>
      <c r="G70" s="448" t="e">
        <f t="shared" si="42"/>
        <v>#N/A</v>
      </c>
      <c r="H70" s="448" t="e">
        <f t="shared" si="42"/>
        <v>#N/A</v>
      </c>
      <c r="I70" s="448" t="e">
        <f t="shared" si="42"/>
        <v>#N/A</v>
      </c>
      <c r="J70" s="448" t="e">
        <f t="shared" si="42"/>
        <v>#N/A</v>
      </c>
      <c r="K70" s="449" t="e">
        <f t="shared" si="42"/>
        <v>#N/A</v>
      </c>
      <c r="L70" s="449" t="e">
        <f t="shared" si="42"/>
        <v>#N/A</v>
      </c>
      <c r="M70" s="449" t="e">
        <f t="shared" si="42"/>
        <v>#N/A</v>
      </c>
      <c r="N70" s="702"/>
      <c r="O70" s="672"/>
      <c r="P70" s="673"/>
      <c r="Q70" s="673"/>
      <c r="R70" s="673"/>
      <c r="S70" s="672"/>
      <c r="T70" s="673"/>
      <c r="U70" s="673"/>
      <c r="V70" s="674"/>
      <c r="W70" s="512"/>
      <c r="X70" s="512"/>
      <c r="Y70" s="678"/>
      <c r="Z70" s="678"/>
      <c r="AA70" s="678"/>
      <c r="AB70" s="678"/>
      <c r="AC70" s="678"/>
      <c r="AD70" s="678"/>
      <c r="AE70" s="678"/>
      <c r="AF70" s="678"/>
      <c r="AG70" s="678"/>
      <c r="AH70" s="678"/>
      <c r="AI70" s="401"/>
      <c r="AJ70" s="401"/>
      <c r="AK70" s="401"/>
      <c r="AL70" s="401"/>
      <c r="AM70" s="401"/>
      <c r="AN70" s="401"/>
      <c r="AO70" s="401"/>
      <c r="AP70" s="401"/>
      <c r="AQ70" s="401"/>
      <c r="AR70" s="401"/>
      <c r="AS70" s="401"/>
      <c r="AT70" s="401"/>
      <c r="AU70" s="401"/>
      <c r="AV70" s="401"/>
      <c r="AW70" s="401"/>
      <c r="AX70" s="401"/>
      <c r="AY70" s="401"/>
      <c r="AZ70" s="401"/>
      <c r="BA70" s="401"/>
      <c r="BB70" s="401"/>
      <c r="BC70" s="536"/>
      <c r="BD70" s="429" t="str">
        <f>"1st " &amp; B82</f>
        <v>1st Drive Mode 4</v>
      </c>
      <c r="BE70" s="435" t="str">
        <f t="shared" ref="BE70:BL70" si="43">IF((OR($C84="-",$C84="CET",$C84="")),"-",IF(AND(OR(F82="-",F82=""),OR(F83="-",F83="")),"-",IF(NOT(OR(F82="-",F82="")),F82/F$5,F83/F$5)))</f>
        <v>-</v>
      </c>
      <c r="BF70" s="435" t="str">
        <f t="shared" si="43"/>
        <v>-</v>
      </c>
      <c r="BG70" s="435" t="str">
        <f t="shared" si="43"/>
        <v>-</v>
      </c>
      <c r="BH70" s="435" t="str">
        <f t="shared" si="43"/>
        <v>-</v>
      </c>
      <c r="BI70" s="435" t="str">
        <f t="shared" si="43"/>
        <v>-</v>
      </c>
      <c r="BJ70" s="435" t="str">
        <f t="shared" si="43"/>
        <v>-</v>
      </c>
      <c r="BK70" s="435" t="str">
        <f t="shared" si="43"/>
        <v>-</v>
      </c>
      <c r="BL70" s="435" t="str">
        <f t="shared" si="43"/>
        <v>-</v>
      </c>
      <c r="BU70" s="401"/>
      <c r="BV70" s="401"/>
      <c r="BW70" s="401"/>
      <c r="BX70" s="401"/>
      <c r="BY70" s="401"/>
      <c r="BZ70" s="401"/>
    </row>
    <row r="71" spans="1:78" s="405" customFormat="1" ht="15" customHeight="1" outlineLevel="1" thickBot="1" x14ac:dyDescent="0.3">
      <c r="A71" s="396"/>
      <c r="B71" s="712"/>
      <c r="C71" s="688"/>
      <c r="D71" s="691"/>
      <c r="E71" s="450" t="s">
        <v>30</v>
      </c>
      <c r="F71" s="451" t="str">
        <f t="shared" ref="F71:M71" si="44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451" t="str">
        <f t="shared" si="44"/>
        <v>-</v>
      </c>
      <c r="H71" s="451" t="str">
        <f t="shared" si="44"/>
        <v>-</v>
      </c>
      <c r="I71" s="451" t="str">
        <f t="shared" si="44"/>
        <v>-</v>
      </c>
      <c r="J71" s="451" t="str">
        <f t="shared" si="44"/>
        <v>-</v>
      </c>
      <c r="K71" s="452" t="str">
        <f t="shared" si="44"/>
        <v>-</v>
      </c>
      <c r="L71" s="452" t="str">
        <f t="shared" si="44"/>
        <v>-</v>
      </c>
      <c r="M71" s="452" t="str">
        <f t="shared" si="44"/>
        <v>-</v>
      </c>
      <c r="N71" s="685"/>
      <c r="O71" s="672"/>
      <c r="P71" s="673"/>
      <c r="Q71" s="673"/>
      <c r="R71" s="673"/>
      <c r="S71" s="672"/>
      <c r="T71" s="673"/>
      <c r="U71" s="673"/>
      <c r="V71" s="674"/>
      <c r="W71" s="512"/>
      <c r="X71" s="512"/>
      <c r="Y71" s="678"/>
      <c r="Z71" s="678"/>
      <c r="AA71" s="678"/>
      <c r="AB71" s="678"/>
      <c r="AC71" s="678"/>
      <c r="AD71" s="678"/>
      <c r="AE71" s="678"/>
      <c r="AF71" s="678"/>
      <c r="AG71" s="678"/>
      <c r="AH71" s="678"/>
      <c r="AI71" s="401"/>
      <c r="AJ71" s="401"/>
      <c r="AK71" s="401"/>
      <c r="AL71" s="401"/>
      <c r="AM71" s="401"/>
      <c r="AN71" s="401"/>
      <c r="AO71" s="401"/>
      <c r="AP71" s="401"/>
      <c r="AQ71" s="401"/>
      <c r="AR71" s="401"/>
      <c r="AS71" s="401"/>
      <c r="AT71" s="401"/>
      <c r="AU71" s="401"/>
      <c r="AV71" s="401"/>
      <c r="AW71" s="401"/>
      <c r="AX71" s="401"/>
      <c r="AY71" s="401"/>
      <c r="AZ71" s="401"/>
      <c r="BA71" s="401"/>
      <c r="BB71" s="401"/>
      <c r="BC71" s="399" t="str">
        <f>IF(COUNTIF(F71:M71,"refused")&gt;0,"refused",IF(COUNTIF(F71:M71,"failed")&gt;0,"failed",IF(COUNTIF(F71:M71,"passed")&gt;0,"passed","-")))</f>
        <v>-</v>
      </c>
      <c r="BD71" s="429" t="str">
        <f>"1st " &amp; B87</f>
        <v>1st Drive Mode 5</v>
      </c>
      <c r="BE71" s="435" t="str">
        <f t="shared" ref="BE71:BL71" si="45">IF((OR($C89="-",$C89="CET",$C89="")),"-",IF(AND(OR(F87="-",F87=""),OR(F88="-",F88="")),"-",IF(NOT(OR(F87="-",F87="")),F87/F$5,F88/F$5)))</f>
        <v>-</v>
      </c>
      <c r="BF71" s="435" t="str">
        <f t="shared" si="45"/>
        <v>-</v>
      </c>
      <c r="BG71" s="435" t="str">
        <f t="shared" si="45"/>
        <v>-</v>
      </c>
      <c r="BH71" s="435" t="str">
        <f t="shared" si="45"/>
        <v>-</v>
      </c>
      <c r="BI71" s="435" t="str">
        <f t="shared" si="45"/>
        <v>-</v>
      </c>
      <c r="BJ71" s="435" t="str">
        <f t="shared" si="45"/>
        <v>-</v>
      </c>
      <c r="BK71" s="435" t="str">
        <f t="shared" si="45"/>
        <v>-</v>
      </c>
      <c r="BL71" s="435" t="str">
        <f t="shared" si="45"/>
        <v>-</v>
      </c>
      <c r="BU71" s="401"/>
      <c r="BV71" s="401"/>
      <c r="BW71" s="401"/>
      <c r="BX71" s="401"/>
      <c r="BY71" s="401"/>
      <c r="BZ71" s="401"/>
    </row>
    <row r="72" spans="1:78" s="405" customFormat="1" ht="15" customHeight="1" outlineLevel="1" x14ac:dyDescent="0.25">
      <c r="A72" s="396"/>
      <c r="B72" s="710" t="s">
        <v>124</v>
      </c>
      <c r="C72" s="684" t="s">
        <v>114</v>
      </c>
      <c r="D72" s="684" t="s">
        <v>113</v>
      </c>
      <c r="E72" s="453" t="s">
        <v>94</v>
      </c>
      <c r="F72" s="437" t="s">
        <v>5</v>
      </c>
      <c r="G72" s="437" t="s">
        <v>5</v>
      </c>
      <c r="H72" s="437" t="s">
        <v>5</v>
      </c>
      <c r="I72" s="437" t="s">
        <v>5</v>
      </c>
      <c r="J72" s="437" t="s">
        <v>5</v>
      </c>
      <c r="K72" s="438" t="s">
        <v>5</v>
      </c>
      <c r="L72" s="438" t="s">
        <v>5</v>
      </c>
      <c r="M72" s="438" t="s">
        <v>5</v>
      </c>
      <c r="N72" s="437" t="s">
        <v>5</v>
      </c>
      <c r="O72" s="672"/>
      <c r="P72" s="673"/>
      <c r="Q72" s="673"/>
      <c r="R72" s="673"/>
      <c r="S72" s="672"/>
      <c r="T72" s="673"/>
      <c r="U72" s="673"/>
      <c r="V72" s="674"/>
      <c r="W72" s="512"/>
      <c r="X72" s="512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401"/>
      <c r="AJ72" s="401"/>
      <c r="AK72" s="401"/>
      <c r="AL72" s="401"/>
      <c r="AM72" s="401"/>
      <c r="AN72" s="401"/>
      <c r="AO72" s="401"/>
      <c r="AP72" s="401"/>
      <c r="AQ72" s="401"/>
      <c r="AR72" s="401"/>
      <c r="AS72" s="401"/>
      <c r="AT72" s="401"/>
      <c r="AU72" s="401"/>
      <c r="AV72" s="401"/>
      <c r="AW72" s="401"/>
      <c r="AX72" s="401"/>
      <c r="AY72" s="401"/>
      <c r="AZ72" s="401"/>
      <c r="BA72" s="401"/>
      <c r="BB72" s="401"/>
      <c r="BC72" s="536"/>
      <c r="BD72" s="429" t="str">
        <f>"1st " &amp; B92</f>
        <v>1st Drive Mode 6</v>
      </c>
      <c r="BE72" s="435" t="str">
        <f t="shared" ref="BE72:BL72" si="46">IF((OR($C94="-",$C94="CET",$C94="")),"-",IF(AND(OR(F92="-",F92=""),OR(F93="-",F93="")),"-",IF(NOT(OR(F92="-",F92="")),F92/F$5,F93/F$5)))</f>
        <v>-</v>
      </c>
      <c r="BF72" s="435" t="str">
        <f t="shared" si="46"/>
        <v>-</v>
      </c>
      <c r="BG72" s="435" t="str">
        <f t="shared" si="46"/>
        <v>-</v>
      </c>
      <c r="BH72" s="435" t="str">
        <f t="shared" si="46"/>
        <v>-</v>
      </c>
      <c r="BI72" s="435" t="str">
        <f t="shared" si="46"/>
        <v>-</v>
      </c>
      <c r="BJ72" s="435" t="str">
        <f t="shared" si="46"/>
        <v>-</v>
      </c>
      <c r="BK72" s="435" t="str">
        <f t="shared" si="46"/>
        <v>-</v>
      </c>
      <c r="BL72" s="435" t="str">
        <f t="shared" si="46"/>
        <v>-</v>
      </c>
      <c r="BU72" s="401"/>
      <c r="BV72" s="401"/>
      <c r="BW72" s="401"/>
      <c r="BX72" s="401"/>
      <c r="BY72" s="401"/>
      <c r="BZ72" s="401"/>
    </row>
    <row r="73" spans="1:78" s="405" customFormat="1" ht="15" customHeight="1" outlineLevel="1" thickBot="1" x14ac:dyDescent="0.3">
      <c r="A73" s="439"/>
      <c r="B73" s="711"/>
      <c r="C73" s="702"/>
      <c r="D73" s="685"/>
      <c r="E73" s="440" t="s">
        <v>95</v>
      </c>
      <c r="F73" s="441" t="s">
        <v>5</v>
      </c>
      <c r="G73" s="441" t="s">
        <v>5</v>
      </c>
      <c r="H73" s="441" t="s">
        <v>5</v>
      </c>
      <c r="I73" s="441" t="s">
        <v>5</v>
      </c>
      <c r="J73" s="441" t="s">
        <v>5</v>
      </c>
      <c r="K73" s="442" t="s">
        <v>5</v>
      </c>
      <c r="L73" s="442" t="s">
        <v>5</v>
      </c>
      <c r="M73" s="442" t="s">
        <v>5</v>
      </c>
      <c r="N73" s="441" t="s">
        <v>5</v>
      </c>
      <c r="O73" s="672"/>
      <c r="P73" s="673"/>
      <c r="Q73" s="673"/>
      <c r="R73" s="673"/>
      <c r="S73" s="672"/>
      <c r="T73" s="673"/>
      <c r="U73" s="673"/>
      <c r="V73" s="674"/>
      <c r="W73" s="443"/>
      <c r="X73" s="443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BC73" s="536"/>
      <c r="BD73" s="429" t="str">
        <f>"0.7*IEF " &amp; (B67)</f>
        <v>0.7*IEF Drive Mode 1</v>
      </c>
      <c r="BE73" s="435">
        <f t="shared" ref="BE73:BL73" si="47">IF(OR($C69="-",$C69="CET",$C69=""),"-",0.7*$C69)</f>
        <v>0.7</v>
      </c>
      <c r="BF73" s="435">
        <f t="shared" si="47"/>
        <v>0.7</v>
      </c>
      <c r="BG73" s="435">
        <f t="shared" si="47"/>
        <v>0.7</v>
      </c>
      <c r="BH73" s="435">
        <f t="shared" si="47"/>
        <v>0.7</v>
      </c>
      <c r="BI73" s="435">
        <f t="shared" si="47"/>
        <v>0.7</v>
      </c>
      <c r="BJ73" s="435">
        <f t="shared" si="47"/>
        <v>0.7</v>
      </c>
      <c r="BK73" s="435">
        <f t="shared" si="47"/>
        <v>0.7</v>
      </c>
      <c r="BL73" s="435">
        <f t="shared" si="47"/>
        <v>0.7</v>
      </c>
    </row>
    <row r="74" spans="1:78" s="405" customFormat="1" ht="15" customHeight="1" outlineLevel="1" thickBot="1" x14ac:dyDescent="0.3">
      <c r="A74" s="396"/>
      <c r="B74" s="711"/>
      <c r="C74" s="686">
        <v>1</v>
      </c>
      <c r="D74" s="689" t="str">
        <f>IF(AND(F74="-",G74="-",H74="-",I74="-",J74="-",K74="-",L74="-",M74="-"),"-",MAX(F74,G74,H74,I74,J74,K74,L74,M74))</f>
        <v>-</v>
      </c>
      <c r="E74" s="444" t="s">
        <v>177</v>
      </c>
      <c r="F74" s="445" t="str">
        <f t="shared" ref="F74:M74" si="48">IF(OR(F73="-",F73=""),IF(OR(F72="-",F72=""),"-",F72),IF(OR(F72="-",F72=""),F73,(F72+F73)/2))</f>
        <v>-</v>
      </c>
      <c r="G74" s="445" t="str">
        <f t="shared" si="48"/>
        <v>-</v>
      </c>
      <c r="H74" s="445" t="str">
        <f t="shared" si="48"/>
        <v>-</v>
      </c>
      <c r="I74" s="445" t="str">
        <f t="shared" si="48"/>
        <v>-</v>
      </c>
      <c r="J74" s="445" t="str">
        <f t="shared" si="48"/>
        <v>-</v>
      </c>
      <c r="K74" s="446" t="str">
        <f t="shared" si="48"/>
        <v>-</v>
      </c>
      <c r="L74" s="446" t="str">
        <f t="shared" si="48"/>
        <v>-</v>
      </c>
      <c r="M74" s="446" t="str">
        <f t="shared" si="48"/>
        <v>-</v>
      </c>
      <c r="N74" s="828"/>
      <c r="O74" s="672"/>
      <c r="P74" s="673"/>
      <c r="Q74" s="673"/>
      <c r="R74" s="673"/>
      <c r="S74" s="672"/>
      <c r="T74" s="673"/>
      <c r="U74" s="673"/>
      <c r="V74" s="674"/>
      <c r="W74" s="512"/>
      <c r="X74" s="512"/>
      <c r="Y74" s="678"/>
      <c r="Z74" s="678"/>
      <c r="AA74" s="678"/>
      <c r="AB74" s="678"/>
      <c r="AC74" s="678"/>
      <c r="AD74" s="678"/>
      <c r="AE74" s="678"/>
      <c r="AF74" s="678"/>
      <c r="AG74" s="678"/>
      <c r="AH74" s="678"/>
      <c r="AI74" s="401"/>
      <c r="AJ74" s="401"/>
      <c r="AK74" s="401"/>
      <c r="AL74" s="401"/>
      <c r="AM74" s="401"/>
      <c r="AN74" s="401"/>
      <c r="AO74" s="401"/>
      <c r="AP74" s="401"/>
      <c r="AQ74" s="401"/>
      <c r="AR74" s="401"/>
      <c r="AS74" s="401"/>
      <c r="AT74" s="401"/>
      <c r="AU74" s="401"/>
      <c r="AV74" s="401"/>
      <c r="AW74" s="401"/>
      <c r="AX74" s="401"/>
      <c r="AY74" s="401"/>
      <c r="AZ74" s="401"/>
      <c r="BA74" s="401"/>
      <c r="BB74" s="401"/>
      <c r="BC74" s="536"/>
      <c r="BD74" s="429" t="str">
        <f>"0.7*IEF " &amp; B72</f>
        <v>0.7*IEF Drive Mode 2</v>
      </c>
      <c r="BE74" s="435">
        <f t="shared" ref="BE74:BL74" si="49">IF(OR($C74="-",$C74="CET",$C74=""),"-",0.7*$C74)</f>
        <v>0.7</v>
      </c>
      <c r="BF74" s="435">
        <f t="shared" si="49"/>
        <v>0.7</v>
      </c>
      <c r="BG74" s="435">
        <f t="shared" si="49"/>
        <v>0.7</v>
      </c>
      <c r="BH74" s="435">
        <f t="shared" si="49"/>
        <v>0.7</v>
      </c>
      <c r="BI74" s="435">
        <f t="shared" si="49"/>
        <v>0.7</v>
      </c>
      <c r="BJ74" s="435">
        <f t="shared" si="49"/>
        <v>0.7</v>
      </c>
      <c r="BK74" s="435">
        <f t="shared" si="49"/>
        <v>0.7</v>
      </c>
      <c r="BL74" s="435">
        <f t="shared" si="49"/>
        <v>0.7</v>
      </c>
      <c r="BU74" s="401"/>
      <c r="BV74" s="401"/>
      <c r="BW74" s="401"/>
      <c r="BX74" s="401"/>
      <c r="BY74" s="401"/>
      <c r="BZ74" s="401"/>
    </row>
    <row r="75" spans="1:78" s="405" customFormat="1" ht="15" customHeight="1" outlineLevel="1" thickBot="1" x14ac:dyDescent="0.3">
      <c r="A75" s="396"/>
      <c r="B75" s="711"/>
      <c r="C75" s="687"/>
      <c r="D75" s="690"/>
      <c r="E75" s="447" t="s">
        <v>97</v>
      </c>
      <c r="F75" s="448" t="e">
        <f t="shared" ref="F75:M75" si="50">IF(OR($C74="-",$C74="CET",$C74=""),"-",IF(AND(NOT(F74="-"),NOT(F$5="-"),NOT(F$5="")),F74/F$5,"-"))</f>
        <v>#N/A</v>
      </c>
      <c r="G75" s="448" t="e">
        <f t="shared" si="50"/>
        <v>#N/A</v>
      </c>
      <c r="H75" s="448" t="e">
        <f t="shared" si="50"/>
        <v>#N/A</v>
      </c>
      <c r="I75" s="448" t="e">
        <f t="shared" si="50"/>
        <v>#N/A</v>
      </c>
      <c r="J75" s="448" t="e">
        <f t="shared" si="50"/>
        <v>#N/A</v>
      </c>
      <c r="K75" s="449" t="e">
        <f t="shared" si="50"/>
        <v>#N/A</v>
      </c>
      <c r="L75" s="449" t="e">
        <f t="shared" si="50"/>
        <v>#N/A</v>
      </c>
      <c r="M75" s="449" t="e">
        <f t="shared" si="50"/>
        <v>#N/A</v>
      </c>
      <c r="N75" s="702"/>
      <c r="O75" s="672"/>
      <c r="P75" s="673"/>
      <c r="Q75" s="673"/>
      <c r="R75" s="673"/>
      <c r="S75" s="672"/>
      <c r="T75" s="673"/>
      <c r="U75" s="673"/>
      <c r="V75" s="674"/>
      <c r="W75" s="512"/>
      <c r="X75" s="512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AI75" s="401"/>
      <c r="AJ75" s="401"/>
      <c r="AK75" s="401"/>
      <c r="AL75" s="401"/>
      <c r="AM75" s="401"/>
      <c r="AN75" s="401"/>
      <c r="AO75" s="401"/>
      <c r="AP75" s="401"/>
      <c r="AQ75" s="401"/>
      <c r="AR75" s="401"/>
      <c r="AS75" s="401"/>
      <c r="AT75" s="401"/>
      <c r="AU75" s="401"/>
      <c r="AV75" s="401"/>
      <c r="AW75" s="401"/>
      <c r="AX75" s="401"/>
      <c r="AY75" s="401"/>
      <c r="AZ75" s="401"/>
      <c r="BA75" s="401"/>
      <c r="BB75" s="401"/>
      <c r="BC75" s="536"/>
      <c r="BD75" s="429" t="str">
        <f>"0.7*IEF " &amp; B77</f>
        <v>0.7*IEF Drive Mode 3</v>
      </c>
      <c r="BE75" s="435">
        <f t="shared" ref="BE75:BL75" si="51">IF(OR($C79="-",$C79="CET",$C79=""),"-",0.7*$C79)</f>
        <v>0.7</v>
      </c>
      <c r="BF75" s="435">
        <f t="shared" si="51"/>
        <v>0.7</v>
      </c>
      <c r="BG75" s="435">
        <f t="shared" si="51"/>
        <v>0.7</v>
      </c>
      <c r="BH75" s="435">
        <f t="shared" si="51"/>
        <v>0.7</v>
      </c>
      <c r="BI75" s="435">
        <f t="shared" si="51"/>
        <v>0.7</v>
      </c>
      <c r="BJ75" s="435">
        <f t="shared" si="51"/>
        <v>0.7</v>
      </c>
      <c r="BK75" s="435">
        <f t="shared" si="51"/>
        <v>0.7</v>
      </c>
      <c r="BL75" s="435">
        <f t="shared" si="51"/>
        <v>0.7</v>
      </c>
      <c r="BU75" s="401"/>
      <c r="BV75" s="401"/>
      <c r="BW75" s="401"/>
      <c r="BX75" s="401"/>
      <c r="BY75" s="401"/>
      <c r="BZ75" s="401"/>
    </row>
    <row r="76" spans="1:78" s="405" customFormat="1" ht="15" customHeight="1" outlineLevel="1" thickBot="1" x14ac:dyDescent="0.3">
      <c r="A76" s="404"/>
      <c r="B76" s="712"/>
      <c r="C76" s="688"/>
      <c r="D76" s="691"/>
      <c r="E76" s="451" t="s">
        <v>30</v>
      </c>
      <c r="F76" s="451" t="str">
        <f t="shared" ref="F76:M76" si="52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451" t="str">
        <f t="shared" si="52"/>
        <v>-</v>
      </c>
      <c r="H76" s="451" t="str">
        <f t="shared" si="52"/>
        <v>-</v>
      </c>
      <c r="I76" s="451" t="str">
        <f t="shared" si="52"/>
        <v>-</v>
      </c>
      <c r="J76" s="451" t="str">
        <f t="shared" si="52"/>
        <v>-</v>
      </c>
      <c r="K76" s="452" t="str">
        <f t="shared" si="52"/>
        <v>-</v>
      </c>
      <c r="L76" s="452" t="str">
        <f t="shared" si="52"/>
        <v>-</v>
      </c>
      <c r="M76" s="452" t="str">
        <f t="shared" si="52"/>
        <v>-</v>
      </c>
      <c r="N76" s="685"/>
      <c r="O76" s="672"/>
      <c r="P76" s="673"/>
      <c r="Q76" s="673"/>
      <c r="R76" s="673"/>
      <c r="S76" s="672"/>
      <c r="T76" s="673"/>
      <c r="U76" s="673"/>
      <c r="V76" s="674"/>
      <c r="W76" s="512"/>
      <c r="X76" s="512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AI76" s="401"/>
      <c r="AJ76" s="401"/>
      <c r="AK76" s="401"/>
      <c r="AL76" s="401"/>
      <c r="AM76" s="401"/>
      <c r="AN76" s="401"/>
      <c r="AO76" s="401"/>
      <c r="AP76" s="401"/>
      <c r="AQ76" s="401"/>
      <c r="AR76" s="401"/>
      <c r="AS76" s="401"/>
      <c r="AT76" s="401"/>
      <c r="AU76" s="401"/>
      <c r="AV76" s="401"/>
      <c r="AW76" s="401"/>
      <c r="AX76" s="401"/>
      <c r="AY76" s="401"/>
      <c r="AZ76" s="401"/>
      <c r="BA76" s="401"/>
      <c r="BB76" s="401"/>
      <c r="BC76" s="399" t="str">
        <f>IF(COUNTIF(F76:M76,"refused")&gt;0,"refused",IF(COUNTIF(F76:M76,"failed")&gt;0,"failed",IF(COUNTIF(F76:M76,"passed")&gt;0,"passed","-")))</f>
        <v>-</v>
      </c>
      <c r="BD76" s="429" t="str">
        <f>"0.7*IEF " &amp; B82</f>
        <v>0.7*IEF Drive Mode 4</v>
      </c>
      <c r="BE76" s="435">
        <f t="shared" ref="BE76:BL76" si="53">IF(OR($C84="-",$C84="CET",$C84=""),"-",0.7*$C84)</f>
        <v>0.7</v>
      </c>
      <c r="BF76" s="435">
        <f t="shared" si="53"/>
        <v>0.7</v>
      </c>
      <c r="BG76" s="435">
        <f t="shared" si="53"/>
        <v>0.7</v>
      </c>
      <c r="BH76" s="435">
        <f t="shared" si="53"/>
        <v>0.7</v>
      </c>
      <c r="BI76" s="435">
        <f t="shared" si="53"/>
        <v>0.7</v>
      </c>
      <c r="BJ76" s="435">
        <f t="shared" si="53"/>
        <v>0.7</v>
      </c>
      <c r="BK76" s="435">
        <f t="shared" si="53"/>
        <v>0.7</v>
      </c>
      <c r="BL76" s="435">
        <f t="shared" si="53"/>
        <v>0.7</v>
      </c>
      <c r="BU76" s="401"/>
      <c r="BV76" s="401"/>
      <c r="BW76" s="401"/>
      <c r="BX76" s="401"/>
      <c r="BY76" s="401"/>
      <c r="BZ76" s="401"/>
    </row>
    <row r="77" spans="1:78" s="405" customFormat="1" ht="15" customHeight="1" outlineLevel="1" x14ac:dyDescent="0.25">
      <c r="A77" s="404"/>
      <c r="B77" s="710" t="s">
        <v>123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3"/>
      <c r="S77" s="672"/>
      <c r="T77" s="673"/>
      <c r="U77" s="673"/>
      <c r="V77" s="674"/>
      <c r="W77" s="512"/>
      <c r="X77" s="512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AI77" s="401"/>
      <c r="AJ77" s="401"/>
      <c r="AK77" s="401"/>
      <c r="AL77" s="401"/>
      <c r="AM77" s="401"/>
      <c r="AN77" s="401"/>
      <c r="AO77" s="401"/>
      <c r="AP77" s="401"/>
      <c r="AQ77" s="401"/>
      <c r="AR77" s="401"/>
      <c r="AS77" s="401"/>
      <c r="AT77" s="401"/>
      <c r="AU77" s="401"/>
      <c r="AV77" s="401"/>
      <c r="AW77" s="401"/>
      <c r="AX77" s="401"/>
      <c r="AY77" s="401"/>
      <c r="AZ77" s="401"/>
      <c r="BA77" s="401"/>
      <c r="BB77" s="401"/>
      <c r="BC77" s="536"/>
      <c r="BD77" s="429" t="str">
        <f>"0.7*IEF " &amp; B87</f>
        <v>0.7*IEF Drive Mode 5</v>
      </c>
      <c r="BE77" s="435">
        <f t="shared" ref="BE77:BL77" si="54">IF(OR($C89="-",$C89="CET",$C89=""),"-",0.7*$C89)</f>
        <v>0.7</v>
      </c>
      <c r="BF77" s="435">
        <f t="shared" si="54"/>
        <v>0.7</v>
      </c>
      <c r="BG77" s="435">
        <f t="shared" si="54"/>
        <v>0.7</v>
      </c>
      <c r="BH77" s="435">
        <f t="shared" si="54"/>
        <v>0.7</v>
      </c>
      <c r="BI77" s="435">
        <f t="shared" si="54"/>
        <v>0.7</v>
      </c>
      <c r="BJ77" s="435">
        <f t="shared" si="54"/>
        <v>0.7</v>
      </c>
      <c r="BK77" s="435">
        <f t="shared" si="54"/>
        <v>0.7</v>
      </c>
      <c r="BL77" s="435">
        <f t="shared" si="54"/>
        <v>0.7</v>
      </c>
      <c r="BU77" s="401"/>
      <c r="BV77" s="401"/>
      <c r="BW77" s="401"/>
      <c r="BX77" s="401"/>
      <c r="BY77" s="401"/>
      <c r="BZ77" s="401"/>
    </row>
    <row r="78" spans="1:78" s="405" customFormat="1" ht="15" customHeight="1" outlineLevel="1" thickBot="1" x14ac:dyDescent="0.3">
      <c r="A78" s="454"/>
      <c r="B78" s="711"/>
      <c r="C78" s="702"/>
      <c r="D78" s="685"/>
      <c r="E78" s="440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3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536"/>
      <c r="BD78" s="429" t="str">
        <f>"0.7*IEF " &amp; B92</f>
        <v>0.7*IEF Drive Mode 6</v>
      </c>
      <c r="BE78" s="435">
        <f t="shared" ref="BE78:BL78" si="55">IF(OR($C94="-",$C94="CET",$C94=""),"-",0.7*$C94)</f>
        <v>0.7</v>
      </c>
      <c r="BF78" s="435">
        <f t="shared" si="55"/>
        <v>0.7</v>
      </c>
      <c r="BG78" s="435">
        <f t="shared" si="55"/>
        <v>0.7</v>
      </c>
      <c r="BH78" s="435">
        <f t="shared" si="55"/>
        <v>0.7</v>
      </c>
      <c r="BI78" s="435">
        <f t="shared" si="55"/>
        <v>0.7</v>
      </c>
      <c r="BJ78" s="435">
        <f t="shared" si="55"/>
        <v>0.7</v>
      </c>
      <c r="BK78" s="435">
        <f t="shared" si="55"/>
        <v>0.7</v>
      </c>
      <c r="BL78" s="435">
        <f t="shared" si="55"/>
        <v>0.7</v>
      </c>
    </row>
    <row r="79" spans="1:78" s="405" customFormat="1" ht="15" customHeight="1" outlineLevel="1" thickBot="1" x14ac:dyDescent="0.3">
      <c r="A79" s="404"/>
      <c r="B79" s="711"/>
      <c r="C79" s="686">
        <v>1</v>
      </c>
      <c r="D79" s="689" t="str">
        <f>IF(AND(F79="-",G79="-",H79="-",I79="-",J79="-",K79="-",L79="-",M79="-"),"-",MAX(F79,G79,H79,I79,J79,K79,L79,M79))</f>
        <v>-</v>
      </c>
      <c r="E79" s="444" t="s">
        <v>177</v>
      </c>
      <c r="F79" s="445" t="str">
        <f t="shared" ref="F79:M79" si="56">IF(OR(F78="-",F78=""),IF(OR(F77="-",F77=""),"-",F77),IF(OR(F77="-",F77=""),F78,(F77+F78)/2))</f>
        <v>-</v>
      </c>
      <c r="G79" s="445" t="str">
        <f t="shared" si="56"/>
        <v>-</v>
      </c>
      <c r="H79" s="445" t="str">
        <f t="shared" si="56"/>
        <v>-</v>
      </c>
      <c r="I79" s="445" t="str">
        <f t="shared" si="56"/>
        <v>-</v>
      </c>
      <c r="J79" s="445" t="str">
        <f t="shared" si="56"/>
        <v>-</v>
      </c>
      <c r="K79" s="446" t="str">
        <f t="shared" si="56"/>
        <v>-</v>
      </c>
      <c r="L79" s="446" t="str">
        <f t="shared" si="56"/>
        <v>-</v>
      </c>
      <c r="M79" s="446" t="str">
        <f t="shared" si="56"/>
        <v>-</v>
      </c>
      <c r="N79" s="828"/>
      <c r="O79" s="672"/>
      <c r="P79" s="673"/>
      <c r="Q79" s="673"/>
      <c r="R79" s="673"/>
      <c r="S79" s="672"/>
      <c r="T79" s="673"/>
      <c r="U79" s="673"/>
      <c r="V79" s="674"/>
      <c r="W79" s="512"/>
      <c r="X79" s="512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401"/>
      <c r="AJ79" s="401"/>
      <c r="AK79" s="401"/>
      <c r="AL79" s="401"/>
      <c r="AM79" s="401"/>
      <c r="AN79" s="401"/>
      <c r="AO79" s="401"/>
      <c r="AP79" s="401"/>
      <c r="AQ79" s="401"/>
      <c r="AR79" s="401"/>
      <c r="AS79" s="401"/>
      <c r="AT79" s="401"/>
      <c r="AU79" s="401"/>
      <c r="AV79" s="401"/>
      <c r="AW79" s="401"/>
      <c r="AX79" s="401"/>
      <c r="AY79" s="401"/>
      <c r="AZ79" s="401"/>
      <c r="BA79" s="401"/>
      <c r="BB79" s="401"/>
      <c r="BC79" s="536"/>
      <c r="BD79" s="429" t="str">
        <f>$B67</f>
        <v>Drive Mode 1</v>
      </c>
      <c r="BE79" s="435" t="e">
        <f t="shared" ref="BE79:BL79" si="57">F70</f>
        <v>#N/A</v>
      </c>
      <c r="BF79" s="435" t="e">
        <f t="shared" si="57"/>
        <v>#N/A</v>
      </c>
      <c r="BG79" s="435" t="e">
        <f t="shared" si="57"/>
        <v>#N/A</v>
      </c>
      <c r="BH79" s="435" t="e">
        <f t="shared" si="57"/>
        <v>#N/A</v>
      </c>
      <c r="BI79" s="435" t="e">
        <f t="shared" si="57"/>
        <v>#N/A</v>
      </c>
      <c r="BJ79" s="435" t="e">
        <f t="shared" si="57"/>
        <v>#N/A</v>
      </c>
      <c r="BK79" s="435" t="e">
        <f t="shared" si="57"/>
        <v>#N/A</v>
      </c>
      <c r="BL79" s="435" t="e">
        <f t="shared" si="57"/>
        <v>#N/A</v>
      </c>
      <c r="BU79" s="401"/>
      <c r="BV79" s="401"/>
      <c r="BW79" s="401"/>
      <c r="BX79" s="401"/>
      <c r="BY79" s="401"/>
      <c r="BZ79" s="401"/>
    </row>
    <row r="80" spans="1:78" s="405" customFormat="1" ht="15" customHeight="1" outlineLevel="1" thickBot="1" x14ac:dyDescent="0.3">
      <c r="A80" s="404"/>
      <c r="B80" s="711"/>
      <c r="C80" s="687"/>
      <c r="D80" s="690"/>
      <c r="E80" s="447" t="s">
        <v>97</v>
      </c>
      <c r="F80" s="448" t="e">
        <f t="shared" ref="F80:M80" si="58">IF(OR($C79="-",$C79="CET",$C79=""),"-",IF(AND(NOT(F79="-"),NOT(F$5="-"),NOT(F$5="")),F79/F$5,"-"))</f>
        <v>#N/A</v>
      </c>
      <c r="G80" s="448" t="e">
        <f t="shared" si="58"/>
        <v>#N/A</v>
      </c>
      <c r="H80" s="448" t="e">
        <f t="shared" si="58"/>
        <v>#N/A</v>
      </c>
      <c r="I80" s="448" t="e">
        <f t="shared" si="58"/>
        <v>#N/A</v>
      </c>
      <c r="J80" s="448" t="e">
        <f t="shared" si="58"/>
        <v>#N/A</v>
      </c>
      <c r="K80" s="449" t="e">
        <f t="shared" si="58"/>
        <v>#N/A</v>
      </c>
      <c r="L80" s="449" t="e">
        <f t="shared" si="58"/>
        <v>#N/A</v>
      </c>
      <c r="M80" s="449" t="e">
        <f t="shared" si="58"/>
        <v>#N/A</v>
      </c>
      <c r="N80" s="702"/>
      <c r="O80" s="672"/>
      <c r="P80" s="673"/>
      <c r="Q80" s="673"/>
      <c r="R80" s="673"/>
      <c r="S80" s="672"/>
      <c r="T80" s="673"/>
      <c r="U80" s="673"/>
      <c r="V80" s="674"/>
      <c r="W80" s="512"/>
      <c r="X80" s="512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AI80" s="401"/>
      <c r="AJ80" s="401"/>
      <c r="AK80" s="401"/>
      <c r="AL80" s="401"/>
      <c r="AM80" s="401"/>
      <c r="AN80" s="401"/>
      <c r="AO80" s="401"/>
      <c r="AP80" s="401"/>
      <c r="AQ80" s="401"/>
      <c r="AR80" s="401"/>
      <c r="AS80" s="401"/>
      <c r="AT80" s="401"/>
      <c r="AU80" s="401"/>
      <c r="AV80" s="401"/>
      <c r="AW80" s="401"/>
      <c r="AX80" s="401"/>
      <c r="AY80" s="401"/>
      <c r="AZ80" s="401"/>
      <c r="BA80" s="401"/>
      <c r="BB80" s="401"/>
      <c r="BC80" s="536"/>
      <c r="BD80" s="429" t="str">
        <f>$B72</f>
        <v>Drive Mode 2</v>
      </c>
      <c r="BE80" s="435" t="e">
        <f t="shared" ref="BE80:BL80" si="59">F75</f>
        <v>#N/A</v>
      </c>
      <c r="BF80" s="435" t="e">
        <f t="shared" si="59"/>
        <v>#N/A</v>
      </c>
      <c r="BG80" s="435" t="e">
        <f t="shared" si="59"/>
        <v>#N/A</v>
      </c>
      <c r="BH80" s="435" t="e">
        <f t="shared" si="59"/>
        <v>#N/A</v>
      </c>
      <c r="BI80" s="435" t="e">
        <f t="shared" si="59"/>
        <v>#N/A</v>
      </c>
      <c r="BJ80" s="435" t="e">
        <f t="shared" si="59"/>
        <v>#N/A</v>
      </c>
      <c r="BK80" s="435" t="e">
        <f t="shared" si="59"/>
        <v>#N/A</v>
      </c>
      <c r="BL80" s="435" t="e">
        <f t="shared" si="59"/>
        <v>#N/A</v>
      </c>
      <c r="BU80" s="401"/>
      <c r="BV80" s="401"/>
      <c r="BW80" s="401"/>
      <c r="BX80" s="401"/>
      <c r="BY80" s="401"/>
      <c r="BZ80" s="401"/>
    </row>
    <row r="81" spans="1:78" s="405" customFormat="1" ht="15" customHeight="1" outlineLevel="1" thickBot="1" x14ac:dyDescent="0.3">
      <c r="A81" s="404"/>
      <c r="B81" s="712"/>
      <c r="C81" s="688"/>
      <c r="D81" s="691"/>
      <c r="E81" s="451" t="s">
        <v>30</v>
      </c>
      <c r="F81" s="451" t="str">
        <f t="shared" ref="F81:M81" si="60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60"/>
        <v>-</v>
      </c>
      <c r="H81" s="451" t="str">
        <f t="shared" si="60"/>
        <v>-</v>
      </c>
      <c r="I81" s="451" t="str">
        <f t="shared" si="60"/>
        <v>-</v>
      </c>
      <c r="J81" s="451" t="str">
        <f t="shared" si="60"/>
        <v>-</v>
      </c>
      <c r="K81" s="452" t="str">
        <f t="shared" si="60"/>
        <v>-</v>
      </c>
      <c r="L81" s="452" t="str">
        <f t="shared" si="60"/>
        <v>-</v>
      </c>
      <c r="M81" s="452" t="str">
        <f t="shared" si="60"/>
        <v>-</v>
      </c>
      <c r="N81" s="685"/>
      <c r="O81" s="672"/>
      <c r="P81" s="673"/>
      <c r="Q81" s="673"/>
      <c r="R81" s="673"/>
      <c r="S81" s="672"/>
      <c r="T81" s="673"/>
      <c r="U81" s="673"/>
      <c r="V81" s="674"/>
      <c r="W81" s="512"/>
      <c r="X81" s="512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AI81" s="401"/>
      <c r="AJ81" s="401"/>
      <c r="AK81" s="401"/>
      <c r="AL81" s="401"/>
      <c r="AM81" s="401"/>
      <c r="AN81" s="401"/>
      <c r="AO81" s="401"/>
      <c r="AP81" s="401"/>
      <c r="AQ81" s="401"/>
      <c r="AR81" s="401"/>
      <c r="AS81" s="401"/>
      <c r="AT81" s="401"/>
      <c r="AU81" s="401"/>
      <c r="AV81" s="401"/>
      <c r="AW81" s="401"/>
      <c r="AX81" s="401"/>
      <c r="AY81" s="401"/>
      <c r="AZ81" s="401"/>
      <c r="BA81" s="401"/>
      <c r="BB81" s="401"/>
      <c r="BC81" s="399" t="str">
        <f>IF(COUNTIF(F81:M81,"refused")&gt;0,"refused",IF(COUNTIF(F81:M81,"failed")&gt;0,"failed",IF(COUNTIF(F81:M81,"passed")&gt;0,"passed","-")))</f>
        <v>-</v>
      </c>
      <c r="BD81" s="429" t="str">
        <f>$B77</f>
        <v>Drive Mode 3</v>
      </c>
      <c r="BE81" s="435" t="e">
        <f t="shared" ref="BE81:BL81" si="61">F80</f>
        <v>#N/A</v>
      </c>
      <c r="BF81" s="435" t="e">
        <f t="shared" si="61"/>
        <v>#N/A</v>
      </c>
      <c r="BG81" s="435" t="e">
        <f t="shared" si="61"/>
        <v>#N/A</v>
      </c>
      <c r="BH81" s="435" t="e">
        <f t="shared" si="61"/>
        <v>#N/A</v>
      </c>
      <c r="BI81" s="435" t="e">
        <f t="shared" si="61"/>
        <v>#N/A</v>
      </c>
      <c r="BJ81" s="435" t="e">
        <f t="shared" si="61"/>
        <v>#N/A</v>
      </c>
      <c r="BK81" s="435" t="e">
        <f t="shared" si="61"/>
        <v>#N/A</v>
      </c>
      <c r="BL81" s="435" t="e">
        <f t="shared" si="61"/>
        <v>#N/A</v>
      </c>
      <c r="BU81" s="401"/>
      <c r="BV81" s="401"/>
      <c r="BW81" s="401"/>
      <c r="BX81" s="401"/>
      <c r="BY81" s="401"/>
      <c r="BZ81" s="401"/>
    </row>
    <row r="82" spans="1:78" s="405" customFormat="1" ht="15" customHeight="1" outlineLevel="1" x14ac:dyDescent="0.25">
      <c r="A82" s="404"/>
      <c r="B82" s="710" t="s">
        <v>122</v>
      </c>
      <c r="C82" s="684" t="s">
        <v>114</v>
      </c>
      <c r="D82" s="684" t="s">
        <v>113</v>
      </c>
      <c r="E82" s="453" t="s">
        <v>94</v>
      </c>
      <c r="F82" s="437" t="s">
        <v>5</v>
      </c>
      <c r="G82" s="437" t="s">
        <v>5</v>
      </c>
      <c r="H82" s="437" t="s">
        <v>5</v>
      </c>
      <c r="I82" s="437" t="s">
        <v>5</v>
      </c>
      <c r="J82" s="437" t="s">
        <v>5</v>
      </c>
      <c r="K82" s="438" t="s">
        <v>5</v>
      </c>
      <c r="L82" s="438" t="s">
        <v>5</v>
      </c>
      <c r="M82" s="438" t="s">
        <v>5</v>
      </c>
      <c r="N82" s="437" t="s">
        <v>5</v>
      </c>
      <c r="O82" s="672"/>
      <c r="P82" s="673"/>
      <c r="Q82" s="673"/>
      <c r="R82" s="673"/>
      <c r="S82" s="672"/>
      <c r="T82" s="673"/>
      <c r="U82" s="673"/>
      <c r="V82" s="674"/>
      <c r="W82" s="512"/>
      <c r="X82" s="512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AI82" s="401"/>
      <c r="AJ82" s="401"/>
      <c r="AK82" s="401"/>
      <c r="AL82" s="401"/>
      <c r="AM82" s="401"/>
      <c r="AN82" s="401"/>
      <c r="AO82" s="401"/>
      <c r="AP82" s="401"/>
      <c r="AQ82" s="401"/>
      <c r="AR82" s="401"/>
      <c r="AS82" s="401"/>
      <c r="AT82" s="401"/>
      <c r="AU82" s="401"/>
      <c r="AV82" s="401"/>
      <c r="AW82" s="401"/>
      <c r="AX82" s="401"/>
      <c r="AY82" s="401"/>
      <c r="AZ82" s="401"/>
      <c r="BA82" s="401"/>
      <c r="BB82" s="401"/>
      <c r="BC82" s="536"/>
      <c r="BD82" s="429" t="str">
        <f>$B82</f>
        <v>Drive Mode 4</v>
      </c>
      <c r="BE82" s="435" t="e">
        <f t="shared" ref="BE82:BL82" si="62">F85</f>
        <v>#N/A</v>
      </c>
      <c r="BF82" s="435" t="e">
        <f t="shared" si="62"/>
        <v>#N/A</v>
      </c>
      <c r="BG82" s="435" t="e">
        <f t="shared" si="62"/>
        <v>#N/A</v>
      </c>
      <c r="BH82" s="435" t="e">
        <f t="shared" si="62"/>
        <v>#N/A</v>
      </c>
      <c r="BI82" s="435" t="e">
        <f t="shared" si="62"/>
        <v>#N/A</v>
      </c>
      <c r="BJ82" s="435" t="e">
        <f t="shared" si="62"/>
        <v>#N/A</v>
      </c>
      <c r="BK82" s="435" t="e">
        <f t="shared" si="62"/>
        <v>#N/A</v>
      </c>
      <c r="BL82" s="435" t="e">
        <f t="shared" si="62"/>
        <v>#N/A</v>
      </c>
      <c r="BU82" s="401"/>
      <c r="BV82" s="401"/>
      <c r="BW82" s="401"/>
      <c r="BX82" s="401"/>
      <c r="BY82" s="401"/>
      <c r="BZ82" s="401"/>
    </row>
    <row r="83" spans="1:78" s="405" customFormat="1" ht="15" customHeight="1" outlineLevel="1" thickBot="1" x14ac:dyDescent="0.3">
      <c r="A83" s="454"/>
      <c r="B83" s="711"/>
      <c r="C83" s="702"/>
      <c r="D83" s="685"/>
      <c r="E83" s="440" t="s">
        <v>95</v>
      </c>
      <c r="F83" s="441" t="s">
        <v>5</v>
      </c>
      <c r="G83" s="441" t="s">
        <v>5</v>
      </c>
      <c r="H83" s="441" t="s">
        <v>5</v>
      </c>
      <c r="I83" s="441" t="s">
        <v>5</v>
      </c>
      <c r="J83" s="441" t="s">
        <v>5</v>
      </c>
      <c r="K83" s="442" t="s">
        <v>5</v>
      </c>
      <c r="L83" s="442" t="s">
        <v>5</v>
      </c>
      <c r="M83" s="442" t="s">
        <v>5</v>
      </c>
      <c r="N83" s="441" t="s">
        <v>5</v>
      </c>
      <c r="O83" s="672"/>
      <c r="P83" s="673"/>
      <c r="Q83" s="673"/>
      <c r="R83" s="673"/>
      <c r="S83" s="672"/>
      <c r="T83" s="673"/>
      <c r="U83" s="673"/>
      <c r="V83" s="674"/>
      <c r="W83" s="443"/>
      <c r="X83" s="443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536"/>
      <c r="BD83" s="429" t="str">
        <f>$B87</f>
        <v>Drive Mode 5</v>
      </c>
      <c r="BE83" s="435" t="e">
        <f t="shared" ref="BE83:BL83" si="63">F90</f>
        <v>#N/A</v>
      </c>
      <c r="BF83" s="435" t="e">
        <f t="shared" si="63"/>
        <v>#N/A</v>
      </c>
      <c r="BG83" s="435" t="e">
        <f t="shared" si="63"/>
        <v>#N/A</v>
      </c>
      <c r="BH83" s="435" t="e">
        <f t="shared" si="63"/>
        <v>#N/A</v>
      </c>
      <c r="BI83" s="435" t="e">
        <f t="shared" si="63"/>
        <v>#N/A</v>
      </c>
      <c r="BJ83" s="435" t="e">
        <f t="shared" si="63"/>
        <v>#N/A</v>
      </c>
      <c r="BK83" s="435" t="e">
        <f t="shared" si="63"/>
        <v>#N/A</v>
      </c>
      <c r="BL83" s="435" t="e">
        <f t="shared" si="63"/>
        <v>#N/A</v>
      </c>
    </row>
    <row r="84" spans="1:78" s="405" customFormat="1" ht="15" customHeight="1" outlineLevel="1" thickBot="1" x14ac:dyDescent="0.3">
      <c r="A84" s="404"/>
      <c r="B84" s="711"/>
      <c r="C84" s="686">
        <v>1</v>
      </c>
      <c r="D84" s="689" t="str">
        <f>IF(AND(F84="-",G84="-",H84="-",I84="-",J84="-",K84="-",L84="-",M84="-"),"-",MAX(F84,G84,H84,I84,J84,K84,L84,M84))</f>
        <v>-</v>
      </c>
      <c r="E84" s="444" t="s">
        <v>177</v>
      </c>
      <c r="F84" s="445" t="str">
        <f t="shared" ref="F84:M84" si="64">IF(OR(F83="-",F83=""),IF(OR(F82="-",F82=""),"-",F82),IF(OR(F82="-",F82=""),F83,(F82+F83)/2))</f>
        <v>-</v>
      </c>
      <c r="G84" s="445" t="str">
        <f t="shared" si="64"/>
        <v>-</v>
      </c>
      <c r="H84" s="445" t="str">
        <f t="shared" si="64"/>
        <v>-</v>
      </c>
      <c r="I84" s="445" t="str">
        <f t="shared" si="64"/>
        <v>-</v>
      </c>
      <c r="J84" s="445" t="str">
        <f t="shared" si="64"/>
        <v>-</v>
      </c>
      <c r="K84" s="446" t="str">
        <f t="shared" si="64"/>
        <v>-</v>
      </c>
      <c r="L84" s="446" t="str">
        <f t="shared" si="64"/>
        <v>-</v>
      </c>
      <c r="M84" s="446" t="str">
        <f t="shared" si="64"/>
        <v>-</v>
      </c>
      <c r="N84" s="828"/>
      <c r="O84" s="672"/>
      <c r="P84" s="673"/>
      <c r="Q84" s="673"/>
      <c r="R84" s="673"/>
      <c r="S84" s="672"/>
      <c r="T84" s="673"/>
      <c r="U84" s="673"/>
      <c r="V84" s="674"/>
      <c r="W84" s="512"/>
      <c r="X84" s="512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401"/>
      <c r="AJ84" s="401"/>
      <c r="AK84" s="401"/>
      <c r="AL84" s="401"/>
      <c r="AM84" s="401"/>
      <c r="AN84" s="401"/>
      <c r="AO84" s="401"/>
      <c r="AP84" s="401"/>
      <c r="AQ84" s="401"/>
      <c r="AR84" s="401"/>
      <c r="AS84" s="401"/>
      <c r="AT84" s="401"/>
      <c r="AU84" s="401"/>
      <c r="AV84" s="401"/>
      <c r="AW84" s="401"/>
      <c r="AX84" s="401"/>
      <c r="AY84" s="401"/>
      <c r="AZ84" s="401"/>
      <c r="BA84" s="401"/>
      <c r="BB84" s="401"/>
      <c r="BC84" s="536"/>
      <c r="BD84" s="429" t="str">
        <f>$B92</f>
        <v>Drive Mode 6</v>
      </c>
      <c r="BE84" s="435" t="e">
        <f t="shared" ref="BE84:BL84" si="65">F95</f>
        <v>#N/A</v>
      </c>
      <c r="BF84" s="435" t="e">
        <f t="shared" si="65"/>
        <v>#N/A</v>
      </c>
      <c r="BG84" s="435" t="e">
        <f t="shared" si="65"/>
        <v>#N/A</v>
      </c>
      <c r="BH84" s="435" t="e">
        <f t="shared" si="65"/>
        <v>#N/A</v>
      </c>
      <c r="BI84" s="435" t="e">
        <f t="shared" si="65"/>
        <v>#N/A</v>
      </c>
      <c r="BJ84" s="435" t="e">
        <f t="shared" si="65"/>
        <v>#N/A</v>
      </c>
      <c r="BK84" s="435" t="e">
        <f t="shared" si="65"/>
        <v>#N/A</v>
      </c>
      <c r="BL84" s="435" t="e">
        <f t="shared" si="65"/>
        <v>#N/A</v>
      </c>
      <c r="BU84" s="401"/>
      <c r="BV84" s="401"/>
      <c r="BW84" s="401"/>
      <c r="BX84" s="401"/>
      <c r="BY84" s="401"/>
      <c r="BZ84" s="401"/>
    </row>
    <row r="85" spans="1:78" s="405" customFormat="1" ht="15" customHeight="1" outlineLevel="1" thickBot="1" x14ac:dyDescent="0.3">
      <c r="A85" s="404"/>
      <c r="B85" s="711"/>
      <c r="C85" s="687"/>
      <c r="D85" s="690"/>
      <c r="E85" s="447" t="s">
        <v>97</v>
      </c>
      <c r="F85" s="448" t="e">
        <f t="shared" ref="F85:M85" si="66">IF(OR($C84="-",$C84="CET",$C84=""),"-",IF(AND(NOT(F84="-"),NOT(F$5="-"),NOT(F$5="")),F84/F$5,"-"))</f>
        <v>#N/A</v>
      </c>
      <c r="G85" s="448" t="e">
        <f t="shared" si="66"/>
        <v>#N/A</v>
      </c>
      <c r="H85" s="448" t="e">
        <f t="shared" si="66"/>
        <v>#N/A</v>
      </c>
      <c r="I85" s="448" t="e">
        <f t="shared" si="66"/>
        <v>#N/A</v>
      </c>
      <c r="J85" s="448" t="e">
        <f t="shared" si="66"/>
        <v>#N/A</v>
      </c>
      <c r="K85" s="449" t="e">
        <f t="shared" si="66"/>
        <v>#N/A</v>
      </c>
      <c r="L85" s="449" t="e">
        <f t="shared" si="66"/>
        <v>#N/A</v>
      </c>
      <c r="M85" s="449" t="e">
        <f t="shared" si="66"/>
        <v>#N/A</v>
      </c>
      <c r="N85" s="702"/>
      <c r="O85" s="672"/>
      <c r="P85" s="673"/>
      <c r="Q85" s="673"/>
      <c r="R85" s="673"/>
      <c r="S85" s="672"/>
      <c r="T85" s="673"/>
      <c r="U85" s="673"/>
      <c r="V85" s="674"/>
      <c r="W85" s="512"/>
      <c r="X85" s="512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401"/>
      <c r="AJ85" s="401"/>
      <c r="AK85" s="401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536"/>
      <c r="BD85" s="429" t="str">
        <f>"IEF " &amp;B67</f>
        <v>IEF Drive Mode 1</v>
      </c>
      <c r="BE85" s="435">
        <f t="shared" ref="BE85:BL85" si="67">IF(OR($C69="CET",$C69="-",$C69=""),"-",$C69)</f>
        <v>1</v>
      </c>
      <c r="BF85" s="435">
        <f t="shared" si="67"/>
        <v>1</v>
      </c>
      <c r="BG85" s="435">
        <f t="shared" si="67"/>
        <v>1</v>
      </c>
      <c r="BH85" s="435">
        <f t="shared" si="67"/>
        <v>1</v>
      </c>
      <c r="BI85" s="435">
        <f t="shared" si="67"/>
        <v>1</v>
      </c>
      <c r="BJ85" s="435">
        <f t="shared" si="67"/>
        <v>1</v>
      </c>
      <c r="BK85" s="435">
        <f t="shared" si="67"/>
        <v>1</v>
      </c>
      <c r="BL85" s="435">
        <f t="shared" si="67"/>
        <v>1</v>
      </c>
      <c r="BU85" s="401"/>
      <c r="BV85" s="401"/>
      <c r="BW85" s="401"/>
      <c r="BX85" s="401"/>
      <c r="BY85" s="401"/>
      <c r="BZ85" s="401"/>
    </row>
    <row r="86" spans="1:78" s="405" customFormat="1" ht="15" customHeight="1" outlineLevel="1" thickBot="1" x14ac:dyDescent="0.3">
      <c r="A86" s="404"/>
      <c r="B86" s="712"/>
      <c r="C86" s="688"/>
      <c r="D86" s="691"/>
      <c r="E86" s="451" t="s">
        <v>30</v>
      </c>
      <c r="F86" s="451" t="str">
        <f t="shared" ref="F86:M86" si="68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451" t="str">
        <f t="shared" si="68"/>
        <v>-</v>
      </c>
      <c r="H86" s="451" t="str">
        <f t="shared" si="68"/>
        <v>-</v>
      </c>
      <c r="I86" s="451" t="str">
        <f t="shared" si="68"/>
        <v>-</v>
      </c>
      <c r="J86" s="451" t="str">
        <f t="shared" si="68"/>
        <v>-</v>
      </c>
      <c r="K86" s="452" t="str">
        <f t="shared" si="68"/>
        <v>-</v>
      </c>
      <c r="L86" s="452" t="str">
        <f t="shared" si="68"/>
        <v>-</v>
      </c>
      <c r="M86" s="452" t="str">
        <f t="shared" si="68"/>
        <v>-</v>
      </c>
      <c r="N86" s="685"/>
      <c r="O86" s="672"/>
      <c r="P86" s="673"/>
      <c r="Q86" s="673"/>
      <c r="R86" s="673"/>
      <c r="S86" s="672"/>
      <c r="T86" s="673"/>
      <c r="U86" s="673"/>
      <c r="V86" s="674"/>
      <c r="W86" s="512"/>
      <c r="X86" s="512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401"/>
      <c r="AJ86" s="401"/>
      <c r="AK86" s="401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99" t="str">
        <f>IF(COUNTIF(F86:M86,"refused")&gt;0,"refused",IF(COUNTIF(F86:M86,"failed")&gt;0,"failed",IF(COUNTIF(F86:M86,"passed")&gt;0,"passed","-")))</f>
        <v>-</v>
      </c>
      <c r="BD86" s="429" t="str">
        <f>"IEF " &amp; B72</f>
        <v>IEF Drive Mode 2</v>
      </c>
      <c r="BE86" s="435">
        <f t="shared" ref="BE86:BL86" si="69">IF(OR($C74="CET",$C74="-",$C74=""),"-",$C74)</f>
        <v>1</v>
      </c>
      <c r="BF86" s="435">
        <f t="shared" si="69"/>
        <v>1</v>
      </c>
      <c r="BG86" s="435">
        <f t="shared" si="69"/>
        <v>1</v>
      </c>
      <c r="BH86" s="435">
        <f t="shared" si="69"/>
        <v>1</v>
      </c>
      <c r="BI86" s="435">
        <f t="shared" si="69"/>
        <v>1</v>
      </c>
      <c r="BJ86" s="435">
        <f t="shared" si="69"/>
        <v>1</v>
      </c>
      <c r="BK86" s="435">
        <f t="shared" si="69"/>
        <v>1</v>
      </c>
      <c r="BL86" s="435">
        <f t="shared" si="69"/>
        <v>1</v>
      </c>
      <c r="BU86" s="401"/>
      <c r="BV86" s="401"/>
      <c r="BW86" s="401"/>
      <c r="BX86" s="401"/>
      <c r="BY86" s="401"/>
      <c r="BZ86" s="401"/>
    </row>
    <row r="87" spans="1:78" s="405" customFormat="1" ht="15" customHeight="1" outlineLevel="1" x14ac:dyDescent="0.25">
      <c r="A87" s="404"/>
      <c r="B87" s="710" t="s">
        <v>121</v>
      </c>
      <c r="C87" s="684" t="s">
        <v>114</v>
      </c>
      <c r="D87" s="684" t="s">
        <v>113</v>
      </c>
      <c r="E87" s="453" t="s">
        <v>94</v>
      </c>
      <c r="F87" s="437" t="s">
        <v>5</v>
      </c>
      <c r="G87" s="437" t="s">
        <v>5</v>
      </c>
      <c r="H87" s="437" t="s">
        <v>5</v>
      </c>
      <c r="I87" s="437" t="s">
        <v>5</v>
      </c>
      <c r="J87" s="437" t="s">
        <v>5</v>
      </c>
      <c r="K87" s="438" t="s">
        <v>5</v>
      </c>
      <c r="L87" s="438" t="s">
        <v>5</v>
      </c>
      <c r="M87" s="438" t="s">
        <v>5</v>
      </c>
      <c r="N87" s="437" t="s">
        <v>5</v>
      </c>
      <c r="O87" s="672"/>
      <c r="P87" s="673"/>
      <c r="Q87" s="673"/>
      <c r="R87" s="673"/>
      <c r="S87" s="672"/>
      <c r="T87" s="673"/>
      <c r="U87" s="673"/>
      <c r="V87" s="674"/>
      <c r="W87" s="512"/>
      <c r="X87" s="512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AI87" s="401"/>
      <c r="AJ87" s="401"/>
      <c r="AK87" s="401"/>
      <c r="AL87" s="401"/>
      <c r="AM87" s="401"/>
      <c r="AN87" s="401"/>
      <c r="AO87" s="401"/>
      <c r="AP87" s="401"/>
      <c r="AQ87" s="401"/>
      <c r="AR87" s="401"/>
      <c r="AS87" s="401"/>
      <c r="AT87" s="401"/>
      <c r="AU87" s="401"/>
      <c r="AV87" s="401"/>
      <c r="AW87" s="401"/>
      <c r="AX87" s="401"/>
      <c r="AY87" s="401"/>
      <c r="AZ87" s="401"/>
      <c r="BA87" s="401"/>
      <c r="BB87" s="401"/>
      <c r="BC87" s="536"/>
      <c r="BD87" s="429" t="str">
        <f>"IEF " &amp; B77</f>
        <v>IEF Drive Mode 3</v>
      </c>
      <c r="BE87" s="435">
        <f t="shared" ref="BE87:BL87" si="70">IF(OR($C79="CET",$C79="-",$C79=""),"-",$C79)</f>
        <v>1</v>
      </c>
      <c r="BF87" s="435">
        <f t="shared" si="70"/>
        <v>1</v>
      </c>
      <c r="BG87" s="435">
        <f t="shared" si="70"/>
        <v>1</v>
      </c>
      <c r="BH87" s="435">
        <f t="shared" si="70"/>
        <v>1</v>
      </c>
      <c r="BI87" s="435">
        <f t="shared" si="70"/>
        <v>1</v>
      </c>
      <c r="BJ87" s="435">
        <f t="shared" si="70"/>
        <v>1</v>
      </c>
      <c r="BK87" s="435">
        <f t="shared" si="70"/>
        <v>1</v>
      </c>
      <c r="BL87" s="435">
        <f t="shared" si="70"/>
        <v>1</v>
      </c>
      <c r="BU87" s="401"/>
      <c r="BV87" s="401"/>
      <c r="BW87" s="401"/>
      <c r="BX87" s="401"/>
      <c r="BY87" s="401"/>
      <c r="BZ87" s="401"/>
    </row>
    <row r="88" spans="1:78" s="405" customFormat="1" ht="15" customHeight="1" outlineLevel="1" thickBot="1" x14ac:dyDescent="0.3">
      <c r="A88" s="454"/>
      <c r="B88" s="711"/>
      <c r="C88" s="702"/>
      <c r="D88" s="685"/>
      <c r="E88" s="440" t="s">
        <v>95</v>
      </c>
      <c r="F88" s="441" t="s">
        <v>5</v>
      </c>
      <c r="G88" s="441" t="s">
        <v>5</v>
      </c>
      <c r="H88" s="441" t="s">
        <v>5</v>
      </c>
      <c r="I88" s="441" t="s">
        <v>5</v>
      </c>
      <c r="J88" s="441" t="s">
        <v>5</v>
      </c>
      <c r="K88" s="442" t="s">
        <v>5</v>
      </c>
      <c r="L88" s="442" t="s">
        <v>5</v>
      </c>
      <c r="M88" s="442" t="s">
        <v>5</v>
      </c>
      <c r="N88" s="441" t="s">
        <v>5</v>
      </c>
      <c r="O88" s="672"/>
      <c r="P88" s="673"/>
      <c r="Q88" s="673"/>
      <c r="R88" s="673"/>
      <c r="S88" s="672"/>
      <c r="T88" s="673"/>
      <c r="U88" s="673"/>
      <c r="V88" s="674"/>
      <c r="W88" s="443"/>
      <c r="X88" s="443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536"/>
      <c r="BD88" s="429" t="str">
        <f>"IEF " &amp; B82</f>
        <v>IEF Drive Mode 4</v>
      </c>
      <c r="BE88" s="435">
        <f t="shared" ref="BE88:BL88" si="71">IF(OR($C84="CET",$C84="-",$C84=""),"-",$C84)</f>
        <v>1</v>
      </c>
      <c r="BF88" s="435">
        <f t="shared" si="71"/>
        <v>1</v>
      </c>
      <c r="BG88" s="435">
        <f t="shared" si="71"/>
        <v>1</v>
      </c>
      <c r="BH88" s="435">
        <f t="shared" si="71"/>
        <v>1</v>
      </c>
      <c r="BI88" s="435">
        <f t="shared" si="71"/>
        <v>1</v>
      </c>
      <c r="BJ88" s="435">
        <f t="shared" si="71"/>
        <v>1</v>
      </c>
      <c r="BK88" s="435">
        <f t="shared" si="71"/>
        <v>1</v>
      </c>
      <c r="BL88" s="435">
        <f t="shared" si="71"/>
        <v>1</v>
      </c>
    </row>
    <row r="89" spans="1:78" s="405" customFormat="1" ht="15" customHeight="1" outlineLevel="1" thickBot="1" x14ac:dyDescent="0.3">
      <c r="A89" s="404"/>
      <c r="B89" s="711"/>
      <c r="C89" s="686">
        <v>1</v>
      </c>
      <c r="D89" s="689" t="str">
        <f>IF(AND(F89="-",G89="-",H89="-",I89="-",J89="-",K89="-",L89="-",M89="-"),"-",MAX(F89,G89,H89,I89,J89,K89,L89,M89))</f>
        <v>-</v>
      </c>
      <c r="E89" s="444" t="s">
        <v>177</v>
      </c>
      <c r="F89" s="445" t="str">
        <f t="shared" ref="F89:M89" si="72">IF(OR(F88="-",F88=""),IF(OR(F87="-",F87=""),"-",F87),IF(OR(F87="-",F87=""),F88,(F87+F88)/2))</f>
        <v>-</v>
      </c>
      <c r="G89" s="445" t="str">
        <f t="shared" si="72"/>
        <v>-</v>
      </c>
      <c r="H89" s="445" t="str">
        <f t="shared" si="72"/>
        <v>-</v>
      </c>
      <c r="I89" s="445" t="str">
        <f t="shared" si="72"/>
        <v>-</v>
      </c>
      <c r="J89" s="445" t="str">
        <f t="shared" si="72"/>
        <v>-</v>
      </c>
      <c r="K89" s="446" t="str">
        <f t="shared" si="72"/>
        <v>-</v>
      </c>
      <c r="L89" s="446" t="str">
        <f t="shared" si="72"/>
        <v>-</v>
      </c>
      <c r="M89" s="446" t="str">
        <f t="shared" si="72"/>
        <v>-</v>
      </c>
      <c r="N89" s="828"/>
      <c r="O89" s="672"/>
      <c r="P89" s="673"/>
      <c r="Q89" s="673"/>
      <c r="R89" s="673"/>
      <c r="S89" s="672"/>
      <c r="T89" s="673"/>
      <c r="U89" s="673"/>
      <c r="V89" s="674"/>
      <c r="W89" s="512"/>
      <c r="X89" s="512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AI89" s="401"/>
      <c r="AJ89" s="401"/>
      <c r="AK89" s="401"/>
      <c r="AL89" s="401"/>
      <c r="AM89" s="401"/>
      <c r="AN89" s="401"/>
      <c r="AO89" s="401"/>
      <c r="AP89" s="401"/>
      <c r="AQ89" s="401"/>
      <c r="AR89" s="401"/>
      <c r="AS89" s="401"/>
      <c r="AT89" s="401"/>
      <c r="AU89" s="401"/>
      <c r="AV89" s="401"/>
      <c r="AW89" s="401"/>
      <c r="AX89" s="401"/>
      <c r="AY89" s="401"/>
      <c r="AZ89" s="401"/>
      <c r="BA89" s="401"/>
      <c r="BB89" s="401"/>
      <c r="BC89" s="536"/>
      <c r="BD89" s="429" t="str">
        <f>"IEF " &amp; B87</f>
        <v>IEF Drive Mode 5</v>
      </c>
      <c r="BE89" s="435">
        <f t="shared" ref="BE89:BL89" si="73">IF(OR($C89="CET",$C89="-",$C89=""),"-",$C89)</f>
        <v>1</v>
      </c>
      <c r="BF89" s="435">
        <f t="shared" si="73"/>
        <v>1</v>
      </c>
      <c r="BG89" s="435">
        <f t="shared" si="73"/>
        <v>1</v>
      </c>
      <c r="BH89" s="435">
        <f t="shared" si="73"/>
        <v>1</v>
      </c>
      <c r="BI89" s="435">
        <f t="shared" si="73"/>
        <v>1</v>
      </c>
      <c r="BJ89" s="435">
        <f t="shared" si="73"/>
        <v>1</v>
      </c>
      <c r="BK89" s="435">
        <f t="shared" si="73"/>
        <v>1</v>
      </c>
      <c r="BL89" s="435">
        <f t="shared" si="73"/>
        <v>1</v>
      </c>
      <c r="BU89" s="401"/>
      <c r="BV89" s="401"/>
      <c r="BW89" s="401"/>
      <c r="BX89" s="401"/>
      <c r="BY89" s="401"/>
      <c r="BZ89" s="401"/>
    </row>
    <row r="90" spans="1:78" s="405" customFormat="1" ht="15" customHeight="1" outlineLevel="1" thickBot="1" x14ac:dyDescent="0.3">
      <c r="A90" s="404"/>
      <c r="B90" s="711"/>
      <c r="C90" s="687"/>
      <c r="D90" s="690"/>
      <c r="E90" s="447" t="s">
        <v>97</v>
      </c>
      <c r="F90" s="448" t="e">
        <f t="shared" ref="F90:M90" si="74">IF(OR($C89="-",$C89="CET",$C89=""),"-",IF(AND(NOT(F89="-"),NOT(F$5="-"),NOT(F$5="")),F89/F$5,"-"))</f>
        <v>#N/A</v>
      </c>
      <c r="G90" s="448" t="e">
        <f t="shared" si="74"/>
        <v>#N/A</v>
      </c>
      <c r="H90" s="448" t="e">
        <f t="shared" si="74"/>
        <v>#N/A</v>
      </c>
      <c r="I90" s="448" t="e">
        <f t="shared" si="74"/>
        <v>#N/A</v>
      </c>
      <c r="J90" s="448" t="e">
        <f t="shared" si="74"/>
        <v>#N/A</v>
      </c>
      <c r="K90" s="449" t="e">
        <f t="shared" si="74"/>
        <v>#N/A</v>
      </c>
      <c r="L90" s="449" t="e">
        <f t="shared" si="74"/>
        <v>#N/A</v>
      </c>
      <c r="M90" s="449" t="e">
        <f t="shared" si="74"/>
        <v>#N/A</v>
      </c>
      <c r="N90" s="702"/>
      <c r="O90" s="672"/>
      <c r="P90" s="673"/>
      <c r="Q90" s="673"/>
      <c r="R90" s="673"/>
      <c r="S90" s="672"/>
      <c r="T90" s="673"/>
      <c r="U90" s="673"/>
      <c r="V90" s="674"/>
      <c r="W90" s="512"/>
      <c r="X90" s="512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401"/>
      <c r="AJ90" s="401"/>
      <c r="AK90" s="401"/>
      <c r="AL90" s="401"/>
      <c r="AM90" s="401"/>
      <c r="AN90" s="401"/>
      <c r="AO90" s="401"/>
      <c r="AP90" s="401"/>
      <c r="AQ90" s="401"/>
      <c r="AR90" s="401"/>
      <c r="AS90" s="401"/>
      <c r="AT90" s="401"/>
      <c r="AU90" s="401"/>
      <c r="AV90" s="401"/>
      <c r="AW90" s="401"/>
      <c r="AX90" s="401"/>
      <c r="AY90" s="401"/>
      <c r="AZ90" s="401"/>
      <c r="BA90" s="401"/>
      <c r="BB90" s="401"/>
      <c r="BC90" s="536"/>
      <c r="BD90" s="429" t="str">
        <f>"IEF " &amp; B92</f>
        <v>IEF Drive Mode 6</v>
      </c>
      <c r="BE90" s="435">
        <f t="shared" ref="BE90:BL90" si="75">IF(OR($C94="CET",$C94="-",$C94=""),"-",$C94)</f>
        <v>1</v>
      </c>
      <c r="BF90" s="435">
        <f t="shared" si="75"/>
        <v>1</v>
      </c>
      <c r="BG90" s="435">
        <f t="shared" si="75"/>
        <v>1</v>
      </c>
      <c r="BH90" s="435">
        <f t="shared" si="75"/>
        <v>1</v>
      </c>
      <c r="BI90" s="435">
        <f t="shared" si="75"/>
        <v>1</v>
      </c>
      <c r="BJ90" s="435">
        <f t="shared" si="75"/>
        <v>1</v>
      </c>
      <c r="BK90" s="435">
        <f t="shared" si="75"/>
        <v>1</v>
      </c>
      <c r="BL90" s="435">
        <f t="shared" si="75"/>
        <v>1</v>
      </c>
      <c r="BU90" s="401"/>
      <c r="BV90" s="401"/>
      <c r="BW90" s="401"/>
      <c r="BX90" s="401"/>
      <c r="BY90" s="401"/>
      <c r="BZ90" s="401"/>
    </row>
    <row r="91" spans="1:78" s="405" customFormat="1" ht="15" customHeight="1" outlineLevel="1" thickBot="1" x14ac:dyDescent="0.3">
      <c r="A91" s="404"/>
      <c r="B91" s="712"/>
      <c r="C91" s="688"/>
      <c r="D91" s="691"/>
      <c r="E91" s="451" t="s">
        <v>30</v>
      </c>
      <c r="F91" s="451" t="str">
        <f t="shared" ref="F91:M91" si="76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451" t="str">
        <f t="shared" si="76"/>
        <v>-</v>
      </c>
      <c r="H91" s="451" t="str">
        <f t="shared" si="76"/>
        <v>-</v>
      </c>
      <c r="I91" s="451" t="str">
        <f t="shared" si="76"/>
        <v>-</v>
      </c>
      <c r="J91" s="451" t="str">
        <f t="shared" si="76"/>
        <v>-</v>
      </c>
      <c r="K91" s="452" t="str">
        <f t="shared" si="76"/>
        <v>-</v>
      </c>
      <c r="L91" s="452" t="str">
        <f t="shared" si="76"/>
        <v>-</v>
      </c>
      <c r="M91" s="452" t="str">
        <f t="shared" si="76"/>
        <v>-</v>
      </c>
      <c r="N91" s="685"/>
      <c r="O91" s="672"/>
      <c r="P91" s="673"/>
      <c r="Q91" s="673"/>
      <c r="R91" s="673"/>
      <c r="S91" s="672"/>
      <c r="T91" s="673"/>
      <c r="U91" s="673"/>
      <c r="V91" s="674"/>
      <c r="W91" s="512"/>
      <c r="X91" s="512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401"/>
      <c r="AJ91" s="401"/>
      <c r="AK91" s="401"/>
      <c r="AL91" s="401"/>
      <c r="AM91" s="401"/>
      <c r="AN91" s="401"/>
      <c r="AO91" s="401"/>
      <c r="AP91" s="401"/>
      <c r="AQ91" s="401"/>
      <c r="AR91" s="401"/>
      <c r="AS91" s="401"/>
      <c r="AT91" s="401"/>
      <c r="AU91" s="401"/>
      <c r="AV91" s="401"/>
      <c r="AW91" s="401"/>
      <c r="AX91" s="401"/>
      <c r="AY91" s="401"/>
      <c r="AZ91" s="401"/>
      <c r="BA91" s="401"/>
      <c r="BB91" s="401"/>
      <c r="BC91" s="399" t="str">
        <f>IF(COUNTIF(F91:M91,"refused")&gt;0,"refused",IF(COUNTIF(F91:M91,"failed")&gt;0,"failed",IF(COUNTIF(F91:M91,"passed")&gt;0,"passed","-")))</f>
        <v>-</v>
      </c>
      <c r="BU91" s="401"/>
      <c r="BV91" s="401"/>
      <c r="BW91" s="401"/>
      <c r="BX91" s="401"/>
      <c r="BY91" s="401"/>
      <c r="BZ91" s="401"/>
    </row>
    <row r="92" spans="1:78" s="405" customFormat="1" ht="15" customHeight="1" outlineLevel="1" x14ac:dyDescent="0.25">
      <c r="A92" s="404"/>
      <c r="B92" s="710" t="s">
        <v>120</v>
      </c>
      <c r="C92" s="713" t="s">
        <v>114</v>
      </c>
      <c r="D92" s="684" t="s">
        <v>113</v>
      </c>
      <c r="E92" s="453" t="s">
        <v>94</v>
      </c>
      <c r="F92" s="437" t="s">
        <v>5</v>
      </c>
      <c r="G92" s="437" t="s">
        <v>5</v>
      </c>
      <c r="H92" s="437" t="s">
        <v>5</v>
      </c>
      <c r="I92" s="437" t="s">
        <v>5</v>
      </c>
      <c r="J92" s="437" t="s">
        <v>5</v>
      </c>
      <c r="K92" s="438" t="s">
        <v>5</v>
      </c>
      <c r="L92" s="438" t="s">
        <v>5</v>
      </c>
      <c r="M92" s="438" t="s">
        <v>5</v>
      </c>
      <c r="N92" s="437" t="s">
        <v>5</v>
      </c>
      <c r="O92" s="672"/>
      <c r="P92" s="673"/>
      <c r="Q92" s="673"/>
      <c r="R92" s="673"/>
      <c r="S92" s="672"/>
      <c r="T92" s="673"/>
      <c r="U92" s="673"/>
      <c r="V92" s="674"/>
      <c r="W92" s="512"/>
      <c r="X92" s="512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AI92" s="401"/>
      <c r="AJ92" s="401"/>
      <c r="AK92" s="401"/>
      <c r="AL92" s="401"/>
      <c r="AM92" s="401"/>
      <c r="AN92" s="401"/>
      <c r="AO92" s="401"/>
      <c r="AP92" s="401"/>
      <c r="AQ92" s="401"/>
      <c r="AR92" s="401"/>
      <c r="AS92" s="401"/>
      <c r="AT92" s="401"/>
      <c r="AU92" s="401"/>
      <c r="AV92" s="401"/>
      <c r="AW92" s="401"/>
      <c r="AX92" s="401"/>
      <c r="AY92" s="401"/>
      <c r="AZ92" s="401"/>
      <c r="BA92" s="401"/>
      <c r="BB92" s="401"/>
      <c r="BC92" s="536"/>
      <c r="BD92" s="459"/>
      <c r="BE92" s="459"/>
      <c r="BF92" s="459"/>
      <c r="BG92" s="459"/>
      <c r="BH92" s="459"/>
      <c r="BI92" s="459"/>
      <c r="BJ92" s="459"/>
      <c r="BK92" s="459"/>
      <c r="BL92" s="459"/>
      <c r="BU92" s="401"/>
      <c r="BV92" s="401"/>
      <c r="BW92" s="401"/>
      <c r="BX92" s="401"/>
      <c r="BY92" s="401"/>
      <c r="BZ92" s="401"/>
    </row>
    <row r="93" spans="1:78" s="405" customFormat="1" ht="15" customHeight="1" outlineLevel="1" thickBot="1" x14ac:dyDescent="0.3">
      <c r="A93" s="454"/>
      <c r="B93" s="711"/>
      <c r="C93" s="714"/>
      <c r="D93" s="685"/>
      <c r="E93" s="440" t="s">
        <v>95</v>
      </c>
      <c r="F93" s="441" t="s">
        <v>5</v>
      </c>
      <c r="G93" s="441" t="s">
        <v>5</v>
      </c>
      <c r="H93" s="441" t="s">
        <v>5</v>
      </c>
      <c r="I93" s="441" t="s">
        <v>5</v>
      </c>
      <c r="J93" s="441" t="s">
        <v>5</v>
      </c>
      <c r="K93" s="442" t="s">
        <v>5</v>
      </c>
      <c r="L93" s="442" t="s">
        <v>5</v>
      </c>
      <c r="M93" s="442" t="s">
        <v>5</v>
      </c>
      <c r="N93" s="441" t="s">
        <v>5</v>
      </c>
      <c r="O93" s="672"/>
      <c r="P93" s="673"/>
      <c r="Q93" s="673"/>
      <c r="R93" s="673"/>
      <c r="S93" s="672"/>
      <c r="T93" s="673"/>
      <c r="U93" s="673"/>
      <c r="V93" s="674"/>
      <c r="W93" s="443"/>
      <c r="X93" s="443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536"/>
      <c r="BD93" s="459"/>
      <c r="BE93" s="459"/>
      <c r="BF93" s="459"/>
      <c r="BG93" s="459"/>
      <c r="BH93" s="459"/>
      <c r="BI93" s="459"/>
      <c r="BJ93" s="459"/>
      <c r="BK93" s="459"/>
      <c r="BL93" s="459"/>
    </row>
    <row r="94" spans="1:78" s="405" customFormat="1" ht="15" customHeight="1" outlineLevel="1" thickBot="1" x14ac:dyDescent="0.3">
      <c r="A94" s="404"/>
      <c r="B94" s="711"/>
      <c r="C94" s="715">
        <v>1</v>
      </c>
      <c r="D94" s="689" t="str">
        <f>IF(AND(F94="-",G94="-",H94="-",I94="-",J94="-",K94="-",L94="-",M94="-"),"-",MAX(F94,G94,H94,I94,J94,K94,L94,M94))</f>
        <v>-</v>
      </c>
      <c r="E94" s="444" t="s">
        <v>177</v>
      </c>
      <c r="F94" s="445" t="str">
        <f t="shared" ref="F94:M94" si="77">IF(OR(F93="-",F93=""),IF(OR(F92="-",F92=""),"-",F92),IF(OR(F92="-",F92=""),F93,(F92+F93)/2))</f>
        <v>-</v>
      </c>
      <c r="G94" s="445" t="str">
        <f t="shared" si="77"/>
        <v>-</v>
      </c>
      <c r="H94" s="445" t="str">
        <f t="shared" si="77"/>
        <v>-</v>
      </c>
      <c r="I94" s="445" t="str">
        <f t="shared" si="77"/>
        <v>-</v>
      </c>
      <c r="J94" s="445" t="str">
        <f t="shared" si="77"/>
        <v>-</v>
      </c>
      <c r="K94" s="446" t="str">
        <f t="shared" si="77"/>
        <v>-</v>
      </c>
      <c r="L94" s="446" t="str">
        <f t="shared" si="77"/>
        <v>-</v>
      </c>
      <c r="M94" s="446" t="str">
        <f t="shared" si="77"/>
        <v>-</v>
      </c>
      <c r="N94" s="828"/>
      <c r="O94" s="672"/>
      <c r="P94" s="673"/>
      <c r="Q94" s="673"/>
      <c r="R94" s="673"/>
      <c r="S94" s="672"/>
      <c r="T94" s="673"/>
      <c r="U94" s="673"/>
      <c r="V94" s="674"/>
      <c r="W94" s="512"/>
      <c r="X94" s="512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AI94" s="401"/>
      <c r="AJ94" s="401"/>
      <c r="AK94" s="401"/>
      <c r="AL94" s="401"/>
      <c r="AM94" s="401"/>
      <c r="AN94" s="401"/>
      <c r="AO94" s="401"/>
      <c r="AP94" s="401"/>
      <c r="AQ94" s="401"/>
      <c r="AR94" s="401"/>
      <c r="AS94" s="401"/>
      <c r="AT94" s="401"/>
      <c r="AU94" s="401"/>
      <c r="AV94" s="401"/>
      <c r="AW94" s="401"/>
      <c r="AX94" s="401"/>
      <c r="AY94" s="401"/>
      <c r="AZ94" s="401"/>
      <c r="BA94" s="401"/>
      <c r="BB94" s="401"/>
      <c r="BC94" s="536"/>
      <c r="BD94" s="460"/>
      <c r="BE94" s="460"/>
      <c r="BF94" s="460"/>
      <c r="BG94" s="460"/>
      <c r="BH94" s="460"/>
      <c r="BI94" s="460"/>
      <c r="BJ94" s="460"/>
      <c r="BK94" s="460"/>
      <c r="BL94" s="460"/>
      <c r="BU94" s="401"/>
      <c r="BV94" s="401"/>
      <c r="BW94" s="401"/>
      <c r="BX94" s="401"/>
      <c r="BY94" s="401"/>
      <c r="BZ94" s="401"/>
    </row>
    <row r="95" spans="1:78" s="405" customFormat="1" ht="15" customHeight="1" outlineLevel="1" thickBot="1" x14ac:dyDescent="0.3">
      <c r="A95" s="404"/>
      <c r="B95" s="711"/>
      <c r="C95" s="716"/>
      <c r="D95" s="690"/>
      <c r="E95" s="447" t="s">
        <v>97</v>
      </c>
      <c r="F95" s="448" t="e">
        <f t="shared" ref="F95:M95" si="78">IF(OR($C94="-",$C94="CET",$C94=""),"-",IF(AND(NOT(F94="-"),NOT(F$5="-"),NOT(F$5="")),F94/F$5,"-"))</f>
        <v>#N/A</v>
      </c>
      <c r="G95" s="448" t="e">
        <f t="shared" si="78"/>
        <v>#N/A</v>
      </c>
      <c r="H95" s="448" t="e">
        <f t="shared" si="78"/>
        <v>#N/A</v>
      </c>
      <c r="I95" s="448" t="e">
        <f t="shared" si="78"/>
        <v>#N/A</v>
      </c>
      <c r="J95" s="448" t="e">
        <f t="shared" si="78"/>
        <v>#N/A</v>
      </c>
      <c r="K95" s="449" t="e">
        <f t="shared" si="78"/>
        <v>#N/A</v>
      </c>
      <c r="L95" s="449" t="e">
        <f t="shared" si="78"/>
        <v>#N/A</v>
      </c>
      <c r="M95" s="449" t="e">
        <f t="shared" si="78"/>
        <v>#N/A</v>
      </c>
      <c r="N95" s="702"/>
      <c r="O95" s="672"/>
      <c r="P95" s="673"/>
      <c r="Q95" s="673"/>
      <c r="R95" s="673"/>
      <c r="S95" s="672"/>
      <c r="T95" s="673"/>
      <c r="U95" s="673"/>
      <c r="V95" s="674"/>
      <c r="W95" s="512"/>
      <c r="X95" s="512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AI95" s="401"/>
      <c r="AJ95" s="401"/>
      <c r="AK95" s="401"/>
      <c r="AL95" s="401"/>
      <c r="AM95" s="401"/>
      <c r="AN95" s="401"/>
      <c r="AO95" s="401"/>
      <c r="AP95" s="401"/>
      <c r="AQ95" s="401"/>
      <c r="AR95" s="401"/>
      <c r="AS95" s="401"/>
      <c r="AT95" s="401"/>
      <c r="AU95" s="401"/>
      <c r="AV95" s="401"/>
      <c r="AW95" s="401"/>
      <c r="AX95" s="401"/>
      <c r="AY95" s="401"/>
      <c r="AZ95" s="401"/>
      <c r="BA95" s="401"/>
      <c r="BB95" s="401"/>
      <c r="BC95" s="536"/>
      <c r="BD95" s="460"/>
      <c r="BE95" s="460"/>
      <c r="BF95" s="460"/>
      <c r="BG95" s="460"/>
      <c r="BH95" s="460"/>
      <c r="BI95" s="460"/>
      <c r="BJ95" s="460"/>
      <c r="BK95" s="460"/>
      <c r="BL95" s="460"/>
      <c r="BU95" s="401"/>
      <c r="BV95" s="401"/>
      <c r="BW95" s="401"/>
      <c r="BX95" s="401"/>
      <c r="BY95" s="401"/>
      <c r="BZ95" s="401"/>
    </row>
    <row r="96" spans="1:78" s="405" customFormat="1" ht="15.75" outlineLevel="1" thickBot="1" x14ac:dyDescent="0.3">
      <c r="A96" s="401"/>
      <c r="B96" s="712"/>
      <c r="C96" s="717"/>
      <c r="D96" s="691"/>
      <c r="E96" s="451" t="s">
        <v>30</v>
      </c>
      <c r="F96" s="451" t="str">
        <f t="shared" ref="F96:M96" si="79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451" t="str">
        <f t="shared" si="79"/>
        <v>-</v>
      </c>
      <c r="H96" s="451" t="str">
        <f t="shared" si="79"/>
        <v>-</v>
      </c>
      <c r="I96" s="451" t="str">
        <f t="shared" si="79"/>
        <v>-</v>
      </c>
      <c r="J96" s="451" t="str">
        <f t="shared" si="79"/>
        <v>-</v>
      </c>
      <c r="K96" s="452" t="str">
        <f t="shared" si="79"/>
        <v>-</v>
      </c>
      <c r="L96" s="452" t="str">
        <f t="shared" si="79"/>
        <v>-</v>
      </c>
      <c r="M96" s="452" t="str">
        <f t="shared" si="79"/>
        <v>-</v>
      </c>
      <c r="N96" s="685"/>
      <c r="O96" s="675"/>
      <c r="P96" s="676"/>
      <c r="Q96" s="676"/>
      <c r="R96" s="676"/>
      <c r="S96" s="675"/>
      <c r="T96" s="676"/>
      <c r="U96" s="676"/>
      <c r="V96" s="677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  <c r="AI96" s="401"/>
      <c r="AJ96" s="401"/>
      <c r="AK96" s="401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399" t="str">
        <f>IF(COUNTIF(F96:M96,"refused")&gt;0,"refused",IF(COUNTIF(F96:M96,"failed")&gt;0,"failed",IF(COUNTIF(F96:M96,"passed")&gt;0,"passed","-")))</f>
        <v>-</v>
      </c>
      <c r="BD96" s="460"/>
      <c r="BE96" s="460"/>
      <c r="BF96" s="460"/>
      <c r="BG96" s="460"/>
      <c r="BH96" s="460"/>
      <c r="BI96" s="460"/>
      <c r="BJ96" s="460"/>
      <c r="BK96" s="460"/>
      <c r="BL96" s="460"/>
      <c r="BU96" s="401"/>
      <c r="BV96" s="401"/>
      <c r="BW96" s="401"/>
      <c r="BX96" s="401"/>
      <c r="BY96" s="401"/>
      <c r="BZ96" s="401"/>
    </row>
    <row r="97" spans="1:78" s="405" customFormat="1" ht="15" customHeight="1" x14ac:dyDescent="0.25">
      <c r="A97" s="401"/>
      <c r="B97" s="401"/>
      <c r="C97" s="401"/>
      <c r="D97" s="401"/>
      <c r="E97" s="401"/>
      <c r="F97" s="401"/>
      <c r="G97" s="401"/>
      <c r="H97" s="401"/>
      <c r="I97" s="401"/>
      <c r="J97" s="401"/>
      <c r="K97" s="458"/>
      <c r="L97" s="458"/>
      <c r="M97" s="458"/>
      <c r="N97" s="401"/>
      <c r="O97" s="401"/>
      <c r="P97" s="401"/>
      <c r="Q97" s="401"/>
      <c r="R97" s="401"/>
      <c r="S97" s="401"/>
      <c r="T97" s="401"/>
      <c r="U97" s="401"/>
      <c r="V97" s="401"/>
      <c r="W97" s="401"/>
      <c r="X97" s="401"/>
      <c r="Y97" s="401"/>
      <c r="Z97" s="401"/>
      <c r="AA97" s="401"/>
      <c r="AB97" s="401"/>
      <c r="AC97" s="401"/>
      <c r="AD97" s="401"/>
      <c r="AE97" s="401"/>
      <c r="AF97" s="401"/>
      <c r="AG97" s="401"/>
      <c r="AH97" s="401"/>
      <c r="AI97" s="401"/>
      <c r="AJ97" s="401"/>
      <c r="AK97" s="401"/>
      <c r="AL97" s="401"/>
      <c r="AM97" s="401"/>
      <c r="AN97" s="401"/>
      <c r="AO97" s="401"/>
      <c r="AP97" s="401"/>
      <c r="AQ97" s="401"/>
      <c r="AR97" s="401"/>
      <c r="AS97" s="401"/>
      <c r="AT97" s="401"/>
      <c r="AU97" s="401"/>
      <c r="AV97" s="401"/>
      <c r="AW97" s="401"/>
      <c r="AX97" s="401"/>
      <c r="AY97" s="401"/>
      <c r="AZ97" s="401"/>
      <c r="BA97" s="401"/>
      <c r="BB97" s="401"/>
      <c r="BC97" s="401"/>
      <c r="BD97" s="459"/>
      <c r="BE97" s="459"/>
      <c r="BF97" s="459"/>
      <c r="BG97" s="459"/>
      <c r="BH97" s="459"/>
      <c r="BI97" s="459"/>
      <c r="BJ97" s="459"/>
      <c r="BK97" s="459"/>
      <c r="BL97" s="459"/>
      <c r="BU97" s="401"/>
      <c r="BV97" s="401"/>
      <c r="BW97" s="401"/>
      <c r="BX97" s="401"/>
      <c r="BY97" s="401"/>
      <c r="BZ97" s="401"/>
    </row>
    <row r="98" spans="1:78" s="405" customFormat="1" ht="15" customHeight="1" x14ac:dyDescent="0.25">
      <c r="A98" s="401"/>
      <c r="B98" s="401"/>
      <c r="C98" s="401"/>
      <c r="D98" s="401"/>
      <c r="E98" s="401"/>
      <c r="F98" s="401"/>
      <c r="G98" s="401"/>
      <c r="H98" s="401"/>
      <c r="I98" s="401"/>
      <c r="J98" s="401"/>
      <c r="K98" s="458"/>
      <c r="L98" s="458"/>
      <c r="M98" s="458"/>
      <c r="N98" s="401"/>
      <c r="O98" s="401"/>
      <c r="P98" s="401"/>
      <c r="Q98" s="401"/>
      <c r="R98" s="401"/>
      <c r="S98" s="401"/>
      <c r="T98" s="401"/>
      <c r="U98" s="401"/>
      <c r="V98" s="401"/>
      <c r="W98" s="401"/>
      <c r="X98" s="401"/>
      <c r="Y98" s="401"/>
      <c r="Z98" s="401"/>
      <c r="AA98" s="401"/>
      <c r="AB98" s="401"/>
      <c r="AC98" s="401"/>
      <c r="AD98" s="401"/>
      <c r="AE98" s="401"/>
      <c r="AF98" s="401"/>
      <c r="AG98" s="401"/>
      <c r="AH98" s="401"/>
      <c r="AI98" s="401"/>
      <c r="AJ98" s="401"/>
      <c r="AK98" s="401"/>
      <c r="AL98" s="401"/>
      <c r="AM98" s="401"/>
      <c r="AN98" s="401"/>
      <c r="AO98" s="401"/>
      <c r="AP98" s="401"/>
      <c r="AQ98" s="401"/>
      <c r="AR98" s="401"/>
      <c r="AS98" s="401"/>
      <c r="AT98" s="401"/>
      <c r="AU98" s="401"/>
      <c r="AV98" s="401"/>
      <c r="AW98" s="401"/>
      <c r="AX98" s="401"/>
      <c r="AY98" s="401"/>
      <c r="AZ98" s="401"/>
      <c r="BA98" s="401"/>
      <c r="BB98" s="401"/>
      <c r="BC98" s="401"/>
      <c r="BD98" s="459"/>
      <c r="BE98" s="459"/>
      <c r="BF98" s="459"/>
      <c r="BG98" s="459"/>
      <c r="BH98" s="459"/>
      <c r="BI98" s="459"/>
      <c r="BJ98" s="459"/>
      <c r="BK98" s="459"/>
      <c r="BL98" s="459"/>
      <c r="BU98" s="401"/>
      <c r="BV98" s="401"/>
      <c r="BW98" s="401"/>
      <c r="BX98" s="401"/>
      <c r="BY98" s="401"/>
      <c r="BZ98" s="401"/>
    </row>
    <row r="99" spans="1:78" s="405" customFormat="1" ht="15" customHeight="1" thickBot="1" x14ac:dyDescent="0.3">
      <c r="A99" s="396"/>
      <c r="B99" s="401"/>
      <c r="C99" s="401"/>
      <c r="D99" s="401"/>
      <c r="E99" s="401"/>
      <c r="F99" s="401"/>
      <c r="G99" s="401"/>
      <c r="H99" s="401"/>
      <c r="I99" s="401"/>
      <c r="J99" s="401"/>
      <c r="K99" s="458"/>
      <c r="L99" s="458"/>
      <c r="M99" s="458"/>
      <c r="N99" s="401"/>
      <c r="O99" s="401"/>
      <c r="P99" s="401"/>
      <c r="Q99" s="401"/>
      <c r="R99" s="401"/>
      <c r="S99" s="401"/>
      <c r="T99" s="401"/>
      <c r="U99" s="401"/>
      <c r="V99" s="401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AI99" s="401"/>
      <c r="AJ99" s="401"/>
      <c r="AK99" s="401"/>
      <c r="AL99" s="401"/>
      <c r="AM99" s="401"/>
      <c r="AN99" s="401"/>
      <c r="AO99" s="401"/>
      <c r="AP99" s="401"/>
      <c r="AQ99" s="401"/>
      <c r="AR99" s="401"/>
      <c r="AS99" s="401"/>
      <c r="AT99" s="401"/>
      <c r="AU99" s="401"/>
      <c r="AV99" s="401"/>
      <c r="AW99" s="401"/>
      <c r="AX99" s="401"/>
      <c r="AY99" s="401"/>
      <c r="AZ99" s="401"/>
      <c r="BA99" s="401"/>
      <c r="BB99" s="401"/>
      <c r="BC99" s="401"/>
      <c r="BD99" s="459"/>
      <c r="BE99" s="459"/>
      <c r="BF99" s="459"/>
      <c r="BG99" s="459"/>
      <c r="BH99" s="459"/>
      <c r="BI99" s="459"/>
      <c r="BJ99" s="459"/>
      <c r="BK99" s="459"/>
      <c r="BL99" s="459"/>
      <c r="BU99" s="401"/>
      <c r="BV99" s="401"/>
      <c r="BW99" s="401"/>
      <c r="BX99" s="401"/>
      <c r="BY99" s="401"/>
      <c r="BZ99" s="401"/>
    </row>
    <row r="100" spans="1:78" s="405" customFormat="1" ht="24.95" customHeight="1" thickBot="1" x14ac:dyDescent="0.3">
      <c r="A100" s="396"/>
      <c r="B100" s="415">
        <v>4</v>
      </c>
      <c r="C100" s="706" t="s">
        <v>131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IF(COUNTIF(F108:M115,"refused")&gt;0,"refused",IF(COUNTIF(F108:M115,"failed")&gt;0,"failed",IF(COUNTIF(F108:M115,"passed")&gt;0,"passed","-")))</f>
        <v>-</v>
      </c>
      <c r="Q100" s="399" t="s">
        <v>80</v>
      </c>
      <c r="R100" s="399" t="str">
        <f>IF(COUNT(F105:M106,F111:M112)&gt;0,"listed","not listed")</f>
        <v>not listed</v>
      </c>
      <c r="S100" s="511"/>
      <c r="T100" s="418"/>
      <c r="U100" s="418"/>
      <c r="V100" s="419"/>
      <c r="W100" s="414"/>
      <c r="X100" s="414"/>
      <c r="Y100" s="414"/>
      <c r="Z100" s="414"/>
      <c r="AA100" s="414"/>
      <c r="AB100" s="414"/>
      <c r="AC100" s="414"/>
      <c r="AD100" s="414"/>
      <c r="AE100" s="414"/>
      <c r="AF100" s="414"/>
      <c r="AG100" s="414"/>
      <c r="AH100" s="414"/>
      <c r="AI100" s="401"/>
      <c r="AJ100" s="401"/>
      <c r="AK100" s="401"/>
      <c r="AL100" s="401"/>
      <c r="AM100" s="401"/>
      <c r="AN100" s="401"/>
      <c r="AO100" s="401"/>
      <c r="AP100" s="401"/>
      <c r="AQ100" s="401"/>
      <c r="AR100" s="401"/>
      <c r="AS100" s="401"/>
      <c r="AT100" s="401"/>
      <c r="AU100" s="401"/>
      <c r="AV100" s="401"/>
      <c r="AW100" s="401"/>
      <c r="AX100" s="401"/>
      <c r="AY100" s="401"/>
      <c r="AZ100" s="401"/>
      <c r="BA100" s="401"/>
      <c r="BB100" s="401"/>
      <c r="BC100" s="401"/>
      <c r="BU100" s="401"/>
      <c r="BV100" s="401"/>
      <c r="BW100" s="401"/>
      <c r="BX100" s="401"/>
      <c r="BY100" s="401"/>
      <c r="BZ100" s="401"/>
    </row>
    <row r="101" spans="1:78" s="405" customFormat="1" ht="15" customHeight="1" outlineLevel="1" thickBot="1" x14ac:dyDescent="0.3">
      <c r="A101" s="396"/>
      <c r="B101" s="513"/>
      <c r="C101" s="514"/>
      <c r="D101" s="514"/>
      <c r="E101" s="514"/>
      <c r="F101" s="514"/>
      <c r="G101" s="514"/>
      <c r="H101" s="514"/>
      <c r="I101" s="514"/>
      <c r="J101" s="514"/>
      <c r="K101" s="421"/>
      <c r="L101" s="421"/>
      <c r="M101" s="421"/>
      <c r="N101" s="514"/>
      <c r="O101" s="514"/>
      <c r="P101" s="514"/>
      <c r="Q101" s="514"/>
      <c r="R101" s="514"/>
      <c r="S101" s="514"/>
      <c r="T101" s="422"/>
      <c r="U101" s="422"/>
      <c r="V101" s="423"/>
      <c r="W101" s="424"/>
      <c r="X101" s="424"/>
      <c r="Y101" s="698"/>
      <c r="Z101" s="698"/>
      <c r="AA101" s="698"/>
      <c r="AB101" s="698"/>
      <c r="AC101" s="698"/>
      <c r="AD101" s="698"/>
      <c r="AE101" s="698"/>
      <c r="AF101" s="698"/>
      <c r="AG101" s="698"/>
      <c r="AH101" s="698"/>
      <c r="AI101" s="401"/>
      <c r="AJ101" s="401"/>
      <c r="AK101" s="401"/>
      <c r="AL101" s="401"/>
      <c r="AM101" s="401"/>
      <c r="AN101" s="401"/>
      <c r="AO101" s="401"/>
      <c r="AP101" s="401"/>
      <c r="AQ101" s="401"/>
      <c r="AR101" s="401"/>
      <c r="AS101" s="401"/>
      <c r="AT101" s="401"/>
      <c r="AU101" s="401"/>
      <c r="AV101" s="401"/>
      <c r="AW101" s="401"/>
      <c r="AX101" s="401"/>
      <c r="AY101" s="401"/>
      <c r="AZ101" s="401"/>
      <c r="BA101" s="401"/>
      <c r="BB101" s="401"/>
      <c r="BC101" s="401"/>
      <c r="BU101" s="401"/>
      <c r="BV101" s="401"/>
      <c r="BW101" s="401"/>
      <c r="BX101" s="401"/>
      <c r="BY101" s="401"/>
      <c r="BZ101" s="401"/>
    </row>
    <row r="102" spans="1:78" s="405" customFormat="1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512"/>
      <c r="X102" s="512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401"/>
      <c r="AJ102" s="401"/>
      <c r="AK102" s="401"/>
      <c r="AL102" s="401"/>
      <c r="AM102" s="401"/>
      <c r="AN102" s="401"/>
      <c r="AO102" s="401"/>
      <c r="AP102" s="401"/>
      <c r="AQ102" s="401"/>
      <c r="AR102" s="401"/>
      <c r="AS102" s="401"/>
      <c r="AT102" s="401"/>
      <c r="AU102" s="401"/>
      <c r="AV102" s="401"/>
      <c r="AW102" s="401"/>
      <c r="AX102" s="401"/>
      <c r="AY102" s="401"/>
      <c r="AZ102" s="401"/>
      <c r="BA102" s="401"/>
      <c r="BB102" s="401"/>
      <c r="BC102" s="401"/>
      <c r="BU102" s="401"/>
      <c r="BV102" s="401"/>
      <c r="BW102" s="401"/>
      <c r="BX102" s="401"/>
      <c r="BY102" s="401"/>
      <c r="BZ102" s="401"/>
    </row>
    <row r="103" spans="1:78" s="405" customFormat="1" ht="35.1" customHeight="1" outlineLevel="1" thickBot="1" x14ac:dyDescent="0.3">
      <c r="A103" s="396"/>
      <c r="B103" s="731" t="s">
        <v>84</v>
      </c>
      <c r="C103" s="732"/>
      <c r="D103" s="732"/>
      <c r="E103" s="733"/>
      <c r="F103" s="425" t="s">
        <v>72</v>
      </c>
      <c r="G103" s="517" t="s">
        <v>73</v>
      </c>
      <c r="H103" s="425" t="s">
        <v>74</v>
      </c>
      <c r="I103" s="425" t="s">
        <v>75</v>
      </c>
      <c r="J103" s="425" t="s">
        <v>76</v>
      </c>
      <c r="K103" s="534" t="s">
        <v>170</v>
      </c>
      <c r="L103" s="535" t="str">
        <f>$L$4</f>
        <v>Additional
component</v>
      </c>
      <c r="M103" s="535" t="str">
        <f>$M$4</f>
        <v>Additional
component 2</v>
      </c>
      <c r="N103" s="425" t="s">
        <v>77</v>
      </c>
      <c r="O103" s="670"/>
      <c r="P103" s="670"/>
      <c r="Q103" s="670"/>
      <c r="R103" s="671"/>
      <c r="S103" s="669"/>
      <c r="T103" s="670"/>
      <c r="U103" s="670"/>
      <c r="V103" s="671"/>
      <c r="W103" s="512"/>
      <c r="X103" s="512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401"/>
      <c r="AJ103" s="401"/>
      <c r="AK103" s="401"/>
      <c r="AL103" s="401"/>
      <c r="AM103" s="401"/>
      <c r="AN103" s="401"/>
      <c r="AO103" s="401"/>
      <c r="AP103" s="401"/>
      <c r="AQ103" s="401"/>
      <c r="AR103" s="401"/>
      <c r="AS103" s="401"/>
      <c r="AT103" s="401"/>
      <c r="AU103" s="401"/>
      <c r="AV103" s="401"/>
      <c r="AW103" s="401"/>
      <c r="AX103" s="401"/>
      <c r="AY103" s="401"/>
      <c r="AZ103" s="401"/>
      <c r="BA103" s="401"/>
      <c r="BB103" s="401"/>
      <c r="BC103" s="536"/>
      <c r="BU103" s="401"/>
      <c r="BV103" s="401"/>
      <c r="BW103" s="401"/>
      <c r="BX103" s="401"/>
      <c r="BY103" s="401"/>
      <c r="BZ103" s="401"/>
    </row>
    <row r="104" spans="1:78" s="405" customFormat="1" ht="15" customHeight="1" outlineLevel="1" thickBot="1" x14ac:dyDescent="0.3">
      <c r="A104" s="396"/>
      <c r="B104" s="835" t="s">
        <v>131</v>
      </c>
      <c r="C104" s="515" t="s">
        <v>64</v>
      </c>
      <c r="D104" s="709" t="s">
        <v>119</v>
      </c>
      <c r="E104" s="683"/>
      <c r="F104" s="432" t="s">
        <v>64</v>
      </c>
      <c r="G104" s="432" t="s">
        <v>64</v>
      </c>
      <c r="H104" s="432" t="s">
        <v>64</v>
      </c>
      <c r="I104" s="432" t="s">
        <v>64</v>
      </c>
      <c r="J104" s="432" t="s">
        <v>64</v>
      </c>
      <c r="K104" s="433" t="s">
        <v>64</v>
      </c>
      <c r="L104" s="433" t="s">
        <v>64</v>
      </c>
      <c r="M104" s="433" t="s">
        <v>64</v>
      </c>
      <c r="N104" s="432" t="s">
        <v>64</v>
      </c>
      <c r="O104" s="673"/>
      <c r="P104" s="673"/>
      <c r="Q104" s="673"/>
      <c r="R104" s="674"/>
      <c r="S104" s="672"/>
      <c r="T104" s="673"/>
      <c r="U104" s="673"/>
      <c r="V104" s="674"/>
      <c r="W104" s="512"/>
      <c r="X104" s="512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AI104" s="401"/>
      <c r="AJ104" s="401"/>
      <c r="AK104" s="401"/>
      <c r="AL104" s="401"/>
      <c r="AM104" s="401"/>
      <c r="AN104" s="401"/>
      <c r="AO104" s="401"/>
      <c r="AP104" s="401"/>
      <c r="AQ104" s="401"/>
      <c r="AR104" s="401"/>
      <c r="AS104" s="401"/>
      <c r="AT104" s="401"/>
      <c r="AU104" s="401"/>
      <c r="AV104" s="401"/>
      <c r="AW104" s="401"/>
      <c r="AX104" s="401"/>
      <c r="AY104" s="401"/>
      <c r="AZ104" s="401"/>
      <c r="BA104" s="401"/>
      <c r="BB104" s="401"/>
      <c r="BC104" s="536"/>
      <c r="BU104" s="401"/>
      <c r="BV104" s="401"/>
      <c r="BW104" s="401"/>
      <c r="BX104" s="401"/>
      <c r="BY104" s="401"/>
      <c r="BZ104" s="401"/>
    </row>
    <row r="105" spans="1:78" s="405" customFormat="1" ht="15" customHeight="1" outlineLevel="1" x14ac:dyDescent="0.25">
      <c r="A105" s="439"/>
      <c r="B105" s="836"/>
      <c r="C105" s="684" t="s">
        <v>114</v>
      </c>
      <c r="D105" s="684" t="s">
        <v>113</v>
      </c>
      <c r="E105" s="453" t="s">
        <v>94</v>
      </c>
      <c r="F105" s="473" t="s">
        <v>5</v>
      </c>
      <c r="G105" s="473" t="s">
        <v>5</v>
      </c>
      <c r="H105" s="473" t="s">
        <v>5</v>
      </c>
      <c r="I105" s="473" t="s">
        <v>5</v>
      </c>
      <c r="J105" s="473" t="s">
        <v>5</v>
      </c>
      <c r="K105" s="474" t="s">
        <v>5</v>
      </c>
      <c r="L105" s="474" t="s">
        <v>5</v>
      </c>
      <c r="M105" s="474" t="s">
        <v>5</v>
      </c>
      <c r="N105" s="437" t="s">
        <v>5</v>
      </c>
      <c r="O105" s="673"/>
      <c r="P105" s="673"/>
      <c r="Q105" s="673"/>
      <c r="R105" s="674"/>
      <c r="S105" s="672"/>
      <c r="T105" s="673"/>
      <c r="U105" s="673"/>
      <c r="V105" s="674"/>
      <c r="W105" s="443"/>
      <c r="X105" s="443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536"/>
    </row>
    <row r="106" spans="1:78" s="405" customFormat="1" ht="15" customHeight="1" outlineLevel="1" thickBot="1" x14ac:dyDescent="0.3">
      <c r="A106" s="396"/>
      <c r="B106" s="836"/>
      <c r="C106" s="685"/>
      <c r="D106" s="685"/>
      <c r="E106" s="440" t="s">
        <v>95</v>
      </c>
      <c r="F106" s="475" t="s">
        <v>5</v>
      </c>
      <c r="G106" s="475" t="s">
        <v>5</v>
      </c>
      <c r="H106" s="475" t="s">
        <v>5</v>
      </c>
      <c r="I106" s="475" t="s">
        <v>5</v>
      </c>
      <c r="J106" s="475" t="s">
        <v>5</v>
      </c>
      <c r="K106" s="476" t="s">
        <v>5</v>
      </c>
      <c r="L106" s="476" t="s">
        <v>5</v>
      </c>
      <c r="M106" s="476" t="s">
        <v>5</v>
      </c>
      <c r="N106" s="441" t="s">
        <v>5</v>
      </c>
      <c r="O106" s="673"/>
      <c r="P106" s="673"/>
      <c r="Q106" s="673"/>
      <c r="R106" s="674"/>
      <c r="S106" s="672"/>
      <c r="T106" s="673"/>
      <c r="U106" s="673"/>
      <c r="V106" s="674"/>
      <c r="W106" s="512"/>
      <c r="X106" s="512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AI106" s="401"/>
      <c r="AJ106" s="401"/>
      <c r="AK106" s="401"/>
      <c r="AL106" s="401"/>
      <c r="AM106" s="401"/>
      <c r="AN106" s="401"/>
      <c r="AO106" s="401"/>
      <c r="AP106" s="401"/>
      <c r="AQ106" s="401"/>
      <c r="AR106" s="401"/>
      <c r="AS106" s="401"/>
      <c r="AT106" s="401"/>
      <c r="AU106" s="401"/>
      <c r="AV106" s="401"/>
      <c r="AW106" s="401"/>
      <c r="AX106" s="401"/>
      <c r="AY106" s="401"/>
      <c r="AZ106" s="401"/>
      <c r="BA106" s="401"/>
      <c r="BB106" s="401"/>
      <c r="BC106" s="536"/>
      <c r="BU106" s="401"/>
      <c r="BV106" s="401"/>
      <c r="BW106" s="401"/>
      <c r="BX106" s="401"/>
      <c r="BY106" s="401"/>
      <c r="BZ106" s="401"/>
    </row>
    <row r="107" spans="1:78" s="405" customFormat="1" ht="15" customHeight="1" outlineLevel="1" thickBot="1" x14ac:dyDescent="0.3">
      <c r="A107" s="396"/>
      <c r="B107" s="836"/>
      <c r="C107" s="832">
        <v>2</v>
      </c>
      <c r="D107" s="689" t="str">
        <f>IF(AND(F107="-",G107="-",H107="-",I107="-",J107="-",K107="-",L107="-",M107="-"),"-",MAX(F107,G107,H107,I107,J107,K107,L107,M107))</f>
        <v>-</v>
      </c>
      <c r="E107" s="444" t="s">
        <v>177</v>
      </c>
      <c r="F107" s="445" t="str">
        <f t="shared" ref="F107:M107" si="80">IF(OR(F106="-",F106=""),IF(OR(F105="-",F105=""),"-",F105),IF(OR(F105="-",F105=""),F106,(F105+F106)/2))</f>
        <v>-</v>
      </c>
      <c r="G107" s="445" t="str">
        <f t="shared" si="80"/>
        <v>-</v>
      </c>
      <c r="H107" s="445" t="str">
        <f t="shared" si="80"/>
        <v>-</v>
      </c>
      <c r="I107" s="445" t="str">
        <f t="shared" si="80"/>
        <v>-</v>
      </c>
      <c r="J107" s="445" t="str">
        <f t="shared" si="80"/>
        <v>-</v>
      </c>
      <c r="K107" s="446" t="str">
        <f t="shared" si="80"/>
        <v>-</v>
      </c>
      <c r="L107" s="446" t="str">
        <f t="shared" si="80"/>
        <v>-</v>
      </c>
      <c r="M107" s="446" t="str">
        <f t="shared" si="80"/>
        <v>-</v>
      </c>
      <c r="N107" s="828"/>
      <c r="O107" s="673"/>
      <c r="P107" s="673"/>
      <c r="Q107" s="673"/>
      <c r="R107" s="674"/>
      <c r="S107" s="672"/>
      <c r="T107" s="673"/>
      <c r="U107" s="673"/>
      <c r="V107" s="674"/>
      <c r="W107" s="512"/>
      <c r="X107" s="512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AI107" s="401"/>
      <c r="AJ107" s="401"/>
      <c r="AK107" s="401"/>
      <c r="AL107" s="401"/>
      <c r="AM107" s="401"/>
      <c r="AN107" s="401"/>
      <c r="AO107" s="401"/>
      <c r="AP107" s="401"/>
      <c r="AQ107" s="401"/>
      <c r="AR107" s="401"/>
      <c r="AS107" s="401"/>
      <c r="AT107" s="401"/>
      <c r="AU107" s="401"/>
      <c r="AV107" s="401"/>
      <c r="AW107" s="401"/>
      <c r="AX107" s="401"/>
      <c r="AY107" s="401"/>
      <c r="AZ107" s="401"/>
      <c r="BA107" s="401"/>
      <c r="BB107" s="401"/>
      <c r="BC107" s="536"/>
      <c r="BU107" s="401"/>
      <c r="BV107" s="401"/>
      <c r="BW107" s="401"/>
      <c r="BX107" s="401"/>
      <c r="BY107" s="401"/>
      <c r="BZ107" s="401"/>
    </row>
    <row r="108" spans="1:78" s="405" customFormat="1" ht="15" customHeight="1" outlineLevel="1" thickBot="1" x14ac:dyDescent="0.3">
      <c r="A108" s="396"/>
      <c r="B108" s="836"/>
      <c r="C108" s="833"/>
      <c r="D108" s="690"/>
      <c r="E108" s="447" t="s">
        <v>97</v>
      </c>
      <c r="F108" s="448" t="e">
        <f t="shared" ref="F108:M108" si="81">IF(AND(OR($C107="-",$C107="CET",$C107=""),OR(F104="-",F104="CET",F104="")),"-",IF(AND(NOT(F107="-"),NOT(F$5="-"),NOT(F$5="")),F107/F$5,"-"))</f>
        <v>#N/A</v>
      </c>
      <c r="G108" s="448" t="e">
        <f t="shared" si="81"/>
        <v>#N/A</v>
      </c>
      <c r="H108" s="448" t="e">
        <f t="shared" si="81"/>
        <v>#N/A</v>
      </c>
      <c r="I108" s="448" t="e">
        <f t="shared" si="81"/>
        <v>#N/A</v>
      </c>
      <c r="J108" s="448" t="e">
        <f t="shared" si="81"/>
        <v>#N/A</v>
      </c>
      <c r="K108" s="449" t="e">
        <f t="shared" si="81"/>
        <v>#N/A</v>
      </c>
      <c r="L108" s="449" t="e">
        <f t="shared" si="81"/>
        <v>#N/A</v>
      </c>
      <c r="M108" s="449" t="e">
        <f t="shared" si="81"/>
        <v>#N/A</v>
      </c>
      <c r="N108" s="702"/>
      <c r="O108" s="673"/>
      <c r="P108" s="673"/>
      <c r="Q108" s="673"/>
      <c r="R108" s="674"/>
      <c r="S108" s="672"/>
      <c r="T108" s="673"/>
      <c r="U108" s="673"/>
      <c r="V108" s="674"/>
      <c r="W108" s="512"/>
      <c r="X108" s="512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401"/>
      <c r="AJ108" s="401"/>
      <c r="AK108" s="401"/>
      <c r="AL108" s="401"/>
      <c r="AM108" s="401"/>
      <c r="AN108" s="401"/>
      <c r="AO108" s="401"/>
      <c r="AP108" s="401"/>
      <c r="AQ108" s="401"/>
      <c r="AR108" s="401"/>
      <c r="AS108" s="401"/>
      <c r="AT108" s="401"/>
      <c r="AU108" s="401"/>
      <c r="AV108" s="401"/>
      <c r="AW108" s="401"/>
      <c r="AX108" s="401"/>
      <c r="AY108" s="401"/>
      <c r="AZ108" s="401"/>
      <c r="BA108" s="401"/>
      <c r="BB108" s="401"/>
      <c r="BC108" s="536"/>
      <c r="BD108" s="429" t="s">
        <v>85</v>
      </c>
      <c r="BE108" s="430" t="str">
        <f>F$4</f>
        <v>NMHC 
[g/km]</v>
      </c>
      <c r="BF108" s="430" t="str">
        <f t="shared" ref="BF108:BL108" si="82">G$4</f>
        <v>THC
[g/km]</v>
      </c>
      <c r="BG108" s="430" t="str">
        <f t="shared" si="82"/>
        <v>CO
[g/km]</v>
      </c>
      <c r="BH108" s="430" t="str">
        <f t="shared" si="82"/>
        <v>NOx
[g/km]</v>
      </c>
      <c r="BI108" s="430" t="str">
        <f t="shared" si="82"/>
        <v>PM
[mg/km]</v>
      </c>
      <c r="BJ108" s="430" t="str">
        <f t="shared" si="82"/>
        <v>PN
[#/km]</v>
      </c>
      <c r="BK108" s="430" t="str">
        <f t="shared" si="82"/>
        <v>Additional
component</v>
      </c>
      <c r="BL108" s="430" t="str">
        <f t="shared" si="82"/>
        <v>Additional
component 2</v>
      </c>
      <c r="BU108" s="401"/>
      <c r="BV108" s="401"/>
      <c r="BW108" s="401"/>
      <c r="BX108" s="401"/>
      <c r="BY108" s="401"/>
      <c r="BZ108" s="401"/>
    </row>
    <row r="109" spans="1:78" s="405" customFormat="1" ht="15" customHeight="1" outlineLevel="1" thickBot="1" x14ac:dyDescent="0.3">
      <c r="A109" s="396"/>
      <c r="B109" s="837"/>
      <c r="C109" s="834"/>
      <c r="D109" s="691"/>
      <c r="E109" s="451" t="s">
        <v>30</v>
      </c>
      <c r="F109" s="451" t="str">
        <f t="shared" ref="F109:M109" si="83">IF(AND(OR(F105="-",F105=""),OR(F106="-",F106="")),"-",IF(AND(OR(F104="CET",F104="-",F104=""),OR($C107="CET",$C107="-",$C107="")),"-",IF($R$8="not listed","-",IF(AND(NOT(F$5="-"),NOT(F$5="")),IF(AND(AND(NOT(F105=0),NOT(F105="-"),NOT(F105="")),AND(NOT(F106="-"),NOT(F106=0),NOT(F106=""))),IF(AND((F105+F106)/2&lt;1*F$5*IF(OR(F104="CET",F104="-",F104=""),IF(OR($C107="CET",$C107="-",$C107=""),"-",$C107),F104),F105&lt;1.1*F$5*IF(OR(F104="CET",F104="-",F104=""),IF(OR($C107="CET",$C107="-",$C107=""),"-",$C107),F104),F106&lt;1.1*F$5*IF(OR(F104="CET",F104="-",F104=""),IF($C107="CET","-",$C107),F104)),"passed","refused"),IF(IF(OR(F105="-",F105=""),F106,F105)&lt;0.7*F$5*IF(OR(F104="CET",F104="-",F104=""),IF($C107="CET","-",$C107),F104),"passed",IF(IF(OR(F105="-",F105=""),F106,F105)&lt;1.1*IF(OR(F104="CET",F104="-",F104=""),IF($C107="CET","-",$C107),F104)*F$5,"failed","refused"))),"-"))))</f>
        <v>-</v>
      </c>
      <c r="G109" s="451" t="str">
        <f t="shared" si="83"/>
        <v>-</v>
      </c>
      <c r="H109" s="451" t="str">
        <f t="shared" si="83"/>
        <v>-</v>
      </c>
      <c r="I109" s="451" t="str">
        <f t="shared" si="83"/>
        <v>-</v>
      </c>
      <c r="J109" s="451" t="str">
        <f t="shared" si="83"/>
        <v>-</v>
      </c>
      <c r="K109" s="452" t="str">
        <f t="shared" si="83"/>
        <v>-</v>
      </c>
      <c r="L109" s="452" t="str">
        <f t="shared" si="83"/>
        <v>-</v>
      </c>
      <c r="M109" s="452" t="str">
        <f t="shared" si="83"/>
        <v>-</v>
      </c>
      <c r="N109" s="685"/>
      <c r="O109" s="673"/>
      <c r="P109" s="673"/>
      <c r="Q109" s="673"/>
      <c r="R109" s="674"/>
      <c r="S109" s="672"/>
      <c r="T109" s="673"/>
      <c r="U109" s="673"/>
      <c r="V109" s="674"/>
      <c r="W109" s="512"/>
      <c r="X109" s="512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401"/>
      <c r="AJ109" s="401"/>
      <c r="AK109" s="401"/>
      <c r="AL109" s="401"/>
      <c r="AM109" s="401"/>
      <c r="AN109" s="401"/>
      <c r="AO109" s="401"/>
      <c r="AP109" s="401"/>
      <c r="AQ109" s="401"/>
      <c r="AR109" s="401"/>
      <c r="AS109" s="401"/>
      <c r="AT109" s="401"/>
      <c r="AU109" s="401"/>
      <c r="AV109" s="401"/>
      <c r="AW109" s="401"/>
      <c r="AX109" s="401"/>
      <c r="AY109" s="401"/>
      <c r="AZ109" s="401"/>
      <c r="BA109" s="401"/>
      <c r="BB109" s="401"/>
      <c r="BC109" s="399" t="str">
        <f>IF(COUNTIF(F109:M109,"refused")&gt;0,"refused",IF(COUNTIF(F109:M109,"failed")&gt;0,"failed",IF(COUNTIF(F109:M109,"passed")&gt;0,"passed","-")))</f>
        <v>-</v>
      </c>
      <c r="BD109" s="429">
        <f>$E$4</f>
        <v>0</v>
      </c>
      <c r="BE109" s="435">
        <v>1</v>
      </c>
      <c r="BF109" s="435">
        <v>1</v>
      </c>
      <c r="BG109" s="435">
        <v>1</v>
      </c>
      <c r="BH109" s="435">
        <v>1</v>
      </c>
      <c r="BI109" s="435">
        <v>1</v>
      </c>
      <c r="BJ109" s="435">
        <v>1</v>
      </c>
      <c r="BK109" s="435">
        <v>1</v>
      </c>
      <c r="BL109" s="435">
        <v>1</v>
      </c>
      <c r="BU109" s="401"/>
      <c r="BV109" s="401"/>
      <c r="BW109" s="401"/>
      <c r="BX109" s="401"/>
      <c r="BY109" s="401"/>
      <c r="BZ109" s="401"/>
    </row>
    <row r="110" spans="1:78" s="405" customFormat="1" ht="15" customHeight="1" outlineLevel="1" x14ac:dyDescent="0.25">
      <c r="A110" s="396"/>
      <c r="B110" s="830"/>
      <c r="C110" s="541"/>
      <c r="D110" s="831"/>
      <c r="E110" s="831"/>
      <c r="F110" s="542"/>
      <c r="G110" s="542"/>
      <c r="H110" s="542"/>
      <c r="I110" s="542"/>
      <c r="J110" s="542"/>
      <c r="K110" s="543"/>
      <c r="L110" s="543"/>
      <c r="M110" s="543"/>
      <c r="N110" s="544"/>
      <c r="O110" s="673"/>
      <c r="P110" s="673"/>
      <c r="Q110" s="673"/>
      <c r="R110" s="674"/>
      <c r="S110" s="672"/>
      <c r="T110" s="673"/>
      <c r="U110" s="673"/>
      <c r="V110" s="674"/>
      <c r="W110" s="512"/>
      <c r="X110" s="512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AI110" s="401"/>
      <c r="AJ110" s="401"/>
      <c r="AK110" s="401"/>
      <c r="AL110" s="401"/>
      <c r="AM110" s="401"/>
      <c r="AN110" s="401"/>
      <c r="AO110" s="401"/>
      <c r="AP110" s="401"/>
      <c r="AQ110" s="401"/>
      <c r="AR110" s="401"/>
      <c r="AS110" s="401"/>
      <c r="AT110" s="401"/>
      <c r="AU110" s="401"/>
      <c r="AV110" s="401"/>
      <c r="AW110" s="401"/>
      <c r="AX110" s="401"/>
      <c r="AY110" s="401"/>
      <c r="AZ110" s="401"/>
      <c r="BA110" s="401"/>
      <c r="BB110" s="401"/>
      <c r="BC110" s="536"/>
      <c r="BD110" s="429" t="str">
        <f>"1st " &amp;  B104</f>
        <v>1st HWY</v>
      </c>
      <c r="BE110" s="435" t="str">
        <f t="shared" ref="BE110:BL110" si="84">IF((OR($C107="-",$C107="CET",$C107="")),"-",IF(AND(OR(F105="-",F105=""),OR(F106="-",F106="")),"-",IF(NOT(OR(F105="-",F105="")),F105/F$5,F106/F$5)))</f>
        <v>-</v>
      </c>
      <c r="BF110" s="435" t="str">
        <f t="shared" si="84"/>
        <v>-</v>
      </c>
      <c r="BG110" s="435" t="str">
        <f t="shared" si="84"/>
        <v>-</v>
      </c>
      <c r="BH110" s="435" t="str">
        <f t="shared" si="84"/>
        <v>-</v>
      </c>
      <c r="BI110" s="435" t="str">
        <f t="shared" si="84"/>
        <v>-</v>
      </c>
      <c r="BJ110" s="435" t="str">
        <f t="shared" si="84"/>
        <v>-</v>
      </c>
      <c r="BK110" s="435" t="str">
        <f t="shared" si="84"/>
        <v>-</v>
      </c>
      <c r="BL110" s="435" t="str">
        <f t="shared" si="84"/>
        <v>-</v>
      </c>
      <c r="BU110" s="401"/>
      <c r="BV110" s="401"/>
      <c r="BW110" s="401"/>
      <c r="BX110" s="401"/>
      <c r="BY110" s="401"/>
      <c r="BZ110" s="401"/>
    </row>
    <row r="111" spans="1:78" s="405" customFormat="1" ht="15" customHeight="1" outlineLevel="1" x14ac:dyDescent="0.25">
      <c r="A111" s="396"/>
      <c r="B111" s="830"/>
      <c r="C111" s="728"/>
      <c r="D111" s="728"/>
      <c r="E111" s="522"/>
      <c r="F111" s="523"/>
      <c r="G111" s="523"/>
      <c r="H111" s="523"/>
      <c r="I111" s="523"/>
      <c r="J111" s="523"/>
      <c r="K111" s="524"/>
      <c r="L111" s="524"/>
      <c r="M111" s="524"/>
      <c r="N111" s="525"/>
      <c r="O111" s="673"/>
      <c r="P111" s="673"/>
      <c r="Q111" s="673"/>
      <c r="R111" s="674"/>
      <c r="S111" s="672"/>
      <c r="T111" s="673"/>
      <c r="U111" s="673"/>
      <c r="V111" s="674"/>
      <c r="W111" s="512"/>
      <c r="X111" s="512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AI111" s="401"/>
      <c r="AJ111" s="401"/>
      <c r="AK111" s="401"/>
      <c r="AL111" s="401"/>
      <c r="AM111" s="401"/>
      <c r="AN111" s="401"/>
      <c r="AO111" s="401"/>
      <c r="AP111" s="401"/>
      <c r="AQ111" s="401"/>
      <c r="AR111" s="401"/>
      <c r="AS111" s="401"/>
      <c r="AT111" s="401"/>
      <c r="AU111" s="401"/>
      <c r="AV111" s="401"/>
      <c r="AW111" s="401"/>
      <c r="AX111" s="401"/>
      <c r="AY111" s="401"/>
      <c r="AZ111" s="401"/>
      <c r="BA111" s="401"/>
      <c r="BB111" s="401"/>
      <c r="BC111" s="536"/>
      <c r="BD111" s="429" t="str">
        <f>"1st " &amp;  B110</f>
        <v xml:space="preserve">1st </v>
      </c>
      <c r="BE111" s="435" t="str">
        <f t="shared" ref="BE111:BL111" si="85">IF((OR($C113="-",$C113="CET",$C113="")),"-",IF(AND(OR(F111="-",F111=""),OR(F112="-",F112="")),"-",IF(NOT(OR(F111="-",F111="")),F111/F$5,F112/F$5)))</f>
        <v>-</v>
      </c>
      <c r="BF111" s="435" t="str">
        <f t="shared" si="85"/>
        <v>-</v>
      </c>
      <c r="BG111" s="435" t="str">
        <f t="shared" si="85"/>
        <v>-</v>
      </c>
      <c r="BH111" s="435" t="str">
        <f t="shared" si="85"/>
        <v>-</v>
      </c>
      <c r="BI111" s="435" t="str">
        <f t="shared" si="85"/>
        <v>-</v>
      </c>
      <c r="BJ111" s="435" t="str">
        <f t="shared" si="85"/>
        <v>-</v>
      </c>
      <c r="BK111" s="435" t="str">
        <f t="shared" si="85"/>
        <v>-</v>
      </c>
      <c r="BL111" s="435" t="str">
        <f t="shared" si="85"/>
        <v>-</v>
      </c>
      <c r="BU111" s="401"/>
      <c r="BV111" s="401"/>
      <c r="BW111" s="401"/>
      <c r="BX111" s="401"/>
      <c r="BY111" s="401"/>
      <c r="BZ111" s="401"/>
    </row>
    <row r="112" spans="1:78" s="405" customFormat="1" ht="15" customHeight="1" outlineLevel="1" x14ac:dyDescent="0.25">
      <c r="A112" s="396"/>
      <c r="B112" s="830"/>
      <c r="C112" s="728"/>
      <c r="D112" s="728"/>
      <c r="E112" s="522"/>
      <c r="F112" s="523"/>
      <c r="G112" s="523"/>
      <c r="H112" s="523"/>
      <c r="I112" s="523"/>
      <c r="J112" s="523"/>
      <c r="K112" s="524"/>
      <c r="L112" s="524"/>
      <c r="M112" s="524"/>
      <c r="N112" s="525"/>
      <c r="O112" s="673"/>
      <c r="P112" s="673"/>
      <c r="Q112" s="673"/>
      <c r="R112" s="674"/>
      <c r="S112" s="672"/>
      <c r="T112" s="673"/>
      <c r="U112" s="673"/>
      <c r="V112" s="674"/>
      <c r="W112" s="512"/>
      <c r="X112" s="512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AI112" s="401"/>
      <c r="AJ112" s="401"/>
      <c r="AK112" s="401"/>
      <c r="AL112" s="401"/>
      <c r="AM112" s="401"/>
      <c r="AN112" s="401"/>
      <c r="AO112" s="401"/>
      <c r="AP112" s="401"/>
      <c r="AQ112" s="401"/>
      <c r="AR112" s="401"/>
      <c r="AS112" s="401"/>
      <c r="AT112" s="401"/>
      <c r="AU112" s="401"/>
      <c r="AV112" s="401"/>
      <c r="AW112" s="401"/>
      <c r="AX112" s="401"/>
      <c r="AY112" s="401"/>
      <c r="AZ112" s="401"/>
      <c r="BA112" s="401"/>
      <c r="BB112" s="401"/>
      <c r="BC112" s="536"/>
      <c r="BD112" s="429"/>
      <c r="BE112" s="435"/>
      <c r="BF112" s="435"/>
      <c r="BG112" s="435"/>
      <c r="BH112" s="435"/>
      <c r="BI112" s="435"/>
      <c r="BJ112" s="435"/>
      <c r="BK112" s="435"/>
      <c r="BL112" s="435"/>
      <c r="BU112" s="401"/>
      <c r="BV112" s="401"/>
      <c r="BW112" s="401"/>
      <c r="BX112" s="401"/>
      <c r="BY112" s="401"/>
      <c r="BZ112" s="401"/>
    </row>
    <row r="113" spans="1:78" s="405" customFormat="1" ht="15" customHeight="1" outlineLevel="1" x14ac:dyDescent="0.25">
      <c r="A113" s="404"/>
      <c r="B113" s="830"/>
      <c r="C113" s="729"/>
      <c r="D113" s="730"/>
      <c r="E113" s="526"/>
      <c r="F113" s="526"/>
      <c r="G113" s="526"/>
      <c r="H113" s="526"/>
      <c r="I113" s="526"/>
      <c r="J113" s="526"/>
      <c r="K113" s="527"/>
      <c r="L113" s="527"/>
      <c r="M113" s="527"/>
      <c r="N113" s="829"/>
      <c r="O113" s="673"/>
      <c r="P113" s="673"/>
      <c r="Q113" s="673"/>
      <c r="R113" s="674"/>
      <c r="S113" s="672"/>
      <c r="T113" s="673"/>
      <c r="U113" s="673"/>
      <c r="V113" s="674"/>
      <c r="W113" s="512"/>
      <c r="X113" s="512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AI113" s="401"/>
      <c r="AJ113" s="401"/>
      <c r="AK113" s="401"/>
      <c r="AL113" s="401"/>
      <c r="AM113" s="401"/>
      <c r="AN113" s="401"/>
      <c r="AO113" s="401"/>
      <c r="AP113" s="401"/>
      <c r="AQ113" s="401"/>
      <c r="AR113" s="401"/>
      <c r="AS113" s="401"/>
      <c r="AT113" s="401"/>
      <c r="AU113" s="401"/>
      <c r="AV113" s="401"/>
      <c r="AW113" s="401"/>
      <c r="AX113" s="401"/>
      <c r="AY113" s="401"/>
      <c r="AZ113" s="401"/>
      <c r="BA113" s="401"/>
      <c r="BB113" s="401"/>
      <c r="BC113" s="536"/>
      <c r="BD113" s="429"/>
      <c r="BE113" s="435"/>
      <c r="BF113" s="435"/>
      <c r="BG113" s="435"/>
      <c r="BH113" s="435"/>
      <c r="BI113" s="435"/>
      <c r="BJ113" s="435"/>
      <c r="BK113" s="435"/>
      <c r="BL113" s="435"/>
      <c r="BU113" s="401"/>
      <c r="BV113" s="401"/>
      <c r="BW113" s="401"/>
      <c r="BX113" s="401"/>
      <c r="BY113" s="401"/>
      <c r="BZ113" s="401"/>
    </row>
    <row r="114" spans="1:78" s="405" customFormat="1" ht="15" customHeight="1" outlineLevel="1" thickBot="1" x14ac:dyDescent="0.3">
      <c r="A114" s="404"/>
      <c r="B114" s="830"/>
      <c r="C114" s="729"/>
      <c r="D114" s="730"/>
      <c r="E114" s="529"/>
      <c r="F114" s="530"/>
      <c r="G114" s="530"/>
      <c r="H114" s="530"/>
      <c r="I114" s="530"/>
      <c r="J114" s="530"/>
      <c r="K114" s="527"/>
      <c r="L114" s="527"/>
      <c r="M114" s="527"/>
      <c r="N114" s="829"/>
      <c r="O114" s="673"/>
      <c r="P114" s="673"/>
      <c r="Q114" s="673"/>
      <c r="R114" s="674"/>
      <c r="S114" s="672"/>
      <c r="T114" s="673"/>
      <c r="U114" s="673"/>
      <c r="V114" s="674"/>
      <c r="W114" s="512"/>
      <c r="X114" s="512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401"/>
      <c r="AJ114" s="401"/>
      <c r="AK114" s="401"/>
      <c r="AL114" s="401"/>
      <c r="AM114" s="401"/>
      <c r="AN114" s="401"/>
      <c r="AO114" s="401"/>
      <c r="AP114" s="401"/>
      <c r="AQ114" s="401"/>
      <c r="AR114" s="401"/>
      <c r="AS114" s="401"/>
      <c r="AT114" s="401"/>
      <c r="AU114" s="401"/>
      <c r="AV114" s="401"/>
      <c r="AW114" s="401"/>
      <c r="AX114" s="401"/>
      <c r="AY114" s="401"/>
      <c r="AZ114" s="401"/>
      <c r="BA114" s="401"/>
      <c r="BB114" s="401"/>
      <c r="BC114" s="401"/>
      <c r="BD114" s="429" t="str">
        <f>"0.7*IEF " &amp; (B104)</f>
        <v>0.7*IEF HWY</v>
      </c>
      <c r="BE114" s="435">
        <f t="shared" ref="BE114:BL114" si="86">IF(AND(OR($C107="-",$C107="CET",$C107=""),OR(F104="-",F104="CET",F104="")),"-",0.7*IF(OR(F104="CET",F104="-",F104=""),IF(OR($C107="CET",$C107="-",$C107=""),"-",$C107),F104))</f>
        <v>1.4</v>
      </c>
      <c r="BF114" s="435">
        <f t="shared" si="86"/>
        <v>1.4</v>
      </c>
      <c r="BG114" s="435">
        <f t="shared" si="86"/>
        <v>1.4</v>
      </c>
      <c r="BH114" s="435">
        <f t="shared" si="86"/>
        <v>1.4</v>
      </c>
      <c r="BI114" s="435">
        <f t="shared" si="86"/>
        <v>1.4</v>
      </c>
      <c r="BJ114" s="435">
        <f t="shared" si="86"/>
        <v>1.4</v>
      </c>
      <c r="BK114" s="435">
        <f t="shared" si="86"/>
        <v>1.4</v>
      </c>
      <c r="BL114" s="435">
        <f t="shared" si="86"/>
        <v>1.4</v>
      </c>
      <c r="BU114" s="401"/>
      <c r="BV114" s="401"/>
      <c r="BW114" s="401"/>
      <c r="BX114" s="401"/>
      <c r="BY114" s="401"/>
      <c r="BZ114" s="401"/>
    </row>
    <row r="115" spans="1:78" s="405" customFormat="1" ht="15" customHeight="1" outlineLevel="1" thickBot="1" x14ac:dyDescent="0.3">
      <c r="A115" s="404"/>
      <c r="B115" s="830"/>
      <c r="C115" s="729"/>
      <c r="D115" s="730"/>
      <c r="E115" s="529"/>
      <c r="F115" s="529"/>
      <c r="G115" s="529"/>
      <c r="H115" s="529"/>
      <c r="I115" s="529"/>
      <c r="J115" s="529"/>
      <c r="K115" s="527"/>
      <c r="L115" s="527"/>
      <c r="M115" s="527"/>
      <c r="N115" s="829"/>
      <c r="O115" s="673"/>
      <c r="P115" s="673"/>
      <c r="Q115" s="673"/>
      <c r="R115" s="674"/>
      <c r="S115" s="672"/>
      <c r="T115" s="673"/>
      <c r="U115" s="673"/>
      <c r="V115" s="674"/>
      <c r="W115" s="512"/>
      <c r="X115" s="512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401"/>
      <c r="AJ115" s="401"/>
      <c r="AK115" s="401"/>
      <c r="AL115" s="401"/>
      <c r="AM115" s="401"/>
      <c r="AN115" s="401"/>
      <c r="AO115" s="401"/>
      <c r="AP115" s="401"/>
      <c r="AQ115" s="401"/>
      <c r="AR115" s="401"/>
      <c r="AS115" s="401"/>
      <c r="AT115" s="401"/>
      <c r="AU115" s="401"/>
      <c r="AV115" s="401"/>
      <c r="AW115" s="401"/>
      <c r="AX115" s="401"/>
      <c r="AY115" s="401"/>
      <c r="AZ115" s="401"/>
      <c r="BA115" s="401"/>
      <c r="BB115" s="401"/>
      <c r="BC115" s="399" t="str">
        <f>IF(COUNTIF(F115:M115,"refused")&gt;0,"refused",IF(COUNTIF(F115:M115,"failed")&gt;0,"failed",IF(COUNTIF(F115:M115,"passed")&gt;0,"passed","-")))</f>
        <v>-</v>
      </c>
      <c r="BD115" s="429" t="str">
        <f>"0.7*IEF " &amp; (B110)</f>
        <v xml:space="preserve">0.7*IEF </v>
      </c>
      <c r="BE115" s="435" t="str">
        <f t="shared" ref="BE115:BL115" si="87">IF(AND(OR($C113="-",$C113="CET",$C113=""),OR(F110="-",F110="CET",F110="")),"-",0.7*IF(OR(F110="CET",F110="-",F110=""),IF(OR($C113="CET",$C113="-",$C113=""),"-",$C113),F110))</f>
        <v>-</v>
      </c>
      <c r="BF115" s="435" t="str">
        <f t="shared" si="87"/>
        <v>-</v>
      </c>
      <c r="BG115" s="435" t="str">
        <f t="shared" si="87"/>
        <v>-</v>
      </c>
      <c r="BH115" s="435" t="str">
        <f t="shared" si="87"/>
        <v>-</v>
      </c>
      <c r="BI115" s="435" t="str">
        <f t="shared" si="87"/>
        <v>-</v>
      </c>
      <c r="BJ115" s="435" t="str">
        <f t="shared" si="87"/>
        <v>-</v>
      </c>
      <c r="BK115" s="435" t="str">
        <f t="shared" si="87"/>
        <v>-</v>
      </c>
      <c r="BL115" s="435" t="str">
        <f t="shared" si="87"/>
        <v>-</v>
      </c>
      <c r="BU115" s="401"/>
      <c r="BV115" s="401"/>
      <c r="BW115" s="401"/>
      <c r="BX115" s="401"/>
      <c r="BY115" s="401"/>
      <c r="BZ115" s="401"/>
    </row>
    <row r="116" spans="1:78" s="405" customFormat="1" ht="15" customHeight="1" outlineLevel="1" x14ac:dyDescent="0.25">
      <c r="A116" s="404"/>
      <c r="B116" s="539"/>
      <c r="C116" s="487"/>
      <c r="D116" s="510"/>
      <c r="E116" s="510"/>
      <c r="F116" s="466"/>
      <c r="G116" s="466"/>
      <c r="H116" s="466"/>
      <c r="I116" s="466"/>
      <c r="J116" s="466"/>
      <c r="K116" s="464"/>
      <c r="L116" s="464"/>
      <c r="M116" s="464"/>
      <c r="N116" s="467"/>
      <c r="O116" s="673"/>
      <c r="P116" s="673"/>
      <c r="Q116" s="673"/>
      <c r="R116" s="674"/>
      <c r="S116" s="672"/>
      <c r="T116" s="673"/>
      <c r="U116" s="673"/>
      <c r="V116" s="674"/>
      <c r="W116" s="512"/>
      <c r="X116" s="512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AI116" s="401"/>
      <c r="AJ116" s="401"/>
      <c r="AK116" s="401"/>
      <c r="AL116" s="401"/>
      <c r="AM116" s="401"/>
      <c r="AN116" s="401"/>
      <c r="AO116" s="401"/>
      <c r="AP116" s="401"/>
      <c r="AQ116" s="401"/>
      <c r="AR116" s="401"/>
      <c r="AS116" s="401"/>
      <c r="AT116" s="401"/>
      <c r="AU116" s="401"/>
      <c r="AV116" s="401"/>
      <c r="AW116" s="401"/>
      <c r="AX116" s="401"/>
      <c r="AY116" s="401"/>
      <c r="AZ116" s="401"/>
      <c r="BA116" s="401"/>
      <c r="BB116" s="401"/>
      <c r="BC116" s="401"/>
      <c r="BD116" s="429"/>
      <c r="BE116" s="435"/>
      <c r="BF116" s="435"/>
      <c r="BG116" s="435"/>
      <c r="BH116" s="435"/>
      <c r="BI116" s="435"/>
      <c r="BJ116" s="435"/>
      <c r="BK116" s="435"/>
      <c r="BL116" s="435"/>
      <c r="BU116" s="401"/>
      <c r="BV116" s="401"/>
      <c r="BW116" s="401"/>
      <c r="BX116" s="401"/>
      <c r="BY116" s="401"/>
      <c r="BZ116" s="401"/>
    </row>
    <row r="117" spans="1:78" s="405" customFormat="1" ht="15" customHeight="1" outlineLevel="1" x14ac:dyDescent="0.25">
      <c r="A117" s="404"/>
      <c r="B117" s="539"/>
      <c r="C117" s="487"/>
      <c r="D117" s="510"/>
      <c r="E117" s="510"/>
      <c r="F117" s="466"/>
      <c r="G117" s="466"/>
      <c r="H117" s="466"/>
      <c r="I117" s="466"/>
      <c r="J117" s="466"/>
      <c r="K117" s="464"/>
      <c r="L117" s="464"/>
      <c r="M117" s="464"/>
      <c r="N117" s="467"/>
      <c r="O117" s="673"/>
      <c r="P117" s="673"/>
      <c r="Q117" s="673"/>
      <c r="R117" s="674"/>
      <c r="S117" s="672"/>
      <c r="T117" s="673"/>
      <c r="U117" s="673"/>
      <c r="V117" s="674"/>
      <c r="W117" s="512"/>
      <c r="X117" s="512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AI117" s="401"/>
      <c r="AJ117" s="401"/>
      <c r="AK117" s="401"/>
      <c r="AL117" s="401"/>
      <c r="AM117" s="401"/>
      <c r="AN117" s="401"/>
      <c r="AO117" s="401"/>
      <c r="AP117" s="401"/>
      <c r="AQ117" s="401"/>
      <c r="AR117" s="401"/>
      <c r="AS117" s="401"/>
      <c r="AT117" s="401"/>
      <c r="AU117" s="401"/>
      <c r="AV117" s="401"/>
      <c r="AW117" s="401"/>
      <c r="AX117" s="401"/>
      <c r="AY117" s="401"/>
      <c r="AZ117" s="401"/>
      <c r="BA117" s="401"/>
      <c r="BB117" s="401"/>
      <c r="BC117" s="401"/>
      <c r="BD117" s="429"/>
      <c r="BE117" s="435"/>
      <c r="BF117" s="435"/>
      <c r="BG117" s="435"/>
      <c r="BH117" s="435"/>
      <c r="BI117" s="435"/>
      <c r="BJ117" s="435"/>
      <c r="BK117" s="435"/>
      <c r="BL117" s="435"/>
      <c r="BU117" s="401"/>
      <c r="BV117" s="401"/>
      <c r="BW117" s="401"/>
      <c r="BX117" s="401"/>
      <c r="BY117" s="401"/>
      <c r="BZ117" s="401"/>
    </row>
    <row r="118" spans="1:78" s="405" customFormat="1" ht="15" customHeight="1" outlineLevel="1" x14ac:dyDescent="0.25">
      <c r="A118" s="404"/>
      <c r="B118" s="539"/>
      <c r="C118" s="487"/>
      <c r="D118" s="510"/>
      <c r="E118" s="510"/>
      <c r="F118" s="510"/>
      <c r="G118" s="510"/>
      <c r="H118" s="510"/>
      <c r="I118" s="510"/>
      <c r="J118" s="510"/>
      <c r="K118" s="464"/>
      <c r="L118" s="464"/>
      <c r="M118" s="464"/>
      <c r="N118" s="468"/>
      <c r="O118" s="673"/>
      <c r="P118" s="673"/>
      <c r="Q118" s="673"/>
      <c r="R118" s="674"/>
      <c r="S118" s="672"/>
      <c r="T118" s="673"/>
      <c r="U118" s="673"/>
      <c r="V118" s="674"/>
      <c r="W118" s="512"/>
      <c r="X118" s="512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AI118" s="401"/>
      <c r="AJ118" s="401"/>
      <c r="AK118" s="401"/>
      <c r="AL118" s="401"/>
      <c r="AM118" s="401"/>
      <c r="AN118" s="401"/>
      <c r="AO118" s="401"/>
      <c r="AP118" s="401"/>
      <c r="AQ118" s="401"/>
      <c r="AR118" s="401"/>
      <c r="AS118" s="401"/>
      <c r="AT118" s="401"/>
      <c r="AU118" s="401"/>
      <c r="AV118" s="401"/>
      <c r="AW118" s="401"/>
      <c r="AX118" s="401"/>
      <c r="AY118" s="401"/>
      <c r="AZ118" s="401"/>
      <c r="BA118" s="401"/>
      <c r="BB118" s="401"/>
      <c r="BC118" s="401"/>
      <c r="BD118" s="429" t="str">
        <f>B104</f>
        <v>HWY</v>
      </c>
      <c r="BE118" s="435" t="e">
        <f t="shared" ref="BE118:BL118" si="88">F108</f>
        <v>#N/A</v>
      </c>
      <c r="BF118" s="435" t="e">
        <f t="shared" si="88"/>
        <v>#N/A</v>
      </c>
      <c r="BG118" s="435" t="e">
        <f t="shared" si="88"/>
        <v>#N/A</v>
      </c>
      <c r="BH118" s="435" t="e">
        <f t="shared" si="88"/>
        <v>#N/A</v>
      </c>
      <c r="BI118" s="435" t="e">
        <f t="shared" si="88"/>
        <v>#N/A</v>
      </c>
      <c r="BJ118" s="435" t="e">
        <f t="shared" si="88"/>
        <v>#N/A</v>
      </c>
      <c r="BK118" s="435" t="e">
        <f t="shared" si="88"/>
        <v>#N/A</v>
      </c>
      <c r="BL118" s="435" t="e">
        <f t="shared" si="88"/>
        <v>#N/A</v>
      </c>
      <c r="BU118" s="401"/>
      <c r="BV118" s="401"/>
      <c r="BW118" s="401"/>
      <c r="BX118" s="401"/>
      <c r="BY118" s="401"/>
      <c r="BZ118" s="401"/>
    </row>
    <row r="119" spans="1:78" s="405" customFormat="1" ht="15" customHeight="1" outlineLevel="1" x14ac:dyDescent="0.25">
      <c r="A119" s="404"/>
      <c r="B119" s="539"/>
      <c r="C119" s="487"/>
      <c r="D119" s="510"/>
      <c r="E119" s="510"/>
      <c r="F119" s="463"/>
      <c r="G119" s="463"/>
      <c r="H119" s="463"/>
      <c r="I119" s="463"/>
      <c r="J119" s="463"/>
      <c r="K119" s="464"/>
      <c r="L119" s="464"/>
      <c r="M119" s="464"/>
      <c r="N119" s="465"/>
      <c r="O119" s="673"/>
      <c r="P119" s="673"/>
      <c r="Q119" s="673"/>
      <c r="R119" s="674"/>
      <c r="S119" s="672"/>
      <c r="T119" s="673"/>
      <c r="U119" s="673"/>
      <c r="V119" s="674"/>
      <c r="W119" s="512"/>
      <c r="X119" s="512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AI119" s="401"/>
      <c r="AJ119" s="401"/>
      <c r="AK119" s="401"/>
      <c r="AL119" s="401"/>
      <c r="AM119" s="401"/>
      <c r="AN119" s="401"/>
      <c r="AO119" s="401"/>
      <c r="AP119" s="401"/>
      <c r="AQ119" s="401"/>
      <c r="AR119" s="401"/>
      <c r="AS119" s="401"/>
      <c r="AT119" s="401"/>
      <c r="AU119" s="401"/>
      <c r="AV119" s="401"/>
      <c r="AW119" s="401"/>
      <c r="AX119" s="401"/>
      <c r="AY119" s="401"/>
      <c r="AZ119" s="401"/>
      <c r="BA119" s="401"/>
      <c r="BB119" s="401"/>
      <c r="BC119" s="401"/>
      <c r="BD119" s="429">
        <f>B110</f>
        <v>0</v>
      </c>
      <c r="BE119" s="435">
        <f t="shared" ref="BE119:BL119" si="89">F114</f>
        <v>0</v>
      </c>
      <c r="BF119" s="435">
        <f t="shared" si="89"/>
        <v>0</v>
      </c>
      <c r="BG119" s="435">
        <f t="shared" si="89"/>
        <v>0</v>
      </c>
      <c r="BH119" s="435">
        <f t="shared" si="89"/>
        <v>0</v>
      </c>
      <c r="BI119" s="435">
        <f t="shared" si="89"/>
        <v>0</v>
      </c>
      <c r="BJ119" s="435">
        <f t="shared" si="89"/>
        <v>0</v>
      </c>
      <c r="BK119" s="435">
        <f t="shared" si="89"/>
        <v>0</v>
      </c>
      <c r="BL119" s="435">
        <f t="shared" si="89"/>
        <v>0</v>
      </c>
      <c r="BU119" s="401"/>
      <c r="BV119" s="401"/>
      <c r="BW119" s="401"/>
      <c r="BX119" s="401"/>
      <c r="BY119" s="401"/>
      <c r="BZ119" s="401"/>
    </row>
    <row r="120" spans="1:78" s="405" customFormat="1" ht="15" customHeight="1" outlineLevel="1" x14ac:dyDescent="0.25">
      <c r="A120" s="404"/>
      <c r="B120" s="539"/>
      <c r="C120" s="487"/>
      <c r="D120" s="510"/>
      <c r="E120" s="510"/>
      <c r="F120" s="463"/>
      <c r="G120" s="463"/>
      <c r="H120" s="463"/>
      <c r="I120" s="463"/>
      <c r="J120" s="463"/>
      <c r="K120" s="464"/>
      <c r="L120" s="464"/>
      <c r="M120" s="464"/>
      <c r="N120" s="465"/>
      <c r="O120" s="673"/>
      <c r="P120" s="673"/>
      <c r="Q120" s="673"/>
      <c r="R120" s="674"/>
      <c r="S120" s="672"/>
      <c r="T120" s="673"/>
      <c r="U120" s="673"/>
      <c r="V120" s="674"/>
      <c r="W120" s="512"/>
      <c r="X120" s="512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AI120" s="401"/>
      <c r="AJ120" s="401"/>
      <c r="AK120" s="401"/>
      <c r="AL120" s="401"/>
      <c r="AM120" s="401"/>
      <c r="AN120" s="401"/>
      <c r="AO120" s="401"/>
      <c r="AP120" s="401"/>
      <c r="AQ120" s="401"/>
      <c r="AR120" s="401"/>
      <c r="AS120" s="401"/>
      <c r="AT120" s="401"/>
      <c r="AU120" s="401"/>
      <c r="AV120" s="401"/>
      <c r="AW120" s="401"/>
      <c r="AX120" s="401"/>
      <c r="AY120" s="401"/>
      <c r="AZ120" s="401"/>
      <c r="BA120" s="401"/>
      <c r="BB120" s="401"/>
      <c r="BC120" s="401"/>
      <c r="BD120" s="429"/>
      <c r="BE120" s="435"/>
      <c r="BF120" s="435"/>
      <c r="BG120" s="435"/>
      <c r="BH120" s="435"/>
      <c r="BI120" s="435"/>
      <c r="BJ120" s="435"/>
      <c r="BK120" s="435"/>
      <c r="BL120" s="435"/>
      <c r="BU120" s="401"/>
      <c r="BV120" s="401"/>
      <c r="BW120" s="401"/>
      <c r="BX120" s="401"/>
      <c r="BY120" s="401"/>
      <c r="BZ120" s="401"/>
    </row>
    <row r="121" spans="1:78" s="405" customFormat="1" ht="15" customHeight="1" outlineLevel="1" x14ac:dyDescent="0.25">
      <c r="A121" s="404"/>
      <c r="B121" s="539"/>
      <c r="C121" s="487"/>
      <c r="D121" s="510"/>
      <c r="E121" s="510"/>
      <c r="F121" s="466"/>
      <c r="G121" s="466"/>
      <c r="H121" s="466"/>
      <c r="I121" s="466"/>
      <c r="J121" s="466"/>
      <c r="K121" s="464"/>
      <c r="L121" s="464"/>
      <c r="M121" s="464"/>
      <c r="N121" s="467"/>
      <c r="O121" s="673"/>
      <c r="P121" s="673"/>
      <c r="Q121" s="673"/>
      <c r="R121" s="674"/>
      <c r="S121" s="672"/>
      <c r="T121" s="673"/>
      <c r="U121" s="673"/>
      <c r="V121" s="674"/>
      <c r="W121" s="512"/>
      <c r="X121" s="512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AI121" s="401"/>
      <c r="AJ121" s="401"/>
      <c r="AK121" s="401"/>
      <c r="AL121" s="401"/>
      <c r="AM121" s="401"/>
      <c r="AN121" s="401"/>
      <c r="AO121" s="401"/>
      <c r="AP121" s="401"/>
      <c r="AQ121" s="401"/>
      <c r="AR121" s="401"/>
      <c r="AS121" s="401"/>
      <c r="AT121" s="401"/>
      <c r="AU121" s="401"/>
      <c r="AV121" s="401"/>
      <c r="AW121" s="401"/>
      <c r="AX121" s="401"/>
      <c r="AY121" s="401"/>
      <c r="AZ121" s="401"/>
      <c r="BA121" s="401"/>
      <c r="BB121" s="401"/>
      <c r="BC121" s="401"/>
      <c r="BD121" s="429" t="str">
        <f>"IEF " &amp;B104</f>
        <v>IEF HWY</v>
      </c>
      <c r="BE121" s="435">
        <f t="shared" ref="BE121:BL121" si="90">IF(AND(OR($C107="-",$C107="CET",$C107=""),OR(F104="-",F104="CET",F104="")),"-",IF(OR(F104="CET",F104="-",F104=""),IF(OR($C107="CET",$C107="-",$C107=""),"-",$C107),F104))</f>
        <v>2</v>
      </c>
      <c r="BF121" s="435">
        <f t="shared" si="90"/>
        <v>2</v>
      </c>
      <c r="BG121" s="435">
        <f t="shared" si="90"/>
        <v>2</v>
      </c>
      <c r="BH121" s="435">
        <f t="shared" si="90"/>
        <v>2</v>
      </c>
      <c r="BI121" s="435">
        <f t="shared" si="90"/>
        <v>2</v>
      </c>
      <c r="BJ121" s="435">
        <f t="shared" si="90"/>
        <v>2</v>
      </c>
      <c r="BK121" s="435">
        <f t="shared" si="90"/>
        <v>2</v>
      </c>
      <c r="BL121" s="435">
        <f t="shared" si="90"/>
        <v>2</v>
      </c>
      <c r="BU121" s="401"/>
      <c r="BV121" s="401"/>
      <c r="BW121" s="401"/>
      <c r="BX121" s="401"/>
      <c r="BY121" s="401"/>
      <c r="BZ121" s="401"/>
    </row>
    <row r="122" spans="1:78" s="405" customFormat="1" ht="15" customHeight="1" outlineLevel="1" x14ac:dyDescent="0.25">
      <c r="A122" s="404"/>
      <c r="B122" s="539"/>
      <c r="C122" s="487"/>
      <c r="D122" s="510"/>
      <c r="E122" s="510"/>
      <c r="F122" s="466"/>
      <c r="G122" s="466"/>
      <c r="H122" s="466"/>
      <c r="I122" s="466"/>
      <c r="J122" s="466"/>
      <c r="K122" s="464"/>
      <c r="L122" s="464"/>
      <c r="M122" s="464"/>
      <c r="N122" s="467"/>
      <c r="O122" s="673"/>
      <c r="P122" s="673"/>
      <c r="Q122" s="673"/>
      <c r="R122" s="674"/>
      <c r="S122" s="672"/>
      <c r="T122" s="673"/>
      <c r="U122" s="673"/>
      <c r="V122" s="674"/>
      <c r="W122" s="512"/>
      <c r="X122" s="512"/>
      <c r="Y122" s="678"/>
      <c r="Z122" s="678"/>
      <c r="AA122" s="678"/>
      <c r="AB122" s="678"/>
      <c r="AC122" s="678"/>
      <c r="AD122" s="678"/>
      <c r="AE122" s="678"/>
      <c r="AF122" s="678"/>
      <c r="AG122" s="678"/>
      <c r="AH122" s="678"/>
      <c r="AI122" s="401"/>
      <c r="AJ122" s="401"/>
      <c r="AK122" s="401"/>
      <c r="AL122" s="401"/>
      <c r="AM122" s="401"/>
      <c r="AN122" s="401"/>
      <c r="AO122" s="401"/>
      <c r="AP122" s="401"/>
      <c r="AQ122" s="401"/>
      <c r="AR122" s="401"/>
      <c r="AS122" s="401"/>
      <c r="AT122" s="401"/>
      <c r="AU122" s="401"/>
      <c r="AV122" s="401"/>
      <c r="AW122" s="401"/>
      <c r="AX122" s="401"/>
      <c r="AY122" s="401"/>
      <c r="AZ122" s="401"/>
      <c r="BA122" s="401"/>
      <c r="BB122" s="401"/>
      <c r="BC122" s="401"/>
      <c r="BD122" s="429" t="str">
        <f>"IEF " &amp;B110</f>
        <v xml:space="preserve">IEF </v>
      </c>
      <c r="BE122" s="435" t="str">
        <f t="shared" ref="BE122:BL122" si="91">IF(AND(OR($C113="-",$C113="CET",$C113=""),OR(F110="-",F110="CET",F110="")),"-",IF(OR(F110="CET",F110="-",F110=""),IF(OR($C113="CET",$C113="-",$C113=""),"-",$C113),F110))</f>
        <v>-</v>
      </c>
      <c r="BF122" s="435" t="str">
        <f t="shared" si="91"/>
        <v>-</v>
      </c>
      <c r="BG122" s="435" t="str">
        <f t="shared" si="91"/>
        <v>-</v>
      </c>
      <c r="BH122" s="435" t="str">
        <f t="shared" si="91"/>
        <v>-</v>
      </c>
      <c r="BI122" s="435" t="str">
        <f t="shared" si="91"/>
        <v>-</v>
      </c>
      <c r="BJ122" s="435" t="str">
        <f t="shared" si="91"/>
        <v>-</v>
      </c>
      <c r="BK122" s="435" t="str">
        <f t="shared" si="91"/>
        <v>-</v>
      </c>
      <c r="BL122" s="435" t="str">
        <f t="shared" si="91"/>
        <v>-</v>
      </c>
      <c r="BU122" s="401"/>
      <c r="BV122" s="401"/>
      <c r="BW122" s="401"/>
      <c r="BX122" s="401"/>
      <c r="BY122" s="401"/>
      <c r="BZ122" s="401"/>
    </row>
    <row r="123" spans="1:78" s="405" customFormat="1" ht="15.75" outlineLevel="1" thickBot="1" x14ac:dyDescent="0.3">
      <c r="A123" s="401"/>
      <c r="B123" s="540"/>
      <c r="C123" s="496"/>
      <c r="D123" s="516"/>
      <c r="E123" s="516"/>
      <c r="F123" s="516"/>
      <c r="G123" s="516"/>
      <c r="H123" s="516"/>
      <c r="I123" s="516"/>
      <c r="J123" s="516"/>
      <c r="K123" s="470"/>
      <c r="L123" s="470"/>
      <c r="M123" s="470"/>
      <c r="N123" s="471"/>
      <c r="O123" s="676"/>
      <c r="P123" s="676"/>
      <c r="Q123" s="676"/>
      <c r="R123" s="677"/>
      <c r="S123" s="675"/>
      <c r="T123" s="676"/>
      <c r="U123" s="676"/>
      <c r="V123" s="677"/>
      <c r="W123" s="401"/>
      <c r="X123" s="401"/>
      <c r="Y123" s="401"/>
      <c r="Z123" s="401"/>
      <c r="AA123" s="401"/>
      <c r="AB123" s="401"/>
      <c r="AC123" s="401"/>
      <c r="AD123" s="401"/>
      <c r="AE123" s="401"/>
      <c r="AF123" s="401"/>
      <c r="AG123" s="401"/>
      <c r="AH123" s="401"/>
      <c r="AI123" s="401"/>
      <c r="AJ123" s="401"/>
      <c r="AK123" s="401"/>
      <c r="AL123" s="401"/>
      <c r="AM123" s="401"/>
      <c r="AN123" s="401"/>
      <c r="AO123" s="401"/>
      <c r="AP123" s="401"/>
      <c r="AQ123" s="401"/>
      <c r="AR123" s="401"/>
      <c r="AS123" s="401"/>
      <c r="AT123" s="401"/>
      <c r="AU123" s="401"/>
      <c r="AV123" s="401"/>
      <c r="AW123" s="401"/>
      <c r="AX123" s="401"/>
      <c r="AY123" s="401"/>
      <c r="AZ123" s="401"/>
      <c r="BA123" s="401"/>
      <c r="BB123" s="401"/>
      <c r="BC123" s="401"/>
      <c r="BD123" s="459"/>
      <c r="BE123" s="459"/>
      <c r="BF123" s="459"/>
      <c r="BG123" s="459"/>
      <c r="BH123" s="459"/>
      <c r="BI123" s="459"/>
      <c r="BJ123" s="459"/>
      <c r="BK123" s="459"/>
      <c r="BL123" s="459"/>
      <c r="BU123" s="401"/>
      <c r="BV123" s="401"/>
      <c r="BW123" s="401"/>
      <c r="BX123" s="401"/>
      <c r="BY123" s="401"/>
      <c r="BZ123" s="401"/>
    </row>
    <row r="124" spans="1:78" s="405" customFormat="1" ht="15" customHeight="1" x14ac:dyDescent="0.25">
      <c r="A124" s="401"/>
      <c r="B124" s="401"/>
      <c r="C124" s="401"/>
      <c r="D124" s="401"/>
      <c r="E124" s="401"/>
      <c r="F124" s="401"/>
      <c r="G124" s="401"/>
      <c r="H124" s="401"/>
      <c r="I124" s="401"/>
      <c r="J124" s="401"/>
      <c r="K124" s="458"/>
      <c r="L124" s="458"/>
      <c r="M124" s="458"/>
      <c r="N124" s="401"/>
      <c r="O124" s="401"/>
      <c r="P124" s="401"/>
      <c r="Q124" s="401"/>
      <c r="R124" s="401"/>
      <c r="S124" s="401"/>
      <c r="T124" s="401"/>
      <c r="U124" s="401"/>
      <c r="V124" s="401"/>
      <c r="W124" s="401"/>
      <c r="X124" s="401"/>
      <c r="Y124" s="401"/>
      <c r="Z124" s="401"/>
      <c r="AA124" s="401"/>
      <c r="AB124" s="401"/>
      <c r="AC124" s="401"/>
      <c r="AD124" s="401"/>
      <c r="AE124" s="401"/>
      <c r="AF124" s="401"/>
      <c r="AG124" s="401"/>
      <c r="AH124" s="401"/>
      <c r="AI124" s="401"/>
      <c r="AJ124" s="401"/>
      <c r="AK124" s="401"/>
      <c r="AL124" s="401"/>
      <c r="AM124" s="401"/>
      <c r="AN124" s="401"/>
      <c r="AO124" s="401"/>
      <c r="AP124" s="401"/>
      <c r="AQ124" s="401"/>
      <c r="AR124" s="401"/>
      <c r="AS124" s="401"/>
      <c r="AT124" s="401"/>
      <c r="AU124" s="401"/>
      <c r="AV124" s="401"/>
      <c r="AW124" s="401"/>
      <c r="AX124" s="401"/>
      <c r="AY124" s="401"/>
      <c r="AZ124" s="401"/>
      <c r="BA124" s="401"/>
      <c r="BB124" s="401"/>
      <c r="BC124" s="401"/>
      <c r="BD124" s="459"/>
      <c r="BE124" s="459"/>
      <c r="BF124" s="459"/>
      <c r="BG124" s="459"/>
      <c r="BH124" s="459"/>
      <c r="BI124" s="459"/>
      <c r="BJ124" s="459"/>
      <c r="BK124" s="459"/>
      <c r="BL124" s="459"/>
      <c r="BU124" s="401"/>
      <c r="BV124" s="401"/>
      <c r="BW124" s="401"/>
      <c r="BX124" s="401"/>
      <c r="BY124" s="401"/>
      <c r="BZ124" s="401"/>
    </row>
    <row r="125" spans="1:78" s="405" customFormat="1" ht="15" customHeight="1" x14ac:dyDescent="0.25">
      <c r="A125" s="401"/>
      <c r="B125" s="401"/>
      <c r="C125" s="401"/>
      <c r="D125" s="401"/>
      <c r="E125" s="401"/>
      <c r="F125" s="401"/>
      <c r="G125" s="401"/>
      <c r="H125" s="401"/>
      <c r="I125" s="401"/>
      <c r="J125" s="401"/>
      <c r="K125" s="458"/>
      <c r="L125" s="458"/>
      <c r="M125" s="458"/>
      <c r="N125" s="401"/>
      <c r="O125" s="401"/>
      <c r="P125" s="401"/>
      <c r="Q125" s="401"/>
      <c r="R125" s="401"/>
      <c r="S125" s="401"/>
      <c r="T125" s="401"/>
      <c r="U125" s="401"/>
      <c r="V125" s="401"/>
      <c r="W125" s="401"/>
      <c r="X125" s="401"/>
      <c r="Y125" s="401"/>
      <c r="Z125" s="401"/>
      <c r="AA125" s="401"/>
      <c r="AB125" s="401"/>
      <c r="AC125" s="401"/>
      <c r="AD125" s="401"/>
      <c r="AE125" s="401"/>
      <c r="AF125" s="401"/>
      <c r="AG125" s="401"/>
      <c r="AH125" s="401"/>
      <c r="AI125" s="401"/>
      <c r="AJ125" s="401"/>
      <c r="AK125" s="401"/>
      <c r="AL125" s="401"/>
      <c r="AM125" s="401"/>
      <c r="AN125" s="401"/>
      <c r="AO125" s="401"/>
      <c r="AP125" s="401"/>
      <c r="AQ125" s="401"/>
      <c r="AR125" s="401"/>
      <c r="AS125" s="401"/>
      <c r="AT125" s="401"/>
      <c r="AU125" s="401"/>
      <c r="AV125" s="401"/>
      <c r="AW125" s="401"/>
      <c r="AX125" s="401"/>
      <c r="AY125" s="401"/>
      <c r="AZ125" s="401"/>
      <c r="BA125" s="401"/>
      <c r="BB125" s="401"/>
      <c r="BC125" s="401"/>
      <c r="BD125" s="459"/>
      <c r="BE125" s="459"/>
      <c r="BF125" s="459"/>
      <c r="BG125" s="459"/>
      <c r="BH125" s="459"/>
      <c r="BI125" s="459"/>
      <c r="BJ125" s="459"/>
      <c r="BK125" s="459"/>
      <c r="BL125" s="459"/>
      <c r="BU125" s="401"/>
      <c r="BV125" s="401"/>
      <c r="BW125" s="401"/>
      <c r="BX125" s="401"/>
      <c r="BY125" s="401"/>
      <c r="BZ125" s="401"/>
    </row>
    <row r="126" spans="1:78" s="405" customFormat="1" ht="15" customHeight="1" thickBot="1" x14ac:dyDescent="0.3">
      <c r="A126" s="396"/>
      <c r="B126" s="401"/>
      <c r="C126" s="401"/>
      <c r="D126" s="401"/>
      <c r="E126" s="401"/>
      <c r="F126" s="401"/>
      <c r="G126" s="401"/>
      <c r="H126" s="401"/>
      <c r="I126" s="401"/>
      <c r="J126" s="401"/>
      <c r="K126" s="458"/>
      <c r="L126" s="458"/>
      <c r="M126" s="458"/>
      <c r="N126" s="401"/>
      <c r="O126" s="401"/>
      <c r="P126" s="401"/>
      <c r="Q126" s="401"/>
      <c r="R126" s="401"/>
      <c r="S126" s="401"/>
      <c r="T126" s="401"/>
      <c r="U126" s="401"/>
      <c r="V126" s="401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AI126" s="401"/>
      <c r="AJ126" s="401"/>
      <c r="AK126" s="401"/>
      <c r="AL126" s="401"/>
      <c r="AM126" s="401"/>
      <c r="AN126" s="401"/>
      <c r="AO126" s="401"/>
      <c r="AP126" s="401"/>
      <c r="AQ126" s="401"/>
      <c r="AR126" s="401"/>
      <c r="AS126" s="401"/>
      <c r="AT126" s="401"/>
      <c r="AU126" s="401"/>
      <c r="AV126" s="401"/>
      <c r="AW126" s="401"/>
      <c r="AX126" s="401"/>
      <c r="AY126" s="401"/>
      <c r="AZ126" s="401"/>
      <c r="BA126" s="401"/>
      <c r="BB126" s="401"/>
      <c r="BC126" s="401"/>
      <c r="BD126" s="459"/>
      <c r="BE126" s="459"/>
      <c r="BF126" s="459"/>
      <c r="BG126" s="459"/>
      <c r="BH126" s="459"/>
      <c r="BI126" s="459"/>
      <c r="BJ126" s="459"/>
      <c r="BK126" s="459"/>
      <c r="BL126" s="459"/>
      <c r="BU126" s="401"/>
      <c r="BV126" s="401"/>
      <c r="BW126" s="401"/>
      <c r="BX126" s="401"/>
      <c r="BY126" s="401"/>
      <c r="BZ126" s="401"/>
    </row>
    <row r="127" spans="1:78" ht="24.95" customHeight="1" thickBot="1" x14ac:dyDescent="0.3">
      <c r="A127" s="396"/>
      <c r="B127" s="415">
        <v>5</v>
      </c>
      <c r="C127" s="706" t="s">
        <v>109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IF(COUNTIF(F135:M135,"refused")&gt;0,"refused",IF(COUNTIF(F135:M135,"failed")&gt;0,"failed",IF(COUNTIF(F135:M135,"passed")&gt;0,"passed","-")))</f>
        <v>-</v>
      </c>
      <c r="Q127" s="399" t="s">
        <v>80</v>
      </c>
      <c r="R127" s="399" t="str">
        <f>IF(COUNT(F131:M132)&gt;0,"listed","not listed")</f>
        <v>not listed</v>
      </c>
      <c r="S127" s="511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</row>
    <row r="128" spans="1:78" ht="15" customHeight="1" outlineLevel="1" thickBot="1" x14ac:dyDescent="0.3">
      <c r="A128" s="396"/>
      <c r="B128" s="513"/>
      <c r="C128" s="514"/>
      <c r="D128" s="514"/>
      <c r="E128" s="514"/>
      <c r="F128" s="514"/>
      <c r="G128" s="514"/>
      <c r="H128" s="514"/>
      <c r="I128" s="514"/>
      <c r="J128" s="514"/>
      <c r="K128" s="421"/>
      <c r="L128" s="421"/>
      <c r="M128" s="421"/>
      <c r="N128" s="514"/>
      <c r="O128" s="514"/>
      <c r="P128" s="514"/>
      <c r="Q128" s="514"/>
      <c r="R128" s="514"/>
      <c r="S128" s="514"/>
      <c r="T128" s="422"/>
      <c r="U128" s="422"/>
      <c r="V128" s="423"/>
      <c r="W128" s="512"/>
      <c r="X128" s="512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</row>
    <row r="129" spans="1:78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512"/>
      <c r="X129" s="512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</row>
    <row r="130" spans="1:78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">
        <v>72</v>
      </c>
      <c r="G130" s="517" t="s">
        <v>73</v>
      </c>
      <c r="H130" s="425" t="s">
        <v>74</v>
      </c>
      <c r="I130" s="425" t="s">
        <v>75</v>
      </c>
      <c r="J130" s="425" t="s">
        <v>76</v>
      </c>
      <c r="K130" s="534" t="s">
        <v>170</v>
      </c>
      <c r="L130" s="535" t="str">
        <f>$L$4</f>
        <v>Additional
component</v>
      </c>
      <c r="M130" s="535" t="str">
        <f>$M$4</f>
        <v>Additional
component 2</v>
      </c>
      <c r="N130" s="425" t="s">
        <v>77</v>
      </c>
      <c r="O130" s="669"/>
      <c r="P130" s="670"/>
      <c r="Q130" s="670"/>
      <c r="R130" s="671"/>
      <c r="S130" s="669"/>
      <c r="T130" s="670"/>
      <c r="U130" s="670"/>
      <c r="V130" s="671"/>
      <c r="W130" s="512"/>
      <c r="X130" s="512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536"/>
    </row>
    <row r="131" spans="1:78" s="405" customFormat="1" ht="15" customHeight="1" outlineLevel="1" x14ac:dyDescent="0.25">
      <c r="A131" s="439"/>
      <c r="B131" s="718" t="s">
        <v>108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</row>
    <row r="132" spans="1:78" s="405" customFormat="1" ht="15" customHeight="1" outlineLevel="1" thickBot="1" x14ac:dyDescent="0.3">
      <c r="A132" s="396"/>
      <c r="B132" s="719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512"/>
      <c r="X132" s="512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AI132" s="401"/>
      <c r="AJ132" s="401"/>
      <c r="AK132" s="401"/>
      <c r="AL132" s="401"/>
      <c r="AM132" s="401"/>
      <c r="AN132" s="401"/>
      <c r="AO132" s="401"/>
      <c r="AP132" s="401"/>
      <c r="AQ132" s="401"/>
      <c r="AR132" s="401"/>
      <c r="AS132" s="401"/>
      <c r="AT132" s="401"/>
      <c r="AU132" s="401"/>
      <c r="AV132" s="401"/>
      <c r="AW132" s="401"/>
      <c r="AX132" s="401"/>
      <c r="AY132" s="401"/>
      <c r="AZ132" s="401"/>
      <c r="BA132" s="401"/>
      <c r="BB132" s="401"/>
      <c r="BC132" s="401"/>
      <c r="BU132" s="401"/>
      <c r="BV132" s="401"/>
      <c r="BW132" s="401"/>
      <c r="BX132" s="401"/>
      <c r="BY132" s="401"/>
      <c r="BZ132" s="401"/>
    </row>
    <row r="133" spans="1:78" s="405" customFormat="1" ht="15" customHeight="1" outlineLevel="1" thickBot="1" x14ac:dyDescent="0.3">
      <c r="A133" s="396"/>
      <c r="B133" s="719"/>
      <c r="C133" s="686" t="s">
        <v>5</v>
      </c>
      <c r="D133" s="689" t="str">
        <f>IF(AND(F133="-",G133="-",H133="-",I133="-",J133="-",K133="-",L133="-",M133="-"),"-",MAX(F133,G133,H133,I133,J133,K133,L133,M133))</f>
        <v>-</v>
      </c>
      <c r="E133" s="444" t="s">
        <v>177</v>
      </c>
      <c r="F133" s="445" t="str">
        <f t="shared" ref="F133:M133" si="92">IF(OR(F132="-",F132=""),IF(OR(F131="-",F131=""),"-",F131),IF(OR(F131="-",F131=""),F132,(F131+F132)/2))</f>
        <v>-</v>
      </c>
      <c r="G133" s="445" t="str">
        <f t="shared" si="92"/>
        <v>-</v>
      </c>
      <c r="H133" s="445" t="str">
        <f t="shared" si="92"/>
        <v>-</v>
      </c>
      <c r="I133" s="445" t="str">
        <f t="shared" si="92"/>
        <v>-</v>
      </c>
      <c r="J133" s="445" t="str">
        <f t="shared" si="92"/>
        <v>-</v>
      </c>
      <c r="K133" s="446" t="str">
        <f t="shared" si="92"/>
        <v>-</v>
      </c>
      <c r="L133" s="446" t="str">
        <f t="shared" si="92"/>
        <v>-</v>
      </c>
      <c r="M133" s="446" t="str">
        <f t="shared" si="92"/>
        <v>-</v>
      </c>
      <c r="N133" s="828"/>
      <c r="O133" s="672"/>
      <c r="P133" s="673"/>
      <c r="Q133" s="673"/>
      <c r="R133" s="674"/>
      <c r="S133" s="672"/>
      <c r="T133" s="673"/>
      <c r="U133" s="673"/>
      <c r="V133" s="674"/>
      <c r="W133" s="512"/>
      <c r="X133" s="512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AI133" s="401"/>
      <c r="AJ133" s="401"/>
      <c r="AK133" s="401"/>
      <c r="AL133" s="401"/>
      <c r="AM133" s="401"/>
      <c r="AN133" s="401"/>
      <c r="AO133" s="401"/>
      <c r="AP133" s="401"/>
      <c r="AQ133" s="401"/>
      <c r="AR133" s="401"/>
      <c r="AS133" s="401"/>
      <c r="AT133" s="401"/>
      <c r="AU133" s="401"/>
      <c r="AV133" s="401"/>
      <c r="AW133" s="401"/>
      <c r="AX133" s="401"/>
      <c r="AY133" s="401"/>
      <c r="AZ133" s="401"/>
      <c r="BA133" s="401"/>
      <c r="BB133" s="401"/>
      <c r="BC133" s="401"/>
      <c r="BU133" s="401"/>
      <c r="BV133" s="401"/>
      <c r="BW133" s="401"/>
      <c r="BX133" s="401"/>
      <c r="BY133" s="401"/>
      <c r="BZ133" s="401"/>
    </row>
    <row r="134" spans="1:78" s="405" customFormat="1" ht="15" customHeight="1" outlineLevel="1" thickBot="1" x14ac:dyDescent="0.3">
      <c r="A134" s="396"/>
      <c r="B134" s="719"/>
      <c r="C134" s="687"/>
      <c r="D134" s="690"/>
      <c r="E134" s="447" t="s">
        <v>97</v>
      </c>
      <c r="F134" s="448" t="str">
        <f t="shared" ref="F134:M134" si="93">IF(OR($C133="-",$C133="CET",$C133=""),"-",IF(AND(NOT(F133="-"),NOT(F$5="-"),NOT(F$5="")),F133/F$5,"-"))</f>
        <v>-</v>
      </c>
      <c r="G134" s="448" t="str">
        <f t="shared" si="93"/>
        <v>-</v>
      </c>
      <c r="H134" s="448" t="str">
        <f t="shared" si="93"/>
        <v>-</v>
      </c>
      <c r="I134" s="448" t="str">
        <f t="shared" si="93"/>
        <v>-</v>
      </c>
      <c r="J134" s="448" t="str">
        <f t="shared" si="93"/>
        <v>-</v>
      </c>
      <c r="K134" s="449" t="str">
        <f t="shared" si="93"/>
        <v>-</v>
      </c>
      <c r="L134" s="449" t="str">
        <f t="shared" si="93"/>
        <v>-</v>
      </c>
      <c r="M134" s="449" t="str">
        <f t="shared" si="93"/>
        <v>-</v>
      </c>
      <c r="N134" s="702"/>
      <c r="O134" s="672"/>
      <c r="P134" s="673"/>
      <c r="Q134" s="673"/>
      <c r="R134" s="674"/>
      <c r="S134" s="672"/>
      <c r="T134" s="673"/>
      <c r="U134" s="673"/>
      <c r="V134" s="674"/>
      <c r="W134" s="512"/>
      <c r="X134" s="512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AI134" s="401"/>
      <c r="AJ134" s="401"/>
      <c r="AK134" s="401"/>
      <c r="AL134" s="401"/>
      <c r="AM134" s="401"/>
      <c r="AN134" s="401"/>
      <c r="AO134" s="401"/>
      <c r="AP134" s="401"/>
      <c r="AQ134" s="401"/>
      <c r="AR134" s="401"/>
      <c r="AS134" s="401"/>
      <c r="AT134" s="401"/>
      <c r="AU134" s="401"/>
      <c r="AV134" s="401"/>
      <c r="AW134" s="401"/>
      <c r="AX134" s="401"/>
      <c r="AY134" s="401"/>
      <c r="AZ134" s="401"/>
      <c r="BA134" s="401"/>
      <c r="BB134" s="401"/>
      <c r="BC134" s="401"/>
      <c r="BD134" s="429" t="s">
        <v>85</v>
      </c>
      <c r="BE134" s="430" t="s">
        <v>86</v>
      </c>
      <c r="BF134" s="430" t="s">
        <v>87</v>
      </c>
      <c r="BG134" s="430" t="s">
        <v>88</v>
      </c>
      <c r="BH134" s="430" t="s">
        <v>89</v>
      </c>
      <c r="BI134" s="430" t="s">
        <v>90</v>
      </c>
      <c r="BJ134" s="430" t="s">
        <v>91</v>
      </c>
      <c r="BK134" s="430" t="s">
        <v>91</v>
      </c>
      <c r="BL134" s="430" t="s">
        <v>91</v>
      </c>
      <c r="BU134" s="401"/>
      <c r="BV134" s="401"/>
      <c r="BW134" s="401"/>
      <c r="BX134" s="401"/>
      <c r="BY134" s="401"/>
      <c r="BZ134" s="401"/>
    </row>
    <row r="135" spans="1:78" s="405" customFormat="1" ht="15" customHeight="1" outlineLevel="1" thickBot="1" x14ac:dyDescent="0.3">
      <c r="A135" s="396"/>
      <c r="B135" s="720"/>
      <c r="C135" s="688"/>
      <c r="D135" s="691"/>
      <c r="E135" s="451" t="s">
        <v>30</v>
      </c>
      <c r="F135" s="451" t="str">
        <f t="shared" ref="F135:M135" si="94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94"/>
        <v>-</v>
      </c>
      <c r="H135" s="451" t="str">
        <f t="shared" si="94"/>
        <v>-</v>
      </c>
      <c r="I135" s="451" t="str">
        <f t="shared" si="94"/>
        <v>-</v>
      </c>
      <c r="J135" s="451" t="str">
        <f t="shared" si="94"/>
        <v>-</v>
      </c>
      <c r="K135" s="452" t="str">
        <f t="shared" si="94"/>
        <v>-</v>
      </c>
      <c r="L135" s="452" t="str">
        <f t="shared" si="94"/>
        <v>-</v>
      </c>
      <c r="M135" s="452" t="str">
        <f t="shared" si="94"/>
        <v>-</v>
      </c>
      <c r="N135" s="685"/>
      <c r="O135" s="672"/>
      <c r="P135" s="673"/>
      <c r="Q135" s="673"/>
      <c r="R135" s="674"/>
      <c r="S135" s="672"/>
      <c r="T135" s="673"/>
      <c r="U135" s="673"/>
      <c r="V135" s="674"/>
      <c r="W135" s="512"/>
      <c r="X135" s="512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401"/>
      <c r="AJ135" s="401"/>
      <c r="AK135" s="401"/>
      <c r="AL135" s="401"/>
      <c r="AM135" s="401"/>
      <c r="AN135" s="401"/>
      <c r="AO135" s="401"/>
      <c r="AP135" s="401"/>
      <c r="AQ135" s="401"/>
      <c r="AR135" s="401"/>
      <c r="AS135" s="401"/>
      <c r="AT135" s="401"/>
      <c r="AU135" s="401"/>
      <c r="AV135" s="401"/>
      <c r="AW135" s="401"/>
      <c r="AX135" s="401"/>
      <c r="AY135" s="401"/>
      <c r="AZ135" s="401"/>
      <c r="BA135" s="401"/>
      <c r="BB135" s="401"/>
      <c r="BC135" s="399" t="str">
        <f>IF(COUNTIF(F135:M135,"refused")&gt;0,"refused",IF(COUNTIF(F135:M135,"failed")&gt;0,"failed",IF(COUNTIF(F135:M135,"passed")&gt;0,"passed","-")))</f>
        <v>-</v>
      </c>
      <c r="BD135" s="429">
        <f>$E$4</f>
        <v>0</v>
      </c>
      <c r="BE135" s="435">
        <v>1</v>
      </c>
      <c r="BF135" s="435">
        <v>1</v>
      </c>
      <c r="BG135" s="435">
        <v>1</v>
      </c>
      <c r="BH135" s="435">
        <v>1</v>
      </c>
      <c r="BI135" s="435">
        <v>1</v>
      </c>
      <c r="BJ135" s="435">
        <v>1</v>
      </c>
      <c r="BK135" s="435">
        <v>2</v>
      </c>
      <c r="BL135" s="435">
        <v>3</v>
      </c>
      <c r="BU135" s="401"/>
      <c r="BV135" s="401"/>
      <c r="BW135" s="401"/>
      <c r="BX135" s="401"/>
      <c r="BY135" s="401"/>
      <c r="BZ135" s="401"/>
    </row>
    <row r="136" spans="1:78" s="405" customFormat="1" ht="15" customHeight="1" outlineLevel="1" x14ac:dyDescent="0.25">
      <c r="A136" s="396"/>
      <c r="B136" s="721"/>
      <c r="C136" s="668"/>
      <c r="D136" s="510"/>
      <c r="E136" s="510"/>
      <c r="F136" s="463"/>
      <c r="G136" s="463"/>
      <c r="H136" s="463"/>
      <c r="I136" s="463"/>
      <c r="J136" s="463"/>
      <c r="K136" s="464"/>
      <c r="L136" s="464"/>
      <c r="M136" s="464"/>
      <c r="N136" s="465"/>
      <c r="O136" s="672"/>
      <c r="P136" s="673"/>
      <c r="Q136" s="673"/>
      <c r="R136" s="674"/>
      <c r="S136" s="672"/>
      <c r="T136" s="673"/>
      <c r="U136" s="673"/>
      <c r="V136" s="674"/>
      <c r="W136" s="512"/>
      <c r="X136" s="512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401"/>
      <c r="AJ136" s="401"/>
      <c r="AK136" s="401"/>
      <c r="AL136" s="401"/>
      <c r="AM136" s="401"/>
      <c r="AN136" s="401"/>
      <c r="AO136" s="401"/>
      <c r="AP136" s="401"/>
      <c r="AQ136" s="401"/>
      <c r="AR136" s="401"/>
      <c r="AS136" s="401"/>
      <c r="AT136" s="401"/>
      <c r="AU136" s="401"/>
      <c r="AV136" s="401"/>
      <c r="AW136" s="401"/>
      <c r="AX136" s="401"/>
      <c r="AY136" s="401"/>
      <c r="AZ136" s="401"/>
      <c r="BA136" s="401"/>
      <c r="BB136" s="401"/>
      <c r="BC136" s="401"/>
      <c r="BD136" s="429" t="str">
        <f>"1st " &amp;  B131</f>
        <v>1st s.s.e.t.</v>
      </c>
      <c r="BE136" s="435" t="str">
        <f t="shared" ref="BE136:BL136" si="95">IF((OR($C133="-",$C133="CET",$C133="")),"-",IF(AND(OR(F131="-",F131=""),OR(F132="-",F132="")),"-",IF(NOT(OR(F131="-",F131="")),F131/F$5,F132/F$5)))</f>
        <v>-</v>
      </c>
      <c r="BF136" s="435" t="str">
        <f t="shared" si="95"/>
        <v>-</v>
      </c>
      <c r="BG136" s="435" t="str">
        <f t="shared" si="95"/>
        <v>-</v>
      </c>
      <c r="BH136" s="435" t="str">
        <f t="shared" si="95"/>
        <v>-</v>
      </c>
      <c r="BI136" s="435" t="str">
        <f t="shared" si="95"/>
        <v>-</v>
      </c>
      <c r="BJ136" s="435" t="str">
        <f t="shared" si="95"/>
        <v>-</v>
      </c>
      <c r="BK136" s="435" t="str">
        <f t="shared" si="95"/>
        <v>-</v>
      </c>
      <c r="BL136" s="435" t="str">
        <f t="shared" si="95"/>
        <v>-</v>
      </c>
      <c r="BU136" s="401"/>
      <c r="BV136" s="401"/>
      <c r="BW136" s="401"/>
      <c r="BX136" s="401"/>
      <c r="BY136" s="401"/>
      <c r="BZ136" s="401"/>
    </row>
    <row r="137" spans="1:78" s="405" customFormat="1" ht="15" customHeight="1" outlineLevel="1" x14ac:dyDescent="0.25">
      <c r="A137" s="396"/>
      <c r="B137" s="721"/>
      <c r="C137" s="668"/>
      <c r="D137" s="510"/>
      <c r="E137" s="510"/>
      <c r="F137" s="463"/>
      <c r="G137" s="463"/>
      <c r="H137" s="463"/>
      <c r="I137" s="463"/>
      <c r="J137" s="463"/>
      <c r="K137" s="464"/>
      <c r="L137" s="464"/>
      <c r="M137" s="464"/>
      <c r="N137" s="465"/>
      <c r="O137" s="672"/>
      <c r="P137" s="673"/>
      <c r="Q137" s="673"/>
      <c r="R137" s="674"/>
      <c r="S137" s="672"/>
      <c r="T137" s="673"/>
      <c r="U137" s="673"/>
      <c r="V137" s="674"/>
      <c r="W137" s="512"/>
      <c r="X137" s="512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AI137" s="401"/>
      <c r="AJ137" s="401"/>
      <c r="AK137" s="401"/>
      <c r="AL137" s="401"/>
      <c r="AM137" s="401"/>
      <c r="AN137" s="401"/>
      <c r="AO137" s="401"/>
      <c r="AP137" s="401"/>
      <c r="AQ137" s="401"/>
      <c r="AR137" s="401"/>
      <c r="AS137" s="401"/>
      <c r="AT137" s="401"/>
      <c r="AU137" s="401"/>
      <c r="AV137" s="401"/>
      <c r="AW137" s="401"/>
      <c r="AX137" s="401"/>
      <c r="AY137" s="401"/>
      <c r="AZ137" s="401"/>
      <c r="BA137" s="401"/>
      <c r="BB137" s="401"/>
      <c r="BC137" s="401"/>
      <c r="BD137" s="429"/>
      <c r="BE137" s="435"/>
      <c r="BF137" s="435"/>
      <c r="BG137" s="435"/>
      <c r="BH137" s="435"/>
      <c r="BI137" s="435"/>
      <c r="BJ137" s="435"/>
      <c r="BK137" s="435"/>
      <c r="BL137" s="435"/>
      <c r="BU137" s="401"/>
      <c r="BV137" s="401"/>
      <c r="BW137" s="401"/>
      <c r="BX137" s="401"/>
      <c r="BY137" s="401"/>
      <c r="BZ137" s="401"/>
    </row>
    <row r="138" spans="1:78" s="405" customFormat="1" ht="15" customHeight="1" outlineLevel="1" x14ac:dyDescent="0.25">
      <c r="A138" s="396"/>
      <c r="B138" s="721"/>
      <c r="C138" s="668"/>
      <c r="D138" s="510"/>
      <c r="E138" s="510"/>
      <c r="F138" s="466"/>
      <c r="G138" s="466"/>
      <c r="H138" s="466"/>
      <c r="I138" s="466"/>
      <c r="J138" s="466"/>
      <c r="K138" s="464"/>
      <c r="L138" s="464"/>
      <c r="M138" s="464"/>
      <c r="N138" s="467"/>
      <c r="O138" s="672"/>
      <c r="P138" s="673"/>
      <c r="Q138" s="673"/>
      <c r="R138" s="674"/>
      <c r="S138" s="672"/>
      <c r="T138" s="673"/>
      <c r="U138" s="673"/>
      <c r="V138" s="674"/>
      <c r="W138" s="512"/>
      <c r="X138" s="512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AI138" s="401"/>
      <c r="AJ138" s="401"/>
      <c r="AK138" s="401"/>
      <c r="AL138" s="401"/>
      <c r="AM138" s="401"/>
      <c r="AN138" s="401"/>
      <c r="AO138" s="401"/>
      <c r="AP138" s="401"/>
      <c r="AQ138" s="401"/>
      <c r="AR138" s="401"/>
      <c r="AS138" s="401"/>
      <c r="AT138" s="401"/>
      <c r="AU138" s="401"/>
      <c r="AV138" s="401"/>
      <c r="AW138" s="401"/>
      <c r="AX138" s="401"/>
      <c r="AY138" s="401"/>
      <c r="AZ138" s="401"/>
      <c r="BA138" s="401"/>
      <c r="BB138" s="401"/>
      <c r="BC138" s="401"/>
      <c r="BD138" s="429"/>
      <c r="BE138" s="435"/>
      <c r="BF138" s="435"/>
      <c r="BG138" s="435"/>
      <c r="BH138" s="435"/>
      <c r="BI138" s="435"/>
      <c r="BJ138" s="435"/>
      <c r="BK138" s="435"/>
      <c r="BL138" s="435"/>
      <c r="BU138" s="401"/>
      <c r="BV138" s="401"/>
      <c r="BW138" s="401"/>
      <c r="BX138" s="401"/>
      <c r="BY138" s="401"/>
      <c r="BZ138" s="401"/>
    </row>
    <row r="139" spans="1:78" s="405" customFormat="1" ht="15" customHeight="1" outlineLevel="1" x14ac:dyDescent="0.25">
      <c r="A139" s="404"/>
      <c r="B139" s="721"/>
      <c r="C139" s="668"/>
      <c r="D139" s="510"/>
      <c r="E139" s="510"/>
      <c r="F139" s="466"/>
      <c r="G139" s="466"/>
      <c r="H139" s="466"/>
      <c r="I139" s="466"/>
      <c r="J139" s="466"/>
      <c r="K139" s="464"/>
      <c r="L139" s="464"/>
      <c r="M139" s="464"/>
      <c r="N139" s="467"/>
      <c r="O139" s="672"/>
      <c r="P139" s="673"/>
      <c r="Q139" s="673"/>
      <c r="R139" s="674"/>
      <c r="S139" s="672"/>
      <c r="T139" s="673"/>
      <c r="U139" s="673"/>
      <c r="V139" s="674"/>
      <c r="W139" s="512"/>
      <c r="X139" s="512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AI139" s="401"/>
      <c r="AJ139" s="401"/>
      <c r="AK139" s="401"/>
      <c r="AL139" s="401"/>
      <c r="AM139" s="401"/>
      <c r="AN139" s="401"/>
      <c r="AO139" s="401"/>
      <c r="AP139" s="401"/>
      <c r="AQ139" s="401"/>
      <c r="AR139" s="401"/>
      <c r="AS139" s="401"/>
      <c r="AT139" s="401"/>
      <c r="AU139" s="401"/>
      <c r="AV139" s="401"/>
      <c r="AW139" s="401"/>
      <c r="AX139" s="401"/>
      <c r="AY139" s="401"/>
      <c r="AZ139" s="401"/>
      <c r="BA139" s="401"/>
      <c r="BB139" s="401"/>
      <c r="BC139" s="401"/>
      <c r="BD139" s="429"/>
      <c r="BE139" s="435"/>
      <c r="BF139" s="435"/>
      <c r="BG139" s="435"/>
      <c r="BH139" s="435"/>
      <c r="BI139" s="435"/>
      <c r="BJ139" s="435"/>
      <c r="BK139" s="435"/>
      <c r="BL139" s="435"/>
      <c r="BU139" s="401"/>
      <c r="BV139" s="401"/>
      <c r="BW139" s="401"/>
      <c r="BX139" s="401"/>
      <c r="BY139" s="401"/>
      <c r="BZ139" s="401"/>
    </row>
    <row r="140" spans="1:78" s="405" customFormat="1" ht="15" customHeight="1" outlineLevel="1" x14ac:dyDescent="0.25">
      <c r="A140" s="404"/>
      <c r="B140" s="721"/>
      <c r="C140" s="668"/>
      <c r="D140" s="510"/>
      <c r="E140" s="510"/>
      <c r="F140" s="510"/>
      <c r="G140" s="510"/>
      <c r="H140" s="510"/>
      <c r="I140" s="510"/>
      <c r="J140" s="510"/>
      <c r="K140" s="464"/>
      <c r="L140" s="464"/>
      <c r="M140" s="464"/>
      <c r="N140" s="468"/>
      <c r="O140" s="672"/>
      <c r="P140" s="673"/>
      <c r="Q140" s="673"/>
      <c r="R140" s="674"/>
      <c r="S140" s="672"/>
      <c r="T140" s="673"/>
      <c r="U140" s="673"/>
      <c r="V140" s="674"/>
      <c r="W140" s="512"/>
      <c r="X140" s="512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401"/>
      <c r="AJ140" s="401"/>
      <c r="AK140" s="401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401"/>
      <c r="BD140" s="429" t="str">
        <f>"0.7*IEF " &amp; (B131)</f>
        <v>0.7*IEF s.s.e.t.</v>
      </c>
      <c r="BE140" s="435" t="str">
        <f t="shared" ref="BE140:BL140" si="96">IF(OR($C133="-",$C133="CET",$C133=""),"-",0.7*$C133)</f>
        <v>-</v>
      </c>
      <c r="BF140" s="435" t="str">
        <f t="shared" si="96"/>
        <v>-</v>
      </c>
      <c r="BG140" s="435" t="str">
        <f t="shared" si="96"/>
        <v>-</v>
      </c>
      <c r="BH140" s="435" t="str">
        <f t="shared" si="96"/>
        <v>-</v>
      </c>
      <c r="BI140" s="435" t="str">
        <f t="shared" si="96"/>
        <v>-</v>
      </c>
      <c r="BJ140" s="435" t="str">
        <f t="shared" si="96"/>
        <v>-</v>
      </c>
      <c r="BK140" s="435" t="str">
        <f t="shared" si="96"/>
        <v>-</v>
      </c>
      <c r="BL140" s="435" t="str">
        <f t="shared" si="96"/>
        <v>-</v>
      </c>
      <c r="BU140" s="401"/>
      <c r="BV140" s="401"/>
      <c r="BW140" s="401"/>
      <c r="BX140" s="401"/>
      <c r="BY140" s="401"/>
      <c r="BZ140" s="401"/>
    </row>
    <row r="141" spans="1:78" s="405" customFormat="1" ht="15" customHeight="1" outlineLevel="1" x14ac:dyDescent="0.25">
      <c r="A141" s="404"/>
      <c r="B141" s="721"/>
      <c r="C141" s="668"/>
      <c r="D141" s="510"/>
      <c r="E141" s="510"/>
      <c r="F141" s="463"/>
      <c r="G141" s="463"/>
      <c r="H141" s="463"/>
      <c r="I141" s="463"/>
      <c r="J141" s="463"/>
      <c r="K141" s="464"/>
      <c r="L141" s="464"/>
      <c r="M141" s="464"/>
      <c r="N141" s="465"/>
      <c r="O141" s="672"/>
      <c r="P141" s="673"/>
      <c r="Q141" s="673"/>
      <c r="R141" s="674"/>
      <c r="S141" s="672"/>
      <c r="T141" s="673"/>
      <c r="U141" s="673"/>
      <c r="V141" s="674"/>
      <c r="W141" s="512"/>
      <c r="X141" s="512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401"/>
      <c r="AJ141" s="401"/>
      <c r="AK141" s="401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401"/>
      <c r="BD141" s="429"/>
      <c r="BE141" s="435"/>
      <c r="BF141" s="435"/>
      <c r="BG141" s="435"/>
      <c r="BH141" s="435"/>
      <c r="BI141" s="435"/>
      <c r="BJ141" s="435"/>
      <c r="BK141" s="435"/>
      <c r="BL141" s="435"/>
      <c r="BU141" s="401"/>
      <c r="BV141" s="401"/>
      <c r="BW141" s="401"/>
      <c r="BX141" s="401"/>
      <c r="BY141" s="401"/>
      <c r="BZ141" s="401"/>
    </row>
    <row r="142" spans="1:78" s="405" customFormat="1" ht="15" customHeight="1" outlineLevel="1" x14ac:dyDescent="0.25">
      <c r="A142" s="404"/>
      <c r="B142" s="721"/>
      <c r="C142" s="668"/>
      <c r="D142" s="510"/>
      <c r="E142" s="510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512"/>
      <c r="X142" s="512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401"/>
      <c r="AJ142" s="401"/>
      <c r="AK142" s="401"/>
      <c r="AL142" s="401"/>
      <c r="AM142" s="401"/>
      <c r="AN142" s="401"/>
      <c r="AO142" s="401"/>
      <c r="AP142" s="401"/>
      <c r="AQ142" s="401"/>
      <c r="AR142" s="401"/>
      <c r="AS142" s="401"/>
      <c r="AT142" s="401"/>
      <c r="AU142" s="401"/>
      <c r="AV142" s="401"/>
      <c r="AW142" s="401"/>
      <c r="AX142" s="401"/>
      <c r="AY142" s="401"/>
      <c r="AZ142" s="401"/>
      <c r="BA142" s="401"/>
      <c r="BB142" s="401"/>
      <c r="BC142" s="401"/>
      <c r="BD142" s="429"/>
      <c r="BE142" s="435"/>
      <c r="BF142" s="435"/>
      <c r="BG142" s="435"/>
      <c r="BH142" s="435"/>
      <c r="BI142" s="435"/>
      <c r="BJ142" s="435"/>
      <c r="BK142" s="435"/>
      <c r="BL142" s="435"/>
      <c r="BU142" s="401"/>
      <c r="BV142" s="401"/>
      <c r="BW142" s="401"/>
      <c r="BX142" s="401"/>
      <c r="BY142" s="401"/>
      <c r="BZ142" s="401"/>
    </row>
    <row r="143" spans="1:78" s="405" customFormat="1" ht="15" customHeight="1" outlineLevel="1" x14ac:dyDescent="0.25">
      <c r="A143" s="404"/>
      <c r="B143" s="721"/>
      <c r="C143" s="668"/>
      <c r="D143" s="510"/>
      <c r="E143" s="510"/>
      <c r="F143" s="466"/>
      <c r="G143" s="466"/>
      <c r="H143" s="466"/>
      <c r="I143" s="466"/>
      <c r="J143" s="466"/>
      <c r="K143" s="464"/>
      <c r="L143" s="464"/>
      <c r="M143" s="464"/>
      <c r="N143" s="467"/>
      <c r="O143" s="672"/>
      <c r="P143" s="673"/>
      <c r="Q143" s="673"/>
      <c r="R143" s="674"/>
      <c r="S143" s="672"/>
      <c r="T143" s="673"/>
      <c r="U143" s="673"/>
      <c r="V143" s="674"/>
      <c r="W143" s="512"/>
      <c r="X143" s="512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AI143" s="401"/>
      <c r="AJ143" s="401"/>
      <c r="AK143" s="401"/>
      <c r="AL143" s="401"/>
      <c r="AM143" s="401"/>
      <c r="AN143" s="401"/>
      <c r="AO143" s="401"/>
      <c r="AP143" s="401"/>
      <c r="AQ143" s="401"/>
      <c r="AR143" s="401"/>
      <c r="AS143" s="401"/>
      <c r="AT143" s="401"/>
      <c r="AU143" s="401"/>
      <c r="AV143" s="401"/>
      <c r="AW143" s="401"/>
      <c r="AX143" s="401"/>
      <c r="AY143" s="401"/>
      <c r="AZ143" s="401"/>
      <c r="BA143" s="401"/>
      <c r="BB143" s="401"/>
      <c r="BC143" s="401"/>
      <c r="BD143" s="429"/>
      <c r="BE143" s="435"/>
      <c r="BF143" s="435"/>
      <c r="BG143" s="435"/>
      <c r="BH143" s="435"/>
      <c r="BI143" s="435"/>
      <c r="BJ143" s="435"/>
      <c r="BK143" s="435"/>
      <c r="BL143" s="435"/>
      <c r="BU143" s="401"/>
      <c r="BV143" s="401"/>
      <c r="BW143" s="401"/>
      <c r="BX143" s="401"/>
      <c r="BY143" s="401"/>
      <c r="BZ143" s="401"/>
    </row>
    <row r="144" spans="1:78" s="405" customFormat="1" ht="15" customHeight="1" outlineLevel="1" x14ac:dyDescent="0.25">
      <c r="A144" s="404"/>
      <c r="B144" s="721"/>
      <c r="C144" s="668"/>
      <c r="D144" s="510"/>
      <c r="E144" s="510"/>
      <c r="F144" s="466"/>
      <c r="G144" s="466"/>
      <c r="H144" s="466"/>
      <c r="I144" s="466"/>
      <c r="J144" s="466"/>
      <c r="K144" s="464"/>
      <c r="L144" s="464"/>
      <c r="M144" s="464"/>
      <c r="N144" s="467"/>
      <c r="O144" s="672"/>
      <c r="P144" s="673"/>
      <c r="Q144" s="673"/>
      <c r="R144" s="674"/>
      <c r="S144" s="672"/>
      <c r="T144" s="673"/>
      <c r="U144" s="673"/>
      <c r="V144" s="674"/>
      <c r="W144" s="512"/>
      <c r="X144" s="512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AI144" s="401"/>
      <c r="AJ144" s="401"/>
      <c r="AK144" s="401"/>
      <c r="AL144" s="401"/>
      <c r="AM144" s="401"/>
      <c r="AN144" s="401"/>
      <c r="AO144" s="401"/>
      <c r="AP144" s="401"/>
      <c r="AQ144" s="401"/>
      <c r="AR144" s="401"/>
      <c r="AS144" s="401"/>
      <c r="AT144" s="401"/>
      <c r="AU144" s="401"/>
      <c r="AV144" s="401"/>
      <c r="AW144" s="401"/>
      <c r="AX144" s="401"/>
      <c r="AY144" s="401"/>
      <c r="AZ144" s="401"/>
      <c r="BA144" s="401"/>
      <c r="BB144" s="401"/>
      <c r="BC144" s="401"/>
      <c r="BD144" s="429" t="str">
        <f>B131</f>
        <v>s.s.e.t.</v>
      </c>
      <c r="BE144" s="435" t="str">
        <f t="shared" ref="BE144:BL144" si="97">F134</f>
        <v>-</v>
      </c>
      <c r="BF144" s="435" t="str">
        <f t="shared" si="97"/>
        <v>-</v>
      </c>
      <c r="BG144" s="435" t="str">
        <f t="shared" si="97"/>
        <v>-</v>
      </c>
      <c r="BH144" s="435" t="str">
        <f t="shared" si="97"/>
        <v>-</v>
      </c>
      <c r="BI144" s="435" t="str">
        <f t="shared" si="97"/>
        <v>-</v>
      </c>
      <c r="BJ144" s="435" t="str">
        <f t="shared" si="97"/>
        <v>-</v>
      </c>
      <c r="BK144" s="435" t="str">
        <f t="shared" si="97"/>
        <v>-</v>
      </c>
      <c r="BL144" s="435" t="str">
        <f t="shared" si="97"/>
        <v>-</v>
      </c>
      <c r="BU144" s="401"/>
      <c r="BV144" s="401"/>
      <c r="BW144" s="401"/>
      <c r="BX144" s="401"/>
      <c r="BY144" s="401"/>
      <c r="BZ144" s="401"/>
    </row>
    <row r="145" spans="1:78" s="405" customFormat="1" ht="15" customHeight="1" outlineLevel="1" x14ac:dyDescent="0.25">
      <c r="A145" s="404"/>
      <c r="B145" s="721"/>
      <c r="C145" s="668"/>
      <c r="D145" s="510"/>
      <c r="E145" s="510"/>
      <c r="F145" s="510"/>
      <c r="G145" s="510"/>
      <c r="H145" s="510"/>
      <c r="I145" s="510"/>
      <c r="J145" s="510"/>
      <c r="K145" s="464"/>
      <c r="L145" s="464"/>
      <c r="M145" s="464"/>
      <c r="N145" s="468"/>
      <c r="O145" s="672"/>
      <c r="P145" s="673"/>
      <c r="Q145" s="673"/>
      <c r="R145" s="674"/>
      <c r="S145" s="672"/>
      <c r="T145" s="673"/>
      <c r="U145" s="673"/>
      <c r="V145" s="674"/>
      <c r="W145" s="512"/>
      <c r="X145" s="512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AI145" s="401"/>
      <c r="AJ145" s="401"/>
      <c r="AK145" s="401"/>
      <c r="AL145" s="401"/>
      <c r="AM145" s="401"/>
      <c r="AN145" s="401"/>
      <c r="AO145" s="401"/>
      <c r="AP145" s="401"/>
      <c r="AQ145" s="401"/>
      <c r="AR145" s="401"/>
      <c r="AS145" s="401"/>
      <c r="AT145" s="401"/>
      <c r="AU145" s="401"/>
      <c r="AV145" s="401"/>
      <c r="AW145" s="401"/>
      <c r="AX145" s="401"/>
      <c r="AY145" s="401"/>
      <c r="AZ145" s="401"/>
      <c r="BA145" s="401"/>
      <c r="BB145" s="401"/>
      <c r="BC145" s="401"/>
      <c r="BD145" s="429"/>
      <c r="BE145" s="435"/>
      <c r="BF145" s="435"/>
      <c r="BG145" s="435"/>
      <c r="BH145" s="435"/>
      <c r="BI145" s="435"/>
      <c r="BJ145" s="435"/>
      <c r="BK145" s="435"/>
      <c r="BL145" s="435"/>
      <c r="BU145" s="401"/>
      <c r="BV145" s="401"/>
      <c r="BW145" s="401"/>
      <c r="BX145" s="401"/>
      <c r="BY145" s="401"/>
      <c r="BZ145" s="401"/>
    </row>
    <row r="146" spans="1:78" s="405" customFormat="1" ht="15" customHeight="1" outlineLevel="1" x14ac:dyDescent="0.25">
      <c r="A146" s="404"/>
      <c r="B146" s="721"/>
      <c r="C146" s="668"/>
      <c r="D146" s="510"/>
      <c r="E146" s="510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512"/>
      <c r="X146" s="512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AI146" s="401"/>
      <c r="AJ146" s="401"/>
      <c r="AK146" s="401"/>
      <c r="AL146" s="401"/>
      <c r="AM146" s="401"/>
      <c r="AN146" s="401"/>
      <c r="AO146" s="401"/>
      <c r="AP146" s="401"/>
      <c r="AQ146" s="401"/>
      <c r="AR146" s="401"/>
      <c r="AS146" s="401"/>
      <c r="AT146" s="401"/>
      <c r="AU146" s="401"/>
      <c r="AV146" s="401"/>
      <c r="AW146" s="401"/>
      <c r="AX146" s="401"/>
      <c r="AY146" s="401"/>
      <c r="AZ146" s="401"/>
      <c r="BA146" s="401"/>
      <c r="BB146" s="401"/>
      <c r="BC146" s="401"/>
      <c r="BD146" s="429"/>
      <c r="BE146" s="435"/>
      <c r="BF146" s="435"/>
      <c r="BG146" s="435"/>
      <c r="BH146" s="435"/>
      <c r="BI146" s="435"/>
      <c r="BJ146" s="435"/>
      <c r="BK146" s="435"/>
      <c r="BL146" s="435"/>
      <c r="BU146" s="401"/>
      <c r="BV146" s="401"/>
      <c r="BW146" s="401"/>
      <c r="BX146" s="401"/>
      <c r="BY146" s="401"/>
      <c r="BZ146" s="401"/>
    </row>
    <row r="147" spans="1:78" s="405" customFormat="1" ht="15" customHeight="1" outlineLevel="1" x14ac:dyDescent="0.25">
      <c r="A147" s="404"/>
      <c r="B147" s="721"/>
      <c r="C147" s="668"/>
      <c r="D147" s="510"/>
      <c r="E147" s="510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512"/>
      <c r="X147" s="512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401"/>
      <c r="AJ147" s="401"/>
      <c r="AK147" s="401"/>
      <c r="AL147" s="401"/>
      <c r="AM147" s="401"/>
      <c r="AN147" s="401"/>
      <c r="AO147" s="401"/>
      <c r="AP147" s="401"/>
      <c r="AQ147" s="401"/>
      <c r="AR147" s="401"/>
      <c r="AS147" s="401"/>
      <c r="AT147" s="401"/>
      <c r="AU147" s="401"/>
      <c r="AV147" s="401"/>
      <c r="AW147" s="401"/>
      <c r="AX147" s="401"/>
      <c r="AY147" s="401"/>
      <c r="AZ147" s="401"/>
      <c r="BA147" s="401"/>
      <c r="BB147" s="401"/>
      <c r="BC147" s="401"/>
      <c r="BD147" s="429"/>
      <c r="BE147" s="435"/>
      <c r="BF147" s="435"/>
      <c r="BG147" s="435"/>
      <c r="BH147" s="435"/>
      <c r="BI147" s="435"/>
      <c r="BJ147" s="435"/>
      <c r="BK147" s="435"/>
      <c r="BL147" s="435"/>
      <c r="BU147" s="401"/>
      <c r="BV147" s="401"/>
      <c r="BW147" s="401"/>
      <c r="BX147" s="401"/>
      <c r="BY147" s="401"/>
      <c r="BZ147" s="401"/>
    </row>
    <row r="148" spans="1:78" s="405" customFormat="1" ht="15" customHeight="1" outlineLevel="1" x14ac:dyDescent="0.25">
      <c r="A148" s="404"/>
      <c r="B148" s="721"/>
      <c r="C148" s="668"/>
      <c r="D148" s="510"/>
      <c r="E148" s="510"/>
      <c r="F148" s="466"/>
      <c r="G148" s="466"/>
      <c r="H148" s="466"/>
      <c r="I148" s="466"/>
      <c r="J148" s="466"/>
      <c r="K148" s="464"/>
      <c r="L148" s="464"/>
      <c r="M148" s="464"/>
      <c r="N148" s="467"/>
      <c r="O148" s="672"/>
      <c r="P148" s="673"/>
      <c r="Q148" s="673"/>
      <c r="R148" s="674"/>
      <c r="S148" s="672"/>
      <c r="T148" s="673"/>
      <c r="U148" s="673"/>
      <c r="V148" s="674"/>
      <c r="W148" s="512"/>
      <c r="X148" s="512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401"/>
      <c r="AJ148" s="401"/>
      <c r="AK148" s="401"/>
      <c r="AL148" s="401"/>
      <c r="AM148" s="401"/>
      <c r="AN148" s="401"/>
      <c r="AO148" s="401"/>
      <c r="AP148" s="401"/>
      <c r="AQ148" s="401"/>
      <c r="AR148" s="401"/>
      <c r="AS148" s="401"/>
      <c r="AT148" s="401"/>
      <c r="AU148" s="401"/>
      <c r="AV148" s="401"/>
      <c r="AW148" s="401"/>
      <c r="AX148" s="401"/>
      <c r="AY148" s="401"/>
      <c r="AZ148" s="401"/>
      <c r="BA148" s="401"/>
      <c r="BB148" s="401"/>
      <c r="BC148" s="401"/>
      <c r="BD148" s="429" t="str">
        <f>"IEF " &amp;B131</f>
        <v>IEF s.s.e.t.</v>
      </c>
      <c r="BE148" s="435" t="str">
        <f t="shared" ref="BE148:BL148" si="98">IF(OR($C141="-",$C141="CET",$C141=""),"-",$C141)</f>
        <v>-</v>
      </c>
      <c r="BF148" s="435" t="str">
        <f t="shared" si="98"/>
        <v>-</v>
      </c>
      <c r="BG148" s="435" t="str">
        <f t="shared" si="98"/>
        <v>-</v>
      </c>
      <c r="BH148" s="435" t="str">
        <f t="shared" si="98"/>
        <v>-</v>
      </c>
      <c r="BI148" s="435" t="str">
        <f t="shared" si="98"/>
        <v>-</v>
      </c>
      <c r="BJ148" s="435" t="str">
        <f t="shared" si="98"/>
        <v>-</v>
      </c>
      <c r="BK148" s="435" t="str">
        <f t="shared" si="98"/>
        <v>-</v>
      </c>
      <c r="BL148" s="435" t="str">
        <f t="shared" si="98"/>
        <v>-</v>
      </c>
      <c r="BU148" s="401"/>
      <c r="BV148" s="401"/>
      <c r="BW148" s="401"/>
      <c r="BX148" s="401"/>
      <c r="BY148" s="401"/>
      <c r="BZ148" s="401"/>
    </row>
    <row r="149" spans="1:78" s="405" customFormat="1" outlineLevel="1" x14ac:dyDescent="0.25">
      <c r="A149" s="401"/>
      <c r="B149" s="721"/>
      <c r="C149" s="668"/>
      <c r="D149" s="510"/>
      <c r="E149" s="510"/>
      <c r="F149" s="466"/>
      <c r="G149" s="466"/>
      <c r="H149" s="466"/>
      <c r="I149" s="466"/>
      <c r="J149" s="466"/>
      <c r="K149" s="464"/>
      <c r="L149" s="464"/>
      <c r="M149" s="464"/>
      <c r="N149" s="467"/>
      <c r="O149" s="672"/>
      <c r="P149" s="673"/>
      <c r="Q149" s="673"/>
      <c r="R149" s="674"/>
      <c r="S149" s="672"/>
      <c r="T149" s="673"/>
      <c r="U149" s="673"/>
      <c r="V149" s="674"/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401"/>
      <c r="AL149" s="401"/>
      <c r="AM149" s="401"/>
      <c r="AN149" s="401"/>
      <c r="AO149" s="401"/>
      <c r="AP149" s="401"/>
      <c r="AQ149" s="401"/>
      <c r="AR149" s="401"/>
      <c r="AS149" s="401"/>
      <c r="AT149" s="401"/>
      <c r="AU149" s="401"/>
      <c r="AV149" s="401"/>
      <c r="AW149" s="401"/>
      <c r="AX149" s="401"/>
      <c r="AY149" s="401"/>
      <c r="AZ149" s="401"/>
      <c r="BA149" s="401"/>
      <c r="BB149" s="401"/>
      <c r="BC149" s="401"/>
      <c r="BD149" s="459"/>
      <c r="BE149" s="459"/>
      <c r="BF149" s="459"/>
      <c r="BG149" s="459"/>
      <c r="BH149" s="459"/>
      <c r="BI149" s="459"/>
      <c r="BJ149" s="459"/>
      <c r="BK149" s="459"/>
      <c r="BL149" s="459"/>
      <c r="BU149" s="401"/>
      <c r="BV149" s="401"/>
      <c r="BW149" s="401"/>
      <c r="BX149" s="401"/>
      <c r="BY149" s="401"/>
      <c r="BZ149" s="401"/>
    </row>
    <row r="150" spans="1:78" s="405" customFormat="1" ht="15.75" outlineLevel="1" thickBot="1" x14ac:dyDescent="0.3">
      <c r="A150" s="401"/>
      <c r="B150" s="722"/>
      <c r="C150" s="723"/>
      <c r="D150" s="516"/>
      <c r="E150" s="516"/>
      <c r="F150" s="516"/>
      <c r="G150" s="516"/>
      <c r="H150" s="516"/>
      <c r="I150" s="516"/>
      <c r="J150" s="516"/>
      <c r="K150" s="470"/>
      <c r="L150" s="470"/>
      <c r="M150" s="470"/>
      <c r="N150" s="471"/>
      <c r="O150" s="675"/>
      <c r="P150" s="676"/>
      <c r="Q150" s="676"/>
      <c r="R150" s="677"/>
      <c r="S150" s="675"/>
      <c r="T150" s="676"/>
      <c r="U150" s="676"/>
      <c r="V150" s="677"/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401"/>
      <c r="AL150" s="401"/>
      <c r="AM150" s="401"/>
      <c r="AN150" s="401"/>
      <c r="AO150" s="401"/>
      <c r="AP150" s="401"/>
      <c r="AQ150" s="401"/>
      <c r="AR150" s="401"/>
      <c r="AS150" s="401"/>
      <c r="AT150" s="401"/>
      <c r="AU150" s="401"/>
      <c r="AV150" s="401"/>
      <c r="AW150" s="401"/>
      <c r="AX150" s="401"/>
      <c r="AY150" s="401"/>
      <c r="AZ150" s="401"/>
      <c r="BA150" s="401"/>
      <c r="BB150" s="401"/>
      <c r="BC150" s="401"/>
      <c r="BD150" s="459"/>
      <c r="BE150" s="459"/>
      <c r="BF150" s="459"/>
      <c r="BG150" s="459"/>
      <c r="BH150" s="459"/>
      <c r="BI150" s="459"/>
      <c r="BJ150" s="459"/>
      <c r="BK150" s="459"/>
      <c r="BL150" s="459"/>
      <c r="BU150" s="401"/>
      <c r="BV150" s="401"/>
      <c r="BW150" s="401"/>
      <c r="BX150" s="401"/>
      <c r="BY150" s="401"/>
      <c r="BZ150" s="401"/>
    </row>
    <row r="151" spans="1:78" s="405" customFormat="1" ht="15" customHeight="1" x14ac:dyDescent="0.25">
      <c r="A151" s="396"/>
      <c r="B151" s="401"/>
      <c r="C151" s="401"/>
      <c r="D151" s="401"/>
      <c r="E151" s="401"/>
      <c r="F151" s="401"/>
      <c r="G151" s="401"/>
      <c r="H151" s="401"/>
      <c r="I151" s="401"/>
      <c r="J151" s="401"/>
      <c r="K151" s="458"/>
      <c r="L151" s="458"/>
      <c r="M151" s="458"/>
      <c r="N151" s="401"/>
      <c r="O151" s="401"/>
      <c r="P151" s="401"/>
      <c r="Q151" s="401"/>
      <c r="R151" s="401"/>
      <c r="S151" s="401"/>
      <c r="T151" s="401"/>
      <c r="U151" s="401"/>
      <c r="V151" s="401"/>
      <c r="W151" s="414"/>
      <c r="X151" s="414"/>
      <c r="Y151" s="414"/>
      <c r="Z151" s="414"/>
      <c r="AA151" s="414"/>
      <c r="AB151" s="414"/>
      <c r="AC151" s="414"/>
      <c r="AD151" s="414"/>
      <c r="AE151" s="414"/>
      <c r="AF151" s="414"/>
      <c r="AG151" s="414"/>
      <c r="AH151" s="414"/>
      <c r="AI151" s="401"/>
      <c r="AJ151" s="401"/>
      <c r="AK151" s="401"/>
      <c r="AL151" s="401"/>
      <c r="AM151" s="401"/>
      <c r="AN151" s="401"/>
      <c r="AO151" s="401"/>
      <c r="AP151" s="401"/>
      <c r="AQ151" s="401"/>
      <c r="AR151" s="401"/>
      <c r="AS151" s="401"/>
      <c r="AT151" s="401"/>
      <c r="AU151" s="401"/>
      <c r="AV151" s="401"/>
      <c r="AW151" s="401"/>
      <c r="AX151" s="401"/>
      <c r="AY151" s="401"/>
      <c r="AZ151" s="401"/>
      <c r="BA151" s="401"/>
      <c r="BB151" s="401"/>
      <c r="BC151" s="401"/>
      <c r="BU151" s="401"/>
      <c r="BV151" s="401"/>
      <c r="BW151" s="401"/>
      <c r="BX151" s="401"/>
      <c r="BY151" s="401"/>
      <c r="BZ151" s="401"/>
    </row>
    <row r="152" spans="1:78" s="405" customFormat="1" ht="15" customHeight="1" x14ac:dyDescent="0.25">
      <c r="A152" s="396"/>
      <c r="B152" s="401"/>
      <c r="C152" s="401"/>
      <c r="D152" s="401"/>
      <c r="E152" s="401"/>
      <c r="F152" s="401"/>
      <c r="G152" s="401"/>
      <c r="H152" s="401"/>
      <c r="I152" s="401"/>
      <c r="J152" s="401"/>
      <c r="K152" s="458"/>
      <c r="L152" s="458"/>
      <c r="M152" s="458"/>
      <c r="N152" s="401"/>
      <c r="O152" s="401"/>
      <c r="P152" s="401"/>
      <c r="Q152" s="401"/>
      <c r="R152" s="401"/>
      <c r="S152" s="401"/>
      <c r="T152" s="401"/>
      <c r="U152" s="401"/>
      <c r="V152" s="401"/>
      <c r="W152" s="414"/>
      <c r="X152" s="414"/>
      <c r="Y152" s="414"/>
      <c r="Z152" s="414"/>
      <c r="AA152" s="414"/>
      <c r="AB152" s="414"/>
      <c r="AC152" s="414"/>
      <c r="AD152" s="414"/>
      <c r="AE152" s="414"/>
      <c r="AF152" s="414"/>
      <c r="AG152" s="414"/>
      <c r="AH152" s="414"/>
      <c r="AI152" s="401"/>
      <c r="AJ152" s="401"/>
      <c r="AK152" s="401"/>
      <c r="AL152" s="401"/>
      <c r="AM152" s="401"/>
      <c r="AN152" s="401"/>
      <c r="AO152" s="401"/>
      <c r="AP152" s="401"/>
      <c r="AQ152" s="401"/>
      <c r="AR152" s="401"/>
      <c r="AS152" s="401"/>
      <c r="AT152" s="401"/>
      <c r="AU152" s="401"/>
      <c r="AV152" s="401"/>
      <c r="AW152" s="401"/>
      <c r="AX152" s="401"/>
      <c r="AY152" s="401"/>
      <c r="AZ152" s="401"/>
      <c r="BA152" s="401"/>
      <c r="BB152" s="401"/>
      <c r="BC152" s="401"/>
      <c r="BU152" s="401"/>
      <c r="BV152" s="401"/>
      <c r="BW152" s="401"/>
      <c r="BX152" s="401"/>
      <c r="BY152" s="401"/>
      <c r="BZ152" s="401"/>
    </row>
    <row r="153" spans="1:78" s="405" customFormat="1" ht="15" customHeight="1" thickBot="1" x14ac:dyDescent="0.3">
      <c r="A153" s="396"/>
      <c r="B153" s="401"/>
      <c r="C153" s="401"/>
      <c r="D153" s="401"/>
      <c r="E153" s="401"/>
      <c r="F153" s="401"/>
      <c r="G153" s="401"/>
      <c r="H153" s="401"/>
      <c r="I153" s="401"/>
      <c r="J153" s="401"/>
      <c r="K153" s="458"/>
      <c r="L153" s="458"/>
      <c r="M153" s="458"/>
      <c r="N153" s="401"/>
      <c r="O153" s="401"/>
      <c r="P153" s="401"/>
      <c r="Q153" s="401"/>
      <c r="R153" s="401"/>
      <c r="S153" s="401"/>
      <c r="T153" s="401"/>
      <c r="U153" s="401"/>
      <c r="V153" s="401"/>
      <c r="W153" s="414"/>
      <c r="X153" s="414"/>
      <c r="Y153" s="414"/>
      <c r="Z153" s="414"/>
      <c r="AA153" s="414"/>
      <c r="AB153" s="414"/>
      <c r="AC153" s="414"/>
      <c r="AD153" s="414"/>
      <c r="AE153" s="414"/>
      <c r="AF153" s="414"/>
      <c r="AG153" s="414"/>
      <c r="AH153" s="414"/>
      <c r="AI153" s="401"/>
      <c r="AJ153" s="401"/>
      <c r="AK153" s="401"/>
      <c r="AL153" s="401"/>
      <c r="AM153" s="401"/>
      <c r="AN153" s="401"/>
      <c r="AO153" s="401"/>
      <c r="AP153" s="401"/>
      <c r="AQ153" s="401"/>
      <c r="AR153" s="401"/>
      <c r="AS153" s="401"/>
      <c r="AT153" s="401"/>
      <c r="AU153" s="401"/>
      <c r="AV153" s="401"/>
      <c r="AW153" s="401"/>
      <c r="AX153" s="401"/>
      <c r="AY153" s="401"/>
      <c r="AZ153" s="401"/>
      <c r="BA153" s="401"/>
      <c r="BB153" s="401"/>
      <c r="BC153" s="401"/>
      <c r="BU153" s="401"/>
      <c r="BV153" s="401"/>
      <c r="BW153" s="401"/>
      <c r="BX153" s="401"/>
      <c r="BY153" s="401"/>
      <c r="BZ153" s="401"/>
    </row>
    <row r="154" spans="1:78" s="405" customFormat="1" ht="24.95" customHeight="1" thickBot="1" x14ac:dyDescent="0.3">
      <c r="A154" s="396"/>
      <c r="B154" s="415">
        <v>6</v>
      </c>
      <c r="C154" s="706" t="s">
        <v>118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117</v>
      </c>
      <c r="P154" s="398" t="str">
        <f>IF(COUNTIF(F162:M167,"refused")&gt;0,"refused",IF(COUNTIF(F162:M167,"failed")&gt;0,"failed",IF(COUNTIF(F162:M167,"passed")&gt;0,"passed","-")))</f>
        <v>-</v>
      </c>
      <c r="Q154" s="399" t="s">
        <v>80</v>
      </c>
      <c r="R154" s="399" t="str">
        <f>IF(COUNT(F158:M159,F163:M164)&gt;0,"listed","not listed")</f>
        <v>not listed</v>
      </c>
      <c r="S154" s="511"/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AI154" s="401"/>
      <c r="AJ154" s="401"/>
      <c r="AK154" s="401"/>
      <c r="AL154" s="401"/>
      <c r="AM154" s="401"/>
      <c r="AN154" s="401"/>
      <c r="AO154" s="401"/>
      <c r="AP154" s="401"/>
      <c r="AQ154" s="401"/>
      <c r="AR154" s="401"/>
      <c r="AS154" s="401"/>
      <c r="AT154" s="401"/>
      <c r="AU154" s="401"/>
      <c r="AV154" s="401"/>
      <c r="AW154" s="401"/>
      <c r="AX154" s="401"/>
      <c r="AY154" s="401"/>
      <c r="AZ154" s="401"/>
      <c r="BA154" s="401"/>
      <c r="BB154" s="401"/>
      <c r="BC154" s="401"/>
      <c r="BU154" s="401"/>
      <c r="BV154" s="401"/>
      <c r="BW154" s="401"/>
      <c r="BX154" s="401"/>
      <c r="BY154" s="401"/>
      <c r="BZ154" s="401"/>
    </row>
    <row r="155" spans="1:78" s="405" customFormat="1" ht="15" customHeight="1" outlineLevel="1" thickBot="1" x14ac:dyDescent="0.3">
      <c r="A155" s="396"/>
      <c r="B155" s="513"/>
      <c r="C155" s="514"/>
      <c r="D155" s="514"/>
      <c r="E155" s="514"/>
      <c r="F155" s="514"/>
      <c r="G155" s="514"/>
      <c r="H155" s="514"/>
      <c r="I155" s="514"/>
      <c r="J155" s="514"/>
      <c r="K155" s="421"/>
      <c r="L155" s="421"/>
      <c r="M155" s="421"/>
      <c r="N155" s="514"/>
      <c r="O155" s="514"/>
      <c r="P155" s="514"/>
      <c r="Q155" s="514"/>
      <c r="R155" s="514"/>
      <c r="S155" s="514"/>
      <c r="T155" s="422"/>
      <c r="U155" s="422"/>
      <c r="V155" s="423"/>
      <c r="W155" s="512"/>
      <c r="X155" s="512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AI155" s="401"/>
      <c r="AJ155" s="401"/>
      <c r="AK155" s="401"/>
      <c r="AL155" s="401"/>
      <c r="AM155" s="401"/>
      <c r="AN155" s="401"/>
      <c r="AO155" s="401"/>
      <c r="AP155" s="401"/>
      <c r="AQ155" s="401"/>
      <c r="AR155" s="401"/>
      <c r="AS155" s="401"/>
      <c r="AT155" s="401"/>
      <c r="AU155" s="401"/>
      <c r="AV155" s="401"/>
      <c r="AW155" s="401"/>
      <c r="AX155" s="401"/>
      <c r="AY155" s="401"/>
      <c r="AZ155" s="401"/>
      <c r="BA155" s="401"/>
      <c r="BB155" s="401"/>
      <c r="BC155" s="401"/>
      <c r="BD155" s="429" t="s">
        <v>85</v>
      </c>
      <c r="BE155" s="430" t="s">
        <v>86</v>
      </c>
      <c r="BF155" s="430" t="s">
        <v>87</v>
      </c>
      <c r="BG155" s="430" t="s">
        <v>88</v>
      </c>
      <c r="BH155" s="430" t="s">
        <v>89</v>
      </c>
      <c r="BI155" s="430" t="s">
        <v>90</v>
      </c>
      <c r="BJ155" s="430" t="s">
        <v>91</v>
      </c>
      <c r="BK155" s="430" t="s">
        <v>91</v>
      </c>
      <c r="BL155" s="430" t="s">
        <v>91</v>
      </c>
      <c r="BU155" s="401"/>
      <c r="BV155" s="401"/>
      <c r="BW155" s="401"/>
      <c r="BX155" s="401"/>
      <c r="BY155" s="401"/>
      <c r="BZ155" s="401"/>
    </row>
    <row r="156" spans="1:78" s="405" customFormat="1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512"/>
      <c r="X156" s="512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401"/>
      <c r="AJ156" s="401"/>
      <c r="AK156" s="401"/>
      <c r="AL156" s="401"/>
      <c r="AM156" s="401"/>
      <c r="AN156" s="401"/>
      <c r="AO156" s="401"/>
      <c r="AP156" s="401"/>
      <c r="AQ156" s="401"/>
      <c r="AR156" s="401"/>
      <c r="AS156" s="401"/>
      <c r="AT156" s="401"/>
      <c r="AU156" s="401"/>
      <c r="AV156" s="401"/>
      <c r="AW156" s="401"/>
      <c r="AX156" s="401"/>
      <c r="AY156" s="401"/>
      <c r="AZ156" s="401"/>
      <c r="BA156" s="401"/>
      <c r="BB156" s="401"/>
      <c r="BC156" s="401"/>
      <c r="BD156" s="429">
        <f>$E$4</f>
        <v>0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2</v>
      </c>
      <c r="BL156" s="435">
        <v>3</v>
      </c>
      <c r="BU156" s="401"/>
      <c r="BV156" s="401"/>
      <c r="BW156" s="401"/>
      <c r="BX156" s="401"/>
      <c r="BY156" s="401"/>
      <c r="BZ156" s="401"/>
    </row>
    <row r="157" spans="1:78" s="405" customFormat="1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">
        <v>72</v>
      </c>
      <c r="G157" s="517" t="s">
        <v>73</v>
      </c>
      <c r="H157" s="425" t="s">
        <v>74</v>
      </c>
      <c r="I157" s="425" t="s">
        <v>75</v>
      </c>
      <c r="J157" s="425" t="s">
        <v>76</v>
      </c>
      <c r="K157" s="534" t="s">
        <v>170</v>
      </c>
      <c r="L157" s="535" t="str">
        <f>$L$4</f>
        <v>Additional
component</v>
      </c>
      <c r="M157" s="535" t="str">
        <f>$M$4</f>
        <v>Additional
component 2</v>
      </c>
      <c r="N157" s="425" t="s">
        <v>77</v>
      </c>
      <c r="O157" s="669"/>
      <c r="P157" s="670"/>
      <c r="Q157" s="670"/>
      <c r="R157" s="671"/>
      <c r="S157" s="669"/>
      <c r="T157" s="670"/>
      <c r="U157" s="670"/>
      <c r="V157" s="671"/>
      <c r="W157" s="512"/>
      <c r="X157" s="512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401"/>
      <c r="AJ157" s="401"/>
      <c r="AK157" s="401"/>
      <c r="AL157" s="401"/>
      <c r="AM157" s="401"/>
      <c r="AN157" s="401"/>
      <c r="AO157" s="401"/>
      <c r="AP157" s="401"/>
      <c r="AQ157" s="401"/>
      <c r="AR157" s="401"/>
      <c r="AS157" s="401"/>
      <c r="AT157" s="401"/>
      <c r="AU157" s="401"/>
      <c r="AV157" s="401"/>
      <c r="AW157" s="401"/>
      <c r="AX157" s="401"/>
      <c r="AY157" s="401"/>
      <c r="AZ157" s="401"/>
      <c r="BA157" s="401"/>
      <c r="BB157" s="401"/>
      <c r="BC157" s="536"/>
      <c r="BD157" s="429" t="str">
        <f>"1st " &amp;  B158</f>
        <v>1st normal</v>
      </c>
      <c r="BE157" s="435" t="str">
        <f t="shared" ref="BE157:BL157" si="99">IF((OR($C160="-",$C160="CET",$C160="")),"-",IF(AND(OR(F158="-",F158=""),OR(F159="-",F159="")),"-",IF(NOT(OR(F158="-",F158="")),F158/F$5,F159/F$5)))</f>
        <v>-</v>
      </c>
      <c r="BF157" s="435" t="str">
        <f t="shared" si="99"/>
        <v>-</v>
      </c>
      <c r="BG157" s="435" t="str">
        <f t="shared" si="99"/>
        <v>-</v>
      </c>
      <c r="BH157" s="435" t="str">
        <f t="shared" si="99"/>
        <v>-</v>
      </c>
      <c r="BI157" s="435" t="str">
        <f t="shared" si="99"/>
        <v>-</v>
      </c>
      <c r="BJ157" s="435" t="str">
        <f t="shared" si="99"/>
        <v>-</v>
      </c>
      <c r="BK157" s="435" t="str">
        <f t="shared" si="99"/>
        <v>-</v>
      </c>
      <c r="BL157" s="435" t="str">
        <f t="shared" si="99"/>
        <v>-</v>
      </c>
      <c r="BU157" s="401"/>
      <c r="BV157" s="401"/>
      <c r="BW157" s="401"/>
      <c r="BX157" s="401"/>
      <c r="BY157" s="401"/>
      <c r="BZ157" s="401"/>
    </row>
    <row r="158" spans="1:78" s="405" customFormat="1" ht="15" customHeight="1" outlineLevel="1" x14ac:dyDescent="0.25">
      <c r="A158" s="439"/>
      <c r="B158" s="724" t="s">
        <v>116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4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536"/>
      <c r="BD158" s="429" t="str">
        <f>"1st " &amp; B163</f>
        <v>1st aggressive</v>
      </c>
      <c r="BE158" s="435" t="str">
        <f t="shared" ref="BE158:BL158" si="100">IF((OR($C165="-",$C165="CET",$C165="")),"-",IF(AND(OR(F163="-",F163=""),OR(F164="-",F164="")),"-",IF(NOT(OR(F163="-",F163="")),F163/F$5,F164/F$5)))</f>
        <v>-</v>
      </c>
      <c r="BF158" s="435" t="str">
        <f t="shared" si="100"/>
        <v>-</v>
      </c>
      <c r="BG158" s="435" t="str">
        <f t="shared" si="100"/>
        <v>-</v>
      </c>
      <c r="BH158" s="435" t="str">
        <f t="shared" si="100"/>
        <v>-</v>
      </c>
      <c r="BI158" s="435" t="str">
        <f t="shared" si="100"/>
        <v>-</v>
      </c>
      <c r="BJ158" s="435" t="str">
        <f t="shared" si="100"/>
        <v>-</v>
      </c>
      <c r="BK158" s="435" t="str">
        <f t="shared" si="100"/>
        <v>-</v>
      </c>
      <c r="BL158" s="435" t="str">
        <f t="shared" si="100"/>
        <v>-</v>
      </c>
    </row>
    <row r="159" spans="1:78" s="405" customFormat="1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4"/>
      <c r="S159" s="672"/>
      <c r="T159" s="673"/>
      <c r="U159" s="673"/>
      <c r="V159" s="674"/>
      <c r="W159" s="512"/>
      <c r="X159" s="512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AI159" s="401"/>
      <c r="AJ159" s="401"/>
      <c r="AK159" s="401"/>
      <c r="AL159" s="401"/>
      <c r="AM159" s="401"/>
      <c r="AN159" s="401"/>
      <c r="AO159" s="401"/>
      <c r="AP159" s="401"/>
      <c r="AQ159" s="401"/>
      <c r="AR159" s="401"/>
      <c r="AS159" s="401"/>
      <c r="AT159" s="401"/>
      <c r="AU159" s="401"/>
      <c r="AV159" s="401"/>
      <c r="AW159" s="401"/>
      <c r="AX159" s="401"/>
      <c r="AY159" s="401"/>
      <c r="AZ159" s="401"/>
      <c r="BA159" s="401"/>
      <c r="BB159" s="401"/>
      <c r="BC159" s="536"/>
      <c r="BD159" s="429"/>
      <c r="BE159" s="435"/>
      <c r="BF159" s="435"/>
      <c r="BG159" s="435"/>
      <c r="BH159" s="435"/>
      <c r="BI159" s="435"/>
      <c r="BJ159" s="435"/>
      <c r="BK159" s="435"/>
      <c r="BL159" s="435"/>
      <c r="BU159" s="401"/>
      <c r="BV159" s="401"/>
      <c r="BW159" s="401"/>
      <c r="BX159" s="401"/>
      <c r="BY159" s="401"/>
      <c r="BZ159" s="401"/>
    </row>
    <row r="160" spans="1:78" s="405" customFormat="1" ht="15" customHeight="1" outlineLevel="1" thickBot="1" x14ac:dyDescent="0.3">
      <c r="A160" s="396"/>
      <c r="B160" s="725"/>
      <c r="C160" s="686">
        <v>2</v>
      </c>
      <c r="D160" s="689" t="str">
        <f>IF(AND(F160="-",G160="-",H160="-",I160="-",J160="-",K160="-",L160="-",M160="-"),"-",MAX(F160,G160,H160,I160,J160,K160,L160,M160))</f>
        <v>-</v>
      </c>
      <c r="E160" s="444" t="s">
        <v>177</v>
      </c>
      <c r="F160" s="445" t="str">
        <f t="shared" ref="F160:M160" si="101">IF(OR(F159="-",F159=""),IF(OR(F158="-",F158=""),"-",F158),IF(OR(F158="-",F158=""),F159,(F158+F159)/2))</f>
        <v>-</v>
      </c>
      <c r="G160" s="445" t="str">
        <f t="shared" si="101"/>
        <v>-</v>
      </c>
      <c r="H160" s="445" t="str">
        <f t="shared" si="101"/>
        <v>-</v>
      </c>
      <c r="I160" s="445" t="str">
        <f t="shared" si="101"/>
        <v>-</v>
      </c>
      <c r="J160" s="445" t="str">
        <f t="shared" si="101"/>
        <v>-</v>
      </c>
      <c r="K160" s="446" t="str">
        <f t="shared" si="101"/>
        <v>-</v>
      </c>
      <c r="L160" s="446" t="str">
        <f t="shared" si="101"/>
        <v>-</v>
      </c>
      <c r="M160" s="446" t="str">
        <f t="shared" si="101"/>
        <v>-</v>
      </c>
      <c r="N160" s="828"/>
      <c r="O160" s="672"/>
      <c r="P160" s="673"/>
      <c r="Q160" s="673"/>
      <c r="R160" s="674"/>
      <c r="S160" s="672"/>
      <c r="T160" s="673"/>
      <c r="U160" s="673"/>
      <c r="V160" s="674"/>
      <c r="W160" s="512"/>
      <c r="X160" s="512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AI160" s="401"/>
      <c r="AJ160" s="401"/>
      <c r="AK160" s="401"/>
      <c r="AL160" s="401"/>
      <c r="AM160" s="401"/>
      <c r="AN160" s="401"/>
      <c r="AO160" s="401"/>
      <c r="AP160" s="401"/>
      <c r="AQ160" s="401"/>
      <c r="AR160" s="401"/>
      <c r="AS160" s="401"/>
      <c r="AT160" s="401"/>
      <c r="AU160" s="401"/>
      <c r="AV160" s="401"/>
      <c r="AW160" s="401"/>
      <c r="AX160" s="401"/>
      <c r="AY160" s="401"/>
      <c r="AZ160" s="401"/>
      <c r="BA160" s="401"/>
      <c r="BB160" s="401"/>
      <c r="BC160" s="536"/>
      <c r="BD160" s="429"/>
      <c r="BE160" s="435"/>
      <c r="BF160" s="435"/>
      <c r="BG160" s="435"/>
      <c r="BH160" s="435"/>
      <c r="BI160" s="435"/>
      <c r="BJ160" s="435"/>
      <c r="BK160" s="435"/>
      <c r="BL160" s="435"/>
      <c r="BU160" s="401"/>
      <c r="BV160" s="401"/>
      <c r="BW160" s="401"/>
      <c r="BX160" s="401"/>
      <c r="BY160" s="401"/>
      <c r="BZ160" s="401"/>
    </row>
    <row r="161" spans="1:78" s="405" customFormat="1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e">
        <f t="shared" ref="F161:M161" si="102">IF(OR($C160="-",$C160="CET",$C160=""),"-",IF(AND(NOT(F160="-"),NOT(F$5="-"),NOT(F$5="")),F160/F$5,"-"))</f>
        <v>#N/A</v>
      </c>
      <c r="G161" s="448" t="e">
        <f t="shared" si="102"/>
        <v>#N/A</v>
      </c>
      <c r="H161" s="448" t="e">
        <f t="shared" si="102"/>
        <v>#N/A</v>
      </c>
      <c r="I161" s="448" t="e">
        <f t="shared" si="102"/>
        <v>#N/A</v>
      </c>
      <c r="J161" s="448" t="e">
        <f t="shared" si="102"/>
        <v>#N/A</v>
      </c>
      <c r="K161" s="449" t="e">
        <f t="shared" si="102"/>
        <v>#N/A</v>
      </c>
      <c r="L161" s="449" t="e">
        <f t="shared" si="102"/>
        <v>#N/A</v>
      </c>
      <c r="M161" s="449" t="e">
        <f t="shared" si="102"/>
        <v>#N/A</v>
      </c>
      <c r="N161" s="702"/>
      <c r="O161" s="672"/>
      <c r="P161" s="673"/>
      <c r="Q161" s="673"/>
      <c r="R161" s="674"/>
      <c r="S161" s="672"/>
      <c r="T161" s="673"/>
      <c r="U161" s="673"/>
      <c r="V161" s="674"/>
      <c r="W161" s="512"/>
      <c r="X161" s="512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AI161" s="401"/>
      <c r="AJ161" s="401"/>
      <c r="AK161" s="401"/>
      <c r="AL161" s="401"/>
      <c r="AM161" s="401"/>
      <c r="AN161" s="401"/>
      <c r="AO161" s="401"/>
      <c r="AP161" s="401"/>
      <c r="AQ161" s="401"/>
      <c r="AR161" s="401"/>
      <c r="AS161" s="401"/>
      <c r="AT161" s="401"/>
      <c r="AU161" s="401"/>
      <c r="AV161" s="401"/>
      <c r="AW161" s="401"/>
      <c r="AX161" s="401"/>
      <c r="AY161" s="401"/>
      <c r="AZ161" s="401"/>
      <c r="BA161" s="401"/>
      <c r="BB161" s="401"/>
      <c r="BC161" s="536"/>
      <c r="BD161" s="429"/>
      <c r="BE161" s="435"/>
      <c r="BF161" s="435"/>
      <c r="BG161" s="435"/>
      <c r="BH161" s="435"/>
      <c r="BI161" s="435"/>
      <c r="BJ161" s="435"/>
      <c r="BK161" s="435"/>
      <c r="BL161" s="435"/>
      <c r="BU161" s="401"/>
      <c r="BV161" s="401"/>
      <c r="BW161" s="401"/>
      <c r="BX161" s="401"/>
      <c r="BY161" s="401"/>
      <c r="BZ161" s="401"/>
    </row>
    <row r="162" spans="1:78" s="405" customFormat="1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M162" si="103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103"/>
        <v>-</v>
      </c>
      <c r="H162" s="451" t="str">
        <f t="shared" si="103"/>
        <v>-</v>
      </c>
      <c r="I162" s="451" t="str">
        <f t="shared" si="103"/>
        <v>-</v>
      </c>
      <c r="J162" s="451" t="str">
        <f t="shared" si="103"/>
        <v>-</v>
      </c>
      <c r="K162" s="452" t="str">
        <f t="shared" si="103"/>
        <v>-</v>
      </c>
      <c r="L162" s="452" t="str">
        <f t="shared" si="103"/>
        <v>-</v>
      </c>
      <c r="M162" s="452" t="str">
        <f t="shared" si="103"/>
        <v>-</v>
      </c>
      <c r="N162" s="685"/>
      <c r="O162" s="672"/>
      <c r="P162" s="673"/>
      <c r="Q162" s="673"/>
      <c r="R162" s="674"/>
      <c r="S162" s="672"/>
      <c r="T162" s="673"/>
      <c r="U162" s="673"/>
      <c r="V162" s="674"/>
      <c r="W162" s="512"/>
      <c r="X162" s="512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401"/>
      <c r="AJ162" s="401"/>
      <c r="AK162" s="401"/>
      <c r="AL162" s="401"/>
      <c r="AM162" s="401"/>
      <c r="AN162" s="401"/>
      <c r="AO162" s="401"/>
      <c r="AP162" s="401"/>
      <c r="AQ162" s="401"/>
      <c r="AR162" s="401"/>
      <c r="AS162" s="401"/>
      <c r="AT162" s="401"/>
      <c r="AU162" s="401"/>
      <c r="AV162" s="401"/>
      <c r="AW162" s="401"/>
      <c r="AX162" s="401"/>
      <c r="AY162" s="401"/>
      <c r="AZ162" s="401"/>
      <c r="BA162" s="401"/>
      <c r="BB162" s="401"/>
      <c r="BC162" s="399" t="str">
        <f>IF(COUNTIF(F162:M162,"refused")&gt;0,"refused",IF(COUNTIF(F162:M162,"failed")&gt;0,"failed",IF(COUNTIF(F162:M162,"passed")&gt;0,"passed","-")))</f>
        <v>-</v>
      </c>
      <c r="BD162" s="429"/>
      <c r="BE162" s="435"/>
      <c r="BF162" s="435"/>
      <c r="BG162" s="435"/>
      <c r="BH162" s="435"/>
      <c r="BI162" s="435"/>
      <c r="BJ162" s="435"/>
      <c r="BK162" s="435"/>
      <c r="BL162" s="435"/>
      <c r="BU162" s="401"/>
      <c r="BV162" s="401"/>
      <c r="BW162" s="401"/>
      <c r="BX162" s="401"/>
      <c r="BY162" s="401"/>
      <c r="BZ162" s="401"/>
    </row>
    <row r="163" spans="1:78" s="405" customFormat="1" ht="15" customHeight="1" outlineLevel="1" x14ac:dyDescent="0.25">
      <c r="A163" s="439"/>
      <c r="B163" s="724" t="s">
        <v>115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4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536"/>
      <c r="BD163" s="429" t="str">
        <f>"0.7*IEF " &amp; (B158)</f>
        <v>0.7*IEF normal</v>
      </c>
      <c r="BE163" s="435">
        <f t="shared" ref="BE163:BL163" si="104">IF(OR($C160="-",$C160="CET",$C160=""),"-",0.7*$C160)</f>
        <v>1.4</v>
      </c>
      <c r="BF163" s="435">
        <f t="shared" si="104"/>
        <v>1.4</v>
      </c>
      <c r="BG163" s="435">
        <f t="shared" si="104"/>
        <v>1.4</v>
      </c>
      <c r="BH163" s="435">
        <f t="shared" si="104"/>
        <v>1.4</v>
      </c>
      <c r="BI163" s="435">
        <f t="shared" si="104"/>
        <v>1.4</v>
      </c>
      <c r="BJ163" s="435">
        <f t="shared" si="104"/>
        <v>1.4</v>
      </c>
      <c r="BK163" s="435">
        <f t="shared" si="104"/>
        <v>1.4</v>
      </c>
      <c r="BL163" s="435">
        <f t="shared" si="104"/>
        <v>1.4</v>
      </c>
    </row>
    <row r="164" spans="1:78" s="405" customFormat="1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4"/>
      <c r="S164" s="672"/>
      <c r="T164" s="673"/>
      <c r="U164" s="673"/>
      <c r="V164" s="674"/>
      <c r="W164" s="512"/>
      <c r="X164" s="512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AI164" s="401"/>
      <c r="AJ164" s="401"/>
      <c r="AK164" s="401"/>
      <c r="AL164" s="401"/>
      <c r="AM164" s="401"/>
      <c r="AN164" s="401"/>
      <c r="AO164" s="401"/>
      <c r="AP164" s="401"/>
      <c r="AQ164" s="401"/>
      <c r="AR164" s="401"/>
      <c r="AS164" s="401"/>
      <c r="AT164" s="401"/>
      <c r="AU164" s="401"/>
      <c r="AV164" s="401"/>
      <c r="AW164" s="401"/>
      <c r="AX164" s="401"/>
      <c r="AY164" s="401"/>
      <c r="AZ164" s="401"/>
      <c r="BA164" s="401"/>
      <c r="BB164" s="401"/>
      <c r="BC164" s="536"/>
      <c r="BD164" s="429" t="str">
        <f>"0.7*IEF " &amp; B163</f>
        <v>0.7*IEF aggressive</v>
      </c>
      <c r="BE164" s="435">
        <f t="shared" ref="BE164:BL164" si="105">IF(OR($C165="-",$C165="CET",$C165=""),"-",0.7*$C165)</f>
        <v>2.8</v>
      </c>
      <c r="BF164" s="435">
        <f t="shared" si="105"/>
        <v>2.8</v>
      </c>
      <c r="BG164" s="435">
        <f t="shared" si="105"/>
        <v>2.8</v>
      </c>
      <c r="BH164" s="435">
        <f t="shared" si="105"/>
        <v>2.8</v>
      </c>
      <c r="BI164" s="435">
        <f t="shared" si="105"/>
        <v>2.8</v>
      </c>
      <c r="BJ164" s="435">
        <f t="shared" si="105"/>
        <v>2.8</v>
      </c>
      <c r="BK164" s="435">
        <f t="shared" si="105"/>
        <v>2.8</v>
      </c>
      <c r="BL164" s="435">
        <f t="shared" si="105"/>
        <v>2.8</v>
      </c>
      <c r="BU164" s="401"/>
      <c r="BV164" s="401"/>
      <c r="BW164" s="401"/>
      <c r="BX164" s="401"/>
      <c r="BY164" s="401"/>
      <c r="BZ164" s="401"/>
    </row>
    <row r="165" spans="1:78" s="405" customFormat="1" ht="15" customHeight="1" outlineLevel="1" thickBot="1" x14ac:dyDescent="0.3">
      <c r="A165" s="396"/>
      <c r="B165" s="725"/>
      <c r="C165" s="686">
        <v>4</v>
      </c>
      <c r="D165" s="689" t="str">
        <f>IF(AND(F165="-",G165="-",H165="-",I165="-",J165="-",K165="-",L165="-",M165="-"),"-",MAX(F165,G165,H165,I165,J165,K165,L165,M165))</f>
        <v>-</v>
      </c>
      <c r="E165" s="444" t="s">
        <v>177</v>
      </c>
      <c r="F165" s="445" t="str">
        <f t="shared" ref="F165:M165" si="106">IF(OR(F164="-",F164=""),IF(OR(F163="-",F163=""),"-",F163),IF(OR(F163="-",F163=""),F164,(F163+F164)/2))</f>
        <v>-</v>
      </c>
      <c r="G165" s="445" t="str">
        <f t="shared" si="106"/>
        <v>-</v>
      </c>
      <c r="H165" s="445" t="str">
        <f t="shared" si="106"/>
        <v>-</v>
      </c>
      <c r="I165" s="445" t="str">
        <f t="shared" si="106"/>
        <v>-</v>
      </c>
      <c r="J165" s="445" t="str">
        <f t="shared" si="106"/>
        <v>-</v>
      </c>
      <c r="K165" s="446" t="str">
        <f t="shared" si="106"/>
        <v>-</v>
      </c>
      <c r="L165" s="446" t="str">
        <f t="shared" si="106"/>
        <v>-</v>
      </c>
      <c r="M165" s="446" t="str">
        <f t="shared" si="106"/>
        <v>-</v>
      </c>
      <c r="N165" s="828"/>
      <c r="O165" s="672"/>
      <c r="P165" s="673"/>
      <c r="Q165" s="673"/>
      <c r="R165" s="674"/>
      <c r="S165" s="672"/>
      <c r="T165" s="673"/>
      <c r="U165" s="673"/>
      <c r="V165" s="674"/>
      <c r="W165" s="512"/>
      <c r="X165" s="512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AI165" s="401"/>
      <c r="AJ165" s="401"/>
      <c r="AK165" s="401"/>
      <c r="AL165" s="401"/>
      <c r="AM165" s="401"/>
      <c r="AN165" s="401"/>
      <c r="AO165" s="401"/>
      <c r="AP165" s="401"/>
      <c r="AQ165" s="401"/>
      <c r="AR165" s="401"/>
      <c r="AS165" s="401"/>
      <c r="AT165" s="401"/>
      <c r="AU165" s="401"/>
      <c r="AV165" s="401"/>
      <c r="AW165" s="401"/>
      <c r="AX165" s="401"/>
      <c r="AY165" s="401"/>
      <c r="AZ165" s="401"/>
      <c r="BA165" s="401"/>
      <c r="BB165" s="401"/>
      <c r="BC165" s="536"/>
      <c r="BD165" s="429"/>
      <c r="BE165" s="435"/>
      <c r="BF165" s="435"/>
      <c r="BG165" s="435"/>
      <c r="BH165" s="435"/>
      <c r="BI165" s="435"/>
      <c r="BJ165" s="435"/>
      <c r="BK165" s="435"/>
      <c r="BL165" s="435"/>
      <c r="BU165" s="401"/>
      <c r="BV165" s="401"/>
      <c r="BW165" s="401"/>
      <c r="BX165" s="401"/>
      <c r="BY165" s="401"/>
      <c r="BZ165" s="401"/>
    </row>
    <row r="166" spans="1:78" s="405" customFormat="1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e">
        <f t="shared" ref="F166:M166" si="107">IF(OR($C165="-",$C165="CET",$C165=""),"-",IF(AND(NOT(F165="-"),NOT(F$5="-"),NOT(F$5="")),F165/F$5,"-"))</f>
        <v>#N/A</v>
      </c>
      <c r="G166" s="448" t="e">
        <f t="shared" si="107"/>
        <v>#N/A</v>
      </c>
      <c r="H166" s="448" t="e">
        <f t="shared" si="107"/>
        <v>#N/A</v>
      </c>
      <c r="I166" s="448" t="e">
        <f t="shared" si="107"/>
        <v>#N/A</v>
      </c>
      <c r="J166" s="448" t="e">
        <f t="shared" si="107"/>
        <v>#N/A</v>
      </c>
      <c r="K166" s="449" t="e">
        <f t="shared" si="107"/>
        <v>#N/A</v>
      </c>
      <c r="L166" s="449" t="e">
        <f t="shared" si="107"/>
        <v>#N/A</v>
      </c>
      <c r="M166" s="449" t="e">
        <f t="shared" si="107"/>
        <v>#N/A</v>
      </c>
      <c r="N166" s="702"/>
      <c r="O166" s="672"/>
      <c r="P166" s="673"/>
      <c r="Q166" s="673"/>
      <c r="R166" s="674"/>
      <c r="S166" s="672"/>
      <c r="T166" s="673"/>
      <c r="U166" s="673"/>
      <c r="V166" s="674"/>
      <c r="W166" s="512"/>
      <c r="X166" s="512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AI166" s="401"/>
      <c r="AJ166" s="401"/>
      <c r="AK166" s="401"/>
      <c r="AL166" s="401"/>
      <c r="AM166" s="401"/>
      <c r="AN166" s="401"/>
      <c r="AO166" s="401"/>
      <c r="AP166" s="401"/>
      <c r="AQ166" s="401"/>
      <c r="AR166" s="401"/>
      <c r="AS166" s="401"/>
      <c r="AT166" s="401"/>
      <c r="AU166" s="401"/>
      <c r="AV166" s="401"/>
      <c r="AW166" s="401"/>
      <c r="AX166" s="401"/>
      <c r="AY166" s="401"/>
      <c r="AZ166" s="401"/>
      <c r="BA166" s="401"/>
      <c r="BB166" s="401"/>
      <c r="BC166" s="536"/>
      <c r="BD166" s="429"/>
      <c r="BE166" s="435"/>
      <c r="BF166" s="435"/>
      <c r="BG166" s="435"/>
      <c r="BH166" s="435"/>
      <c r="BI166" s="435"/>
      <c r="BJ166" s="435"/>
      <c r="BK166" s="435"/>
      <c r="BL166" s="435"/>
      <c r="BU166" s="401"/>
      <c r="BV166" s="401"/>
      <c r="BW166" s="401"/>
      <c r="BX166" s="401"/>
      <c r="BY166" s="401"/>
      <c r="BZ166" s="401"/>
    </row>
    <row r="167" spans="1:78" s="405" customFormat="1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M167" si="108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108"/>
        <v>-</v>
      </c>
      <c r="H167" s="451" t="str">
        <f t="shared" si="108"/>
        <v>-</v>
      </c>
      <c r="I167" s="451" t="str">
        <f t="shared" si="108"/>
        <v>-</v>
      </c>
      <c r="J167" s="451" t="str">
        <f t="shared" si="108"/>
        <v>-</v>
      </c>
      <c r="K167" s="452" t="str">
        <f t="shared" si="108"/>
        <v>-</v>
      </c>
      <c r="L167" s="452" t="str">
        <f t="shared" si="108"/>
        <v>-</v>
      </c>
      <c r="M167" s="452" t="str">
        <f t="shared" si="108"/>
        <v>-</v>
      </c>
      <c r="N167" s="685"/>
      <c r="O167" s="672"/>
      <c r="P167" s="673"/>
      <c r="Q167" s="673"/>
      <c r="R167" s="674"/>
      <c r="S167" s="672"/>
      <c r="T167" s="673"/>
      <c r="U167" s="673"/>
      <c r="V167" s="674"/>
      <c r="W167" s="512"/>
      <c r="X167" s="512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AI167" s="401"/>
      <c r="AJ167" s="401"/>
      <c r="AK167" s="401"/>
      <c r="AL167" s="401"/>
      <c r="AM167" s="401"/>
      <c r="AN167" s="401"/>
      <c r="AO167" s="401"/>
      <c r="AP167" s="401"/>
      <c r="AQ167" s="401"/>
      <c r="AR167" s="401"/>
      <c r="AS167" s="401"/>
      <c r="AT167" s="401"/>
      <c r="AU167" s="401"/>
      <c r="AV167" s="401"/>
      <c r="AW167" s="401"/>
      <c r="AX167" s="401"/>
      <c r="AY167" s="401"/>
      <c r="AZ167" s="401"/>
      <c r="BA167" s="401"/>
      <c r="BB167" s="401"/>
      <c r="BC167" s="399" t="str">
        <f>IF(COUNTIF(F167:M167,"refused")&gt;0,"refused",IF(COUNTIF(F167:M167,"failed")&gt;0,"failed",IF(COUNTIF(F167:M167,"passed")&gt;0,"passed","-")))</f>
        <v>-</v>
      </c>
      <c r="BD167" s="429"/>
      <c r="BE167" s="435"/>
      <c r="BF167" s="435"/>
      <c r="BG167" s="435"/>
      <c r="BH167" s="435"/>
      <c r="BI167" s="435"/>
      <c r="BJ167" s="435"/>
      <c r="BK167" s="435"/>
      <c r="BL167" s="435"/>
      <c r="BU167" s="401"/>
      <c r="BV167" s="401"/>
      <c r="BW167" s="401"/>
      <c r="BX167" s="401"/>
      <c r="BY167" s="401"/>
      <c r="BZ167" s="401"/>
    </row>
    <row r="168" spans="1:78" s="405" customFormat="1" ht="15" customHeight="1" outlineLevel="1" x14ac:dyDescent="0.25">
      <c r="A168" s="454"/>
      <c r="B168" s="478"/>
      <c r="C168" s="479"/>
      <c r="D168" s="479"/>
      <c r="E168" s="480"/>
      <c r="F168" s="481"/>
      <c r="G168" s="481"/>
      <c r="H168" s="481"/>
      <c r="I168" s="481"/>
      <c r="J168" s="481"/>
      <c r="K168" s="482"/>
      <c r="L168" s="482"/>
      <c r="M168" s="482"/>
      <c r="N168" s="483"/>
      <c r="O168" s="672"/>
      <c r="P168" s="673"/>
      <c r="Q168" s="673"/>
      <c r="R168" s="674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D168" s="429"/>
      <c r="BE168" s="435"/>
      <c r="BF168" s="435"/>
      <c r="BG168" s="435"/>
      <c r="BH168" s="435"/>
      <c r="BI168" s="435"/>
      <c r="BJ168" s="435"/>
      <c r="BK168" s="435"/>
      <c r="BL168" s="435"/>
    </row>
    <row r="169" spans="1:78" s="405" customFormat="1" ht="15" customHeight="1" outlineLevel="1" x14ac:dyDescent="0.25">
      <c r="A169" s="404"/>
      <c r="B169" s="484"/>
      <c r="C169" s="485"/>
      <c r="D169" s="485"/>
      <c r="E169" s="486"/>
      <c r="F169" s="463"/>
      <c r="G169" s="463"/>
      <c r="H169" s="463"/>
      <c r="I169" s="463"/>
      <c r="J169" s="463"/>
      <c r="K169" s="464"/>
      <c r="L169" s="464"/>
      <c r="M169" s="464"/>
      <c r="N169" s="465"/>
      <c r="O169" s="672"/>
      <c r="P169" s="673"/>
      <c r="Q169" s="673"/>
      <c r="R169" s="674"/>
      <c r="S169" s="672"/>
      <c r="T169" s="673"/>
      <c r="U169" s="673"/>
      <c r="V169" s="674"/>
      <c r="W169" s="512"/>
      <c r="X169" s="512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401"/>
      <c r="AJ169" s="401"/>
      <c r="AK169" s="401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01"/>
      <c r="BD169" s="429" t="str">
        <f>$B158</f>
        <v>normal</v>
      </c>
      <c r="BE169" s="435" t="e">
        <f t="shared" ref="BE169:BL169" si="109">F161</f>
        <v>#N/A</v>
      </c>
      <c r="BF169" s="435" t="e">
        <f t="shared" si="109"/>
        <v>#N/A</v>
      </c>
      <c r="BG169" s="435" t="e">
        <f t="shared" si="109"/>
        <v>#N/A</v>
      </c>
      <c r="BH169" s="435" t="e">
        <f t="shared" si="109"/>
        <v>#N/A</v>
      </c>
      <c r="BI169" s="435" t="e">
        <f t="shared" si="109"/>
        <v>#N/A</v>
      </c>
      <c r="BJ169" s="435" t="e">
        <f t="shared" si="109"/>
        <v>#N/A</v>
      </c>
      <c r="BK169" s="435" t="e">
        <f t="shared" si="109"/>
        <v>#N/A</v>
      </c>
      <c r="BL169" s="435" t="e">
        <f t="shared" si="109"/>
        <v>#N/A</v>
      </c>
      <c r="BU169" s="401"/>
      <c r="BV169" s="401"/>
      <c r="BW169" s="401"/>
      <c r="BX169" s="401"/>
      <c r="BY169" s="401"/>
      <c r="BZ169" s="401"/>
    </row>
    <row r="170" spans="1:78" s="405" customFormat="1" ht="15" customHeight="1" outlineLevel="1" x14ac:dyDescent="0.25">
      <c r="A170" s="404"/>
      <c r="B170" s="484"/>
      <c r="C170" s="487"/>
      <c r="D170" s="488"/>
      <c r="E170" s="489"/>
      <c r="F170" s="489"/>
      <c r="G170" s="489"/>
      <c r="H170" s="489"/>
      <c r="I170" s="489"/>
      <c r="J170" s="489"/>
      <c r="K170" s="490"/>
      <c r="L170" s="490"/>
      <c r="M170" s="490"/>
      <c r="N170" s="491"/>
      <c r="O170" s="672"/>
      <c r="P170" s="673"/>
      <c r="Q170" s="673"/>
      <c r="R170" s="674"/>
      <c r="S170" s="672"/>
      <c r="T170" s="673"/>
      <c r="U170" s="673"/>
      <c r="V170" s="674"/>
      <c r="W170" s="512"/>
      <c r="X170" s="512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AI170" s="401"/>
      <c r="AJ170" s="401"/>
      <c r="AK170" s="401"/>
      <c r="AL170" s="401"/>
      <c r="AM170" s="401"/>
      <c r="AN170" s="401"/>
      <c r="AO170" s="401"/>
      <c r="AP170" s="401"/>
      <c r="AQ170" s="401"/>
      <c r="AR170" s="401"/>
      <c r="AS170" s="401"/>
      <c r="AT170" s="401"/>
      <c r="AU170" s="401"/>
      <c r="AV170" s="401"/>
      <c r="AW170" s="401"/>
      <c r="AX170" s="401"/>
      <c r="AY170" s="401"/>
      <c r="AZ170" s="401"/>
      <c r="BA170" s="401"/>
      <c r="BB170" s="401"/>
      <c r="BC170" s="401"/>
      <c r="BD170" s="429" t="str">
        <f>$B163</f>
        <v>aggressive</v>
      </c>
      <c r="BE170" s="435" t="e">
        <f t="shared" ref="BE170:BL170" si="110">F166</f>
        <v>#N/A</v>
      </c>
      <c r="BF170" s="435" t="e">
        <f t="shared" si="110"/>
        <v>#N/A</v>
      </c>
      <c r="BG170" s="435" t="e">
        <f t="shared" si="110"/>
        <v>#N/A</v>
      </c>
      <c r="BH170" s="435" t="e">
        <f t="shared" si="110"/>
        <v>#N/A</v>
      </c>
      <c r="BI170" s="435" t="e">
        <f t="shared" si="110"/>
        <v>#N/A</v>
      </c>
      <c r="BJ170" s="435" t="e">
        <f t="shared" si="110"/>
        <v>#N/A</v>
      </c>
      <c r="BK170" s="435" t="e">
        <f t="shared" si="110"/>
        <v>#N/A</v>
      </c>
      <c r="BL170" s="435" t="e">
        <f t="shared" si="110"/>
        <v>#N/A</v>
      </c>
      <c r="BU170" s="401"/>
      <c r="BV170" s="401"/>
      <c r="BW170" s="401"/>
      <c r="BX170" s="401"/>
      <c r="BY170" s="401"/>
      <c r="BZ170" s="401"/>
    </row>
    <row r="171" spans="1:78" s="405" customFormat="1" ht="15" customHeight="1" outlineLevel="1" x14ac:dyDescent="0.25">
      <c r="A171" s="404"/>
      <c r="B171" s="484"/>
      <c r="C171" s="487"/>
      <c r="D171" s="488"/>
      <c r="E171" s="486"/>
      <c r="F171" s="492"/>
      <c r="G171" s="492"/>
      <c r="H171" s="492"/>
      <c r="I171" s="492"/>
      <c r="J171" s="492"/>
      <c r="K171" s="490"/>
      <c r="L171" s="490"/>
      <c r="M171" s="490"/>
      <c r="N171" s="493"/>
      <c r="O171" s="672"/>
      <c r="P171" s="673"/>
      <c r="Q171" s="673"/>
      <c r="R171" s="674"/>
      <c r="S171" s="672"/>
      <c r="T171" s="673"/>
      <c r="U171" s="673"/>
      <c r="V171" s="674"/>
      <c r="W171" s="512"/>
      <c r="X171" s="512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AI171" s="401"/>
      <c r="AJ171" s="401"/>
      <c r="AK171" s="401"/>
      <c r="AL171" s="401"/>
      <c r="AM171" s="401"/>
      <c r="AN171" s="401"/>
      <c r="AO171" s="401"/>
      <c r="AP171" s="401"/>
      <c r="AQ171" s="401"/>
      <c r="AR171" s="401"/>
      <c r="AS171" s="401"/>
      <c r="AT171" s="401"/>
      <c r="AU171" s="401"/>
      <c r="AV171" s="401"/>
      <c r="AW171" s="401"/>
      <c r="AX171" s="401"/>
      <c r="AY171" s="401"/>
      <c r="AZ171" s="401"/>
      <c r="BA171" s="401"/>
      <c r="BB171" s="401"/>
      <c r="BC171" s="401"/>
      <c r="BD171" s="429"/>
      <c r="BE171" s="435"/>
      <c r="BF171" s="435"/>
      <c r="BG171" s="435"/>
      <c r="BH171" s="435"/>
      <c r="BI171" s="435"/>
      <c r="BJ171" s="435"/>
      <c r="BK171" s="435"/>
      <c r="BL171" s="435"/>
      <c r="BU171" s="401"/>
      <c r="BV171" s="401"/>
      <c r="BW171" s="401"/>
      <c r="BX171" s="401"/>
      <c r="BY171" s="401"/>
      <c r="BZ171" s="401"/>
    </row>
    <row r="172" spans="1:78" s="405" customFormat="1" ht="15" customHeight="1" outlineLevel="1" x14ac:dyDescent="0.25">
      <c r="A172" s="404"/>
      <c r="B172" s="484"/>
      <c r="C172" s="487"/>
      <c r="D172" s="488"/>
      <c r="E172" s="486"/>
      <c r="F172" s="486"/>
      <c r="G172" s="486"/>
      <c r="H172" s="486"/>
      <c r="I172" s="486"/>
      <c r="J172" s="486"/>
      <c r="K172" s="490"/>
      <c r="L172" s="490"/>
      <c r="M172" s="490"/>
      <c r="N172" s="494"/>
      <c r="O172" s="672"/>
      <c r="P172" s="673"/>
      <c r="Q172" s="673"/>
      <c r="R172" s="674"/>
      <c r="S172" s="672"/>
      <c r="T172" s="673"/>
      <c r="U172" s="673"/>
      <c r="V172" s="674"/>
      <c r="W172" s="512"/>
      <c r="X172" s="512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AI172" s="401"/>
      <c r="AJ172" s="401"/>
      <c r="AK172" s="401"/>
      <c r="AL172" s="401"/>
      <c r="AM172" s="401"/>
      <c r="AN172" s="401"/>
      <c r="AO172" s="401"/>
      <c r="AP172" s="401"/>
      <c r="AQ172" s="401"/>
      <c r="AR172" s="401"/>
      <c r="AS172" s="401"/>
      <c r="AT172" s="401"/>
      <c r="AU172" s="401"/>
      <c r="AV172" s="401"/>
      <c r="AW172" s="401"/>
      <c r="AX172" s="401"/>
      <c r="AY172" s="401"/>
      <c r="AZ172" s="401"/>
      <c r="BA172" s="401"/>
      <c r="BB172" s="401"/>
      <c r="BC172" s="401"/>
      <c r="BD172" s="429"/>
      <c r="BE172" s="435"/>
      <c r="BF172" s="435"/>
      <c r="BG172" s="435"/>
      <c r="BH172" s="435"/>
      <c r="BI172" s="435"/>
      <c r="BJ172" s="435"/>
      <c r="BK172" s="435"/>
      <c r="BL172" s="435"/>
      <c r="BU172" s="401"/>
      <c r="BV172" s="401"/>
      <c r="BW172" s="401"/>
      <c r="BX172" s="401"/>
      <c r="BY172" s="401"/>
      <c r="BZ172" s="401"/>
    </row>
    <row r="173" spans="1:78" s="405" customFormat="1" ht="15" customHeight="1" outlineLevel="1" x14ac:dyDescent="0.25">
      <c r="A173" s="454"/>
      <c r="B173" s="484"/>
      <c r="C173" s="485"/>
      <c r="D173" s="485"/>
      <c r="E173" s="486"/>
      <c r="F173" s="463"/>
      <c r="G173" s="463"/>
      <c r="H173" s="463"/>
      <c r="I173" s="463"/>
      <c r="J173" s="463"/>
      <c r="K173" s="464"/>
      <c r="L173" s="464"/>
      <c r="M173" s="464"/>
      <c r="N173" s="465"/>
      <c r="O173" s="672"/>
      <c r="P173" s="673"/>
      <c r="Q173" s="673"/>
      <c r="R173" s="674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D173" s="429"/>
      <c r="BE173" s="435"/>
      <c r="BF173" s="435"/>
      <c r="BG173" s="435"/>
      <c r="BH173" s="435"/>
      <c r="BI173" s="435"/>
      <c r="BJ173" s="435"/>
      <c r="BK173" s="435"/>
      <c r="BL173" s="435"/>
    </row>
    <row r="174" spans="1:78" s="405" customFormat="1" ht="15" customHeight="1" outlineLevel="1" x14ac:dyDescent="0.25">
      <c r="A174" s="404"/>
      <c r="B174" s="484"/>
      <c r="C174" s="485"/>
      <c r="D174" s="485"/>
      <c r="E174" s="486"/>
      <c r="F174" s="463"/>
      <c r="G174" s="463"/>
      <c r="H174" s="463"/>
      <c r="I174" s="463"/>
      <c r="J174" s="463"/>
      <c r="K174" s="464"/>
      <c r="L174" s="464"/>
      <c r="M174" s="464"/>
      <c r="N174" s="465"/>
      <c r="O174" s="672"/>
      <c r="P174" s="673"/>
      <c r="Q174" s="673"/>
      <c r="R174" s="674"/>
      <c r="S174" s="672"/>
      <c r="T174" s="673"/>
      <c r="U174" s="673"/>
      <c r="V174" s="674"/>
      <c r="W174" s="512"/>
      <c r="X174" s="512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401"/>
      <c r="AJ174" s="401"/>
      <c r="AK174" s="401"/>
      <c r="AL174" s="401"/>
      <c r="AM174" s="401"/>
      <c r="AN174" s="401"/>
      <c r="AO174" s="401"/>
      <c r="AP174" s="401"/>
      <c r="AQ174" s="401"/>
      <c r="AR174" s="401"/>
      <c r="AS174" s="401"/>
      <c r="AT174" s="401"/>
      <c r="AU174" s="401"/>
      <c r="AV174" s="401"/>
      <c r="AW174" s="401"/>
      <c r="AX174" s="401"/>
      <c r="AY174" s="401"/>
      <c r="AZ174" s="401"/>
      <c r="BA174" s="401"/>
      <c r="BB174" s="401"/>
      <c r="BC174" s="401"/>
      <c r="BD174" s="429"/>
      <c r="BE174" s="435"/>
      <c r="BF174" s="435"/>
      <c r="BG174" s="435"/>
      <c r="BH174" s="435"/>
      <c r="BI174" s="435"/>
      <c r="BJ174" s="435"/>
      <c r="BK174" s="435"/>
      <c r="BL174" s="435"/>
      <c r="BU174" s="401"/>
      <c r="BV174" s="401"/>
      <c r="BW174" s="401"/>
      <c r="BX174" s="401"/>
      <c r="BY174" s="401"/>
      <c r="BZ174" s="401"/>
    </row>
    <row r="175" spans="1:78" s="405" customFormat="1" ht="15" customHeight="1" outlineLevel="1" x14ac:dyDescent="0.25">
      <c r="A175" s="404"/>
      <c r="B175" s="484"/>
      <c r="C175" s="487"/>
      <c r="D175" s="488"/>
      <c r="E175" s="489"/>
      <c r="F175" s="489"/>
      <c r="G175" s="489"/>
      <c r="H175" s="489"/>
      <c r="I175" s="489"/>
      <c r="J175" s="489"/>
      <c r="K175" s="490"/>
      <c r="L175" s="490"/>
      <c r="M175" s="490"/>
      <c r="N175" s="491"/>
      <c r="O175" s="672"/>
      <c r="P175" s="673"/>
      <c r="Q175" s="673"/>
      <c r="R175" s="674"/>
      <c r="S175" s="672"/>
      <c r="T175" s="673"/>
      <c r="U175" s="673"/>
      <c r="V175" s="674"/>
      <c r="W175" s="512"/>
      <c r="X175" s="512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29" t="str">
        <f>"IEF " &amp;B158</f>
        <v>IEF normal</v>
      </c>
      <c r="BE175" s="435">
        <f t="shared" ref="BE175:BL175" si="111">IF(OR($C160="-",$C160="CET",$C160=""),"-",$C160)</f>
        <v>2</v>
      </c>
      <c r="BF175" s="435">
        <f t="shared" si="111"/>
        <v>2</v>
      </c>
      <c r="BG175" s="435">
        <f t="shared" si="111"/>
        <v>2</v>
      </c>
      <c r="BH175" s="435">
        <f t="shared" si="111"/>
        <v>2</v>
      </c>
      <c r="BI175" s="435">
        <f t="shared" si="111"/>
        <v>2</v>
      </c>
      <c r="BJ175" s="435">
        <f t="shared" si="111"/>
        <v>2</v>
      </c>
      <c r="BK175" s="435">
        <f t="shared" si="111"/>
        <v>2</v>
      </c>
      <c r="BL175" s="435">
        <f t="shared" si="111"/>
        <v>2</v>
      </c>
      <c r="BU175" s="401"/>
      <c r="BV175" s="401"/>
      <c r="BW175" s="401"/>
      <c r="BX175" s="401"/>
      <c r="BY175" s="401"/>
      <c r="BZ175" s="401"/>
    </row>
    <row r="176" spans="1:78" s="405" customFormat="1" ht="15" customHeight="1" outlineLevel="1" x14ac:dyDescent="0.25">
      <c r="A176" s="404"/>
      <c r="B176" s="484"/>
      <c r="C176" s="487"/>
      <c r="D176" s="488"/>
      <c r="E176" s="486"/>
      <c r="F176" s="492"/>
      <c r="G176" s="492"/>
      <c r="H176" s="492"/>
      <c r="I176" s="492"/>
      <c r="J176" s="492"/>
      <c r="K176" s="490"/>
      <c r="L176" s="490"/>
      <c r="M176" s="490"/>
      <c r="N176" s="493"/>
      <c r="O176" s="672"/>
      <c r="P176" s="673"/>
      <c r="Q176" s="673"/>
      <c r="R176" s="674"/>
      <c r="S176" s="672"/>
      <c r="T176" s="673"/>
      <c r="U176" s="673"/>
      <c r="V176" s="674"/>
      <c r="W176" s="512"/>
      <c r="X176" s="512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AI176" s="401"/>
      <c r="AJ176" s="401"/>
      <c r="AK176" s="401"/>
      <c r="AL176" s="401"/>
      <c r="AM176" s="401"/>
      <c r="AN176" s="401"/>
      <c r="AO176" s="401"/>
      <c r="AP176" s="401"/>
      <c r="AQ176" s="401"/>
      <c r="AR176" s="401"/>
      <c r="AS176" s="401"/>
      <c r="AT176" s="401"/>
      <c r="AU176" s="401"/>
      <c r="AV176" s="401"/>
      <c r="AW176" s="401"/>
      <c r="AX176" s="401"/>
      <c r="AY176" s="401"/>
      <c r="AZ176" s="401"/>
      <c r="BA176" s="401"/>
      <c r="BB176" s="401"/>
      <c r="BC176" s="401"/>
      <c r="BD176" s="429" t="str">
        <f>"IEF " &amp; B163</f>
        <v>IEF aggressive</v>
      </c>
      <c r="BE176" s="435">
        <f t="shared" ref="BE176:BL176" si="112">IF(OR($C165="-",$C165="CET",$C165=""),"-",$C165)</f>
        <v>4</v>
      </c>
      <c r="BF176" s="435">
        <f t="shared" si="112"/>
        <v>4</v>
      </c>
      <c r="BG176" s="435">
        <f t="shared" si="112"/>
        <v>4</v>
      </c>
      <c r="BH176" s="435">
        <f t="shared" si="112"/>
        <v>4</v>
      </c>
      <c r="BI176" s="435">
        <f t="shared" si="112"/>
        <v>4</v>
      </c>
      <c r="BJ176" s="435">
        <f t="shared" si="112"/>
        <v>4</v>
      </c>
      <c r="BK176" s="435">
        <f t="shared" si="112"/>
        <v>4</v>
      </c>
      <c r="BL176" s="435">
        <f t="shared" si="112"/>
        <v>4</v>
      </c>
      <c r="BU176" s="401"/>
      <c r="BV176" s="401"/>
      <c r="BW176" s="401"/>
      <c r="BX176" s="401"/>
      <c r="BY176" s="401"/>
      <c r="BZ176" s="401"/>
    </row>
    <row r="177" spans="1:78" s="405" customFormat="1" ht="15" customHeight="1" outlineLevel="1" thickBot="1" x14ac:dyDescent="0.3">
      <c r="A177" s="404"/>
      <c r="B177" s="495"/>
      <c r="C177" s="496"/>
      <c r="D177" s="497"/>
      <c r="E177" s="498"/>
      <c r="F177" s="498"/>
      <c r="G177" s="498"/>
      <c r="H177" s="498"/>
      <c r="I177" s="498"/>
      <c r="J177" s="498"/>
      <c r="K177" s="499"/>
      <c r="L177" s="499"/>
      <c r="M177" s="499"/>
      <c r="N177" s="500"/>
      <c r="O177" s="675"/>
      <c r="P177" s="676"/>
      <c r="Q177" s="676"/>
      <c r="R177" s="677"/>
      <c r="S177" s="675"/>
      <c r="T177" s="676"/>
      <c r="U177" s="676"/>
      <c r="V177" s="677"/>
      <c r="W177" s="512"/>
      <c r="X177" s="512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59"/>
      <c r="BE177" s="459"/>
      <c r="BF177" s="459"/>
      <c r="BG177" s="459"/>
      <c r="BH177" s="459"/>
      <c r="BI177" s="459"/>
      <c r="BJ177" s="459"/>
      <c r="BK177" s="459"/>
      <c r="BL177" s="459"/>
      <c r="BU177" s="401"/>
      <c r="BV177" s="401"/>
      <c r="BW177" s="401"/>
      <c r="BX177" s="401"/>
      <c r="BY177" s="401"/>
      <c r="BZ177" s="401"/>
    </row>
    <row r="178" spans="1:78" s="405" customFormat="1" ht="15" customHeight="1" x14ac:dyDescent="0.25">
      <c r="A178" s="454"/>
      <c r="B178" s="501"/>
      <c r="C178" s="485"/>
      <c r="D178" s="485"/>
      <c r="E178" s="486"/>
      <c r="F178" s="463"/>
      <c r="G178" s="463"/>
      <c r="H178" s="463"/>
      <c r="I178" s="463"/>
      <c r="J178" s="463"/>
      <c r="K178" s="464"/>
      <c r="L178" s="464"/>
      <c r="M178" s="464"/>
      <c r="N178" s="463"/>
      <c r="O178" s="403"/>
      <c r="P178" s="403"/>
      <c r="Q178" s="403"/>
      <c r="R178" s="403"/>
      <c r="S178" s="403"/>
      <c r="T178" s="403"/>
      <c r="U178" s="403"/>
      <c r="V178" s="403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D178" s="459"/>
      <c r="BE178" s="459"/>
      <c r="BF178" s="459"/>
      <c r="BG178" s="459"/>
      <c r="BH178" s="459"/>
      <c r="BI178" s="459"/>
      <c r="BJ178" s="459"/>
      <c r="BK178" s="459"/>
      <c r="BL178" s="459"/>
    </row>
    <row r="179" spans="1:78" s="405" customFormat="1" ht="15" customHeight="1" x14ac:dyDescent="0.25">
      <c r="A179" s="404"/>
      <c r="B179" s="501"/>
      <c r="C179" s="485"/>
      <c r="D179" s="485"/>
      <c r="E179" s="486"/>
      <c r="F179" s="463"/>
      <c r="G179" s="463"/>
      <c r="H179" s="463"/>
      <c r="I179" s="463"/>
      <c r="J179" s="463"/>
      <c r="K179" s="464"/>
      <c r="L179" s="464"/>
      <c r="M179" s="464"/>
      <c r="N179" s="463"/>
      <c r="O179" s="403"/>
      <c r="P179" s="403"/>
      <c r="Q179" s="403"/>
      <c r="R179" s="403"/>
      <c r="S179" s="403"/>
      <c r="T179" s="403"/>
      <c r="U179" s="403"/>
      <c r="V179" s="403"/>
      <c r="W179" s="512"/>
      <c r="X179" s="512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AI179" s="401"/>
      <c r="AJ179" s="401"/>
      <c r="AK179" s="401"/>
      <c r="AL179" s="401"/>
      <c r="AM179" s="401"/>
      <c r="AN179" s="401"/>
      <c r="AO179" s="401"/>
      <c r="AP179" s="401"/>
      <c r="AQ179" s="401"/>
      <c r="AR179" s="401"/>
      <c r="AS179" s="401"/>
      <c r="AT179" s="401"/>
      <c r="AU179" s="401"/>
      <c r="AV179" s="401"/>
      <c r="AW179" s="401"/>
      <c r="AX179" s="401"/>
      <c r="AY179" s="401"/>
      <c r="AZ179" s="401"/>
      <c r="BA179" s="401"/>
      <c r="BB179" s="401"/>
      <c r="BC179" s="401"/>
      <c r="BD179" s="459"/>
      <c r="BE179" s="459"/>
      <c r="BF179" s="459"/>
      <c r="BG179" s="459"/>
      <c r="BH179" s="459"/>
      <c r="BI179" s="459"/>
      <c r="BJ179" s="459"/>
      <c r="BK179" s="459"/>
      <c r="BL179" s="459"/>
      <c r="BU179" s="401"/>
      <c r="BV179" s="401"/>
      <c r="BW179" s="401"/>
      <c r="BX179" s="401"/>
      <c r="BY179" s="401"/>
      <c r="BZ179" s="401"/>
    </row>
    <row r="180" spans="1:78" s="405" customFormat="1" ht="15" customHeight="1" thickBot="1" x14ac:dyDescent="0.3">
      <c r="A180" s="404"/>
      <c r="B180" s="501"/>
      <c r="C180" s="487"/>
      <c r="D180" s="488"/>
      <c r="E180" s="489"/>
      <c r="F180" s="489"/>
      <c r="G180" s="489"/>
      <c r="H180" s="489"/>
      <c r="I180" s="489"/>
      <c r="J180" s="489"/>
      <c r="K180" s="490"/>
      <c r="L180" s="490"/>
      <c r="M180" s="490"/>
      <c r="N180" s="489"/>
      <c r="O180" s="403"/>
      <c r="P180" s="403"/>
      <c r="Q180" s="403"/>
      <c r="R180" s="403"/>
      <c r="S180" s="403"/>
      <c r="T180" s="403"/>
      <c r="U180" s="403"/>
      <c r="V180" s="403"/>
      <c r="W180" s="512"/>
      <c r="X180" s="512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401"/>
      <c r="AJ180" s="401"/>
      <c r="AK180" s="401"/>
      <c r="AL180" s="401"/>
      <c r="AM180" s="401"/>
      <c r="AN180" s="401"/>
      <c r="AO180" s="401"/>
      <c r="AP180" s="401"/>
      <c r="AQ180" s="401"/>
      <c r="AR180" s="401"/>
      <c r="AS180" s="401"/>
      <c r="AT180" s="401"/>
      <c r="AU180" s="401"/>
      <c r="AV180" s="401"/>
      <c r="AW180" s="401"/>
      <c r="AX180" s="401"/>
      <c r="AY180" s="401"/>
      <c r="AZ180" s="401"/>
      <c r="BA180" s="401"/>
      <c r="BB180" s="401"/>
      <c r="BC180" s="401"/>
      <c r="BD180" s="459"/>
      <c r="BE180" s="459"/>
      <c r="BF180" s="459"/>
      <c r="BG180" s="459"/>
      <c r="BH180" s="459"/>
      <c r="BI180" s="459"/>
      <c r="BJ180" s="459"/>
      <c r="BK180" s="459"/>
      <c r="BL180" s="459"/>
      <c r="BU180" s="401"/>
      <c r="BV180" s="401"/>
      <c r="BW180" s="401"/>
      <c r="BX180" s="401"/>
      <c r="BY180" s="401"/>
      <c r="BZ180" s="401"/>
    </row>
    <row r="181" spans="1:78" s="405" customFormat="1" ht="24.95" customHeight="1" thickBot="1" x14ac:dyDescent="0.3">
      <c r="A181" s="396"/>
      <c r="B181" s="415">
        <v>7</v>
      </c>
      <c r="C181" s="706" t="s">
        <v>52</v>
      </c>
      <c r="D181" s="707"/>
      <c r="E181" s="707"/>
      <c r="F181" s="707"/>
      <c r="G181" s="707"/>
      <c r="H181" s="707"/>
      <c r="I181" s="707"/>
      <c r="J181" s="707"/>
      <c r="K181" s="707"/>
      <c r="L181" s="707"/>
      <c r="M181" s="707"/>
      <c r="N181" s="708"/>
      <c r="O181" s="416" t="s">
        <v>79</v>
      </c>
      <c r="P181" s="398" t="str">
        <f>IF(COUNTIF(F189:M214,"refused")&gt;0,"refused",IF(COUNTIF(F189:M214,"failed")&gt;0,"failed",IF(COUNTIF(F189:M214,"passed")&gt;0,"passed","-")))</f>
        <v>-</v>
      </c>
      <c r="Q181" s="399" t="s">
        <v>80</v>
      </c>
      <c r="R181" s="399" t="str">
        <f>IF(COUNT(F185:M186,F190:M191,F195:M196,F200:M201,F205:M206,F210:M211)&gt;0,"listed","not listed")</f>
        <v>not listed</v>
      </c>
      <c r="S181" s="502">
        <f>MAX(D187,D192,D197,D202,D207,D212)</f>
        <v>0</v>
      </c>
      <c r="T181" s="418"/>
      <c r="U181" s="418"/>
      <c r="V181" s="419"/>
      <c r="W181" s="424"/>
      <c r="X181" s="424"/>
      <c r="Y181" s="698"/>
      <c r="Z181" s="698"/>
      <c r="AA181" s="698"/>
      <c r="AB181" s="698"/>
      <c r="AC181" s="698"/>
      <c r="AD181" s="698"/>
      <c r="AE181" s="698"/>
      <c r="AF181" s="698"/>
      <c r="AG181" s="698"/>
      <c r="AH181" s="698"/>
      <c r="AI181" s="401"/>
      <c r="AJ181" s="401"/>
      <c r="AK181" s="401"/>
      <c r="AL181" s="401"/>
      <c r="AM181" s="401"/>
      <c r="AN181" s="401"/>
      <c r="AO181" s="401"/>
      <c r="AP181" s="401"/>
      <c r="AQ181" s="401"/>
      <c r="AR181" s="401"/>
      <c r="AS181" s="401"/>
      <c r="AT181" s="401"/>
      <c r="AU181" s="401"/>
      <c r="AV181" s="401"/>
      <c r="AW181" s="401"/>
      <c r="AX181" s="401"/>
      <c r="AY181" s="401"/>
      <c r="AZ181" s="401"/>
      <c r="BA181" s="401"/>
      <c r="BB181" s="401"/>
      <c r="BC181" s="401"/>
      <c r="BU181" s="401"/>
      <c r="BV181" s="401"/>
      <c r="BW181" s="401"/>
      <c r="BX181" s="401"/>
      <c r="BY181" s="401"/>
      <c r="BZ181" s="401"/>
    </row>
    <row r="182" spans="1:78" s="405" customFormat="1" ht="15" customHeight="1" outlineLevel="1" thickBot="1" x14ac:dyDescent="0.3">
      <c r="A182" s="396"/>
      <c r="B182" s="513"/>
      <c r="C182" s="514"/>
      <c r="D182" s="514"/>
      <c r="E182" s="514"/>
      <c r="F182" s="514"/>
      <c r="G182" s="514"/>
      <c r="H182" s="514"/>
      <c r="I182" s="514"/>
      <c r="J182" s="514"/>
      <c r="K182" s="421"/>
      <c r="L182" s="421"/>
      <c r="M182" s="421"/>
      <c r="N182" s="514"/>
      <c r="O182" s="514"/>
      <c r="P182" s="514"/>
      <c r="Q182" s="514"/>
      <c r="R182" s="514"/>
      <c r="S182" s="514"/>
      <c r="T182" s="422"/>
      <c r="U182" s="422"/>
      <c r="V182" s="423"/>
      <c r="W182" s="512"/>
      <c r="X182" s="512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AI182" s="401"/>
      <c r="AJ182" s="401"/>
      <c r="AK182" s="401"/>
      <c r="AL182" s="401"/>
      <c r="AM182" s="401"/>
      <c r="AN182" s="401"/>
      <c r="AO182" s="401"/>
      <c r="AP182" s="401"/>
      <c r="AQ182" s="401"/>
      <c r="AR182" s="401"/>
      <c r="AS182" s="401"/>
      <c r="AT182" s="401"/>
      <c r="AU182" s="401"/>
      <c r="AV182" s="401"/>
      <c r="AW182" s="401"/>
      <c r="AX182" s="401"/>
      <c r="AY182" s="401"/>
      <c r="AZ182" s="401"/>
      <c r="BA182" s="401"/>
      <c r="BB182" s="401"/>
      <c r="BC182" s="401"/>
      <c r="BD182" s="429" t="s">
        <v>85</v>
      </c>
      <c r="BE182" s="430" t="s">
        <v>86</v>
      </c>
      <c r="BF182" s="430" t="s">
        <v>87</v>
      </c>
      <c r="BG182" s="430" t="s">
        <v>88</v>
      </c>
      <c r="BH182" s="430" t="s">
        <v>89</v>
      </c>
      <c r="BI182" s="430" t="s">
        <v>90</v>
      </c>
      <c r="BJ182" s="430" t="s">
        <v>91</v>
      </c>
      <c r="BK182" s="430" t="s">
        <v>91</v>
      </c>
      <c r="BL182" s="430" t="s">
        <v>91</v>
      </c>
      <c r="BU182" s="401"/>
      <c r="BV182" s="401"/>
      <c r="BW182" s="401"/>
      <c r="BX182" s="401"/>
      <c r="BY182" s="401"/>
      <c r="BZ182" s="401"/>
    </row>
    <row r="183" spans="1:78" s="405" customFormat="1" ht="15" customHeight="1" outlineLevel="1" thickBot="1" x14ac:dyDescent="0.3">
      <c r="A183" s="396"/>
      <c r="B183" s="695" t="s">
        <v>81</v>
      </c>
      <c r="C183" s="696"/>
      <c r="D183" s="696"/>
      <c r="E183" s="696"/>
      <c r="F183" s="696"/>
      <c r="G183" s="696"/>
      <c r="H183" s="696"/>
      <c r="I183" s="696"/>
      <c r="J183" s="696"/>
      <c r="K183" s="696"/>
      <c r="L183" s="696"/>
      <c r="M183" s="696"/>
      <c r="N183" s="697"/>
      <c r="O183" s="695" t="s">
        <v>82</v>
      </c>
      <c r="P183" s="696"/>
      <c r="Q183" s="696"/>
      <c r="R183" s="697"/>
      <c r="S183" s="695" t="s">
        <v>83</v>
      </c>
      <c r="T183" s="696"/>
      <c r="U183" s="696"/>
      <c r="V183" s="697"/>
      <c r="W183" s="512"/>
      <c r="X183" s="512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AI183" s="401"/>
      <c r="AJ183" s="401"/>
      <c r="AK183" s="401"/>
      <c r="AL183" s="401"/>
      <c r="AM183" s="401"/>
      <c r="AN183" s="401"/>
      <c r="AO183" s="401"/>
      <c r="AP183" s="401"/>
      <c r="AQ183" s="401"/>
      <c r="AR183" s="401"/>
      <c r="AS183" s="401"/>
      <c r="AT183" s="401"/>
      <c r="AU183" s="401"/>
      <c r="AV183" s="401"/>
      <c r="AW183" s="401"/>
      <c r="AX183" s="401"/>
      <c r="AY183" s="401"/>
      <c r="AZ183" s="401"/>
      <c r="BA183" s="401"/>
      <c r="BB183" s="401"/>
      <c r="BC183" s="401"/>
      <c r="BD183" s="429">
        <f>$E$4</f>
        <v>0</v>
      </c>
      <c r="BE183" s="435">
        <v>1</v>
      </c>
      <c r="BF183" s="435">
        <v>1</v>
      </c>
      <c r="BG183" s="435">
        <v>1</v>
      </c>
      <c r="BH183" s="435">
        <v>1</v>
      </c>
      <c r="BI183" s="435">
        <v>1</v>
      </c>
      <c r="BJ183" s="435">
        <v>1</v>
      </c>
      <c r="BK183" s="435">
        <v>2</v>
      </c>
      <c r="BL183" s="435">
        <v>3</v>
      </c>
      <c r="BU183" s="401"/>
      <c r="BV183" s="401"/>
      <c r="BW183" s="401"/>
      <c r="BX183" s="401"/>
      <c r="BY183" s="401"/>
      <c r="BZ183" s="401"/>
    </row>
    <row r="184" spans="1:78" s="405" customFormat="1" ht="35.1" customHeight="1" outlineLevel="1" thickBot="1" x14ac:dyDescent="0.3">
      <c r="A184" s="396"/>
      <c r="B184" s="709" t="s">
        <v>84</v>
      </c>
      <c r="C184" s="682"/>
      <c r="D184" s="682"/>
      <c r="E184" s="683"/>
      <c r="F184" s="425" t="s">
        <v>72</v>
      </c>
      <c r="G184" s="517" t="s">
        <v>73</v>
      </c>
      <c r="H184" s="425" t="s">
        <v>74</v>
      </c>
      <c r="I184" s="425" t="s">
        <v>75</v>
      </c>
      <c r="J184" s="425" t="s">
        <v>76</v>
      </c>
      <c r="K184" s="534" t="s">
        <v>170</v>
      </c>
      <c r="L184" s="535" t="str">
        <f>$L$4</f>
        <v>Additional
component</v>
      </c>
      <c r="M184" s="535" t="str">
        <f>$M$4</f>
        <v>Additional
component 2</v>
      </c>
      <c r="N184" s="425" t="s">
        <v>77</v>
      </c>
      <c r="O184" s="669"/>
      <c r="P184" s="670"/>
      <c r="Q184" s="670"/>
      <c r="R184" s="670"/>
      <c r="S184" s="669"/>
      <c r="T184" s="670"/>
      <c r="U184" s="670"/>
      <c r="V184" s="671"/>
      <c r="W184" s="512"/>
      <c r="X184" s="512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AI184" s="401"/>
      <c r="AJ184" s="401"/>
      <c r="AK184" s="401"/>
      <c r="AL184" s="401"/>
      <c r="AM184" s="401"/>
      <c r="AN184" s="401"/>
      <c r="AO184" s="401"/>
      <c r="AP184" s="401"/>
      <c r="AQ184" s="401"/>
      <c r="AR184" s="401"/>
      <c r="AS184" s="401"/>
      <c r="AT184" s="401"/>
      <c r="AU184" s="401"/>
      <c r="AV184" s="401"/>
      <c r="AW184" s="401"/>
      <c r="AX184" s="401"/>
      <c r="AY184" s="401"/>
      <c r="AZ184" s="401"/>
      <c r="BA184" s="401"/>
      <c r="BB184" s="401"/>
      <c r="BC184" s="536"/>
      <c r="BD184" s="429" t="str">
        <f>"1st " &amp;  B185</f>
        <v>1st City (unweighted)</v>
      </c>
      <c r="BE184" s="435" t="str">
        <f t="shared" ref="BE184:BL184" si="113">IF((OR($C187="-",$C187="CET",$C187="")),"-",IF(AND(OR(F185="-",F185=""),OR(F186="-",F186="")),"-",IF(NOT(OR(F185="-",F185="")),F185/F$5,F186/F$5)))</f>
        <v>-</v>
      </c>
      <c r="BF184" s="435" t="str">
        <f t="shared" si="113"/>
        <v>-</v>
      </c>
      <c r="BG184" s="435" t="str">
        <f t="shared" si="113"/>
        <v>-</v>
      </c>
      <c r="BH184" s="435" t="str">
        <f t="shared" si="113"/>
        <v>-</v>
      </c>
      <c r="BI184" s="435" t="str">
        <f t="shared" si="113"/>
        <v>-</v>
      </c>
      <c r="BJ184" s="435" t="str">
        <f t="shared" si="113"/>
        <v>-</v>
      </c>
      <c r="BK184" s="435" t="str">
        <f t="shared" si="113"/>
        <v>-</v>
      </c>
      <c r="BL184" s="435" t="str">
        <f t="shared" si="113"/>
        <v>-</v>
      </c>
      <c r="BU184" s="401"/>
      <c r="BV184" s="401"/>
      <c r="BW184" s="401"/>
      <c r="BX184" s="401"/>
      <c r="BY184" s="401"/>
      <c r="BZ184" s="401"/>
    </row>
    <row r="185" spans="1:78" s="405" customFormat="1" ht="15" customHeight="1" outlineLevel="1" x14ac:dyDescent="0.25">
      <c r="A185" s="439"/>
      <c r="B185" s="724" t="s">
        <v>107</v>
      </c>
      <c r="C185" s="684" t="s">
        <v>114</v>
      </c>
      <c r="D185" s="684" t="s">
        <v>113</v>
      </c>
      <c r="E185" s="453" t="s">
        <v>94</v>
      </c>
      <c r="F185" s="473" t="s">
        <v>5</v>
      </c>
      <c r="G185" s="473" t="s">
        <v>5</v>
      </c>
      <c r="H185" s="473" t="s">
        <v>5</v>
      </c>
      <c r="I185" s="473" t="s">
        <v>5</v>
      </c>
      <c r="J185" s="473" t="s">
        <v>5</v>
      </c>
      <c r="K185" s="474" t="s">
        <v>5</v>
      </c>
      <c r="L185" s="474" t="s">
        <v>5</v>
      </c>
      <c r="M185" s="474" t="s">
        <v>5</v>
      </c>
      <c r="N185" s="473" t="s">
        <v>5</v>
      </c>
      <c r="O185" s="672"/>
      <c r="P185" s="673"/>
      <c r="Q185" s="673"/>
      <c r="R185" s="673"/>
      <c r="S185" s="672"/>
      <c r="T185" s="673"/>
      <c r="U185" s="673"/>
      <c r="V185" s="674"/>
      <c r="W185" s="443"/>
      <c r="X185" s="443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536"/>
      <c r="BD185" s="429" t="str">
        <f>"1st " &amp; B190</f>
        <v>1st City (EMROAD)</v>
      </c>
      <c r="BE185" s="435" t="str">
        <f t="shared" ref="BE185:BL185" si="114">IF((OR($C192="-",$C192="CET",$C192="")),"-",IF(AND(OR(F190="-",F190=""),OR(F191="-",F191="")),"-",IF(NOT(OR(F190="-",F190="")),F190/F$5,F191/F$5)))</f>
        <v>-</v>
      </c>
      <c r="BF185" s="435" t="str">
        <f t="shared" si="114"/>
        <v>-</v>
      </c>
      <c r="BG185" s="435" t="str">
        <f t="shared" si="114"/>
        <v>-</v>
      </c>
      <c r="BH185" s="435" t="str">
        <f t="shared" si="114"/>
        <v>-</v>
      </c>
      <c r="BI185" s="435" t="str">
        <f t="shared" si="114"/>
        <v>-</v>
      </c>
      <c r="BJ185" s="435" t="str">
        <f t="shared" si="114"/>
        <v>-</v>
      </c>
      <c r="BK185" s="435" t="str">
        <f t="shared" si="114"/>
        <v>-</v>
      </c>
      <c r="BL185" s="435" t="str">
        <f t="shared" si="114"/>
        <v>-</v>
      </c>
    </row>
    <row r="186" spans="1:78" s="405" customFormat="1" ht="15" customHeight="1" outlineLevel="1" thickBot="1" x14ac:dyDescent="0.3">
      <c r="A186" s="396"/>
      <c r="B186" s="725"/>
      <c r="C186" s="702"/>
      <c r="D186" s="685"/>
      <c r="E186" s="440" t="s">
        <v>95</v>
      </c>
      <c r="F186" s="475" t="s">
        <v>5</v>
      </c>
      <c r="G186" s="475" t="s">
        <v>5</v>
      </c>
      <c r="H186" s="475" t="s">
        <v>5</v>
      </c>
      <c r="I186" s="475" t="s">
        <v>5</v>
      </c>
      <c r="J186" s="475" t="s">
        <v>5</v>
      </c>
      <c r="K186" s="476" t="s">
        <v>5</v>
      </c>
      <c r="L186" s="476" t="s">
        <v>5</v>
      </c>
      <c r="M186" s="476" t="s">
        <v>5</v>
      </c>
      <c r="N186" s="475" t="s">
        <v>5</v>
      </c>
      <c r="O186" s="672"/>
      <c r="P186" s="673"/>
      <c r="Q186" s="673"/>
      <c r="R186" s="673"/>
      <c r="S186" s="672"/>
      <c r="T186" s="673"/>
      <c r="U186" s="673"/>
      <c r="V186" s="674"/>
      <c r="W186" s="512"/>
      <c r="X186" s="512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401"/>
      <c r="AJ186" s="401"/>
      <c r="AK186" s="401"/>
      <c r="AL186" s="401"/>
      <c r="AM186" s="401"/>
      <c r="AN186" s="401"/>
      <c r="AO186" s="401"/>
      <c r="AP186" s="401"/>
      <c r="AQ186" s="401"/>
      <c r="AR186" s="401"/>
      <c r="AS186" s="401"/>
      <c r="AT186" s="401"/>
      <c r="AU186" s="401"/>
      <c r="AV186" s="401"/>
      <c r="AW186" s="401"/>
      <c r="AX186" s="401"/>
      <c r="AY186" s="401"/>
      <c r="AZ186" s="401"/>
      <c r="BA186" s="401"/>
      <c r="BB186" s="401"/>
      <c r="BC186" s="536"/>
      <c r="BD186" s="429" t="str">
        <f>"1st " &amp; B195</f>
        <v>1st City
 (SPF)</v>
      </c>
      <c r="BE186" s="435" t="str">
        <f t="shared" ref="BE186:BL186" si="115">IF((OR($C197="-",$C197="CET",$C197="")),"-",IF(AND(OR(F195="-",F195=""),OR(F196="-",F196="")),"-",IF(NOT(OR(F195="-",F195="")),F195/F$5,F196/F$5)))</f>
        <v>-</v>
      </c>
      <c r="BF186" s="435" t="str">
        <f t="shared" si="115"/>
        <v>-</v>
      </c>
      <c r="BG186" s="435" t="str">
        <f t="shared" si="115"/>
        <v>-</v>
      </c>
      <c r="BH186" s="435" t="str">
        <f t="shared" si="115"/>
        <v>-</v>
      </c>
      <c r="BI186" s="435" t="str">
        <f t="shared" si="115"/>
        <v>-</v>
      </c>
      <c r="BJ186" s="435" t="str">
        <f t="shared" si="115"/>
        <v>-</v>
      </c>
      <c r="BK186" s="435" t="str">
        <f t="shared" si="115"/>
        <v>-</v>
      </c>
      <c r="BL186" s="435" t="str">
        <f t="shared" si="115"/>
        <v>-</v>
      </c>
      <c r="BU186" s="401"/>
      <c r="BV186" s="401"/>
      <c r="BW186" s="401"/>
      <c r="BX186" s="401"/>
      <c r="BY186" s="401"/>
      <c r="BZ186" s="401"/>
    </row>
    <row r="187" spans="1:78" s="405" customFormat="1" ht="15" customHeight="1" outlineLevel="1" thickBot="1" x14ac:dyDescent="0.3">
      <c r="A187" s="396"/>
      <c r="B187" s="725"/>
      <c r="C187" s="686">
        <v>4</v>
      </c>
      <c r="D187" s="689" t="str">
        <f>IF(AND(F187="-",G187="-",H187="-",I187="-",J187="-",K187="-",L187="-",M187="-"),"-",MAX(F187,G187,H187,I187,J187,K187,L187,M187))</f>
        <v>-</v>
      </c>
      <c r="E187" s="444" t="s">
        <v>177</v>
      </c>
      <c r="F187" s="445" t="str">
        <f t="shared" ref="F187:M187" si="116">IF(OR(F186="-",F186=""),IF(OR(F185="-",F185=""),"-",F185),IF(OR(F185="-",F185=""),F186,(F185+F186)/2))</f>
        <v>-</v>
      </c>
      <c r="G187" s="445" t="str">
        <f t="shared" si="116"/>
        <v>-</v>
      </c>
      <c r="H187" s="445" t="str">
        <f t="shared" si="116"/>
        <v>-</v>
      </c>
      <c r="I187" s="445" t="str">
        <f t="shared" si="116"/>
        <v>-</v>
      </c>
      <c r="J187" s="445" t="str">
        <f t="shared" si="116"/>
        <v>-</v>
      </c>
      <c r="K187" s="446" t="str">
        <f t="shared" si="116"/>
        <v>-</v>
      </c>
      <c r="L187" s="446" t="str">
        <f t="shared" si="116"/>
        <v>-</v>
      </c>
      <c r="M187" s="446" t="str">
        <f t="shared" si="116"/>
        <v>-</v>
      </c>
      <c r="N187" s="828"/>
      <c r="O187" s="672"/>
      <c r="P187" s="673"/>
      <c r="Q187" s="673"/>
      <c r="R187" s="673"/>
      <c r="S187" s="672"/>
      <c r="T187" s="673"/>
      <c r="U187" s="673"/>
      <c r="V187" s="674"/>
      <c r="W187" s="512"/>
      <c r="X187" s="512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401"/>
      <c r="AJ187" s="401"/>
      <c r="AK187" s="401"/>
      <c r="AL187" s="401"/>
      <c r="AM187" s="401"/>
      <c r="AN187" s="401"/>
      <c r="AO187" s="401"/>
      <c r="AP187" s="401"/>
      <c r="AQ187" s="401"/>
      <c r="AR187" s="401"/>
      <c r="AS187" s="401"/>
      <c r="AT187" s="401"/>
      <c r="AU187" s="401"/>
      <c r="AV187" s="401"/>
      <c r="AW187" s="401"/>
      <c r="AX187" s="401"/>
      <c r="AY187" s="401"/>
      <c r="AZ187" s="401"/>
      <c r="BA187" s="401"/>
      <c r="BB187" s="401"/>
      <c r="BC187" s="536"/>
      <c r="BD187" s="429" t="str">
        <f>"1st " &amp; B200</f>
        <v>1st Total (unweighted)</v>
      </c>
      <c r="BE187" s="435" t="str">
        <f t="shared" ref="BE187:BL187" si="117">IF((OR($C202="-",$C202="CET",$C202="")),"-",IF(AND(OR(F200="-",F200=""),OR(F201="-",F201="")),"-",IF(NOT(OR(F200="-",F200="")),F200/F$5,F201/F$5)))</f>
        <v>-</v>
      </c>
      <c r="BF187" s="435" t="str">
        <f t="shared" si="117"/>
        <v>-</v>
      </c>
      <c r="BG187" s="435" t="str">
        <f t="shared" si="117"/>
        <v>-</v>
      </c>
      <c r="BH187" s="435" t="str">
        <f t="shared" si="117"/>
        <v>-</v>
      </c>
      <c r="BI187" s="435" t="str">
        <f t="shared" si="117"/>
        <v>-</v>
      </c>
      <c r="BJ187" s="435" t="str">
        <f t="shared" si="117"/>
        <v>-</v>
      </c>
      <c r="BK187" s="435" t="str">
        <f t="shared" si="117"/>
        <v>-</v>
      </c>
      <c r="BL187" s="435" t="str">
        <f t="shared" si="117"/>
        <v>-</v>
      </c>
      <c r="BU187" s="401"/>
      <c r="BV187" s="401"/>
      <c r="BW187" s="401"/>
      <c r="BX187" s="401"/>
      <c r="BY187" s="401"/>
      <c r="BZ187" s="401"/>
    </row>
    <row r="188" spans="1:78" s="405" customFormat="1" ht="15" customHeight="1" outlineLevel="1" thickBot="1" x14ac:dyDescent="0.3">
      <c r="A188" s="396"/>
      <c r="B188" s="725"/>
      <c r="C188" s="687"/>
      <c r="D188" s="690"/>
      <c r="E188" s="447" t="s">
        <v>97</v>
      </c>
      <c r="F188" s="448" t="e">
        <f t="shared" ref="F188:M188" si="118">IF(OR($C187="-",$C187="CET",$C187=""),"-",IF(AND(NOT(F187="-"),NOT(F$5="-"),NOT(F$5="")),F187/F$5,"-"))</f>
        <v>#N/A</v>
      </c>
      <c r="G188" s="448" t="e">
        <f t="shared" si="118"/>
        <v>#N/A</v>
      </c>
      <c r="H188" s="448" t="e">
        <f t="shared" si="118"/>
        <v>#N/A</v>
      </c>
      <c r="I188" s="448" t="e">
        <f t="shared" si="118"/>
        <v>#N/A</v>
      </c>
      <c r="J188" s="448" t="e">
        <f t="shared" si="118"/>
        <v>#N/A</v>
      </c>
      <c r="K188" s="449" t="e">
        <f t="shared" si="118"/>
        <v>#N/A</v>
      </c>
      <c r="L188" s="449" t="e">
        <f t="shared" si="118"/>
        <v>#N/A</v>
      </c>
      <c r="M188" s="449" t="e">
        <f t="shared" si="118"/>
        <v>#N/A</v>
      </c>
      <c r="N188" s="702"/>
      <c r="O188" s="672"/>
      <c r="P188" s="673"/>
      <c r="Q188" s="673"/>
      <c r="R188" s="673"/>
      <c r="S188" s="672"/>
      <c r="T188" s="673"/>
      <c r="U188" s="673"/>
      <c r="V188" s="674"/>
      <c r="W188" s="512"/>
      <c r="X188" s="512"/>
      <c r="Y188" s="678"/>
      <c r="Z188" s="678"/>
      <c r="AA188" s="678"/>
      <c r="AB188" s="678"/>
      <c r="AC188" s="678"/>
      <c r="AD188" s="678"/>
      <c r="AE188" s="678"/>
      <c r="AF188" s="678"/>
      <c r="AG188" s="678"/>
      <c r="AH188" s="678"/>
      <c r="AI188" s="401"/>
      <c r="AJ188" s="401"/>
      <c r="AK188" s="401"/>
      <c r="AL188" s="401"/>
      <c r="AM188" s="401"/>
      <c r="AN188" s="401"/>
      <c r="AO188" s="401"/>
      <c r="AP188" s="401"/>
      <c r="AQ188" s="401"/>
      <c r="AR188" s="401"/>
      <c r="AS188" s="401"/>
      <c r="AT188" s="401"/>
      <c r="AU188" s="401"/>
      <c r="AV188" s="401"/>
      <c r="AW188" s="401"/>
      <c r="AX188" s="401"/>
      <c r="AY188" s="401"/>
      <c r="AZ188" s="401"/>
      <c r="BA188" s="401"/>
      <c r="BB188" s="401"/>
      <c r="BC188" s="536"/>
      <c r="BD188" s="429" t="str">
        <f>"1st " &amp; B205</f>
        <v>1st Total (EMROAD)</v>
      </c>
      <c r="BE188" s="435" t="str">
        <f t="shared" ref="BE188:BL188" si="119">IF((OR($C207="-",$C207="CET",$C207="")),"-",IF(AND(OR(F205="-",F205=""),OR(F206="-",F206="")),"-",IF(NOT(OR(F205="-",F205="")),F205/F$5,F206/F$5)))</f>
        <v>-</v>
      </c>
      <c r="BF188" s="435" t="str">
        <f t="shared" si="119"/>
        <v>-</v>
      </c>
      <c r="BG188" s="435" t="str">
        <f t="shared" si="119"/>
        <v>-</v>
      </c>
      <c r="BH188" s="435" t="str">
        <f t="shared" si="119"/>
        <v>-</v>
      </c>
      <c r="BI188" s="435" t="str">
        <f t="shared" si="119"/>
        <v>-</v>
      </c>
      <c r="BJ188" s="435" t="str">
        <f t="shared" si="119"/>
        <v>-</v>
      </c>
      <c r="BK188" s="435" t="str">
        <f t="shared" si="119"/>
        <v>-</v>
      </c>
      <c r="BL188" s="435" t="str">
        <f t="shared" si="119"/>
        <v>-</v>
      </c>
      <c r="BU188" s="401"/>
      <c r="BV188" s="401"/>
      <c r="BW188" s="401"/>
      <c r="BX188" s="401"/>
      <c r="BY188" s="401"/>
      <c r="BZ188" s="401"/>
    </row>
    <row r="189" spans="1:78" s="405" customFormat="1" ht="15" customHeight="1" outlineLevel="1" thickBot="1" x14ac:dyDescent="0.3">
      <c r="A189" s="396"/>
      <c r="B189" s="726"/>
      <c r="C189" s="688"/>
      <c r="D189" s="691"/>
      <c r="E189" s="450" t="s">
        <v>30</v>
      </c>
      <c r="F189" s="451" t="str">
        <f t="shared" ref="F189:M189" si="120">IF(AND(OR(F185="-",F185=""),OR(F186="-",F186="")),"-",IF(OR($C187="-",$C187="",$C187="CET"),"-",IF($R$181="not listed","-",IF(NOT(F$5="-"),IF(AND(AND(NOT(F185=0),NOT(F185="-"),NOT(F185="")),AND(NOT(F186="-"),NOT(F186=0),NOT(F186=""))),IF(AND((F185+F186)/2&lt;1*F$5*IF(OR($C187="CET",$C187="-",$C187=""),"-",$C187),F185&lt;1.1*F$5*IF(OR($C187="CET",$C187="-",$C187=""),"-",$C187),F186&lt;1.1*F$5*IF(OR($C187="CET",$C187="-",$C187=""),"-",$C187)),"passed","refused"),IF(IF(OR(F185="-",F185=""),F186,F185)&lt;0.7*F$5*IF(OR($C187="CET",$C187="-",$C187=""),"-",$C187),"passed",IF(IF(OR(F185="-",F185=""),F186,F185)&lt;1.1*IF(OR($C187="CET",$C187="-",$C187=""),"-",$C187)*F$5,"failed","refused"))),"-"))))</f>
        <v>-</v>
      </c>
      <c r="G189" s="451" t="str">
        <f t="shared" si="120"/>
        <v>-</v>
      </c>
      <c r="H189" s="451" t="str">
        <f t="shared" si="120"/>
        <v>-</v>
      </c>
      <c r="I189" s="451" t="str">
        <f t="shared" si="120"/>
        <v>-</v>
      </c>
      <c r="J189" s="451" t="str">
        <f t="shared" si="120"/>
        <v>-</v>
      </c>
      <c r="K189" s="452" t="str">
        <f t="shared" si="120"/>
        <v>-</v>
      </c>
      <c r="L189" s="452" t="str">
        <f t="shared" si="120"/>
        <v>-</v>
      </c>
      <c r="M189" s="452" t="str">
        <f t="shared" si="120"/>
        <v>-</v>
      </c>
      <c r="N189" s="685"/>
      <c r="O189" s="672"/>
      <c r="P189" s="673"/>
      <c r="Q189" s="673"/>
      <c r="R189" s="673"/>
      <c r="S189" s="672"/>
      <c r="T189" s="673"/>
      <c r="U189" s="673"/>
      <c r="V189" s="674"/>
      <c r="W189" s="512"/>
      <c r="X189" s="512"/>
      <c r="Y189" s="678"/>
      <c r="Z189" s="678"/>
      <c r="AA189" s="678"/>
      <c r="AB189" s="678"/>
      <c r="AC189" s="678"/>
      <c r="AD189" s="678"/>
      <c r="AE189" s="678"/>
      <c r="AF189" s="678"/>
      <c r="AG189" s="678"/>
      <c r="AH189" s="678"/>
      <c r="AI189" s="401"/>
      <c r="AJ189" s="401"/>
      <c r="AK189" s="401"/>
      <c r="AL189" s="401"/>
      <c r="AM189" s="401"/>
      <c r="AN189" s="401"/>
      <c r="AO189" s="401"/>
      <c r="AP189" s="401"/>
      <c r="AQ189" s="401"/>
      <c r="AR189" s="401"/>
      <c r="AS189" s="401"/>
      <c r="AT189" s="401"/>
      <c r="AU189" s="401"/>
      <c r="AV189" s="401"/>
      <c r="AW189" s="401"/>
      <c r="AX189" s="401"/>
      <c r="AY189" s="401"/>
      <c r="AZ189" s="401"/>
      <c r="BA189" s="401"/>
      <c r="BB189" s="401"/>
      <c r="BC189" s="399" t="str">
        <f>IF(COUNTIF(F189:M189,"refused")&gt;0,"refused",IF(COUNTIF(F189:M189,"failed")&gt;0,"failed",IF(COUNTIF(F189:M189,"passed")&gt;0,"passed","-")))</f>
        <v>-</v>
      </c>
      <c r="BD189" s="429" t="str">
        <f>"1st " &amp; B210</f>
        <v>1st Total (SPF)</v>
      </c>
      <c r="BE189" s="435" t="str">
        <f t="shared" ref="BE189:BL189" si="121">IF((OR($C212="-",$C212="CET",$C212="")),"-",IF(AND(OR(F210="-",F210=""),OR(F211="-",F211="")),"-",IF(NOT(OR(F210="-",F210="")),F210/F$5,F211/F$5)))</f>
        <v>-</v>
      </c>
      <c r="BF189" s="435" t="str">
        <f t="shared" si="121"/>
        <v>-</v>
      </c>
      <c r="BG189" s="435" t="str">
        <f t="shared" si="121"/>
        <v>-</v>
      </c>
      <c r="BH189" s="435" t="str">
        <f t="shared" si="121"/>
        <v>-</v>
      </c>
      <c r="BI189" s="435" t="str">
        <f t="shared" si="121"/>
        <v>-</v>
      </c>
      <c r="BJ189" s="435" t="str">
        <f t="shared" si="121"/>
        <v>-</v>
      </c>
      <c r="BK189" s="435" t="str">
        <f t="shared" si="121"/>
        <v>-</v>
      </c>
      <c r="BL189" s="435" t="str">
        <f t="shared" si="121"/>
        <v>-</v>
      </c>
      <c r="BU189" s="401"/>
      <c r="BV189" s="401"/>
      <c r="BW189" s="401"/>
      <c r="BX189" s="401"/>
      <c r="BY189" s="401"/>
      <c r="BZ189" s="401"/>
    </row>
    <row r="190" spans="1:78" s="405" customFormat="1" ht="15" customHeight="1" outlineLevel="1" x14ac:dyDescent="0.25">
      <c r="A190" s="439"/>
      <c r="B190" s="724" t="s">
        <v>106</v>
      </c>
      <c r="C190" s="684" t="s">
        <v>114</v>
      </c>
      <c r="D190" s="684" t="s">
        <v>113</v>
      </c>
      <c r="E190" s="453" t="s">
        <v>94</v>
      </c>
      <c r="F190" s="473" t="s">
        <v>5</v>
      </c>
      <c r="G190" s="473" t="s">
        <v>5</v>
      </c>
      <c r="H190" s="473" t="s">
        <v>5</v>
      </c>
      <c r="I190" s="473" t="s">
        <v>5</v>
      </c>
      <c r="J190" s="473" t="s">
        <v>5</v>
      </c>
      <c r="K190" s="474" t="s">
        <v>5</v>
      </c>
      <c r="L190" s="474" t="s">
        <v>5</v>
      </c>
      <c r="M190" s="474" t="s">
        <v>5</v>
      </c>
      <c r="N190" s="473" t="s">
        <v>5</v>
      </c>
      <c r="O190" s="672"/>
      <c r="P190" s="673"/>
      <c r="Q190" s="673"/>
      <c r="R190" s="673"/>
      <c r="S190" s="672"/>
      <c r="T190" s="673"/>
      <c r="U190" s="673"/>
      <c r="V190" s="674"/>
      <c r="W190" s="443"/>
      <c r="X190" s="443"/>
      <c r="Y190" s="678"/>
      <c r="Z190" s="678"/>
      <c r="AA190" s="678"/>
      <c r="AB190" s="678"/>
      <c r="AC190" s="678"/>
      <c r="AD190" s="678"/>
      <c r="AE190" s="678"/>
      <c r="AF190" s="678"/>
      <c r="AG190" s="678"/>
      <c r="AH190" s="678"/>
      <c r="BC190" s="536"/>
      <c r="BD190" s="429" t="str">
        <f>"0.7*IEF " &amp; (B185)</f>
        <v>0.7*IEF City (unweighted)</v>
      </c>
      <c r="BE190" s="435">
        <f t="shared" ref="BE190:BL190" si="122">IF(OR($C187="-",$C187="CET",$C187=""),"-",0.7*$C187)</f>
        <v>2.8</v>
      </c>
      <c r="BF190" s="435">
        <f t="shared" si="122"/>
        <v>2.8</v>
      </c>
      <c r="BG190" s="435">
        <f t="shared" si="122"/>
        <v>2.8</v>
      </c>
      <c r="BH190" s="435">
        <f t="shared" si="122"/>
        <v>2.8</v>
      </c>
      <c r="BI190" s="435">
        <f t="shared" si="122"/>
        <v>2.8</v>
      </c>
      <c r="BJ190" s="435">
        <f t="shared" si="122"/>
        <v>2.8</v>
      </c>
      <c r="BK190" s="435">
        <f t="shared" si="122"/>
        <v>2.8</v>
      </c>
      <c r="BL190" s="435">
        <f t="shared" si="122"/>
        <v>2.8</v>
      </c>
    </row>
    <row r="191" spans="1:78" s="405" customFormat="1" ht="15" customHeight="1" outlineLevel="1" thickBot="1" x14ac:dyDescent="0.3">
      <c r="A191" s="396"/>
      <c r="B191" s="725"/>
      <c r="C191" s="702"/>
      <c r="D191" s="685"/>
      <c r="E191" s="440" t="s">
        <v>95</v>
      </c>
      <c r="F191" s="475" t="s">
        <v>5</v>
      </c>
      <c r="G191" s="475" t="s">
        <v>5</v>
      </c>
      <c r="H191" s="475" t="s">
        <v>5</v>
      </c>
      <c r="I191" s="475" t="s">
        <v>5</v>
      </c>
      <c r="J191" s="475" t="s">
        <v>5</v>
      </c>
      <c r="K191" s="476" t="s">
        <v>5</v>
      </c>
      <c r="L191" s="476" t="s">
        <v>5</v>
      </c>
      <c r="M191" s="476" t="s">
        <v>5</v>
      </c>
      <c r="N191" s="475" t="s">
        <v>5</v>
      </c>
      <c r="O191" s="672"/>
      <c r="P191" s="673"/>
      <c r="Q191" s="673"/>
      <c r="R191" s="673"/>
      <c r="S191" s="672"/>
      <c r="T191" s="673"/>
      <c r="U191" s="673"/>
      <c r="V191" s="674"/>
      <c r="W191" s="512"/>
      <c r="X191" s="512"/>
      <c r="Y191" s="678"/>
      <c r="Z191" s="678"/>
      <c r="AA191" s="678"/>
      <c r="AB191" s="678"/>
      <c r="AC191" s="678"/>
      <c r="AD191" s="678"/>
      <c r="AE191" s="678"/>
      <c r="AF191" s="678"/>
      <c r="AG191" s="678"/>
      <c r="AH191" s="678"/>
      <c r="AI191" s="401"/>
      <c r="AJ191" s="401"/>
      <c r="AK191" s="401"/>
      <c r="AL191" s="401"/>
      <c r="AM191" s="401"/>
      <c r="AN191" s="401"/>
      <c r="AO191" s="401"/>
      <c r="AP191" s="401"/>
      <c r="AQ191" s="401"/>
      <c r="AR191" s="401"/>
      <c r="AS191" s="401"/>
      <c r="AT191" s="401"/>
      <c r="AU191" s="401"/>
      <c r="AV191" s="401"/>
      <c r="AW191" s="401"/>
      <c r="AX191" s="401"/>
      <c r="AY191" s="401"/>
      <c r="AZ191" s="401"/>
      <c r="BA191" s="401"/>
      <c r="BB191" s="401"/>
      <c r="BC191" s="536"/>
      <c r="BD191" s="429" t="str">
        <f>"0.7*IEF " &amp; B190</f>
        <v>0.7*IEF City (EMROAD)</v>
      </c>
      <c r="BE191" s="435">
        <f t="shared" ref="BE191:BL191" si="123">IF(OR($C192="-",$C192="CET",$C192=""),"-",0.7*$C192)</f>
        <v>2.8</v>
      </c>
      <c r="BF191" s="435">
        <f t="shared" si="123"/>
        <v>2.8</v>
      </c>
      <c r="BG191" s="435">
        <f t="shared" si="123"/>
        <v>2.8</v>
      </c>
      <c r="BH191" s="435">
        <f t="shared" si="123"/>
        <v>2.8</v>
      </c>
      <c r="BI191" s="435">
        <f t="shared" si="123"/>
        <v>2.8</v>
      </c>
      <c r="BJ191" s="435">
        <f t="shared" si="123"/>
        <v>2.8</v>
      </c>
      <c r="BK191" s="435">
        <f t="shared" si="123"/>
        <v>2.8</v>
      </c>
      <c r="BL191" s="435">
        <f t="shared" si="123"/>
        <v>2.8</v>
      </c>
      <c r="BU191" s="401"/>
      <c r="BV191" s="401"/>
      <c r="BW191" s="401"/>
      <c r="BX191" s="401"/>
      <c r="BY191" s="401"/>
      <c r="BZ191" s="401"/>
    </row>
    <row r="192" spans="1:78" s="405" customFormat="1" ht="15" customHeight="1" outlineLevel="1" thickBot="1" x14ac:dyDescent="0.3">
      <c r="A192" s="396"/>
      <c r="B192" s="725"/>
      <c r="C192" s="686">
        <v>4</v>
      </c>
      <c r="D192" s="689" t="str">
        <f>IF(AND(F192="-",G192="-",H192="-",I192="-",J192="-",K192="-",L192="-",M192="-"),"-",MAX(F192,G192,H192,I192,J192,K192,L192,M192))</f>
        <v>-</v>
      </c>
      <c r="E192" s="444" t="s">
        <v>177</v>
      </c>
      <c r="F192" s="445" t="str">
        <f t="shared" ref="F192:M192" si="124">IF(OR(F191="-",F191=""),IF(OR(F190="-",F190=""),"-",F190),IF(OR(F190="-",F190=""),F191,(F190+F191)/2))</f>
        <v>-</v>
      </c>
      <c r="G192" s="445" t="str">
        <f t="shared" si="124"/>
        <v>-</v>
      </c>
      <c r="H192" s="445" t="str">
        <f t="shared" si="124"/>
        <v>-</v>
      </c>
      <c r="I192" s="445" t="str">
        <f t="shared" si="124"/>
        <v>-</v>
      </c>
      <c r="J192" s="445" t="str">
        <f t="shared" si="124"/>
        <v>-</v>
      </c>
      <c r="K192" s="446" t="str">
        <f t="shared" si="124"/>
        <v>-</v>
      </c>
      <c r="L192" s="446" t="str">
        <f t="shared" si="124"/>
        <v>-</v>
      </c>
      <c r="M192" s="446" t="str">
        <f t="shared" si="124"/>
        <v>-</v>
      </c>
      <c r="N192" s="828"/>
      <c r="O192" s="672"/>
      <c r="P192" s="673"/>
      <c r="Q192" s="673"/>
      <c r="R192" s="673"/>
      <c r="S192" s="672"/>
      <c r="T192" s="673"/>
      <c r="U192" s="673"/>
      <c r="V192" s="674"/>
      <c r="W192" s="512"/>
      <c r="X192" s="512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401"/>
      <c r="AJ192" s="401"/>
      <c r="AK192" s="401"/>
      <c r="AL192" s="401"/>
      <c r="AM192" s="401"/>
      <c r="AN192" s="401"/>
      <c r="AO192" s="401"/>
      <c r="AP192" s="401"/>
      <c r="AQ192" s="401"/>
      <c r="AR192" s="401"/>
      <c r="AS192" s="401"/>
      <c r="AT192" s="401"/>
      <c r="AU192" s="401"/>
      <c r="AV192" s="401"/>
      <c r="AW192" s="401"/>
      <c r="AX192" s="401"/>
      <c r="AY192" s="401"/>
      <c r="AZ192" s="401"/>
      <c r="BA192" s="401"/>
      <c r="BB192" s="401"/>
      <c r="BC192" s="536"/>
      <c r="BD192" s="429" t="str">
        <f>"0.7*IEF " &amp; B195</f>
        <v>0.7*IEF City
 (SPF)</v>
      </c>
      <c r="BE192" s="435">
        <f t="shared" ref="BE192:BL192" si="125">IF(OR($C197="-",$C197="CET",$C197=""),"-",0.7*$C197)</f>
        <v>2.8</v>
      </c>
      <c r="BF192" s="435">
        <f t="shared" si="125"/>
        <v>2.8</v>
      </c>
      <c r="BG192" s="435">
        <f t="shared" si="125"/>
        <v>2.8</v>
      </c>
      <c r="BH192" s="435">
        <f t="shared" si="125"/>
        <v>2.8</v>
      </c>
      <c r="BI192" s="435">
        <f t="shared" si="125"/>
        <v>2.8</v>
      </c>
      <c r="BJ192" s="435">
        <f t="shared" si="125"/>
        <v>2.8</v>
      </c>
      <c r="BK192" s="435">
        <f t="shared" si="125"/>
        <v>2.8</v>
      </c>
      <c r="BL192" s="435">
        <f t="shared" si="125"/>
        <v>2.8</v>
      </c>
      <c r="BU192" s="401"/>
      <c r="BV192" s="401"/>
      <c r="BW192" s="401"/>
      <c r="BX192" s="401"/>
      <c r="BY192" s="401"/>
      <c r="BZ192" s="401"/>
    </row>
    <row r="193" spans="1:78" s="405" customFormat="1" ht="15" customHeight="1" outlineLevel="1" thickBot="1" x14ac:dyDescent="0.3">
      <c r="A193" s="404"/>
      <c r="B193" s="725"/>
      <c r="C193" s="687"/>
      <c r="D193" s="690"/>
      <c r="E193" s="447" t="s">
        <v>97</v>
      </c>
      <c r="F193" s="448" t="e">
        <f t="shared" ref="F193:M193" si="126">IF(OR($C192="-",$C192="CET",$C192=""),"-",IF(AND(NOT(F192="-"),NOT(F$5="-"),NOT(F$5="")),F192/F$5,"-"))</f>
        <v>#N/A</v>
      </c>
      <c r="G193" s="448" t="e">
        <f t="shared" si="126"/>
        <v>#N/A</v>
      </c>
      <c r="H193" s="448" t="e">
        <f>IF(OR($C192="-",$C192="CET",$C192=""),"-",IF(AND(NOT(H192="-"),NOT(H$5="-"),NOT(H$5="")),H192/H$5,"-"))</f>
        <v>#N/A</v>
      </c>
      <c r="I193" s="448" t="e">
        <f t="shared" si="126"/>
        <v>#N/A</v>
      </c>
      <c r="J193" s="448" t="e">
        <f t="shared" si="126"/>
        <v>#N/A</v>
      </c>
      <c r="K193" s="449" t="e">
        <f t="shared" si="126"/>
        <v>#N/A</v>
      </c>
      <c r="L193" s="449" t="e">
        <f t="shared" si="126"/>
        <v>#N/A</v>
      </c>
      <c r="M193" s="449" t="e">
        <f t="shared" si="126"/>
        <v>#N/A</v>
      </c>
      <c r="N193" s="702"/>
      <c r="O193" s="672"/>
      <c r="P193" s="673"/>
      <c r="Q193" s="673"/>
      <c r="R193" s="673"/>
      <c r="S193" s="672"/>
      <c r="T193" s="673"/>
      <c r="U193" s="673"/>
      <c r="V193" s="674"/>
      <c r="W193" s="512"/>
      <c r="X193" s="512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401"/>
      <c r="AJ193" s="401"/>
      <c r="AK193" s="401"/>
      <c r="AL193" s="401"/>
      <c r="AM193" s="401"/>
      <c r="AN193" s="401"/>
      <c r="AO193" s="401"/>
      <c r="AP193" s="401"/>
      <c r="AQ193" s="401"/>
      <c r="AR193" s="401"/>
      <c r="AS193" s="401"/>
      <c r="AT193" s="401"/>
      <c r="AU193" s="401"/>
      <c r="AV193" s="401"/>
      <c r="AW193" s="401"/>
      <c r="AX193" s="401"/>
      <c r="AY193" s="401"/>
      <c r="AZ193" s="401"/>
      <c r="BA193" s="401"/>
      <c r="BB193" s="401"/>
      <c r="BC193" s="536"/>
      <c r="BD193" s="429" t="str">
        <f>"0.7*IEF " &amp; B200</f>
        <v>0.7*IEF Total (unweighted)</v>
      </c>
      <c r="BE193" s="435">
        <f t="shared" ref="BE193:BL193" si="127">IF(OR($C202="-",$C202="CET",$C202=""),"-",0.7*$C202)</f>
        <v>2.8</v>
      </c>
      <c r="BF193" s="435">
        <f t="shared" si="127"/>
        <v>2.8</v>
      </c>
      <c r="BG193" s="435">
        <f t="shared" si="127"/>
        <v>2.8</v>
      </c>
      <c r="BH193" s="435">
        <f t="shared" si="127"/>
        <v>2.8</v>
      </c>
      <c r="BI193" s="435">
        <f t="shared" si="127"/>
        <v>2.8</v>
      </c>
      <c r="BJ193" s="435">
        <f t="shared" si="127"/>
        <v>2.8</v>
      </c>
      <c r="BK193" s="435">
        <f t="shared" si="127"/>
        <v>2.8</v>
      </c>
      <c r="BL193" s="435">
        <f t="shared" si="127"/>
        <v>2.8</v>
      </c>
      <c r="BU193" s="401"/>
      <c r="BV193" s="401"/>
      <c r="BW193" s="401"/>
      <c r="BX193" s="401"/>
      <c r="BY193" s="401"/>
      <c r="BZ193" s="401"/>
    </row>
    <row r="194" spans="1:78" s="405" customFormat="1" ht="15" customHeight="1" outlineLevel="1" thickBot="1" x14ac:dyDescent="0.3">
      <c r="A194" s="404"/>
      <c r="B194" s="726"/>
      <c r="C194" s="688"/>
      <c r="D194" s="691"/>
      <c r="E194" s="451" t="s">
        <v>30</v>
      </c>
      <c r="F194" s="451" t="str">
        <f t="shared" ref="F194:M194" si="128">IF(AND(OR(F190="-",F190=""),OR(F191="-",F191="")),"-",IF(OR($C192="-",$C192="",$C192="CET"),"-",IF($R$181="not listed","-",IF(NOT(F$5="-"),IF(AND(AND(NOT(F190=0),NOT(F190="-"),NOT(F190="")),AND(NOT(F191="-"),NOT(F191=0),NOT(F191=""))),IF(AND((F190+F191)/2&lt;1*F$5*IF(OR($C192="CET",$C192="-",$C192=""),"-",$C192),F190&lt;1.1*F$5*IF(OR($C192="CET",$C192="-",$C192=""),"-",$C192),F191&lt;1.1*F$5*IF(OR($C192="CET",$C192="-",$C192=""),"-",$C192)),"passed","refused"),IF(IF(OR(F190="-",F190=""),F191,F190)&lt;0.7*F$5*IF(OR($C192="CET",$C192="-",$C192=""),"-",$C192),"passed",IF(IF(OR(F190="-",F190=""),F191,F190)&lt;1.1*IF(OR($C192="CET",$C192="-",$C192=""),"-",$C192)*F$5,"failed","refused"))),"-"))))</f>
        <v>-</v>
      </c>
      <c r="G194" s="451" t="str">
        <f t="shared" si="128"/>
        <v>-</v>
      </c>
      <c r="H194" s="451" t="str">
        <f t="shared" si="128"/>
        <v>-</v>
      </c>
      <c r="I194" s="451" t="str">
        <f t="shared" si="128"/>
        <v>-</v>
      </c>
      <c r="J194" s="451" t="str">
        <f t="shared" si="128"/>
        <v>-</v>
      </c>
      <c r="K194" s="452" t="str">
        <f t="shared" si="128"/>
        <v>-</v>
      </c>
      <c r="L194" s="452" t="str">
        <f t="shared" si="128"/>
        <v>-</v>
      </c>
      <c r="M194" s="452" t="str">
        <f t="shared" si="128"/>
        <v>-</v>
      </c>
      <c r="N194" s="685"/>
      <c r="O194" s="672"/>
      <c r="P194" s="673"/>
      <c r="Q194" s="673"/>
      <c r="R194" s="673"/>
      <c r="S194" s="672"/>
      <c r="T194" s="673"/>
      <c r="U194" s="673"/>
      <c r="V194" s="674"/>
      <c r="W194" s="512"/>
      <c r="X194" s="512"/>
      <c r="Y194" s="678"/>
      <c r="Z194" s="678"/>
      <c r="AA194" s="678"/>
      <c r="AB194" s="678"/>
      <c r="AC194" s="678"/>
      <c r="AD194" s="678"/>
      <c r="AE194" s="678"/>
      <c r="AF194" s="678"/>
      <c r="AG194" s="678"/>
      <c r="AH194" s="678"/>
      <c r="AI194" s="401"/>
      <c r="AJ194" s="401"/>
      <c r="AK194" s="401"/>
      <c r="AL194" s="401"/>
      <c r="AM194" s="401"/>
      <c r="AN194" s="401"/>
      <c r="AO194" s="401"/>
      <c r="AP194" s="401"/>
      <c r="AQ194" s="401"/>
      <c r="AR194" s="401"/>
      <c r="AS194" s="401"/>
      <c r="AT194" s="401"/>
      <c r="AU194" s="401"/>
      <c r="AV194" s="401"/>
      <c r="AW194" s="401"/>
      <c r="AX194" s="401"/>
      <c r="AY194" s="401"/>
      <c r="AZ194" s="401"/>
      <c r="BA194" s="401"/>
      <c r="BB194" s="401"/>
      <c r="BC194" s="399" t="str">
        <f>IF(COUNTIF(F194:M194,"refused")&gt;0,"refused",IF(COUNTIF(F194:M194,"failed")&gt;0,"failed",IF(COUNTIF(F194:M194,"passed")&gt;0,"passed","-")))</f>
        <v>-</v>
      </c>
      <c r="BD194" s="429" t="str">
        <f>"0.7*IEF " &amp; B205</f>
        <v>0.7*IEF Total (EMROAD)</v>
      </c>
      <c r="BE194" s="435">
        <f t="shared" ref="BE194:BL194" si="129">IF(OR($C207="-",$C207="CET",$C207=""),"-",0.7*$C207)</f>
        <v>2.8</v>
      </c>
      <c r="BF194" s="435">
        <f t="shared" si="129"/>
        <v>2.8</v>
      </c>
      <c r="BG194" s="435">
        <f t="shared" si="129"/>
        <v>2.8</v>
      </c>
      <c r="BH194" s="435">
        <f t="shared" si="129"/>
        <v>2.8</v>
      </c>
      <c r="BI194" s="435">
        <f t="shared" si="129"/>
        <v>2.8</v>
      </c>
      <c r="BJ194" s="435">
        <f t="shared" si="129"/>
        <v>2.8</v>
      </c>
      <c r="BK194" s="435">
        <f t="shared" si="129"/>
        <v>2.8</v>
      </c>
      <c r="BL194" s="435">
        <f t="shared" si="129"/>
        <v>2.8</v>
      </c>
      <c r="BU194" s="401"/>
      <c r="BV194" s="401"/>
      <c r="BW194" s="401"/>
      <c r="BX194" s="401"/>
      <c r="BY194" s="401"/>
      <c r="BZ194" s="401"/>
    </row>
    <row r="195" spans="1:78" s="405" customFormat="1" ht="15" customHeight="1" outlineLevel="1" x14ac:dyDescent="0.25">
      <c r="A195" s="454"/>
      <c r="B195" s="718" t="s">
        <v>141</v>
      </c>
      <c r="C195" s="684" t="s">
        <v>114</v>
      </c>
      <c r="D195" s="684" t="s">
        <v>113</v>
      </c>
      <c r="E195" s="453" t="s">
        <v>94</v>
      </c>
      <c r="F195" s="473" t="s">
        <v>5</v>
      </c>
      <c r="G195" s="473" t="s">
        <v>5</v>
      </c>
      <c r="H195" s="473" t="s">
        <v>5</v>
      </c>
      <c r="I195" s="473" t="s">
        <v>5</v>
      </c>
      <c r="J195" s="473" t="s">
        <v>5</v>
      </c>
      <c r="K195" s="474" t="s">
        <v>5</v>
      </c>
      <c r="L195" s="474" t="s">
        <v>5</v>
      </c>
      <c r="M195" s="474" t="s">
        <v>5</v>
      </c>
      <c r="N195" s="473" t="s">
        <v>5</v>
      </c>
      <c r="O195" s="672"/>
      <c r="P195" s="673"/>
      <c r="Q195" s="673"/>
      <c r="R195" s="673"/>
      <c r="S195" s="672"/>
      <c r="T195" s="673"/>
      <c r="U195" s="673"/>
      <c r="V195" s="674"/>
      <c r="W195" s="443"/>
      <c r="X195" s="443"/>
      <c r="Y195" s="678"/>
      <c r="Z195" s="678"/>
      <c r="AA195" s="678"/>
      <c r="AB195" s="678"/>
      <c r="AC195" s="678"/>
      <c r="AD195" s="678"/>
      <c r="AE195" s="678"/>
      <c r="AF195" s="678"/>
      <c r="AG195" s="678"/>
      <c r="AH195" s="678"/>
      <c r="BC195" s="536"/>
      <c r="BD195" s="429" t="str">
        <f>"0.7*IEF " &amp; B210</f>
        <v>0.7*IEF Total (SPF)</v>
      </c>
      <c r="BE195" s="435">
        <f t="shared" ref="BE195:BL195" si="130">IF(OR($C212="-",$C212="CET",$C212=""),"-",0.7*$C212)</f>
        <v>2.8</v>
      </c>
      <c r="BF195" s="435">
        <f t="shared" si="130"/>
        <v>2.8</v>
      </c>
      <c r="BG195" s="435">
        <f t="shared" si="130"/>
        <v>2.8</v>
      </c>
      <c r="BH195" s="435">
        <f t="shared" si="130"/>
        <v>2.8</v>
      </c>
      <c r="BI195" s="435">
        <f t="shared" si="130"/>
        <v>2.8</v>
      </c>
      <c r="BJ195" s="435">
        <f t="shared" si="130"/>
        <v>2.8</v>
      </c>
      <c r="BK195" s="435">
        <f t="shared" si="130"/>
        <v>2.8</v>
      </c>
      <c r="BL195" s="435">
        <f t="shared" si="130"/>
        <v>2.8</v>
      </c>
    </row>
    <row r="196" spans="1:78" s="405" customFormat="1" ht="15" customHeight="1" outlineLevel="1" thickBot="1" x14ac:dyDescent="0.3">
      <c r="A196" s="404"/>
      <c r="B196" s="719"/>
      <c r="C196" s="702"/>
      <c r="D196" s="685"/>
      <c r="E196" s="440" t="s">
        <v>95</v>
      </c>
      <c r="F196" s="475" t="s">
        <v>5</v>
      </c>
      <c r="G196" s="475" t="s">
        <v>5</v>
      </c>
      <c r="H196" s="475" t="s">
        <v>5</v>
      </c>
      <c r="I196" s="475" t="s">
        <v>5</v>
      </c>
      <c r="J196" s="475" t="s">
        <v>5</v>
      </c>
      <c r="K196" s="476" t="s">
        <v>5</v>
      </c>
      <c r="L196" s="476" t="s">
        <v>5</v>
      </c>
      <c r="M196" s="476" t="s">
        <v>5</v>
      </c>
      <c r="N196" s="475" t="s">
        <v>5</v>
      </c>
      <c r="O196" s="672"/>
      <c r="P196" s="673"/>
      <c r="Q196" s="673"/>
      <c r="R196" s="673"/>
      <c r="S196" s="672"/>
      <c r="T196" s="673"/>
      <c r="U196" s="673"/>
      <c r="V196" s="674"/>
      <c r="W196" s="512"/>
      <c r="X196" s="512"/>
      <c r="Y196" s="678"/>
      <c r="Z196" s="678"/>
      <c r="AA196" s="678"/>
      <c r="AB196" s="678"/>
      <c r="AC196" s="678"/>
      <c r="AD196" s="678"/>
      <c r="AE196" s="678"/>
      <c r="AF196" s="678"/>
      <c r="AG196" s="678"/>
      <c r="AH196" s="678"/>
      <c r="AI196" s="401"/>
      <c r="AJ196" s="401"/>
      <c r="AK196" s="401"/>
      <c r="AL196" s="401"/>
      <c r="AM196" s="401"/>
      <c r="AN196" s="401"/>
      <c r="AO196" s="401"/>
      <c r="AP196" s="401"/>
      <c r="AQ196" s="401"/>
      <c r="AR196" s="401"/>
      <c r="AS196" s="401"/>
      <c r="AT196" s="401"/>
      <c r="AU196" s="401"/>
      <c r="AV196" s="401"/>
      <c r="AW196" s="401"/>
      <c r="AX196" s="401"/>
      <c r="AY196" s="401"/>
      <c r="AZ196" s="401"/>
      <c r="BA196" s="401"/>
      <c r="BB196" s="401"/>
      <c r="BC196" s="536"/>
      <c r="BD196" s="429" t="str">
        <f>$B185</f>
        <v>City (unweighted)</v>
      </c>
      <c r="BE196" s="435" t="e">
        <f t="shared" ref="BE196:BL196" si="131">F188</f>
        <v>#N/A</v>
      </c>
      <c r="BF196" s="435" t="e">
        <f t="shared" si="131"/>
        <v>#N/A</v>
      </c>
      <c r="BG196" s="435" t="e">
        <f t="shared" si="131"/>
        <v>#N/A</v>
      </c>
      <c r="BH196" s="435" t="e">
        <f t="shared" si="131"/>
        <v>#N/A</v>
      </c>
      <c r="BI196" s="435" t="e">
        <f t="shared" si="131"/>
        <v>#N/A</v>
      </c>
      <c r="BJ196" s="435" t="e">
        <f t="shared" si="131"/>
        <v>#N/A</v>
      </c>
      <c r="BK196" s="435" t="e">
        <f t="shared" si="131"/>
        <v>#N/A</v>
      </c>
      <c r="BL196" s="435" t="e">
        <f t="shared" si="131"/>
        <v>#N/A</v>
      </c>
      <c r="BU196" s="401"/>
      <c r="BV196" s="401"/>
      <c r="BW196" s="401"/>
      <c r="BX196" s="401"/>
      <c r="BY196" s="401"/>
      <c r="BZ196" s="401"/>
    </row>
    <row r="197" spans="1:78" s="405" customFormat="1" ht="15" customHeight="1" outlineLevel="1" thickBot="1" x14ac:dyDescent="0.3">
      <c r="A197" s="404"/>
      <c r="B197" s="719"/>
      <c r="C197" s="686">
        <v>4</v>
      </c>
      <c r="D197" s="689" t="str">
        <f>IF(AND(F197="-",G197="-",H197="-",I197="-",J197="-",K197="-",L197="-",M197="-"),"-",MAX(F197,G197,H197,I197,J197,K197,L197,M197))</f>
        <v>-</v>
      </c>
      <c r="E197" s="444" t="s">
        <v>177</v>
      </c>
      <c r="F197" s="445" t="str">
        <f t="shared" ref="F197:M197" si="132">IF(OR(F196="-",F196=""),IF(OR(F195="-",F195=""),"-",F195),IF(OR(F195="-",F195=""),F196,(F195+F196)/2))</f>
        <v>-</v>
      </c>
      <c r="G197" s="445" t="str">
        <f t="shared" si="132"/>
        <v>-</v>
      </c>
      <c r="H197" s="445" t="str">
        <f t="shared" si="132"/>
        <v>-</v>
      </c>
      <c r="I197" s="445" t="str">
        <f t="shared" si="132"/>
        <v>-</v>
      </c>
      <c r="J197" s="445" t="str">
        <f t="shared" si="132"/>
        <v>-</v>
      </c>
      <c r="K197" s="446" t="str">
        <f t="shared" si="132"/>
        <v>-</v>
      </c>
      <c r="L197" s="446" t="str">
        <f t="shared" si="132"/>
        <v>-</v>
      </c>
      <c r="M197" s="446" t="str">
        <f t="shared" si="132"/>
        <v>-</v>
      </c>
      <c r="N197" s="828"/>
      <c r="O197" s="672"/>
      <c r="P197" s="673"/>
      <c r="Q197" s="673"/>
      <c r="R197" s="673"/>
      <c r="S197" s="672"/>
      <c r="T197" s="673"/>
      <c r="U197" s="673"/>
      <c r="V197" s="674"/>
      <c r="W197" s="512"/>
      <c r="X197" s="512"/>
      <c r="Y197" s="678"/>
      <c r="Z197" s="678"/>
      <c r="AA197" s="678"/>
      <c r="AB197" s="678"/>
      <c r="AC197" s="678"/>
      <c r="AD197" s="678"/>
      <c r="AE197" s="678"/>
      <c r="AF197" s="678"/>
      <c r="AG197" s="678"/>
      <c r="AH197" s="678"/>
      <c r="AI197" s="401"/>
      <c r="AJ197" s="401"/>
      <c r="AK197" s="401"/>
      <c r="AL197" s="401"/>
      <c r="AM197" s="401"/>
      <c r="AN197" s="401"/>
      <c r="AO197" s="401"/>
      <c r="AP197" s="401"/>
      <c r="AQ197" s="401"/>
      <c r="AR197" s="401"/>
      <c r="AS197" s="401"/>
      <c r="AT197" s="401"/>
      <c r="AU197" s="401"/>
      <c r="AV197" s="401"/>
      <c r="AW197" s="401"/>
      <c r="AX197" s="401"/>
      <c r="AY197" s="401"/>
      <c r="AZ197" s="401"/>
      <c r="BA197" s="401"/>
      <c r="BB197" s="401"/>
      <c r="BC197" s="536"/>
      <c r="BD197" s="429" t="str">
        <f>$B190</f>
        <v>City (EMROAD)</v>
      </c>
      <c r="BE197" s="435" t="e">
        <f t="shared" ref="BE197:BL197" si="133">F193</f>
        <v>#N/A</v>
      </c>
      <c r="BF197" s="435" t="e">
        <f t="shared" si="133"/>
        <v>#N/A</v>
      </c>
      <c r="BG197" s="435" t="e">
        <f t="shared" si="133"/>
        <v>#N/A</v>
      </c>
      <c r="BH197" s="435" t="e">
        <f t="shared" si="133"/>
        <v>#N/A</v>
      </c>
      <c r="BI197" s="435" t="e">
        <f t="shared" si="133"/>
        <v>#N/A</v>
      </c>
      <c r="BJ197" s="435" t="e">
        <f t="shared" si="133"/>
        <v>#N/A</v>
      </c>
      <c r="BK197" s="435" t="e">
        <f t="shared" si="133"/>
        <v>#N/A</v>
      </c>
      <c r="BL197" s="435" t="e">
        <f t="shared" si="133"/>
        <v>#N/A</v>
      </c>
      <c r="BU197" s="401"/>
      <c r="BV197" s="401"/>
      <c r="BW197" s="401"/>
      <c r="BX197" s="401"/>
      <c r="BY197" s="401"/>
      <c r="BZ197" s="401"/>
    </row>
    <row r="198" spans="1:78" s="405" customFormat="1" ht="15" customHeight="1" outlineLevel="1" thickBot="1" x14ac:dyDescent="0.3">
      <c r="A198" s="404"/>
      <c r="B198" s="719"/>
      <c r="C198" s="687"/>
      <c r="D198" s="690"/>
      <c r="E198" s="447" t="s">
        <v>97</v>
      </c>
      <c r="F198" s="448" t="e">
        <f t="shared" ref="F198:M198" si="134">IF(OR($C197="-",$C197="CET",$C197=""),"-",IF(AND(NOT(F197="-"),NOT(F$5="-"),NOT(F$5="")),F197/F$5,"-"))</f>
        <v>#N/A</v>
      </c>
      <c r="G198" s="448" t="e">
        <f t="shared" si="134"/>
        <v>#N/A</v>
      </c>
      <c r="H198" s="448" t="e">
        <f t="shared" si="134"/>
        <v>#N/A</v>
      </c>
      <c r="I198" s="448" t="e">
        <f t="shared" si="134"/>
        <v>#N/A</v>
      </c>
      <c r="J198" s="448" t="e">
        <f t="shared" si="134"/>
        <v>#N/A</v>
      </c>
      <c r="K198" s="449" t="e">
        <f t="shared" si="134"/>
        <v>#N/A</v>
      </c>
      <c r="L198" s="449" t="e">
        <f t="shared" si="134"/>
        <v>#N/A</v>
      </c>
      <c r="M198" s="449" t="e">
        <f t="shared" si="134"/>
        <v>#N/A</v>
      </c>
      <c r="N198" s="702"/>
      <c r="O198" s="672"/>
      <c r="P198" s="673"/>
      <c r="Q198" s="673"/>
      <c r="R198" s="673"/>
      <c r="S198" s="672"/>
      <c r="T198" s="673"/>
      <c r="U198" s="673"/>
      <c r="V198" s="674"/>
      <c r="W198" s="512"/>
      <c r="X198" s="512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401"/>
      <c r="AJ198" s="401"/>
      <c r="AK198" s="401"/>
      <c r="AL198" s="401"/>
      <c r="AM198" s="401"/>
      <c r="AN198" s="401"/>
      <c r="AO198" s="401"/>
      <c r="AP198" s="401"/>
      <c r="AQ198" s="401"/>
      <c r="AR198" s="401"/>
      <c r="AS198" s="401"/>
      <c r="AT198" s="401"/>
      <c r="AU198" s="401"/>
      <c r="AV198" s="401"/>
      <c r="AW198" s="401"/>
      <c r="AX198" s="401"/>
      <c r="AY198" s="401"/>
      <c r="AZ198" s="401"/>
      <c r="BA198" s="401"/>
      <c r="BB198" s="401"/>
      <c r="BC198" s="536"/>
      <c r="BD198" s="429" t="str">
        <f>$B195</f>
        <v>City
 (SPF)</v>
      </c>
      <c r="BE198" s="435" t="e">
        <f t="shared" ref="BE198:BL198" si="135">F198</f>
        <v>#N/A</v>
      </c>
      <c r="BF198" s="435" t="e">
        <f t="shared" si="135"/>
        <v>#N/A</v>
      </c>
      <c r="BG198" s="435" t="e">
        <f t="shared" si="135"/>
        <v>#N/A</v>
      </c>
      <c r="BH198" s="435" t="e">
        <f t="shared" si="135"/>
        <v>#N/A</v>
      </c>
      <c r="BI198" s="435" t="e">
        <f t="shared" si="135"/>
        <v>#N/A</v>
      </c>
      <c r="BJ198" s="435" t="e">
        <f t="shared" si="135"/>
        <v>#N/A</v>
      </c>
      <c r="BK198" s="435" t="e">
        <f t="shared" si="135"/>
        <v>#N/A</v>
      </c>
      <c r="BL198" s="435" t="e">
        <f t="shared" si="135"/>
        <v>#N/A</v>
      </c>
      <c r="BU198" s="401"/>
      <c r="BV198" s="401"/>
      <c r="BW198" s="401"/>
      <c r="BX198" s="401"/>
      <c r="BY198" s="401"/>
      <c r="BZ198" s="401"/>
    </row>
    <row r="199" spans="1:78" s="405" customFormat="1" ht="15" customHeight="1" outlineLevel="1" thickBot="1" x14ac:dyDescent="0.3">
      <c r="A199" s="404"/>
      <c r="B199" s="720"/>
      <c r="C199" s="688"/>
      <c r="D199" s="691"/>
      <c r="E199" s="451" t="s">
        <v>30</v>
      </c>
      <c r="F199" s="451" t="str">
        <f t="shared" ref="F199:M199" si="136">IF(AND(OR(F195="-",F195=""),OR(F196="-",F196="")),"-",IF(OR($C197="-",$C197="",$C197="CET"),"-",IF($R$181="not listed","-",IF(NOT(F$5="-"),IF(AND(AND(NOT(F195=0),NOT(F195="-"),NOT(F195="")),AND(NOT(F196="-"),NOT(F196=0),NOT(F196=""))),IF(AND((F195+F196)/2&lt;1*F$5*IF(OR($C197="CET",$C197="-",$C197=""),"-",$C197),F195&lt;1.1*F$5*IF(OR($C197="CET",$C197="-",$C197=""),"-",$C197),F196&lt;1.1*F$5*IF(OR($C197="CET",$C197="-",$C197=""),"-",$C197)),"passed","refused"),IF(IF(OR(F195="-",F195=""),F196,F195)&lt;0.7*F$5*IF(OR($C197="CET",$C197="-",$C197=""),"-",$C197),"passed",IF(IF(OR(F195="-",F195=""),F196,F195)&lt;1.1*IF(OR($C197="CET",$C197="-",$C197=""),"-",$C197)*F$5,"failed","refused"))),"-"))))</f>
        <v>-</v>
      </c>
      <c r="G199" s="451" t="str">
        <f t="shared" si="136"/>
        <v>-</v>
      </c>
      <c r="H199" s="451" t="str">
        <f t="shared" si="136"/>
        <v>-</v>
      </c>
      <c r="I199" s="451" t="str">
        <f t="shared" si="136"/>
        <v>-</v>
      </c>
      <c r="J199" s="451" t="str">
        <f t="shared" si="136"/>
        <v>-</v>
      </c>
      <c r="K199" s="452" t="str">
        <f t="shared" si="136"/>
        <v>-</v>
      </c>
      <c r="L199" s="452" t="str">
        <f t="shared" si="136"/>
        <v>-</v>
      </c>
      <c r="M199" s="452" t="str">
        <f t="shared" si="136"/>
        <v>-</v>
      </c>
      <c r="N199" s="685"/>
      <c r="O199" s="672"/>
      <c r="P199" s="673"/>
      <c r="Q199" s="673"/>
      <c r="R199" s="673"/>
      <c r="S199" s="672"/>
      <c r="T199" s="673"/>
      <c r="U199" s="673"/>
      <c r="V199" s="674"/>
      <c r="W199" s="512"/>
      <c r="X199" s="512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401"/>
      <c r="AJ199" s="401"/>
      <c r="AK199" s="401"/>
      <c r="AL199" s="401"/>
      <c r="AM199" s="401"/>
      <c r="AN199" s="401"/>
      <c r="AO199" s="401"/>
      <c r="AP199" s="401"/>
      <c r="AQ199" s="401"/>
      <c r="AR199" s="401"/>
      <c r="AS199" s="401"/>
      <c r="AT199" s="401"/>
      <c r="AU199" s="401"/>
      <c r="AV199" s="401"/>
      <c r="AW199" s="401"/>
      <c r="AX199" s="401"/>
      <c r="AY199" s="401"/>
      <c r="AZ199" s="401"/>
      <c r="BA199" s="401"/>
      <c r="BB199" s="401"/>
      <c r="BC199" s="399" t="str">
        <f>IF(COUNTIF(F199:M199,"refused")&gt;0,"refused",IF(COUNTIF(F199:M199,"failed")&gt;0,"failed",IF(COUNTIF(F199:M199,"passed")&gt;0,"passed","-")))</f>
        <v>-</v>
      </c>
      <c r="BD199" s="429" t="str">
        <f>$B200</f>
        <v>Total (unweighted)</v>
      </c>
      <c r="BE199" s="435" t="e">
        <f t="shared" ref="BE199:BL199" si="137">F203</f>
        <v>#N/A</v>
      </c>
      <c r="BF199" s="435" t="e">
        <f t="shared" si="137"/>
        <v>#N/A</v>
      </c>
      <c r="BG199" s="435" t="e">
        <f t="shared" si="137"/>
        <v>#N/A</v>
      </c>
      <c r="BH199" s="435" t="e">
        <f t="shared" si="137"/>
        <v>#N/A</v>
      </c>
      <c r="BI199" s="435" t="e">
        <f t="shared" si="137"/>
        <v>#N/A</v>
      </c>
      <c r="BJ199" s="435" t="e">
        <f t="shared" si="137"/>
        <v>#N/A</v>
      </c>
      <c r="BK199" s="435" t="e">
        <f t="shared" si="137"/>
        <v>#N/A</v>
      </c>
      <c r="BL199" s="435" t="e">
        <f t="shared" si="137"/>
        <v>#N/A</v>
      </c>
      <c r="BU199" s="401"/>
      <c r="BV199" s="401"/>
      <c r="BW199" s="401"/>
      <c r="BX199" s="401"/>
      <c r="BY199" s="401"/>
      <c r="BZ199" s="401"/>
    </row>
    <row r="200" spans="1:78" s="405" customFormat="1" ht="15" customHeight="1" outlineLevel="1" x14ac:dyDescent="0.25">
      <c r="A200" s="454"/>
      <c r="B200" s="724" t="s">
        <v>105</v>
      </c>
      <c r="C200" s="684" t="s">
        <v>114</v>
      </c>
      <c r="D200" s="684" t="s">
        <v>113</v>
      </c>
      <c r="E200" s="453" t="s">
        <v>94</v>
      </c>
      <c r="F200" s="473" t="s">
        <v>5</v>
      </c>
      <c r="G200" s="473" t="s">
        <v>5</v>
      </c>
      <c r="H200" s="473" t="s">
        <v>5</v>
      </c>
      <c r="I200" s="473" t="s">
        <v>5</v>
      </c>
      <c r="J200" s="473" t="s">
        <v>5</v>
      </c>
      <c r="K200" s="474" t="s">
        <v>5</v>
      </c>
      <c r="L200" s="474" t="s">
        <v>5</v>
      </c>
      <c r="M200" s="474" t="s">
        <v>5</v>
      </c>
      <c r="N200" s="473" t="s">
        <v>5</v>
      </c>
      <c r="O200" s="672"/>
      <c r="P200" s="673"/>
      <c r="Q200" s="673"/>
      <c r="R200" s="673"/>
      <c r="S200" s="672"/>
      <c r="T200" s="673"/>
      <c r="U200" s="673"/>
      <c r="V200" s="674"/>
      <c r="W200" s="443"/>
      <c r="X200" s="443"/>
      <c r="Y200" s="678"/>
      <c r="Z200" s="678"/>
      <c r="AA200" s="678"/>
      <c r="AB200" s="678"/>
      <c r="AC200" s="678"/>
      <c r="AD200" s="678"/>
      <c r="AE200" s="678"/>
      <c r="AF200" s="678"/>
      <c r="AG200" s="678"/>
      <c r="AH200" s="678"/>
      <c r="BC200" s="536"/>
      <c r="BD200" s="429" t="str">
        <f>$B205</f>
        <v>Total (EMROAD)</v>
      </c>
      <c r="BE200" s="435" t="e">
        <f t="shared" ref="BE200:BL200" si="138">F208</f>
        <v>#N/A</v>
      </c>
      <c r="BF200" s="435" t="e">
        <f t="shared" si="138"/>
        <v>#N/A</v>
      </c>
      <c r="BG200" s="435" t="e">
        <f t="shared" si="138"/>
        <v>#N/A</v>
      </c>
      <c r="BH200" s="435" t="e">
        <f t="shared" si="138"/>
        <v>#N/A</v>
      </c>
      <c r="BI200" s="435" t="e">
        <f t="shared" si="138"/>
        <v>#N/A</v>
      </c>
      <c r="BJ200" s="435" t="e">
        <f t="shared" si="138"/>
        <v>#N/A</v>
      </c>
      <c r="BK200" s="435" t="e">
        <f t="shared" si="138"/>
        <v>#N/A</v>
      </c>
      <c r="BL200" s="435" t="e">
        <f t="shared" si="138"/>
        <v>#N/A</v>
      </c>
    </row>
    <row r="201" spans="1:78" s="405" customFormat="1" ht="15" customHeight="1" outlineLevel="1" thickBot="1" x14ac:dyDescent="0.3">
      <c r="A201" s="404"/>
      <c r="B201" s="725"/>
      <c r="C201" s="702"/>
      <c r="D201" s="685"/>
      <c r="E201" s="440" t="s">
        <v>95</v>
      </c>
      <c r="F201" s="475" t="s">
        <v>5</v>
      </c>
      <c r="G201" s="475" t="s">
        <v>5</v>
      </c>
      <c r="H201" s="475" t="s">
        <v>5</v>
      </c>
      <c r="I201" s="475" t="s">
        <v>5</v>
      </c>
      <c r="J201" s="475" t="s">
        <v>5</v>
      </c>
      <c r="K201" s="476" t="s">
        <v>5</v>
      </c>
      <c r="L201" s="476" t="s">
        <v>5</v>
      </c>
      <c r="M201" s="476" t="s">
        <v>5</v>
      </c>
      <c r="N201" s="475" t="s">
        <v>5</v>
      </c>
      <c r="O201" s="672"/>
      <c r="P201" s="673"/>
      <c r="Q201" s="673"/>
      <c r="R201" s="673"/>
      <c r="S201" s="672"/>
      <c r="T201" s="673"/>
      <c r="U201" s="673"/>
      <c r="V201" s="674"/>
      <c r="W201" s="512"/>
      <c r="X201" s="512"/>
      <c r="Y201" s="678"/>
      <c r="Z201" s="678"/>
      <c r="AA201" s="678"/>
      <c r="AB201" s="678"/>
      <c r="AC201" s="678"/>
      <c r="AD201" s="678"/>
      <c r="AE201" s="678"/>
      <c r="AF201" s="678"/>
      <c r="AG201" s="678"/>
      <c r="AH201" s="678"/>
      <c r="AI201" s="401"/>
      <c r="AJ201" s="401"/>
      <c r="AK201" s="401"/>
      <c r="AL201" s="401"/>
      <c r="AM201" s="401"/>
      <c r="AN201" s="401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1"/>
      <c r="BC201" s="536"/>
      <c r="BD201" s="429" t="str">
        <f>$B210</f>
        <v>Total (SPF)</v>
      </c>
      <c r="BE201" s="435" t="e">
        <f t="shared" ref="BE201:BL201" si="139">F213</f>
        <v>#N/A</v>
      </c>
      <c r="BF201" s="435" t="e">
        <f t="shared" si="139"/>
        <v>#N/A</v>
      </c>
      <c r="BG201" s="435" t="e">
        <f t="shared" si="139"/>
        <v>#N/A</v>
      </c>
      <c r="BH201" s="435" t="e">
        <f t="shared" si="139"/>
        <v>#N/A</v>
      </c>
      <c r="BI201" s="435" t="e">
        <f t="shared" si="139"/>
        <v>#N/A</v>
      </c>
      <c r="BJ201" s="435" t="e">
        <f t="shared" si="139"/>
        <v>#N/A</v>
      </c>
      <c r="BK201" s="435" t="e">
        <f t="shared" si="139"/>
        <v>#N/A</v>
      </c>
      <c r="BL201" s="435" t="e">
        <f t="shared" si="139"/>
        <v>#N/A</v>
      </c>
      <c r="BU201" s="401"/>
      <c r="BV201" s="401"/>
      <c r="BW201" s="401"/>
      <c r="BX201" s="401"/>
      <c r="BY201" s="401"/>
      <c r="BZ201" s="401"/>
    </row>
    <row r="202" spans="1:78" s="405" customFormat="1" ht="15" customHeight="1" outlineLevel="1" thickBot="1" x14ac:dyDescent="0.3">
      <c r="A202" s="404"/>
      <c r="B202" s="725"/>
      <c r="C202" s="686">
        <v>4</v>
      </c>
      <c r="D202" s="689" t="str">
        <f>IF(AND(F202="-",G202="-",H202="-",I202="-",J202="-",K202="-",L202="-",M202="-"),"-",MAX(F202,G202,H202,I202,J202,K202,L202,M202))</f>
        <v>-</v>
      </c>
      <c r="E202" s="444" t="s">
        <v>177</v>
      </c>
      <c r="F202" s="445" t="str">
        <f t="shared" ref="F202:M202" si="140">IF(OR(F201="-",F201=""),IF(OR(F200="-",F200=""),"-",F200),IF(OR(F200="-",F200=""),F201,(F200+F201)/2))</f>
        <v>-</v>
      </c>
      <c r="G202" s="445" t="str">
        <f t="shared" si="140"/>
        <v>-</v>
      </c>
      <c r="H202" s="445" t="str">
        <f t="shared" si="140"/>
        <v>-</v>
      </c>
      <c r="I202" s="445" t="str">
        <f t="shared" si="140"/>
        <v>-</v>
      </c>
      <c r="J202" s="445" t="str">
        <f t="shared" si="140"/>
        <v>-</v>
      </c>
      <c r="K202" s="446" t="str">
        <f t="shared" si="140"/>
        <v>-</v>
      </c>
      <c r="L202" s="446" t="str">
        <f t="shared" si="140"/>
        <v>-</v>
      </c>
      <c r="M202" s="446" t="str">
        <f t="shared" si="140"/>
        <v>-</v>
      </c>
      <c r="N202" s="828"/>
      <c r="O202" s="672"/>
      <c r="P202" s="673"/>
      <c r="Q202" s="673"/>
      <c r="R202" s="673"/>
      <c r="S202" s="672"/>
      <c r="T202" s="673"/>
      <c r="U202" s="673"/>
      <c r="V202" s="674"/>
      <c r="W202" s="512"/>
      <c r="X202" s="512"/>
      <c r="Y202" s="678"/>
      <c r="Z202" s="678"/>
      <c r="AA202" s="678"/>
      <c r="AB202" s="678"/>
      <c r="AC202" s="678"/>
      <c r="AD202" s="678"/>
      <c r="AE202" s="678"/>
      <c r="AF202" s="678"/>
      <c r="AG202" s="678"/>
      <c r="AH202" s="678"/>
      <c r="AI202" s="401"/>
      <c r="AJ202" s="401"/>
      <c r="AK202" s="401"/>
      <c r="AL202" s="401"/>
      <c r="AM202" s="401"/>
      <c r="AN202" s="401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1"/>
      <c r="BC202" s="536"/>
      <c r="BD202" s="429" t="str">
        <f>"IEF " &amp;B185</f>
        <v>IEF City (unweighted)</v>
      </c>
      <c r="BE202" s="435">
        <f t="shared" ref="BE202:BL202" si="141">IF(OR($C187="-",$C187="CET",$C187=""),"-",$C187)</f>
        <v>4</v>
      </c>
      <c r="BF202" s="435">
        <f t="shared" si="141"/>
        <v>4</v>
      </c>
      <c r="BG202" s="435">
        <f t="shared" si="141"/>
        <v>4</v>
      </c>
      <c r="BH202" s="435">
        <f t="shared" si="141"/>
        <v>4</v>
      </c>
      <c r="BI202" s="435">
        <f t="shared" si="141"/>
        <v>4</v>
      </c>
      <c r="BJ202" s="435">
        <f t="shared" si="141"/>
        <v>4</v>
      </c>
      <c r="BK202" s="435">
        <f t="shared" si="141"/>
        <v>4</v>
      </c>
      <c r="BL202" s="435">
        <f t="shared" si="141"/>
        <v>4</v>
      </c>
      <c r="BU202" s="401"/>
      <c r="BV202" s="401"/>
      <c r="BW202" s="401"/>
      <c r="BX202" s="401"/>
      <c r="BY202" s="401"/>
      <c r="BZ202" s="401"/>
    </row>
    <row r="203" spans="1:78" s="405" customFormat="1" ht="15" customHeight="1" outlineLevel="1" thickBot="1" x14ac:dyDescent="0.3">
      <c r="A203" s="404"/>
      <c r="B203" s="725"/>
      <c r="C203" s="687"/>
      <c r="D203" s="690"/>
      <c r="E203" s="447" t="s">
        <v>97</v>
      </c>
      <c r="F203" s="448" t="e">
        <f t="shared" ref="F203:M203" si="142">IF(OR($C202="-",$C202="CET",$C202=""),"-",IF(AND(NOT(F202="-"),NOT(F$5="-"),NOT(F$5="")),F202/F$5,"-"))</f>
        <v>#N/A</v>
      </c>
      <c r="G203" s="448" t="e">
        <f t="shared" si="142"/>
        <v>#N/A</v>
      </c>
      <c r="H203" s="448" t="e">
        <f t="shared" si="142"/>
        <v>#N/A</v>
      </c>
      <c r="I203" s="448" t="e">
        <f t="shared" si="142"/>
        <v>#N/A</v>
      </c>
      <c r="J203" s="448" t="e">
        <f t="shared" si="142"/>
        <v>#N/A</v>
      </c>
      <c r="K203" s="449" t="e">
        <f t="shared" si="142"/>
        <v>#N/A</v>
      </c>
      <c r="L203" s="449" t="e">
        <f t="shared" si="142"/>
        <v>#N/A</v>
      </c>
      <c r="M203" s="449" t="e">
        <f t="shared" si="142"/>
        <v>#N/A</v>
      </c>
      <c r="N203" s="702"/>
      <c r="O203" s="672"/>
      <c r="P203" s="673"/>
      <c r="Q203" s="673"/>
      <c r="R203" s="673"/>
      <c r="S203" s="672"/>
      <c r="T203" s="673"/>
      <c r="U203" s="673"/>
      <c r="V203" s="674"/>
      <c r="W203" s="512"/>
      <c r="X203" s="512"/>
      <c r="Y203" s="678"/>
      <c r="Z203" s="678"/>
      <c r="AA203" s="678"/>
      <c r="AB203" s="678"/>
      <c r="AC203" s="678"/>
      <c r="AD203" s="678"/>
      <c r="AE203" s="678"/>
      <c r="AF203" s="678"/>
      <c r="AG203" s="678"/>
      <c r="AH203" s="678"/>
      <c r="AI203" s="401"/>
      <c r="AJ203" s="401"/>
      <c r="AK203" s="401"/>
      <c r="AL203" s="401"/>
      <c r="AM203" s="401"/>
      <c r="AN203" s="401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1"/>
      <c r="BA203" s="401"/>
      <c r="BB203" s="401"/>
      <c r="BC203" s="536"/>
      <c r="BD203" s="429" t="str">
        <f>"IEF " &amp; B190</f>
        <v>IEF City (EMROAD)</v>
      </c>
      <c r="BE203" s="435">
        <f t="shared" ref="BE203:BL203" si="143">IF(OR($C192="-",$C192="CET",$C192=""),"-",$C192)</f>
        <v>4</v>
      </c>
      <c r="BF203" s="435">
        <f t="shared" si="143"/>
        <v>4</v>
      </c>
      <c r="BG203" s="435">
        <f t="shared" si="143"/>
        <v>4</v>
      </c>
      <c r="BH203" s="435">
        <f t="shared" si="143"/>
        <v>4</v>
      </c>
      <c r="BI203" s="435">
        <f t="shared" si="143"/>
        <v>4</v>
      </c>
      <c r="BJ203" s="435">
        <f t="shared" si="143"/>
        <v>4</v>
      </c>
      <c r="BK203" s="435">
        <f t="shared" si="143"/>
        <v>4</v>
      </c>
      <c r="BL203" s="435">
        <f t="shared" si="143"/>
        <v>4</v>
      </c>
      <c r="BU203" s="401"/>
      <c r="BV203" s="401"/>
      <c r="BW203" s="401"/>
      <c r="BX203" s="401"/>
      <c r="BY203" s="401"/>
      <c r="BZ203" s="401"/>
    </row>
    <row r="204" spans="1:78" s="405" customFormat="1" ht="15" customHeight="1" outlineLevel="1" thickBot="1" x14ac:dyDescent="0.3">
      <c r="A204" s="404"/>
      <c r="B204" s="726"/>
      <c r="C204" s="688"/>
      <c r="D204" s="691"/>
      <c r="E204" s="451" t="s">
        <v>30</v>
      </c>
      <c r="F204" s="451" t="str">
        <f t="shared" ref="F204:M204" si="144">IF(AND(OR(F200="-",F200=""),OR(F201="-",F201="")),"-",IF(OR($C202="-",$C202="",$C202="CET"),"-",IF($R$181="not listed","-",IF(NOT(F$5="-"),IF(AND(AND(NOT(F200=0),NOT(F200="-"),NOT(F200="")),AND(NOT(F201="-"),NOT(F201=0),NOT(F201=""))),IF(AND((F200+F201)/2&lt;1*F$5*IF(OR($C202="CET",$C202="-",$C202=""),"-",$C202),F200&lt;1.1*F$5*IF(OR($C202="CET",$C202="-",$C202=""),"-",$C202),F201&lt;1.1*F$5*IF(OR($C202="CET",$C202="-",$C202=""),"-",$C202)),"passed","refused"),IF(IF(OR(F200="-",F200=""),F201,F200)&lt;0.7*F$5*IF(OR($C202="CET",$C202="-",$C202=""),"-",$C202),"passed",IF(IF(OR(F200="-",F200=""),F201,F200)&lt;1.1*IF(OR($C202="CET",$C202="-",$C202=""),"-",$C202)*F$5,"failed","refused"))),"-"))))</f>
        <v>-</v>
      </c>
      <c r="G204" s="451" t="str">
        <f t="shared" si="144"/>
        <v>-</v>
      </c>
      <c r="H204" s="451" t="str">
        <f t="shared" si="144"/>
        <v>-</v>
      </c>
      <c r="I204" s="451" t="str">
        <f t="shared" si="144"/>
        <v>-</v>
      </c>
      <c r="J204" s="451" t="str">
        <f t="shared" si="144"/>
        <v>-</v>
      </c>
      <c r="K204" s="452" t="str">
        <f t="shared" si="144"/>
        <v>-</v>
      </c>
      <c r="L204" s="452" t="str">
        <f t="shared" si="144"/>
        <v>-</v>
      </c>
      <c r="M204" s="452" t="str">
        <f t="shared" si="144"/>
        <v>-</v>
      </c>
      <c r="N204" s="685"/>
      <c r="O204" s="672"/>
      <c r="P204" s="673"/>
      <c r="Q204" s="673"/>
      <c r="R204" s="673"/>
      <c r="S204" s="672"/>
      <c r="T204" s="673"/>
      <c r="U204" s="673"/>
      <c r="V204" s="674"/>
      <c r="W204" s="512"/>
      <c r="X204" s="512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401"/>
      <c r="AJ204" s="401"/>
      <c r="AK204" s="401"/>
      <c r="AL204" s="401"/>
      <c r="AM204" s="401"/>
      <c r="AN204" s="401"/>
      <c r="AO204" s="401"/>
      <c r="AP204" s="401"/>
      <c r="AQ204" s="401"/>
      <c r="AR204" s="401"/>
      <c r="AS204" s="401"/>
      <c r="AT204" s="401"/>
      <c r="AU204" s="401"/>
      <c r="AV204" s="401"/>
      <c r="AW204" s="401"/>
      <c r="AX204" s="401"/>
      <c r="AY204" s="401"/>
      <c r="AZ204" s="401"/>
      <c r="BA204" s="401"/>
      <c r="BB204" s="401"/>
      <c r="BC204" s="399" t="str">
        <f>IF(COUNTIF(F204:M204,"refused")&gt;0,"refused",IF(COUNTIF(F204:M204,"failed")&gt;0,"failed",IF(COUNTIF(F204:M204,"passed")&gt;0,"passed","-")))</f>
        <v>-</v>
      </c>
      <c r="BD204" s="429" t="str">
        <f>"IEF " &amp; B195</f>
        <v>IEF City
 (SPF)</v>
      </c>
      <c r="BE204" s="435">
        <f t="shared" ref="BE204:BL204" si="145">IF(OR($C197="-",$C197="CET",$C197=""),"-",$C197)</f>
        <v>4</v>
      </c>
      <c r="BF204" s="435">
        <f t="shared" si="145"/>
        <v>4</v>
      </c>
      <c r="BG204" s="435">
        <f t="shared" si="145"/>
        <v>4</v>
      </c>
      <c r="BH204" s="435">
        <f t="shared" si="145"/>
        <v>4</v>
      </c>
      <c r="BI204" s="435">
        <f t="shared" si="145"/>
        <v>4</v>
      </c>
      <c r="BJ204" s="435">
        <f t="shared" si="145"/>
        <v>4</v>
      </c>
      <c r="BK204" s="435">
        <f t="shared" si="145"/>
        <v>4</v>
      </c>
      <c r="BL204" s="435">
        <f t="shared" si="145"/>
        <v>4</v>
      </c>
      <c r="BU204" s="401"/>
      <c r="BV204" s="401"/>
      <c r="BW204" s="401"/>
      <c r="BX204" s="401"/>
      <c r="BY204" s="401"/>
      <c r="BZ204" s="401"/>
    </row>
    <row r="205" spans="1:78" s="405" customFormat="1" ht="15" customHeight="1" outlineLevel="1" x14ac:dyDescent="0.25">
      <c r="A205" s="454"/>
      <c r="B205" s="724" t="s">
        <v>104</v>
      </c>
      <c r="C205" s="684" t="s">
        <v>114</v>
      </c>
      <c r="D205" s="684" t="s">
        <v>113</v>
      </c>
      <c r="E205" s="453" t="s">
        <v>94</v>
      </c>
      <c r="F205" s="473" t="s">
        <v>5</v>
      </c>
      <c r="G205" s="473" t="s">
        <v>5</v>
      </c>
      <c r="H205" s="473" t="s">
        <v>5</v>
      </c>
      <c r="I205" s="473" t="s">
        <v>5</v>
      </c>
      <c r="J205" s="473" t="s">
        <v>5</v>
      </c>
      <c r="K205" s="474" t="s">
        <v>5</v>
      </c>
      <c r="L205" s="474" t="s">
        <v>5</v>
      </c>
      <c r="M205" s="474" t="s">
        <v>5</v>
      </c>
      <c r="N205" s="473" t="s">
        <v>5</v>
      </c>
      <c r="O205" s="672"/>
      <c r="P205" s="673"/>
      <c r="Q205" s="673"/>
      <c r="R205" s="673"/>
      <c r="S205" s="672"/>
      <c r="T205" s="673"/>
      <c r="U205" s="673"/>
      <c r="V205" s="674"/>
      <c r="W205" s="443"/>
      <c r="X205" s="443"/>
      <c r="Y205" s="678"/>
      <c r="Z205" s="678"/>
      <c r="AA205" s="678"/>
      <c r="AB205" s="678"/>
      <c r="AC205" s="678"/>
      <c r="AD205" s="678"/>
      <c r="AE205" s="678"/>
      <c r="AF205" s="678"/>
      <c r="AG205" s="678"/>
      <c r="AH205" s="678"/>
      <c r="BC205" s="536"/>
      <c r="BD205" s="429" t="str">
        <f>"IEF " &amp; B200</f>
        <v>IEF Total (unweighted)</v>
      </c>
      <c r="BE205" s="435">
        <f t="shared" ref="BE205:BL205" si="146">IF(OR($C202="-",$C202="CET",$C202=""),"-",$C202)</f>
        <v>4</v>
      </c>
      <c r="BF205" s="435">
        <f t="shared" si="146"/>
        <v>4</v>
      </c>
      <c r="BG205" s="435">
        <f t="shared" si="146"/>
        <v>4</v>
      </c>
      <c r="BH205" s="435">
        <f t="shared" si="146"/>
        <v>4</v>
      </c>
      <c r="BI205" s="435">
        <f t="shared" si="146"/>
        <v>4</v>
      </c>
      <c r="BJ205" s="435">
        <f t="shared" si="146"/>
        <v>4</v>
      </c>
      <c r="BK205" s="435">
        <f t="shared" si="146"/>
        <v>4</v>
      </c>
      <c r="BL205" s="435">
        <f t="shared" si="146"/>
        <v>4</v>
      </c>
    </row>
    <row r="206" spans="1:78" s="405" customFormat="1" ht="15" customHeight="1" outlineLevel="1" thickBot="1" x14ac:dyDescent="0.3">
      <c r="A206" s="404"/>
      <c r="B206" s="725"/>
      <c r="C206" s="702"/>
      <c r="D206" s="685"/>
      <c r="E206" s="440" t="s">
        <v>95</v>
      </c>
      <c r="F206" s="475" t="s">
        <v>5</v>
      </c>
      <c r="G206" s="475" t="s">
        <v>5</v>
      </c>
      <c r="H206" s="475" t="s">
        <v>5</v>
      </c>
      <c r="I206" s="475" t="s">
        <v>5</v>
      </c>
      <c r="J206" s="475" t="s">
        <v>5</v>
      </c>
      <c r="K206" s="476" t="s">
        <v>5</v>
      </c>
      <c r="L206" s="476" t="s">
        <v>5</v>
      </c>
      <c r="M206" s="476" t="s">
        <v>5</v>
      </c>
      <c r="N206" s="475" t="s">
        <v>5</v>
      </c>
      <c r="O206" s="672"/>
      <c r="P206" s="673"/>
      <c r="Q206" s="673"/>
      <c r="R206" s="673"/>
      <c r="S206" s="672"/>
      <c r="T206" s="673"/>
      <c r="U206" s="673"/>
      <c r="V206" s="674"/>
      <c r="W206" s="512"/>
      <c r="X206" s="512"/>
      <c r="Y206" s="678"/>
      <c r="Z206" s="678"/>
      <c r="AA206" s="678"/>
      <c r="AB206" s="678"/>
      <c r="AC206" s="678"/>
      <c r="AD206" s="678"/>
      <c r="AE206" s="678"/>
      <c r="AF206" s="678"/>
      <c r="AG206" s="678"/>
      <c r="AH206" s="678"/>
      <c r="AI206" s="401"/>
      <c r="AJ206" s="401"/>
      <c r="AK206" s="401"/>
      <c r="AL206" s="401"/>
      <c r="AM206" s="401"/>
      <c r="AN206" s="401"/>
      <c r="AO206" s="401"/>
      <c r="AP206" s="401"/>
      <c r="AQ206" s="401"/>
      <c r="AR206" s="401"/>
      <c r="AS206" s="401"/>
      <c r="AT206" s="401"/>
      <c r="AU206" s="401"/>
      <c r="AV206" s="401"/>
      <c r="AW206" s="401"/>
      <c r="AX206" s="401"/>
      <c r="AY206" s="401"/>
      <c r="AZ206" s="401"/>
      <c r="BA206" s="401"/>
      <c r="BB206" s="401"/>
      <c r="BC206" s="536"/>
      <c r="BD206" s="429" t="str">
        <f>"IEF " &amp; B205</f>
        <v>IEF Total (EMROAD)</v>
      </c>
      <c r="BE206" s="435">
        <f t="shared" ref="BE206:BL206" si="147">IF(OR($C207="-",$C207="CET",$C207=""),"-",$C207)</f>
        <v>4</v>
      </c>
      <c r="BF206" s="435">
        <f t="shared" si="147"/>
        <v>4</v>
      </c>
      <c r="BG206" s="435">
        <f t="shared" si="147"/>
        <v>4</v>
      </c>
      <c r="BH206" s="435">
        <f t="shared" si="147"/>
        <v>4</v>
      </c>
      <c r="BI206" s="435">
        <f t="shared" si="147"/>
        <v>4</v>
      </c>
      <c r="BJ206" s="435">
        <f t="shared" si="147"/>
        <v>4</v>
      </c>
      <c r="BK206" s="435">
        <f t="shared" si="147"/>
        <v>4</v>
      </c>
      <c r="BL206" s="435">
        <f t="shared" si="147"/>
        <v>4</v>
      </c>
      <c r="BU206" s="401"/>
      <c r="BV206" s="401"/>
      <c r="BW206" s="401"/>
      <c r="BX206" s="401"/>
      <c r="BY206" s="401"/>
      <c r="BZ206" s="401"/>
    </row>
    <row r="207" spans="1:78" s="405" customFormat="1" ht="15" customHeight="1" outlineLevel="1" thickBot="1" x14ac:dyDescent="0.3">
      <c r="A207" s="404"/>
      <c r="B207" s="725"/>
      <c r="C207" s="686">
        <v>4</v>
      </c>
      <c r="D207" s="689" t="str">
        <f>IF(AND(F207="-",G207="-",H207="-",I207="-",J207="-",K207="-",L207="-",M207="-"),"-",MAX(F207,G207,H207,I207,J207,K207,L207,M207))</f>
        <v>-</v>
      </c>
      <c r="E207" s="444" t="s">
        <v>177</v>
      </c>
      <c r="F207" s="445" t="str">
        <f t="shared" ref="F207:M207" si="148">IF(OR(F206="-",F206=""),IF(OR(F205="-",F205=""),"-",F205),IF(OR(F205="-",F205=""),F206,(F205+F206)/2))</f>
        <v>-</v>
      </c>
      <c r="G207" s="445" t="str">
        <f t="shared" si="148"/>
        <v>-</v>
      </c>
      <c r="H207" s="445" t="str">
        <f t="shared" si="148"/>
        <v>-</v>
      </c>
      <c r="I207" s="445" t="str">
        <f t="shared" si="148"/>
        <v>-</v>
      </c>
      <c r="J207" s="445" t="str">
        <f t="shared" si="148"/>
        <v>-</v>
      </c>
      <c r="K207" s="446" t="str">
        <f t="shared" si="148"/>
        <v>-</v>
      </c>
      <c r="L207" s="446" t="str">
        <f t="shared" si="148"/>
        <v>-</v>
      </c>
      <c r="M207" s="446" t="str">
        <f t="shared" si="148"/>
        <v>-</v>
      </c>
      <c r="N207" s="828"/>
      <c r="O207" s="672"/>
      <c r="P207" s="673"/>
      <c r="Q207" s="673"/>
      <c r="R207" s="673"/>
      <c r="S207" s="672"/>
      <c r="T207" s="673"/>
      <c r="U207" s="673"/>
      <c r="V207" s="674"/>
      <c r="W207" s="512"/>
      <c r="X207" s="512"/>
      <c r="Y207" s="678"/>
      <c r="Z207" s="678"/>
      <c r="AA207" s="678"/>
      <c r="AB207" s="678"/>
      <c r="AC207" s="678"/>
      <c r="AD207" s="678"/>
      <c r="AE207" s="678"/>
      <c r="AF207" s="678"/>
      <c r="AG207" s="678"/>
      <c r="AH207" s="678"/>
      <c r="AI207" s="401"/>
      <c r="AJ207" s="401"/>
      <c r="AK207" s="401"/>
      <c r="AL207" s="401"/>
      <c r="AM207" s="401"/>
      <c r="AN207" s="401"/>
      <c r="AO207" s="401"/>
      <c r="AP207" s="401"/>
      <c r="AQ207" s="401"/>
      <c r="AR207" s="401"/>
      <c r="AS207" s="401"/>
      <c r="AT207" s="401"/>
      <c r="AU207" s="401"/>
      <c r="AV207" s="401"/>
      <c r="AW207" s="401"/>
      <c r="AX207" s="401"/>
      <c r="AY207" s="401"/>
      <c r="AZ207" s="401"/>
      <c r="BA207" s="401"/>
      <c r="BB207" s="401"/>
      <c r="BC207" s="536"/>
      <c r="BD207" s="429" t="str">
        <f>"IEF " &amp; B210</f>
        <v>IEF Total (SPF)</v>
      </c>
      <c r="BE207" s="435">
        <f t="shared" ref="BE207:BL207" si="149">IF(OR($C212="-",$C212="CET",$C212=""),"-",$C212)</f>
        <v>4</v>
      </c>
      <c r="BF207" s="435">
        <f t="shared" si="149"/>
        <v>4</v>
      </c>
      <c r="BG207" s="435">
        <f t="shared" si="149"/>
        <v>4</v>
      </c>
      <c r="BH207" s="435">
        <f t="shared" si="149"/>
        <v>4</v>
      </c>
      <c r="BI207" s="435">
        <f t="shared" si="149"/>
        <v>4</v>
      </c>
      <c r="BJ207" s="435">
        <f t="shared" si="149"/>
        <v>4</v>
      </c>
      <c r="BK207" s="435">
        <f t="shared" si="149"/>
        <v>4</v>
      </c>
      <c r="BL207" s="435">
        <f t="shared" si="149"/>
        <v>4</v>
      </c>
      <c r="BU207" s="401"/>
      <c r="BV207" s="401"/>
      <c r="BW207" s="401"/>
      <c r="BX207" s="401"/>
      <c r="BY207" s="401"/>
      <c r="BZ207" s="401"/>
    </row>
    <row r="208" spans="1:78" s="405" customFormat="1" ht="15" customHeight="1" outlineLevel="1" thickBot="1" x14ac:dyDescent="0.3">
      <c r="A208" s="404"/>
      <c r="B208" s="725"/>
      <c r="C208" s="687"/>
      <c r="D208" s="690"/>
      <c r="E208" s="447" t="s">
        <v>97</v>
      </c>
      <c r="F208" s="448" t="e">
        <f t="shared" ref="F208:M208" si="150">IF(OR($C207="-",$C207="CET",$C207=""),"-",IF(AND(NOT(F207="-"),NOT(F$5="-"),NOT(F$5="")),F207/F$5,"-"))</f>
        <v>#N/A</v>
      </c>
      <c r="G208" s="448" t="e">
        <f t="shared" si="150"/>
        <v>#N/A</v>
      </c>
      <c r="H208" s="448" t="e">
        <f t="shared" si="150"/>
        <v>#N/A</v>
      </c>
      <c r="I208" s="448" t="e">
        <f t="shared" si="150"/>
        <v>#N/A</v>
      </c>
      <c r="J208" s="448" t="e">
        <f t="shared" si="150"/>
        <v>#N/A</v>
      </c>
      <c r="K208" s="449" t="e">
        <f t="shared" si="150"/>
        <v>#N/A</v>
      </c>
      <c r="L208" s="449" t="e">
        <f t="shared" si="150"/>
        <v>#N/A</v>
      </c>
      <c r="M208" s="449" t="e">
        <f t="shared" si="150"/>
        <v>#N/A</v>
      </c>
      <c r="N208" s="702"/>
      <c r="O208" s="672"/>
      <c r="P208" s="673"/>
      <c r="Q208" s="673"/>
      <c r="R208" s="673"/>
      <c r="S208" s="672"/>
      <c r="T208" s="673"/>
      <c r="U208" s="673"/>
      <c r="V208" s="674"/>
      <c r="W208" s="512"/>
      <c r="X208" s="512"/>
      <c r="Y208" s="678"/>
      <c r="Z208" s="678"/>
      <c r="AA208" s="678"/>
      <c r="AB208" s="678"/>
      <c r="AC208" s="678"/>
      <c r="AD208" s="678"/>
      <c r="AE208" s="678"/>
      <c r="AF208" s="678"/>
      <c r="AG208" s="678"/>
      <c r="AH208" s="678"/>
      <c r="AI208" s="401"/>
      <c r="AJ208" s="401"/>
      <c r="AK208" s="401"/>
      <c r="AL208" s="401"/>
      <c r="AM208" s="401"/>
      <c r="AN208" s="401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1"/>
      <c r="BC208" s="536"/>
      <c r="BU208" s="401"/>
      <c r="BV208" s="401"/>
      <c r="BW208" s="401"/>
      <c r="BX208" s="401"/>
      <c r="BY208" s="401"/>
      <c r="BZ208" s="401"/>
    </row>
    <row r="209" spans="1:78" s="405" customFormat="1" ht="15" customHeight="1" outlineLevel="1" thickBot="1" x14ac:dyDescent="0.3">
      <c r="A209" s="404"/>
      <c r="B209" s="726"/>
      <c r="C209" s="688"/>
      <c r="D209" s="691"/>
      <c r="E209" s="451" t="s">
        <v>30</v>
      </c>
      <c r="F209" s="451" t="str">
        <f t="shared" ref="F209:M209" si="151">IF(AND(OR(F205="-",F205=""),OR(F206="-",F206="")),"-",IF(OR($C207="-",$C207="",$C207="CET"),"-",IF($R$181="not listed","-",IF(NOT(F$5="-"),IF(AND(AND(NOT(F205=0),NOT(F205="-"),NOT(F205="")),AND(NOT(F206="-"),NOT(F206=0),NOT(F206=""))),IF(AND((F205+F206)/2&lt;1*F$5*IF(OR($C207="CET",$C207="-",$C207=""),"-",$C207),F205&lt;1.1*F$5*IF(OR($C207="CET",$C207="-",$C207=""),"-",$C207),F206&lt;1.1*F$5*IF(OR($C207="CET",$C207="-",$C207=""),"-",$C207)),"passed","refused"),IF(IF(OR(F205="-",F205=""),F206,F205)&lt;0.7*F$5*IF(OR($C207="CET",$C207="-",$C207=""),"-",$C207),"passed",IF(IF(OR(F205="-",F205=""),F206,F205)&lt;1.1*IF(OR($C207="CET",$C207="-",$C207=""),"-",$C207)*F$5,"failed","refused"))),"-"))))</f>
        <v>-</v>
      </c>
      <c r="G209" s="451" t="str">
        <f t="shared" si="151"/>
        <v>-</v>
      </c>
      <c r="H209" s="451" t="str">
        <f t="shared" si="151"/>
        <v>-</v>
      </c>
      <c r="I209" s="451" t="str">
        <f t="shared" si="151"/>
        <v>-</v>
      </c>
      <c r="J209" s="451" t="str">
        <f t="shared" si="151"/>
        <v>-</v>
      </c>
      <c r="K209" s="452" t="str">
        <f t="shared" si="151"/>
        <v>-</v>
      </c>
      <c r="L209" s="452" t="str">
        <f t="shared" si="151"/>
        <v>-</v>
      </c>
      <c r="M209" s="452" t="str">
        <f t="shared" si="151"/>
        <v>-</v>
      </c>
      <c r="N209" s="685"/>
      <c r="O209" s="672"/>
      <c r="P209" s="673"/>
      <c r="Q209" s="673"/>
      <c r="R209" s="673"/>
      <c r="S209" s="672"/>
      <c r="T209" s="673"/>
      <c r="U209" s="673"/>
      <c r="V209" s="674"/>
      <c r="W209" s="512"/>
      <c r="X209" s="512"/>
      <c r="Y209" s="678"/>
      <c r="Z209" s="678"/>
      <c r="AA209" s="678"/>
      <c r="AB209" s="678"/>
      <c r="AC209" s="678"/>
      <c r="AD209" s="678"/>
      <c r="AE209" s="678"/>
      <c r="AF209" s="678"/>
      <c r="AG209" s="678"/>
      <c r="AH209" s="678"/>
      <c r="AI209" s="401"/>
      <c r="AJ209" s="401"/>
      <c r="AK209" s="401"/>
      <c r="AL209" s="401"/>
      <c r="AM209" s="401"/>
      <c r="AN209" s="401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1"/>
      <c r="BC209" s="399" t="str">
        <f>IF(COUNTIF(F209:M209,"refused")&gt;0,"refused",IF(COUNTIF(F209:M209,"failed")&gt;0,"failed",IF(COUNTIF(F209:M209,"passed")&gt;0,"passed","-")))</f>
        <v>-</v>
      </c>
      <c r="BD209" s="459"/>
      <c r="BE209" s="459"/>
      <c r="BF209" s="459"/>
      <c r="BG209" s="459"/>
      <c r="BH209" s="459"/>
      <c r="BI209" s="459"/>
      <c r="BJ209" s="459"/>
      <c r="BK209" s="459"/>
      <c r="BL209" s="459"/>
      <c r="BU209" s="401"/>
      <c r="BV209" s="401"/>
      <c r="BW209" s="401"/>
      <c r="BX209" s="401"/>
      <c r="BY209" s="401"/>
      <c r="BZ209" s="401"/>
    </row>
    <row r="210" spans="1:78" s="405" customFormat="1" ht="15" customHeight="1" outlineLevel="1" x14ac:dyDescent="0.25">
      <c r="A210" s="454"/>
      <c r="B210" s="718" t="s">
        <v>140</v>
      </c>
      <c r="C210" s="684" t="s">
        <v>114</v>
      </c>
      <c r="D210" s="684" t="s">
        <v>113</v>
      </c>
      <c r="E210" s="453" t="s">
        <v>94</v>
      </c>
      <c r="F210" s="473" t="s">
        <v>5</v>
      </c>
      <c r="G210" s="473" t="s">
        <v>5</v>
      </c>
      <c r="H210" s="473" t="s">
        <v>5</v>
      </c>
      <c r="I210" s="473" t="s">
        <v>5</v>
      </c>
      <c r="J210" s="473" t="s">
        <v>5</v>
      </c>
      <c r="K210" s="474" t="s">
        <v>5</v>
      </c>
      <c r="L210" s="474" t="s">
        <v>5</v>
      </c>
      <c r="M210" s="474" t="s">
        <v>5</v>
      </c>
      <c r="N210" s="473" t="s">
        <v>5</v>
      </c>
      <c r="O210" s="672"/>
      <c r="P210" s="673"/>
      <c r="Q210" s="673"/>
      <c r="R210" s="673"/>
      <c r="S210" s="672"/>
      <c r="T210" s="673"/>
      <c r="U210" s="673"/>
      <c r="V210" s="674"/>
      <c r="W210" s="443"/>
      <c r="X210" s="443"/>
      <c r="Y210" s="678"/>
      <c r="Z210" s="678"/>
      <c r="AA210" s="678"/>
      <c r="AB210" s="678"/>
      <c r="AC210" s="678"/>
      <c r="AD210" s="678"/>
      <c r="AE210" s="678"/>
      <c r="AF210" s="678"/>
      <c r="AG210" s="678"/>
      <c r="AH210" s="678"/>
      <c r="BC210" s="536"/>
      <c r="BD210" s="459"/>
      <c r="BE210" s="459"/>
      <c r="BF210" s="459"/>
      <c r="BG210" s="459"/>
      <c r="BH210" s="459"/>
      <c r="BI210" s="459"/>
      <c r="BJ210" s="459"/>
      <c r="BK210" s="459"/>
      <c r="BL210" s="459"/>
    </row>
    <row r="211" spans="1:78" s="405" customFormat="1" ht="15" customHeight="1" outlineLevel="1" thickBot="1" x14ac:dyDescent="0.3">
      <c r="A211" s="404"/>
      <c r="B211" s="719"/>
      <c r="C211" s="702"/>
      <c r="D211" s="685"/>
      <c r="E211" s="440" t="s">
        <v>95</v>
      </c>
      <c r="F211" s="475" t="s">
        <v>5</v>
      </c>
      <c r="G211" s="475" t="s">
        <v>5</v>
      </c>
      <c r="H211" s="475" t="s">
        <v>5</v>
      </c>
      <c r="I211" s="475" t="s">
        <v>5</v>
      </c>
      <c r="J211" s="475" t="s">
        <v>5</v>
      </c>
      <c r="K211" s="476" t="s">
        <v>5</v>
      </c>
      <c r="L211" s="476" t="s">
        <v>5</v>
      </c>
      <c r="M211" s="476" t="s">
        <v>5</v>
      </c>
      <c r="N211" s="475" t="s">
        <v>5</v>
      </c>
      <c r="O211" s="672"/>
      <c r="P211" s="673"/>
      <c r="Q211" s="673"/>
      <c r="R211" s="673"/>
      <c r="S211" s="672"/>
      <c r="T211" s="673"/>
      <c r="U211" s="673"/>
      <c r="V211" s="674"/>
      <c r="W211" s="512"/>
      <c r="X211" s="512"/>
      <c r="Y211" s="678"/>
      <c r="Z211" s="678"/>
      <c r="AA211" s="678"/>
      <c r="AB211" s="678"/>
      <c r="AC211" s="678"/>
      <c r="AD211" s="678"/>
      <c r="AE211" s="678"/>
      <c r="AF211" s="678"/>
      <c r="AG211" s="678"/>
      <c r="AH211" s="678"/>
      <c r="AI211" s="401"/>
      <c r="AJ211" s="401"/>
      <c r="AK211" s="401"/>
      <c r="AL211" s="401"/>
      <c r="AM211" s="401"/>
      <c r="AN211" s="401"/>
      <c r="AO211" s="401"/>
      <c r="AP211" s="401"/>
      <c r="AQ211" s="401"/>
      <c r="AR211" s="401"/>
      <c r="AS211" s="401"/>
      <c r="AT211" s="401"/>
      <c r="AU211" s="401"/>
      <c r="AV211" s="401"/>
      <c r="AW211" s="401"/>
      <c r="AX211" s="401"/>
      <c r="AY211" s="401"/>
      <c r="AZ211" s="401"/>
      <c r="BA211" s="401"/>
      <c r="BB211" s="401"/>
      <c r="BC211" s="536"/>
      <c r="BD211" s="460"/>
      <c r="BE211" s="460"/>
      <c r="BF211" s="460"/>
      <c r="BG211" s="460"/>
      <c r="BH211" s="460"/>
      <c r="BI211" s="460"/>
      <c r="BJ211" s="460"/>
      <c r="BK211" s="460"/>
      <c r="BL211" s="460"/>
      <c r="BU211" s="401"/>
      <c r="BV211" s="401"/>
      <c r="BW211" s="401"/>
      <c r="BX211" s="401"/>
      <c r="BY211" s="401"/>
      <c r="BZ211" s="401"/>
    </row>
    <row r="212" spans="1:78" s="405" customFormat="1" ht="15" customHeight="1" outlineLevel="1" thickBot="1" x14ac:dyDescent="0.3">
      <c r="A212" s="404"/>
      <c r="B212" s="719"/>
      <c r="C212" s="686">
        <v>4</v>
      </c>
      <c r="D212" s="689" t="str">
        <f>IF(AND(F212="-",G212="-",H212="-",I212="-",J212="-",K212="-",L212="-",M212="-"),"-",MAX(F212,G212,H212,I212,J212,K212,L212,M212))</f>
        <v>-</v>
      </c>
      <c r="E212" s="444" t="s">
        <v>177</v>
      </c>
      <c r="F212" s="445" t="str">
        <f t="shared" ref="F212:M212" si="152">IF(OR(F211="-",F211=""),IF(OR(F210="-",F210=""),"-",F210),IF(OR(F210="-",F210=""),F211,(F210+F211)/2))</f>
        <v>-</v>
      </c>
      <c r="G212" s="445" t="str">
        <f t="shared" si="152"/>
        <v>-</v>
      </c>
      <c r="H212" s="445" t="str">
        <f t="shared" si="152"/>
        <v>-</v>
      </c>
      <c r="I212" s="445" t="str">
        <f t="shared" si="152"/>
        <v>-</v>
      </c>
      <c r="J212" s="445" t="str">
        <f t="shared" si="152"/>
        <v>-</v>
      </c>
      <c r="K212" s="446" t="str">
        <f t="shared" si="152"/>
        <v>-</v>
      </c>
      <c r="L212" s="446" t="str">
        <f t="shared" si="152"/>
        <v>-</v>
      </c>
      <c r="M212" s="446" t="str">
        <f t="shared" si="152"/>
        <v>-</v>
      </c>
      <c r="N212" s="828"/>
      <c r="O212" s="672"/>
      <c r="P212" s="673"/>
      <c r="Q212" s="673"/>
      <c r="R212" s="673"/>
      <c r="S212" s="672"/>
      <c r="T212" s="673"/>
      <c r="U212" s="673"/>
      <c r="V212" s="674"/>
      <c r="W212" s="512"/>
      <c r="X212" s="512"/>
      <c r="Y212" s="678"/>
      <c r="Z212" s="678"/>
      <c r="AA212" s="678"/>
      <c r="AB212" s="678"/>
      <c r="AC212" s="678"/>
      <c r="AD212" s="678"/>
      <c r="AE212" s="678"/>
      <c r="AF212" s="678"/>
      <c r="AG212" s="678"/>
      <c r="AH212" s="678"/>
      <c r="AI212" s="401"/>
      <c r="AJ212" s="401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1"/>
      <c r="BB212" s="401"/>
      <c r="BC212" s="536"/>
      <c r="BD212" s="460"/>
      <c r="BE212" s="460"/>
      <c r="BF212" s="460"/>
      <c r="BG212" s="460"/>
      <c r="BH212" s="460"/>
      <c r="BI212" s="460"/>
      <c r="BJ212" s="460"/>
      <c r="BK212" s="460"/>
      <c r="BL212" s="460"/>
      <c r="BU212" s="401"/>
      <c r="BV212" s="401"/>
      <c r="BW212" s="401"/>
      <c r="BX212" s="401"/>
      <c r="BY212" s="401"/>
      <c r="BZ212" s="401"/>
    </row>
    <row r="213" spans="1:78" s="405" customFormat="1" ht="15.75" outlineLevel="1" thickBot="1" x14ac:dyDescent="0.3">
      <c r="A213" s="401"/>
      <c r="B213" s="719"/>
      <c r="C213" s="687"/>
      <c r="D213" s="690"/>
      <c r="E213" s="447" t="s">
        <v>97</v>
      </c>
      <c r="F213" s="448" t="e">
        <f t="shared" ref="F213:M213" si="153">IF(OR($C212="-",$C212="CET",$C212=""),"-",IF(AND(NOT(F212="-"),NOT(F$5="-"),NOT(F$5="")),F212/F$5,"-"))</f>
        <v>#N/A</v>
      </c>
      <c r="G213" s="448" t="e">
        <f t="shared" si="153"/>
        <v>#N/A</v>
      </c>
      <c r="H213" s="448" t="e">
        <f t="shared" si="153"/>
        <v>#N/A</v>
      </c>
      <c r="I213" s="448" t="e">
        <f t="shared" si="153"/>
        <v>#N/A</v>
      </c>
      <c r="J213" s="448" t="e">
        <f t="shared" si="153"/>
        <v>#N/A</v>
      </c>
      <c r="K213" s="449" t="e">
        <f t="shared" si="153"/>
        <v>#N/A</v>
      </c>
      <c r="L213" s="449" t="e">
        <f t="shared" si="153"/>
        <v>#N/A</v>
      </c>
      <c r="M213" s="449" t="e">
        <f t="shared" si="153"/>
        <v>#N/A</v>
      </c>
      <c r="N213" s="702"/>
      <c r="O213" s="672"/>
      <c r="P213" s="673"/>
      <c r="Q213" s="673"/>
      <c r="R213" s="673"/>
      <c r="S213" s="672"/>
      <c r="T213" s="673"/>
      <c r="U213" s="673"/>
      <c r="V213" s="674"/>
      <c r="W213" s="401"/>
      <c r="X213" s="401"/>
      <c r="Y213" s="401"/>
      <c r="Z213" s="401"/>
      <c r="AA213" s="401"/>
      <c r="AB213" s="401"/>
      <c r="AC213" s="401"/>
      <c r="AD213" s="401"/>
      <c r="AE213" s="401"/>
      <c r="AF213" s="401"/>
      <c r="AG213" s="401"/>
      <c r="AH213" s="401"/>
      <c r="AI213" s="401"/>
      <c r="AJ213" s="401"/>
      <c r="AK213" s="401"/>
      <c r="AL213" s="401"/>
      <c r="AM213" s="401"/>
      <c r="AN213" s="401"/>
      <c r="AO213" s="401"/>
      <c r="AP213" s="401"/>
      <c r="AQ213" s="401"/>
      <c r="AR213" s="401"/>
      <c r="AS213" s="401"/>
      <c r="AT213" s="401"/>
      <c r="AU213" s="401"/>
      <c r="AV213" s="401"/>
      <c r="AW213" s="401"/>
      <c r="AX213" s="401"/>
      <c r="AY213" s="401"/>
      <c r="AZ213" s="401"/>
      <c r="BA213" s="401"/>
      <c r="BB213" s="401"/>
      <c r="BC213" s="536"/>
      <c r="BU213" s="401"/>
      <c r="BV213" s="401"/>
      <c r="BW213" s="401"/>
      <c r="BX213" s="401"/>
      <c r="BY213" s="401"/>
      <c r="BZ213" s="401"/>
    </row>
    <row r="214" spans="1:78" s="405" customFormat="1" ht="15.75" outlineLevel="1" thickBot="1" x14ac:dyDescent="0.3">
      <c r="A214" s="401"/>
      <c r="B214" s="720"/>
      <c r="C214" s="688"/>
      <c r="D214" s="691"/>
      <c r="E214" s="451" t="s">
        <v>30</v>
      </c>
      <c r="F214" s="451" t="str">
        <f t="shared" ref="F214:M214" si="154">IF(AND(OR(F210="-",F210=""),OR(F211="-",F211="")),"-",IF(OR($C212="-",$C212="",$C212="CET"),"-",IF($R$181="not listed","-",IF(NOT(F$5="-"),IF(AND(AND(NOT(F210=0),NOT(F210="-"),NOT(F210="")),AND(NOT(F211="-"),NOT(F211=0),NOT(F211=""))),IF(AND((F210+F211)/2&lt;1*F$5*IF(OR($C212="CET",$C212="-",$C212=""),"-",$C212),F210&lt;1.1*F$5*IF(OR($C212="CET",$C212="-",$C212=""),"-",$C212),F211&lt;1.1*F$5*IF(OR($C212="CET",$C212="-",$C212=""),"-",$C212)),"passed","refused"),IF(IF(OR(F210="-",F210=""),F211,F210)&lt;0.7*F$5*IF(OR($C212="CET",$C212="-",$C212=""),"-",$C212),"passed",IF(IF(OR(F210="-",F210=""),F211,F210)&lt;1.1*IF(OR($C212="CET",$C212="-",$C212=""),"-",$C212)*F$5,"failed","refused"))),"-"))))</f>
        <v>-</v>
      </c>
      <c r="G214" s="451" t="str">
        <f t="shared" si="154"/>
        <v>-</v>
      </c>
      <c r="H214" s="451" t="str">
        <f t="shared" si="154"/>
        <v>-</v>
      </c>
      <c r="I214" s="451" t="str">
        <f t="shared" si="154"/>
        <v>-</v>
      </c>
      <c r="J214" s="451" t="str">
        <f t="shared" si="154"/>
        <v>-</v>
      </c>
      <c r="K214" s="452" t="str">
        <f t="shared" si="154"/>
        <v>-</v>
      </c>
      <c r="L214" s="452" t="str">
        <f t="shared" si="154"/>
        <v>-</v>
      </c>
      <c r="M214" s="452" t="str">
        <f t="shared" si="154"/>
        <v>-</v>
      </c>
      <c r="N214" s="685"/>
      <c r="O214" s="675"/>
      <c r="P214" s="676"/>
      <c r="Q214" s="676"/>
      <c r="R214" s="676"/>
      <c r="S214" s="675"/>
      <c r="T214" s="676"/>
      <c r="U214" s="676"/>
      <c r="V214" s="677"/>
      <c r="W214" s="401"/>
      <c r="X214" s="401"/>
      <c r="Y214" s="401"/>
      <c r="Z214" s="401"/>
      <c r="AA214" s="401"/>
      <c r="AB214" s="401"/>
      <c r="AC214" s="401"/>
      <c r="AD214" s="401"/>
      <c r="AE214" s="401"/>
      <c r="AF214" s="401"/>
      <c r="AG214" s="401"/>
      <c r="AH214" s="401"/>
      <c r="AI214" s="401"/>
      <c r="AJ214" s="401"/>
      <c r="AK214" s="401"/>
      <c r="AL214" s="401"/>
      <c r="AM214" s="401"/>
      <c r="AN214" s="401"/>
      <c r="AO214" s="401"/>
      <c r="AP214" s="401"/>
      <c r="AQ214" s="401"/>
      <c r="AR214" s="401"/>
      <c r="AS214" s="401"/>
      <c r="AT214" s="401"/>
      <c r="AU214" s="401"/>
      <c r="AV214" s="401"/>
      <c r="AW214" s="401"/>
      <c r="AX214" s="401"/>
      <c r="AY214" s="401"/>
      <c r="AZ214" s="401"/>
      <c r="BA214" s="401"/>
      <c r="BB214" s="401"/>
      <c r="BC214" s="399" t="str">
        <f>IF(COUNTIF(F214:M214,"refused")&gt;0,"refused",IF(COUNTIF(F214:M214,"failed")&gt;0,"failed",IF(COUNTIF(F214:M214,"passed")&gt;0,"passed","-")))</f>
        <v>-</v>
      </c>
      <c r="BU214" s="401"/>
      <c r="BV214" s="401"/>
      <c r="BW214" s="401"/>
      <c r="BX214" s="401"/>
      <c r="BY214" s="401"/>
      <c r="BZ214" s="401"/>
    </row>
  </sheetData>
  <sheetProtection selectLockedCells="1"/>
  <mergeCells count="222">
    <mergeCell ref="C8:N8"/>
    <mergeCell ref="B10:N10"/>
    <mergeCell ref="O10:R10"/>
    <mergeCell ref="S10:V10"/>
    <mergeCell ref="A1:J2"/>
    <mergeCell ref="K1:Q2"/>
    <mergeCell ref="B4:D4"/>
    <mergeCell ref="O4:P4"/>
    <mergeCell ref="B5:E5"/>
    <mergeCell ref="O5:P5"/>
    <mergeCell ref="D15:D17"/>
    <mergeCell ref="N15:N17"/>
    <mergeCell ref="B18:B22"/>
    <mergeCell ref="C18:C19"/>
    <mergeCell ref="D18:D19"/>
    <mergeCell ref="C20:C22"/>
    <mergeCell ref="D20:D22"/>
    <mergeCell ref="N20:N22"/>
    <mergeCell ref="Y10:AH10"/>
    <mergeCell ref="B11:E11"/>
    <mergeCell ref="O11:R32"/>
    <mergeCell ref="S11:V32"/>
    <mergeCell ref="Y11:AH31"/>
    <mergeCell ref="B12:B17"/>
    <mergeCell ref="D12:E12"/>
    <mergeCell ref="C13:C14"/>
    <mergeCell ref="D13:D14"/>
    <mergeCell ref="C15:C17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N42:N44"/>
    <mergeCell ref="B45:B49"/>
    <mergeCell ref="C45:C46"/>
    <mergeCell ref="C47:C49"/>
    <mergeCell ref="C36:N3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4"/>
    <mergeCell ref="B50:B54"/>
    <mergeCell ref="C50:C51"/>
    <mergeCell ref="C52:C54"/>
    <mergeCell ref="B55:B59"/>
    <mergeCell ref="C55:C56"/>
    <mergeCell ref="C57:C59"/>
    <mergeCell ref="C40:C41"/>
    <mergeCell ref="D40:D41"/>
    <mergeCell ref="C42:C44"/>
    <mergeCell ref="D42:D44"/>
    <mergeCell ref="C63:N63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C67:C68"/>
    <mergeCell ref="D67:D68"/>
    <mergeCell ref="C69:C71"/>
    <mergeCell ref="D69:D71"/>
    <mergeCell ref="N69:N71"/>
    <mergeCell ref="B72:B76"/>
    <mergeCell ref="C72:C73"/>
    <mergeCell ref="D72:D73"/>
    <mergeCell ref="C74:C76"/>
    <mergeCell ref="D74:D76"/>
    <mergeCell ref="B82:B86"/>
    <mergeCell ref="C82:C83"/>
    <mergeCell ref="D82:D83"/>
    <mergeCell ref="C84:C86"/>
    <mergeCell ref="D84:D86"/>
    <mergeCell ref="N84:N86"/>
    <mergeCell ref="N74:N76"/>
    <mergeCell ref="B77:B81"/>
    <mergeCell ref="C77:C78"/>
    <mergeCell ref="D77:D78"/>
    <mergeCell ref="C79:C81"/>
    <mergeCell ref="D79:D81"/>
    <mergeCell ref="N79:N81"/>
    <mergeCell ref="B92:B96"/>
    <mergeCell ref="C92:C93"/>
    <mergeCell ref="D92:D93"/>
    <mergeCell ref="C94:C96"/>
    <mergeCell ref="D94:D96"/>
    <mergeCell ref="N94:N96"/>
    <mergeCell ref="B87:B91"/>
    <mergeCell ref="C87:C88"/>
    <mergeCell ref="D87:D88"/>
    <mergeCell ref="C89:C91"/>
    <mergeCell ref="D89:D91"/>
    <mergeCell ref="N89:N91"/>
    <mergeCell ref="D104:E104"/>
    <mergeCell ref="C105:C106"/>
    <mergeCell ref="D105:D106"/>
    <mergeCell ref="C107:C109"/>
    <mergeCell ref="D107:D109"/>
    <mergeCell ref="N107:N109"/>
    <mergeCell ref="C100:N100"/>
    <mergeCell ref="Y101:AH101"/>
    <mergeCell ref="B102:N102"/>
    <mergeCell ref="O102:R102"/>
    <mergeCell ref="S102:V102"/>
    <mergeCell ref="Y102:AH122"/>
    <mergeCell ref="B103:E103"/>
    <mergeCell ref="O103:R123"/>
    <mergeCell ref="S103:V123"/>
    <mergeCell ref="B104:B109"/>
    <mergeCell ref="C127:N127"/>
    <mergeCell ref="Y127:AH127"/>
    <mergeCell ref="Y128:AH148"/>
    <mergeCell ref="B129:N129"/>
    <mergeCell ref="O129:R129"/>
    <mergeCell ref="S129:V129"/>
    <mergeCell ref="B130:E130"/>
    <mergeCell ref="N113:N115"/>
    <mergeCell ref="B110:B115"/>
    <mergeCell ref="D110:E110"/>
    <mergeCell ref="C111:C112"/>
    <mergeCell ref="D111:D112"/>
    <mergeCell ref="C113:C115"/>
    <mergeCell ref="D113:D115"/>
    <mergeCell ref="C138:C140"/>
    <mergeCell ref="B141:B145"/>
    <mergeCell ref="C141:C142"/>
    <mergeCell ref="C143:C145"/>
    <mergeCell ref="B146:B150"/>
    <mergeCell ref="C146:C147"/>
    <mergeCell ref="C148:C150"/>
    <mergeCell ref="O130:R150"/>
    <mergeCell ref="S130:V150"/>
    <mergeCell ref="B131:B135"/>
    <mergeCell ref="C131:C132"/>
    <mergeCell ref="D131:D132"/>
    <mergeCell ref="C133:C135"/>
    <mergeCell ref="D133:D135"/>
    <mergeCell ref="N133:N135"/>
    <mergeCell ref="B136:B140"/>
    <mergeCell ref="C136:C137"/>
    <mergeCell ref="C154:N154"/>
    <mergeCell ref="Y154:AH154"/>
    <mergeCell ref="Y155:AH180"/>
    <mergeCell ref="B156:N156"/>
    <mergeCell ref="O156:R156"/>
    <mergeCell ref="S156:V156"/>
    <mergeCell ref="B157:E157"/>
    <mergeCell ref="O157:R177"/>
    <mergeCell ref="S157:V177"/>
    <mergeCell ref="B158:B162"/>
    <mergeCell ref="C158:C159"/>
    <mergeCell ref="D158:D159"/>
    <mergeCell ref="C160:C162"/>
    <mergeCell ref="D160:D162"/>
    <mergeCell ref="N160:N162"/>
    <mergeCell ref="B163:B167"/>
    <mergeCell ref="C163:C164"/>
    <mergeCell ref="D163:D164"/>
    <mergeCell ref="C165:C167"/>
    <mergeCell ref="D165:D167"/>
    <mergeCell ref="N165:N167"/>
    <mergeCell ref="C181:N181"/>
    <mergeCell ref="Y181:AH181"/>
    <mergeCell ref="Y182:AH212"/>
    <mergeCell ref="B183:N183"/>
    <mergeCell ref="O183:R183"/>
    <mergeCell ref="S183:V183"/>
    <mergeCell ref="B184:E184"/>
    <mergeCell ref="O184:R214"/>
    <mergeCell ref="S184:V214"/>
    <mergeCell ref="B190:B194"/>
    <mergeCell ref="C190:C191"/>
    <mergeCell ref="D190:D191"/>
    <mergeCell ref="C192:C194"/>
    <mergeCell ref="D192:D194"/>
    <mergeCell ref="N192:N194"/>
    <mergeCell ref="B185:B189"/>
    <mergeCell ref="C185:C186"/>
    <mergeCell ref="D185:D186"/>
    <mergeCell ref="C187:C189"/>
    <mergeCell ref="D187:D189"/>
    <mergeCell ref="N187:N189"/>
    <mergeCell ref="B200:B204"/>
    <mergeCell ref="C200:C201"/>
    <mergeCell ref="D200:D201"/>
    <mergeCell ref="C202:C204"/>
    <mergeCell ref="D202:D204"/>
    <mergeCell ref="N202:N204"/>
    <mergeCell ref="B195:B199"/>
    <mergeCell ref="C195:C196"/>
    <mergeCell ref="D195:D196"/>
    <mergeCell ref="C197:C199"/>
    <mergeCell ref="D197:D199"/>
    <mergeCell ref="N197:N199"/>
    <mergeCell ref="B210:B214"/>
    <mergeCell ref="C210:C211"/>
    <mergeCell ref="D210:D211"/>
    <mergeCell ref="C212:C214"/>
    <mergeCell ref="D212:D214"/>
    <mergeCell ref="N212:N214"/>
    <mergeCell ref="B205:B209"/>
    <mergeCell ref="C205:C206"/>
    <mergeCell ref="D205:D206"/>
    <mergeCell ref="C207:C209"/>
    <mergeCell ref="D207:D209"/>
    <mergeCell ref="N207:N209"/>
  </mergeCells>
  <conditionalFormatting sqref="A3 P8 F177:N177 F172:N172 P36 P63 P100 P127 P154 P181 F17:M17 F22:M22 F27:M27 F32:M32 F44:M44 F71:M71 F76:M76 F81:M81 F86:M86 F91:M91 F96:M96 F135:M135 F162:M162 F167:M167 F189:M189 F194:M194 F199:M199 F204:M204 F209:M209 F214:M214">
    <cfRule type="containsText" dxfId="2414" priority="117" operator="containsText" text="passed">
      <formula>NOT(ISERROR(SEARCH("passed",A3)))</formula>
    </cfRule>
    <cfRule type="containsText" dxfId="2413" priority="118" operator="containsText" text="failed">
      <formula>NOT(ISERROR(SEARCH("failed",A3)))</formula>
    </cfRule>
    <cfRule type="containsText" dxfId="2412" priority="119" operator="containsText" text="refused">
      <formula>NOT(ISERROR(SEARCH("refused",A3)))</formula>
    </cfRule>
  </conditionalFormatting>
  <conditionalFormatting sqref="F109:M109">
    <cfRule type="containsText" dxfId="2411" priority="114" operator="containsText" text="passed">
      <formula>NOT(ISERROR(SEARCH("passed",F109)))</formula>
    </cfRule>
    <cfRule type="containsText" dxfId="2410" priority="115" operator="containsText" text="failed">
      <formula>NOT(ISERROR(SEARCH("failed",F109)))</formula>
    </cfRule>
    <cfRule type="containsText" dxfId="2409" priority="116" operator="containsText" text="refused">
      <formula>NOT(ISERROR(SEARCH("refused",F109)))</formula>
    </cfRule>
  </conditionalFormatting>
  <conditionalFormatting sqref="F115:M115">
    <cfRule type="containsText" dxfId="2408" priority="111" operator="containsText" text="passed">
      <formula>NOT(ISERROR(SEARCH("passed",F115)))</formula>
    </cfRule>
    <cfRule type="containsText" dxfId="2407" priority="112" operator="containsText" text="failed">
      <formula>NOT(ISERROR(SEARCH("failed",F115)))</formula>
    </cfRule>
    <cfRule type="containsText" dxfId="2406" priority="113" operator="containsText" text="refused">
      <formula>NOT(ISERROR(SEARCH("refused",F115)))</formula>
    </cfRule>
  </conditionalFormatting>
  <conditionalFormatting sqref="F23:M24">
    <cfRule type="expression" dxfId="2405" priority="110">
      <formula>IF(AND(NOT(F23=""),NOT(F23="-")),F23&gt;=1.1*F$5*BE$27,"-")</formula>
    </cfRule>
  </conditionalFormatting>
  <conditionalFormatting sqref="F28:M29">
    <cfRule type="expression" dxfId="2404" priority="109">
      <formula>IF(AND(NOT(F28=""),NOT(F28="-")),F28&gt;=1.1*F$5*BE$28,"-")</formula>
    </cfRule>
  </conditionalFormatting>
  <conditionalFormatting sqref="F77:M78">
    <cfRule type="expression" dxfId="2403" priority="106">
      <formula>IF(AND(NOT(F77=""),NOT(F77="-")),F77&gt;=1.1*F$5*BE$87,"-")</formula>
    </cfRule>
  </conditionalFormatting>
  <conditionalFormatting sqref="F87:M88">
    <cfRule type="expression" dxfId="2402" priority="105">
      <formula>IF(AND(NOT(F87=""),NOT(F87="-")),F87&gt;=1.1*F$5*BE$89,"-")</formula>
    </cfRule>
  </conditionalFormatting>
  <conditionalFormatting sqref="F92:M93">
    <cfRule type="expression" dxfId="2401" priority="104">
      <formula>IF(AND(NOT(F92=""),NOT(F92="-")),F92&gt;=1.1*F$5*BE$90,"-")</formula>
    </cfRule>
  </conditionalFormatting>
  <conditionalFormatting sqref="F82:M83">
    <cfRule type="expression" dxfId="2400" priority="103">
      <formula>IF(AND(NOT(F82=""),NOT(F82="-")),F82&gt;=1.1*F$5*BE$88,"-")</formula>
    </cfRule>
  </conditionalFormatting>
  <conditionalFormatting sqref="F200:M201">
    <cfRule type="expression" dxfId="2399" priority="100">
      <formula>IF(AND(NOT(F200=""),NOT(F200="-")),F200&gt;=1.1*F$5*BE$205,"-")</formula>
    </cfRule>
  </conditionalFormatting>
  <conditionalFormatting sqref="N13:N14">
    <cfRule type="expression" dxfId="2398" priority="95">
      <formula>IF(AND(NOT(N13=""),NOT(N13="-")),N13&gt;=1.1*N$5*#REF!,"-")</formula>
    </cfRule>
  </conditionalFormatting>
  <conditionalFormatting sqref="N18:N19">
    <cfRule type="expression" dxfId="2397" priority="94">
      <formula>IF(AND(NOT(N18=""),NOT(N18="-")),N18&gt;=1.1*N$5*#REF!,"-")</formula>
    </cfRule>
  </conditionalFormatting>
  <conditionalFormatting sqref="N23:N24">
    <cfRule type="expression" dxfId="2396" priority="93">
      <formula>IF(AND(NOT(N23=""),NOT(N23="-")),N23&gt;=1.1*N$5*#REF!,"-")</formula>
    </cfRule>
  </conditionalFormatting>
  <conditionalFormatting sqref="N28:N29">
    <cfRule type="expression" dxfId="2395" priority="92">
      <formula>IF(AND(NOT(N28=""),NOT(N28="-")),N28&gt;=1.1*N$5*#REF!,"-")</formula>
    </cfRule>
  </conditionalFormatting>
  <conditionalFormatting sqref="N67:N68">
    <cfRule type="expression" dxfId="2394" priority="91">
      <formula>IF(AND(NOT(N67=""),NOT(N67="-")),N67&gt;=1.1*N$5*#REF!,"-")</formula>
    </cfRule>
  </conditionalFormatting>
  <conditionalFormatting sqref="N131:N132">
    <cfRule type="expression" dxfId="2393" priority="90">
      <formula>IF(AND(NOT(N131=""),NOT(N131="-")),N131&gt;=1.1*N$5*#REF!,"-")</formula>
    </cfRule>
  </conditionalFormatting>
  <conditionalFormatting sqref="N158:N159">
    <cfRule type="expression" dxfId="2392" priority="89">
      <formula>IF(AND(NOT(N158=""),NOT(N158="-")),N158&gt;=1.1*N$5*#REF!,"-")</formula>
    </cfRule>
  </conditionalFormatting>
  <conditionalFormatting sqref="N163:N164">
    <cfRule type="expression" dxfId="2391" priority="88">
      <formula>IF(AND(NOT(N163=""),NOT(N163="-")),N163&gt;=1.1*N$5*#REF!,"-")</formula>
    </cfRule>
  </conditionalFormatting>
  <conditionalFormatting sqref="N185:N186">
    <cfRule type="expression" dxfId="2390" priority="87">
      <formula>IF(AND(NOT(N185=""),NOT(N185="-")),N185&gt;=1.1*N$5*#REF!,"-")</formula>
    </cfRule>
  </conditionalFormatting>
  <conditionalFormatting sqref="N111:N112">
    <cfRule type="expression" dxfId="2389" priority="86">
      <formula>IF(AND(NOT(N111=""),NOT(N111="-")),N111&gt;=1.1*N$5*#REF!,"-")</formula>
    </cfRule>
  </conditionalFormatting>
  <conditionalFormatting sqref="M40:M41">
    <cfRule type="expression" dxfId="2388" priority="81">
      <formula>IF(AND(NOT(M40=""),NOT(M40="-")),M40&gt;=1.1*M$5*#REF!,"-")</formula>
    </cfRule>
  </conditionalFormatting>
  <conditionalFormatting sqref="N72:N73 N77:N78 N82:N83 N87:N88 N92:N93">
    <cfRule type="expression" dxfId="2387" priority="78">
      <formula>IF(AND(NOT(N72=""),NOT(N72="-")),N72&gt;=1.1*N$5*#REF!,"-")</formula>
    </cfRule>
  </conditionalFormatting>
  <conditionalFormatting sqref="N105:N106">
    <cfRule type="expression" dxfId="2386" priority="77">
      <formula>IF(AND(NOT(N105=""),NOT(N105="-")),N105&gt;=1.1*N$5*#REF!,"-")</formula>
    </cfRule>
  </conditionalFormatting>
  <conditionalFormatting sqref="N190:N191 N195:N196 N200:N201 N205:N206 N210:N211">
    <cfRule type="expression" dxfId="2385" priority="76">
      <formula>IF(AND(NOT(N190=""),NOT(N190="-")),N190&gt;=1.1*N$5*#REF!,"-")</formula>
    </cfRule>
  </conditionalFormatting>
  <conditionalFormatting sqref="F205:M206">
    <cfRule type="expression" dxfId="2384" priority="74">
      <formula>IF(AND(NOT(F205=""),NOT(F205="-")),F205&gt;=1.1*F$5*BE$206,"-")</formula>
    </cfRule>
  </conditionalFormatting>
  <conditionalFormatting sqref="BC17">
    <cfRule type="containsText" dxfId="2383" priority="67" operator="containsText" text="passed">
      <formula>NOT(ISERROR(SEARCH("passed",BC17)))</formula>
    </cfRule>
    <cfRule type="containsText" dxfId="2382" priority="68" operator="containsText" text="failed">
      <formula>NOT(ISERROR(SEARCH("failed",BC17)))</formula>
    </cfRule>
    <cfRule type="containsText" dxfId="2381" priority="69" operator="containsText" text="refused">
      <formula>NOT(ISERROR(SEARCH("refused",BC17)))</formula>
    </cfRule>
  </conditionalFormatting>
  <conditionalFormatting sqref="BC22">
    <cfRule type="containsText" dxfId="2380" priority="64" operator="containsText" text="passed">
      <formula>NOT(ISERROR(SEARCH("passed",BC22)))</formula>
    </cfRule>
    <cfRule type="containsText" dxfId="2379" priority="65" operator="containsText" text="failed">
      <formula>NOT(ISERROR(SEARCH("failed",BC22)))</formula>
    </cfRule>
    <cfRule type="containsText" dxfId="2378" priority="66" operator="containsText" text="refused">
      <formula>NOT(ISERROR(SEARCH("refused",BC22)))</formula>
    </cfRule>
  </conditionalFormatting>
  <conditionalFormatting sqref="BC27">
    <cfRule type="containsText" dxfId="2377" priority="61" operator="containsText" text="passed">
      <formula>NOT(ISERROR(SEARCH("passed",BC27)))</formula>
    </cfRule>
    <cfRule type="containsText" dxfId="2376" priority="62" operator="containsText" text="failed">
      <formula>NOT(ISERROR(SEARCH("failed",BC27)))</formula>
    </cfRule>
    <cfRule type="containsText" dxfId="2375" priority="63" operator="containsText" text="refused">
      <formula>NOT(ISERROR(SEARCH("refused",BC27)))</formula>
    </cfRule>
  </conditionalFormatting>
  <conditionalFormatting sqref="BC32">
    <cfRule type="containsText" dxfId="2374" priority="58" operator="containsText" text="passed">
      <formula>NOT(ISERROR(SEARCH("passed",BC32)))</formula>
    </cfRule>
    <cfRule type="containsText" dxfId="2373" priority="59" operator="containsText" text="failed">
      <formula>NOT(ISERROR(SEARCH("failed",BC32)))</formula>
    </cfRule>
    <cfRule type="containsText" dxfId="2372" priority="60" operator="containsText" text="refused">
      <formula>NOT(ISERROR(SEARCH("refused",BC32)))</formula>
    </cfRule>
  </conditionalFormatting>
  <conditionalFormatting sqref="BC44">
    <cfRule type="containsText" dxfId="2371" priority="55" operator="containsText" text="passed">
      <formula>NOT(ISERROR(SEARCH("passed",BC44)))</formula>
    </cfRule>
    <cfRule type="containsText" dxfId="2370" priority="56" operator="containsText" text="failed">
      <formula>NOT(ISERROR(SEARCH("failed",BC44)))</formula>
    </cfRule>
    <cfRule type="containsText" dxfId="2369" priority="57" operator="containsText" text="refused">
      <formula>NOT(ISERROR(SEARCH("refused",BC44)))</formula>
    </cfRule>
  </conditionalFormatting>
  <conditionalFormatting sqref="BC71">
    <cfRule type="containsText" dxfId="2368" priority="52" operator="containsText" text="passed">
      <formula>NOT(ISERROR(SEARCH("passed",BC71)))</formula>
    </cfRule>
    <cfRule type="containsText" dxfId="2367" priority="53" operator="containsText" text="failed">
      <formula>NOT(ISERROR(SEARCH("failed",BC71)))</formula>
    </cfRule>
    <cfRule type="containsText" dxfId="2366" priority="54" operator="containsText" text="refused">
      <formula>NOT(ISERROR(SEARCH("refused",BC71)))</formula>
    </cfRule>
  </conditionalFormatting>
  <conditionalFormatting sqref="BC76">
    <cfRule type="containsText" dxfId="2365" priority="49" operator="containsText" text="passed">
      <formula>NOT(ISERROR(SEARCH("passed",BC76)))</formula>
    </cfRule>
    <cfRule type="containsText" dxfId="2364" priority="50" operator="containsText" text="failed">
      <formula>NOT(ISERROR(SEARCH("failed",BC76)))</formula>
    </cfRule>
    <cfRule type="containsText" dxfId="2363" priority="51" operator="containsText" text="refused">
      <formula>NOT(ISERROR(SEARCH("refused",BC76)))</formula>
    </cfRule>
  </conditionalFormatting>
  <conditionalFormatting sqref="BC81">
    <cfRule type="containsText" dxfId="2362" priority="46" operator="containsText" text="passed">
      <formula>NOT(ISERROR(SEARCH("passed",BC81)))</formula>
    </cfRule>
    <cfRule type="containsText" dxfId="2361" priority="47" operator="containsText" text="failed">
      <formula>NOT(ISERROR(SEARCH("failed",BC81)))</formula>
    </cfRule>
    <cfRule type="containsText" dxfId="2360" priority="48" operator="containsText" text="refused">
      <formula>NOT(ISERROR(SEARCH("refused",BC81)))</formula>
    </cfRule>
  </conditionalFormatting>
  <conditionalFormatting sqref="BC86">
    <cfRule type="containsText" dxfId="2359" priority="43" operator="containsText" text="passed">
      <formula>NOT(ISERROR(SEARCH("passed",BC86)))</formula>
    </cfRule>
    <cfRule type="containsText" dxfId="2358" priority="44" operator="containsText" text="failed">
      <formula>NOT(ISERROR(SEARCH("failed",BC86)))</formula>
    </cfRule>
    <cfRule type="containsText" dxfId="2357" priority="45" operator="containsText" text="refused">
      <formula>NOT(ISERROR(SEARCH("refused",BC86)))</formula>
    </cfRule>
  </conditionalFormatting>
  <conditionalFormatting sqref="BC91">
    <cfRule type="containsText" dxfId="2356" priority="40" operator="containsText" text="passed">
      <formula>NOT(ISERROR(SEARCH("passed",BC91)))</formula>
    </cfRule>
    <cfRule type="containsText" dxfId="2355" priority="41" operator="containsText" text="failed">
      <formula>NOT(ISERROR(SEARCH("failed",BC91)))</formula>
    </cfRule>
    <cfRule type="containsText" dxfId="2354" priority="42" operator="containsText" text="refused">
      <formula>NOT(ISERROR(SEARCH("refused",BC91)))</formula>
    </cfRule>
  </conditionalFormatting>
  <conditionalFormatting sqref="BC96">
    <cfRule type="containsText" dxfId="2353" priority="37" operator="containsText" text="passed">
      <formula>NOT(ISERROR(SEARCH("passed",BC96)))</formula>
    </cfRule>
    <cfRule type="containsText" dxfId="2352" priority="38" operator="containsText" text="failed">
      <formula>NOT(ISERROR(SEARCH("failed",BC96)))</formula>
    </cfRule>
    <cfRule type="containsText" dxfId="2351" priority="39" operator="containsText" text="refused">
      <formula>NOT(ISERROR(SEARCH("refused",BC96)))</formula>
    </cfRule>
  </conditionalFormatting>
  <conditionalFormatting sqref="BC109">
    <cfRule type="containsText" dxfId="2350" priority="34" operator="containsText" text="passed">
      <formula>NOT(ISERROR(SEARCH("passed",BC109)))</formula>
    </cfRule>
    <cfRule type="containsText" dxfId="2349" priority="35" operator="containsText" text="failed">
      <formula>NOT(ISERROR(SEARCH("failed",BC109)))</formula>
    </cfRule>
    <cfRule type="containsText" dxfId="2348" priority="36" operator="containsText" text="refused">
      <formula>NOT(ISERROR(SEARCH("refused",BC109)))</formula>
    </cfRule>
  </conditionalFormatting>
  <conditionalFormatting sqref="BC115">
    <cfRule type="containsText" dxfId="2347" priority="31" operator="containsText" text="passed">
      <formula>NOT(ISERROR(SEARCH("passed",BC115)))</formula>
    </cfRule>
    <cfRule type="containsText" dxfId="2346" priority="32" operator="containsText" text="failed">
      <formula>NOT(ISERROR(SEARCH("failed",BC115)))</formula>
    </cfRule>
    <cfRule type="containsText" dxfId="2345" priority="33" operator="containsText" text="refused">
      <formula>NOT(ISERROR(SEARCH("refused",BC115)))</formula>
    </cfRule>
  </conditionalFormatting>
  <conditionalFormatting sqref="BC135">
    <cfRule type="containsText" dxfId="2344" priority="25" operator="containsText" text="passed">
      <formula>NOT(ISERROR(SEARCH("passed",BC135)))</formula>
    </cfRule>
    <cfRule type="containsText" dxfId="2343" priority="26" operator="containsText" text="failed">
      <formula>NOT(ISERROR(SEARCH("failed",BC135)))</formula>
    </cfRule>
    <cfRule type="containsText" dxfId="2342" priority="27" operator="containsText" text="refused">
      <formula>NOT(ISERROR(SEARCH("refused",BC135)))</formula>
    </cfRule>
  </conditionalFormatting>
  <conditionalFormatting sqref="BC162">
    <cfRule type="containsText" dxfId="2341" priority="22" operator="containsText" text="passed">
      <formula>NOT(ISERROR(SEARCH("passed",BC162)))</formula>
    </cfRule>
    <cfRule type="containsText" dxfId="2340" priority="23" operator="containsText" text="failed">
      <formula>NOT(ISERROR(SEARCH("failed",BC162)))</formula>
    </cfRule>
    <cfRule type="containsText" dxfId="2339" priority="24" operator="containsText" text="refused">
      <formula>NOT(ISERROR(SEARCH("refused",BC162)))</formula>
    </cfRule>
  </conditionalFormatting>
  <conditionalFormatting sqref="BC167">
    <cfRule type="containsText" dxfId="2338" priority="19" operator="containsText" text="passed">
      <formula>NOT(ISERROR(SEARCH("passed",BC167)))</formula>
    </cfRule>
    <cfRule type="containsText" dxfId="2337" priority="20" operator="containsText" text="failed">
      <formula>NOT(ISERROR(SEARCH("failed",BC167)))</formula>
    </cfRule>
    <cfRule type="containsText" dxfId="2336" priority="21" operator="containsText" text="refused">
      <formula>NOT(ISERROR(SEARCH("refused",BC167)))</formula>
    </cfRule>
  </conditionalFormatting>
  <conditionalFormatting sqref="BC189">
    <cfRule type="containsText" dxfId="2335" priority="16" operator="containsText" text="passed">
      <formula>NOT(ISERROR(SEARCH("passed",BC189)))</formula>
    </cfRule>
    <cfRule type="containsText" dxfId="2334" priority="17" operator="containsText" text="failed">
      <formula>NOT(ISERROR(SEARCH("failed",BC189)))</formula>
    </cfRule>
    <cfRule type="containsText" dxfId="2333" priority="18" operator="containsText" text="refused">
      <formula>NOT(ISERROR(SEARCH("refused",BC189)))</formula>
    </cfRule>
  </conditionalFormatting>
  <conditionalFormatting sqref="BC194">
    <cfRule type="containsText" dxfId="2332" priority="13" operator="containsText" text="passed">
      <formula>NOT(ISERROR(SEARCH("passed",BC194)))</formula>
    </cfRule>
    <cfRule type="containsText" dxfId="2331" priority="14" operator="containsText" text="failed">
      <formula>NOT(ISERROR(SEARCH("failed",BC194)))</formula>
    </cfRule>
    <cfRule type="containsText" dxfId="2330" priority="15" operator="containsText" text="refused">
      <formula>NOT(ISERROR(SEARCH("refused",BC194)))</formula>
    </cfRule>
  </conditionalFormatting>
  <conditionalFormatting sqref="BC199">
    <cfRule type="containsText" dxfId="2329" priority="10" operator="containsText" text="passed">
      <formula>NOT(ISERROR(SEARCH("passed",BC199)))</formula>
    </cfRule>
    <cfRule type="containsText" dxfId="2328" priority="11" operator="containsText" text="failed">
      <formula>NOT(ISERROR(SEARCH("failed",BC199)))</formula>
    </cfRule>
    <cfRule type="containsText" dxfId="2327" priority="12" operator="containsText" text="refused">
      <formula>NOT(ISERROR(SEARCH("refused",BC199)))</formula>
    </cfRule>
  </conditionalFormatting>
  <conditionalFormatting sqref="BC204">
    <cfRule type="containsText" dxfId="2326" priority="7" operator="containsText" text="passed">
      <formula>NOT(ISERROR(SEARCH("passed",BC204)))</formula>
    </cfRule>
    <cfRule type="containsText" dxfId="2325" priority="8" operator="containsText" text="failed">
      <formula>NOT(ISERROR(SEARCH("failed",BC204)))</formula>
    </cfRule>
    <cfRule type="containsText" dxfId="2324" priority="9" operator="containsText" text="refused">
      <formula>NOT(ISERROR(SEARCH("refused",BC204)))</formula>
    </cfRule>
  </conditionalFormatting>
  <conditionalFormatting sqref="BC209">
    <cfRule type="containsText" dxfId="2323" priority="4" operator="containsText" text="passed">
      <formula>NOT(ISERROR(SEARCH("passed",BC209)))</formula>
    </cfRule>
    <cfRule type="containsText" dxfId="2322" priority="5" operator="containsText" text="failed">
      <formula>NOT(ISERROR(SEARCH("failed",BC209)))</formula>
    </cfRule>
    <cfRule type="containsText" dxfId="2321" priority="6" operator="containsText" text="refused">
      <formula>NOT(ISERROR(SEARCH("refused",BC209)))</formula>
    </cfRule>
  </conditionalFormatting>
  <conditionalFormatting sqref="BC214">
    <cfRule type="containsText" dxfId="2320" priority="1" operator="containsText" text="passed">
      <formula>NOT(ISERROR(SEARCH("passed",BC214)))</formula>
    </cfRule>
    <cfRule type="containsText" dxfId="2319" priority="2" operator="containsText" text="failed">
      <formula>NOT(ISERROR(SEARCH("failed",BC214)))</formula>
    </cfRule>
    <cfRule type="containsText" dxfId="2318" priority="3" operator="containsText" text="refused">
      <formula>NOT(ISERROR(SEARCH("refused",BC214)))</formula>
    </cfRule>
  </conditionalFormatting>
  <conditionalFormatting sqref="F195:M196">
    <cfRule type="expression" dxfId="2317" priority="454280">
      <formula>IF(AND(NOT(F195=""),NOT(F195="-")),F195&gt;=1.1*F$5*BE$204,"-")</formula>
    </cfRule>
  </conditionalFormatting>
  <conditionalFormatting sqref="F210:M211">
    <cfRule type="expression" dxfId="2316" priority="454285">
      <formula>IF(AND(NOT(F210=""),NOT(F210="-")),F210&gt;=1.1*F$5*BE$207,"-")</formula>
    </cfRule>
  </conditionalFormatting>
  <conditionalFormatting sqref="F13:M14">
    <cfRule type="expression" dxfId="2315" priority="454288">
      <formula>IF(AND(NOT(F13=""),NOT(F13="-")),F13&gt;=1.1*F$5*BE$25,"-")</formula>
    </cfRule>
  </conditionalFormatting>
  <conditionalFormatting sqref="F18:M19">
    <cfRule type="expression" dxfId="2314" priority="454289">
      <formula>IF(AND(NOT(F18=""),NOT(F18="-")),F18&gt;=1.1*F$5*BE$26,"-")</formula>
    </cfRule>
  </conditionalFormatting>
  <conditionalFormatting sqref="F67:M68">
    <cfRule type="expression" dxfId="2313" priority="454292">
      <formula>IF(AND(NOT(F67=""),NOT(F67="-")),F67&gt;=1.1*F$5*BE$85,"-")</formula>
    </cfRule>
  </conditionalFormatting>
  <conditionalFormatting sqref="F72:M73">
    <cfRule type="expression" dxfId="2312" priority="454295">
      <formula>IF(AND(NOT(F72=""),NOT(F72="-")),F72&gt;=1.1*F$5*BE$86,"-")</formula>
    </cfRule>
  </conditionalFormatting>
  <conditionalFormatting sqref="F190:M191">
    <cfRule type="expression" dxfId="2311" priority="454298">
      <formula>IF(AND(NOT(F190=""),NOT(F190="-")),F190&gt;=1.1*F$5*BE$203,"-")</formula>
    </cfRule>
  </conditionalFormatting>
  <conditionalFormatting sqref="F105:M106">
    <cfRule type="expression" dxfId="2310" priority="454299">
      <formula>IF(AND(NOT(F105=""),NOT(F105="-")),F105&gt;=1.1*F$5*BE$121,"-")</formula>
    </cfRule>
  </conditionalFormatting>
  <conditionalFormatting sqref="F111:M112">
    <cfRule type="expression" dxfId="2309" priority="454300">
      <formula>IF(AND(NOT(F111=""),NOT(F111="-")),F111&gt;=1.1*F$5*BE$122,"-")</formula>
    </cfRule>
  </conditionalFormatting>
  <conditionalFormatting sqref="N40:N41">
    <cfRule type="expression" dxfId="2308" priority="454301">
      <formula>IF(AND(NOT(N40=""),NOT(N40="-")),N40&gt;=1.1*N$5*BT$52,"-")</formula>
    </cfRule>
  </conditionalFormatting>
  <conditionalFormatting sqref="F40:K41">
    <cfRule type="expression" dxfId="2307" priority="454302">
      <formula>IF(AND(NOT(F40=""),NOT(F40="-")),F40&gt;=1.1*F$5*BM$52,"-")</formula>
    </cfRule>
  </conditionalFormatting>
  <conditionalFormatting sqref="L40:L41">
    <cfRule type="expression" dxfId="2306" priority="454303">
      <formula>IF(AND(NOT(L40=""),NOT(L40="-")),L40&gt;=1.1*L$5*BT$52,"-")</formula>
    </cfRule>
  </conditionalFormatting>
  <conditionalFormatting sqref="F163:M164">
    <cfRule type="expression" dxfId="2305" priority="454304">
      <formula>IF(AND(NOT(F163=""),NOT(F163="-")),F163&gt;=1.1*F$5*BE$176,"-")</formula>
    </cfRule>
  </conditionalFormatting>
  <conditionalFormatting sqref="F158:M159">
    <cfRule type="expression" dxfId="2304" priority="454306">
      <formula>IF(AND(NOT(F158=""),NOT(F158="-")),F158&gt;=1.1*F$5*BE$175,"-")</formula>
    </cfRule>
  </conditionalFormatting>
  <conditionalFormatting sqref="F185:M186">
    <cfRule type="expression" dxfId="2303" priority="454307">
      <formula>IF(AND(NOT(F185=""),NOT(F185="-")),F185&gt;=1.1*F$5*BE$202,"-")</formula>
    </cfRule>
  </conditionalFormatting>
  <conditionalFormatting sqref="F131:M132">
    <cfRule type="expression" dxfId="2302" priority="454308">
      <formula>IF(AND(NOT(F131=""),NOT(F131="-")),F131&gt;=1.1*F$5*BE$148,"-")</formula>
    </cfRule>
  </conditionalFormatting>
  <pageMargins left="0.7" right="0.7" top="0.75" bottom="0.75" header="0.3" footer="0.3"/>
  <pageSetup paperSize="9" scale="45" fitToHeight="0" orientation="landscape" r:id="rId1"/>
  <rowBreaks count="4" manualBreakCount="4">
    <brk id="59" max="19" man="1"/>
    <brk id="98" max="19" man="1"/>
    <brk id="151" max="19" man="1"/>
    <brk id="178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'Daten Gasoline'!$BC$14:$BC$17</xm:f>
          </x14:formula1>
          <xm:sqref>E4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>
    <pageSetUpPr fitToPage="1"/>
  </sheetPr>
  <dimension ref="A1:CF243"/>
  <sheetViews>
    <sheetView showGridLines="0" zoomScale="90" zoomScaleNormal="90" workbookViewId="0">
      <selection activeCell="J14" sqref="J14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3.140625" style="401" bestFit="1" customWidth="1"/>
    <col min="56" max="56" width="24.85546875" style="405" bestFit="1" customWidth="1"/>
    <col min="57" max="60" width="7.85546875" style="405" customWidth="1"/>
    <col min="61" max="61" width="8.7109375" style="405" hidden="1" customWidth="1"/>
    <col min="62" max="64" width="7.85546875" style="405" hidden="1" customWidth="1"/>
    <col min="65" max="65" width="6.5703125" style="405" hidden="1" customWidth="1"/>
    <col min="66" max="66" width="4.5703125" style="405" hidden="1" customWidth="1"/>
    <col min="67" max="67" width="4.140625" style="405" hidden="1" customWidth="1"/>
    <col min="68" max="68" width="4.85546875" style="405" hidden="1" customWidth="1"/>
    <col min="69" max="71" width="4.140625" style="405" hidden="1" customWidth="1"/>
    <col min="72" max="72" width="5.28515625" style="405" hidden="1" customWidth="1"/>
    <col min="73" max="73" width="1.7109375" style="401" hidden="1" customWidth="1"/>
    <col min="74" max="76" width="1.7109375" style="401" customWidth="1"/>
    <col min="77" max="78" width="1.7109375" style="401" hidden="1" customWidth="1"/>
    <col min="79" max="80" width="0" style="401" hidden="1" customWidth="1"/>
    <col min="81" max="84" width="9.140625" style="401" hidden="1" customWidth="1"/>
    <col min="85" max="88" width="0" style="401" hidden="1" customWidth="1"/>
    <col min="89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CONCATENATE(('Release of Results'!C10)," ",('Release of Results'!C11)," ",('Release of Results'!C12))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  <c r="BC1" s="533" t="s">
        <v>206</v>
      </c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407" t="s">
        <v>276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">
        <v>284</v>
      </c>
      <c r="M4" s="410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825" t="s">
        <v>143</v>
      </c>
      <c r="C5" s="826"/>
      <c r="D5" s="826"/>
      <c r="E5" s="827"/>
      <c r="F5" s="360">
        <f>VLOOKUP(E4,'Daten Gasoline'!AR14:BA24,2,FALSE)</f>
        <v>0.19</v>
      </c>
      <c r="G5" s="360">
        <f>VLOOKUP(E4,'Daten Gasoline'!AR14:BA24,3,FALSE)</f>
        <v>0.20499999999999999</v>
      </c>
      <c r="H5" s="360">
        <f>VLOOKUP(E4,'Daten Gasoline'!AR14:BA24,4,FALSE)</f>
        <v>3.4</v>
      </c>
      <c r="I5" s="360">
        <f>VLOOKUP(E4,'Daten Gasoline'!AR14:BA24,5,FALSE)</f>
        <v>0.6</v>
      </c>
      <c r="J5" s="360" t="str">
        <f>VLOOKUP(E4,'Daten Gasoline'!AR14:AZ24,6,FALSE)</f>
        <v>-</v>
      </c>
      <c r="K5" s="360" t="str">
        <f>VLOOKUP(E4,'Daten Gasoline'!AR14:AZ24,7,FALSE)</f>
        <v>-</v>
      </c>
      <c r="L5" s="354" t="str">
        <f>VLOOKUP(E4,'Daten Gasoline'!AR14:BA24,8,FALSE)</f>
        <v>-</v>
      </c>
      <c r="M5" s="354" t="str">
        <f>VLOOKUP(E4,'Daten Gasoline'!AR14:BA24,9,FALSE)</f>
        <v>-</v>
      </c>
      <c r="N5" s="354" t="s">
        <v>5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thickBot="1" x14ac:dyDescent="0.3">
      <c r="A6" s="396"/>
      <c r="B6" s="825" t="s">
        <v>205</v>
      </c>
      <c r="C6" s="826"/>
      <c r="D6" s="826"/>
      <c r="E6" s="827"/>
      <c r="F6" s="354" t="s">
        <v>5</v>
      </c>
      <c r="G6" s="354" t="s">
        <v>5</v>
      </c>
      <c r="H6" s="354" t="s">
        <v>5</v>
      </c>
      <c r="I6" s="354" t="s">
        <v>5</v>
      </c>
      <c r="J6" s="354" t="s">
        <v>5</v>
      </c>
      <c r="K6" s="354" t="s">
        <v>5</v>
      </c>
      <c r="L6" s="354" t="s">
        <v>5</v>
      </c>
      <c r="M6" s="354" t="s">
        <v>5</v>
      </c>
      <c r="N6" s="354" t="s">
        <v>5</v>
      </c>
      <c r="O6" s="510"/>
      <c r="P6" s="510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664" t="s">
        <v>142</v>
      </c>
      <c r="C7" s="665"/>
      <c r="D7" s="665"/>
      <c r="E7" s="666"/>
      <c r="F7" s="355" t="s">
        <v>5</v>
      </c>
      <c r="G7" s="355" t="s">
        <v>5</v>
      </c>
      <c r="H7" s="355" t="s">
        <v>5</v>
      </c>
      <c r="I7" s="355" t="s">
        <v>5</v>
      </c>
      <c r="J7" s="355" t="s">
        <v>5</v>
      </c>
      <c r="K7" s="355" t="s">
        <v>5</v>
      </c>
      <c r="L7" s="355" t="s">
        <v>5</v>
      </c>
      <c r="M7" s="355" t="s">
        <v>5</v>
      </c>
      <c r="N7" s="355" t="s">
        <v>5</v>
      </c>
      <c r="O7" s="510"/>
      <c r="P7" s="510"/>
      <c r="Q7" s="396"/>
      <c r="R7" s="396"/>
      <c r="S7" s="396"/>
      <c r="T7" s="404"/>
      <c r="U7" s="404"/>
      <c r="V7" s="404"/>
      <c r="W7" s="404"/>
      <c r="X7" s="40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396"/>
      <c r="C8" s="396"/>
      <c r="D8" s="396"/>
      <c r="E8" s="396"/>
      <c r="F8" s="396"/>
      <c r="G8" s="396"/>
      <c r="H8" s="396"/>
      <c r="I8" s="396"/>
      <c r="J8" s="396"/>
      <c r="K8" s="406"/>
      <c r="L8" s="406"/>
      <c r="M8" s="406"/>
      <c r="N8" s="396"/>
      <c r="O8" s="396"/>
      <c r="P8" s="396"/>
      <c r="Q8" s="396"/>
      <c r="R8" s="396"/>
      <c r="S8" s="396"/>
      <c r="T8" s="404"/>
      <c r="U8" s="404"/>
      <c r="V8" s="404"/>
      <c r="W8" s="414"/>
      <c r="X8" s="414"/>
      <c r="Y8" s="404"/>
      <c r="Z8" s="404"/>
      <c r="AA8" s="404"/>
      <c r="AB8" s="404"/>
      <c r="AC8" s="404"/>
      <c r="AD8" s="404"/>
      <c r="AE8" s="404"/>
      <c r="AF8" s="404"/>
      <c r="AG8" s="404"/>
      <c r="AH8" s="404"/>
    </row>
    <row r="9" spans="1:64" ht="24.95" customHeight="1" thickBot="1" x14ac:dyDescent="0.3">
      <c r="A9" s="396"/>
      <c r="B9" s="415">
        <v>1</v>
      </c>
      <c r="C9" s="839" t="s">
        <v>163</v>
      </c>
      <c r="D9" s="840"/>
      <c r="E9" s="840"/>
      <c r="F9" s="840"/>
      <c r="G9" s="840"/>
      <c r="H9" s="840"/>
      <c r="I9" s="840"/>
      <c r="J9" s="840"/>
      <c r="K9" s="840"/>
      <c r="L9" s="840"/>
      <c r="M9" s="840"/>
      <c r="N9" s="841"/>
      <c r="O9" s="416" t="s">
        <v>117</v>
      </c>
      <c r="P9" s="398" t="str">
        <f>IF(COUNTIF(F17:M33,"refused")&gt;0,"refused",IF(COUNTIF(F17:M33,"failed")&gt;0,"failed",IF(COUNTIF(F17:M33,"passed")&gt;0,"passed","-")))</f>
        <v>-</v>
      </c>
      <c r="Q9" s="399" t="s">
        <v>80</v>
      </c>
      <c r="R9" s="399" t="str">
        <f>IF(COUNT(F14:M15,F19:M20,F24:M25,F29:M30)&gt;0,"listed","not listed")</f>
        <v>not listed</v>
      </c>
      <c r="S9" s="511"/>
      <c r="T9" s="418"/>
      <c r="U9" s="418"/>
      <c r="V9" s="419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513"/>
      <c r="C10" s="514"/>
      <c r="D10" s="514"/>
      <c r="E10" s="514"/>
      <c r="F10" s="514"/>
      <c r="G10" s="514"/>
      <c r="H10" s="514"/>
      <c r="I10" s="514"/>
      <c r="J10" s="514"/>
      <c r="K10" s="421"/>
      <c r="L10" s="421"/>
      <c r="M10" s="421"/>
      <c r="N10" s="514"/>
      <c r="O10" s="514"/>
      <c r="P10" s="514"/>
      <c r="Q10" s="514"/>
      <c r="R10" s="514"/>
      <c r="S10" s="514"/>
      <c r="T10" s="422"/>
      <c r="U10" s="422"/>
      <c r="V10" s="423"/>
      <c r="W10" s="414"/>
      <c r="X10" s="414"/>
      <c r="Y10" s="414"/>
      <c r="Z10" s="414"/>
      <c r="AA10" s="414"/>
      <c r="AB10" s="414"/>
      <c r="AC10" s="414"/>
      <c r="AD10" s="414"/>
      <c r="AE10" s="414"/>
      <c r="AF10" s="414"/>
      <c r="AG10" s="414"/>
      <c r="AH10" s="414"/>
    </row>
    <row r="11" spans="1:64" ht="15" customHeight="1" outlineLevel="1" thickBot="1" x14ac:dyDescent="0.3">
      <c r="A11" s="396"/>
      <c r="B11" s="695" t="s">
        <v>81</v>
      </c>
      <c r="C11" s="696"/>
      <c r="D11" s="696"/>
      <c r="E11" s="696"/>
      <c r="F11" s="696"/>
      <c r="G11" s="696"/>
      <c r="H11" s="696"/>
      <c r="I11" s="696"/>
      <c r="J11" s="696"/>
      <c r="K11" s="696"/>
      <c r="L11" s="696"/>
      <c r="M11" s="696"/>
      <c r="N11" s="697"/>
      <c r="O11" s="695" t="s">
        <v>82</v>
      </c>
      <c r="P11" s="696"/>
      <c r="Q11" s="696"/>
      <c r="R11" s="697"/>
      <c r="S11" s="696" t="s">
        <v>83</v>
      </c>
      <c r="T11" s="696"/>
      <c r="U11" s="696"/>
      <c r="V11" s="697"/>
      <c r="W11" s="424"/>
      <c r="X11" s="424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</row>
    <row r="12" spans="1:64" ht="35.1" customHeight="1" outlineLevel="1" thickBot="1" x14ac:dyDescent="0.3">
      <c r="A12" s="396"/>
      <c r="B12" s="703" t="s">
        <v>84</v>
      </c>
      <c r="C12" s="704"/>
      <c r="D12" s="704"/>
      <c r="E12" s="705"/>
      <c r="F12" s="425" t="s">
        <v>72</v>
      </c>
      <c r="G12" s="517" t="s">
        <v>73</v>
      </c>
      <c r="H12" s="425" t="s">
        <v>74</v>
      </c>
      <c r="I12" s="425" t="s">
        <v>75</v>
      </c>
      <c r="J12" s="425" t="s">
        <v>76</v>
      </c>
      <c r="K12" s="534" t="s">
        <v>170</v>
      </c>
      <c r="L12" s="535" t="str">
        <f>$L$4</f>
        <v>Additional
component</v>
      </c>
      <c r="M12" s="535" t="str">
        <f>$M$4</f>
        <v>Additional
component 2</v>
      </c>
      <c r="N12" s="425" t="s">
        <v>77</v>
      </c>
      <c r="O12" s="669"/>
      <c r="P12" s="670"/>
      <c r="Q12" s="670"/>
      <c r="R12" s="671"/>
      <c r="S12" s="669"/>
      <c r="T12" s="670"/>
      <c r="U12" s="670"/>
      <c r="V12" s="671"/>
      <c r="W12" s="512"/>
      <c r="X12" s="512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">
        <v>85</v>
      </c>
      <c r="BE12" s="430" t="str">
        <f>F$4</f>
        <v>NMHC 
[g/km]</v>
      </c>
      <c r="BF12" s="430" t="str">
        <f t="shared" ref="BF12:BL12" si="0">G4</f>
        <v>THC
[g/km]</v>
      </c>
      <c r="BG12" s="430" t="str">
        <f t="shared" si="0"/>
        <v>CO
[g/km]</v>
      </c>
      <c r="BH12" s="430" t="str">
        <f t="shared" si="0"/>
        <v>NOx
[g/km]</v>
      </c>
      <c r="BI12" s="430" t="str">
        <f t="shared" si="0"/>
        <v>PM
[mg/km]</v>
      </c>
      <c r="BJ12" s="430" t="str">
        <f t="shared" si="0"/>
        <v>PN
[#/km]</v>
      </c>
      <c r="BK12" s="430" t="str">
        <f t="shared" si="0"/>
        <v>Additional
component</v>
      </c>
      <c r="BL12" s="430" t="str">
        <f t="shared" si="0"/>
        <v>Additional
component 2</v>
      </c>
    </row>
    <row r="13" spans="1:64" ht="15" customHeight="1" outlineLevel="1" thickBot="1" x14ac:dyDescent="0.3">
      <c r="A13" s="396"/>
      <c r="B13" s="679" t="s">
        <v>93</v>
      </c>
      <c r="C13" s="431" t="s">
        <v>64</v>
      </c>
      <c r="D13" s="682" t="s">
        <v>119</v>
      </c>
      <c r="E13" s="683"/>
      <c r="F13" s="432" t="s">
        <v>64</v>
      </c>
      <c r="G13" s="432" t="s">
        <v>64</v>
      </c>
      <c r="H13" s="432" t="s">
        <v>64</v>
      </c>
      <c r="I13" s="432" t="s">
        <v>64</v>
      </c>
      <c r="J13" s="432" t="s">
        <v>64</v>
      </c>
      <c r="K13" s="433" t="s">
        <v>64</v>
      </c>
      <c r="L13" s="433" t="s">
        <v>64</v>
      </c>
      <c r="M13" s="433" t="s">
        <v>64</v>
      </c>
      <c r="N13" s="432" t="s">
        <v>64</v>
      </c>
      <c r="O13" s="672"/>
      <c r="P13" s="673"/>
      <c r="Q13" s="673"/>
      <c r="R13" s="674"/>
      <c r="S13" s="672"/>
      <c r="T13" s="673"/>
      <c r="U13" s="673"/>
      <c r="V13" s="674"/>
      <c r="W13" s="512"/>
      <c r="X13" s="512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C13" s="536"/>
      <c r="BD13" s="429" t="str">
        <f>$E$4</f>
        <v>US EPA Tier 2 Bin 11</v>
      </c>
      <c r="BE13" s="435">
        <v>1</v>
      </c>
      <c r="BF13" s="435">
        <v>1</v>
      </c>
      <c r="BG13" s="435">
        <v>1</v>
      </c>
      <c r="BH13" s="435">
        <v>1</v>
      </c>
      <c r="BI13" s="435">
        <v>1</v>
      </c>
      <c r="BJ13" s="435">
        <v>1</v>
      </c>
      <c r="BK13" s="435">
        <v>1</v>
      </c>
      <c r="BL13" s="435">
        <v>1</v>
      </c>
    </row>
    <row r="14" spans="1:64" ht="15" customHeight="1" outlineLevel="1" x14ac:dyDescent="0.25">
      <c r="A14" s="396"/>
      <c r="B14" s="680"/>
      <c r="C14" s="684" t="s">
        <v>114</v>
      </c>
      <c r="D14" s="684" t="s">
        <v>113</v>
      </c>
      <c r="E14" s="436" t="s">
        <v>94</v>
      </c>
      <c r="F14" s="437" t="s">
        <v>5</v>
      </c>
      <c r="G14" s="437" t="s">
        <v>5</v>
      </c>
      <c r="H14" s="437" t="s">
        <v>5</v>
      </c>
      <c r="I14" s="437" t="s">
        <v>5</v>
      </c>
      <c r="J14" s="437" t="s">
        <v>5</v>
      </c>
      <c r="K14" s="438" t="s">
        <v>5</v>
      </c>
      <c r="L14" s="438" t="s">
        <v>5</v>
      </c>
      <c r="M14" s="438" t="s">
        <v>5</v>
      </c>
      <c r="N14" s="437" t="s">
        <v>5</v>
      </c>
      <c r="O14" s="672"/>
      <c r="P14" s="673"/>
      <c r="Q14" s="673"/>
      <c r="R14" s="674"/>
      <c r="S14" s="672"/>
      <c r="T14" s="673"/>
      <c r="U14" s="673"/>
      <c r="V14" s="674"/>
      <c r="W14" s="512"/>
      <c r="X14" s="512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C14" s="536"/>
      <c r="BD14" s="429" t="str">
        <f>"1st " &amp;  B13</f>
        <v>1st Cold</v>
      </c>
      <c r="BE14" s="435" t="str">
        <f t="shared" ref="BE14:BJ14" si="1">IF(AND(OR($C16="-",$C16="CET",$C16=""),OR(F13="-",F13="CET",F13="")),"-",IF(AND(OR(F14="-",F14=""),OR(F15="-",F15="")),"-",IF(NOT(OR(F14="-",F14="")),F14/F$5,F15/F$5)))</f>
        <v>-</v>
      </c>
      <c r="BF14" s="435" t="str">
        <f t="shared" si="1"/>
        <v>-</v>
      </c>
      <c r="BG14" s="435" t="str">
        <f t="shared" si="1"/>
        <v>-</v>
      </c>
      <c r="BH14" s="435" t="str">
        <f t="shared" si="1"/>
        <v>-</v>
      </c>
      <c r="BI14" s="435" t="str">
        <f t="shared" si="1"/>
        <v>-</v>
      </c>
      <c r="BJ14" s="435" t="str">
        <f t="shared" si="1"/>
        <v>-</v>
      </c>
      <c r="BK14" s="435" t="str">
        <f t="shared" ref="BK14:BL14" si="2">IF(AND(OR($C16="-",$C16="CET",$C16=""),OR(L13="-",L13="CET",L13="")),"-",IF(AND(OR(L14="-",L14=""),OR(L15="-",L15="")),"-",IF(NOT(OR(L14="-",L14="")),L14/L$5,L15/L$5)))</f>
        <v>-</v>
      </c>
      <c r="BL14" s="435" t="str">
        <f t="shared" si="2"/>
        <v>-</v>
      </c>
    </row>
    <row r="15" spans="1:64" s="405" customFormat="1" ht="15" customHeight="1" outlineLevel="1" thickBot="1" x14ac:dyDescent="0.3">
      <c r="A15" s="439"/>
      <c r="B15" s="680"/>
      <c r="C15" s="685"/>
      <c r="D15" s="685"/>
      <c r="E15" s="440" t="s">
        <v>95</v>
      </c>
      <c r="F15" s="441" t="s">
        <v>5</v>
      </c>
      <c r="G15" s="441" t="s">
        <v>5</v>
      </c>
      <c r="H15" s="441" t="s">
        <v>5</v>
      </c>
      <c r="I15" s="441" t="s">
        <v>5</v>
      </c>
      <c r="J15" s="441" t="s">
        <v>5</v>
      </c>
      <c r="K15" s="442" t="s">
        <v>5</v>
      </c>
      <c r="L15" s="442" t="s">
        <v>5</v>
      </c>
      <c r="M15" s="442" t="s">
        <v>5</v>
      </c>
      <c r="N15" s="441" t="s">
        <v>5</v>
      </c>
      <c r="O15" s="672"/>
      <c r="P15" s="673"/>
      <c r="Q15" s="673"/>
      <c r="R15" s="674"/>
      <c r="S15" s="672"/>
      <c r="T15" s="673"/>
      <c r="U15" s="673"/>
      <c r="V15" s="674"/>
      <c r="W15" s="443"/>
      <c r="X15" s="443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C15" s="536"/>
      <c r="BD15" s="429" t="str">
        <f>"1st " &amp; B19</f>
        <v>1st Warm</v>
      </c>
      <c r="BE15" s="435" t="str">
        <f t="shared" ref="BE15:BJ15" si="3">IF((OR($C21="-",$C21="CET",$C21="")),"-",IF(AND(OR(F19="-",F19=""),OR(F20="-",F20="")),"-",IF(NOT(OR(F19="-",F19="")),F19/F$5,F20/F$5)))</f>
        <v>-</v>
      </c>
      <c r="BF15" s="435" t="str">
        <f t="shared" si="3"/>
        <v>-</v>
      </c>
      <c r="BG15" s="435" t="str">
        <f t="shared" si="3"/>
        <v>-</v>
      </c>
      <c r="BH15" s="435" t="str">
        <f t="shared" si="3"/>
        <v>-</v>
      </c>
      <c r="BI15" s="435" t="str">
        <f t="shared" si="3"/>
        <v>-</v>
      </c>
      <c r="BJ15" s="435" t="str">
        <f t="shared" si="3"/>
        <v>-</v>
      </c>
      <c r="BK15" s="435" t="str">
        <f t="shared" ref="BK15:BL15" si="4">IF((OR($C21="-",$C21="CET",$C21="")),"-",IF(AND(OR(L19="-",L19=""),OR(L20="-",L20="")),"-",IF(NOT(OR(L19="-",L19="")),L19/L$5,L20/L$5)))</f>
        <v>-</v>
      </c>
      <c r="BL15" s="435" t="str">
        <f t="shared" si="4"/>
        <v>-</v>
      </c>
    </row>
    <row r="16" spans="1:64" ht="15" customHeight="1" outlineLevel="1" thickBot="1" x14ac:dyDescent="0.3">
      <c r="A16" s="396"/>
      <c r="B16" s="680"/>
      <c r="C16" s="686" t="s">
        <v>64</v>
      </c>
      <c r="D16" s="689" t="str">
        <f>IF(AND(F16="-",G16="-",H16="-",I16="-",J16="-",K16="-",L16="-",M16="-"),"-",MAX(F16,G16,H16,I16,J16,K16,L16,M16))</f>
        <v>-</v>
      </c>
      <c r="E16" s="444" t="s">
        <v>177</v>
      </c>
      <c r="F16" s="445" t="str">
        <f t="shared" ref="F16:K16" si="5">IF(OR(F15="-",F15=""),IF(OR(F14="-",F14=""),"-",F14),IF(OR(F14="-",F14=""),F15,(F14+F15)/2))</f>
        <v>-</v>
      </c>
      <c r="G16" s="445" t="str">
        <f t="shared" si="5"/>
        <v>-</v>
      </c>
      <c r="H16" s="445" t="str">
        <f t="shared" si="5"/>
        <v>-</v>
      </c>
      <c r="I16" s="445" t="str">
        <f t="shared" si="5"/>
        <v>-</v>
      </c>
      <c r="J16" s="445" t="str">
        <f t="shared" si="5"/>
        <v>-</v>
      </c>
      <c r="K16" s="446" t="str">
        <f t="shared" si="5"/>
        <v>-</v>
      </c>
      <c r="L16" s="446" t="str">
        <f t="shared" ref="L16:M16" si="6">IF(OR(L15="-",L15=""),IF(OR(L14="-",L14=""),"-",L14),IF(OR(L14="-",L14=""),L15,(L14+L15)/2))</f>
        <v>-</v>
      </c>
      <c r="M16" s="446" t="str">
        <f t="shared" si="6"/>
        <v>-</v>
      </c>
      <c r="N16" s="828"/>
      <c r="O16" s="672"/>
      <c r="P16" s="673"/>
      <c r="Q16" s="673"/>
      <c r="R16" s="674"/>
      <c r="S16" s="672"/>
      <c r="T16" s="673"/>
      <c r="U16" s="673"/>
      <c r="V16" s="674"/>
      <c r="W16" s="512"/>
      <c r="X16" s="512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C16" s="536"/>
      <c r="BD16" s="429" t="str">
        <f>"1st " &amp; B24</f>
        <v>1st Hot 1</v>
      </c>
      <c r="BE16" s="435" t="str">
        <f t="shared" ref="BE16:BJ16" si="7">IF((OR($C26="-",$C26="CET",$C26="")),"-",IF(AND(OR(F24="-",F24=""),OR(F25="-",F25="")),"-",IF(NOT(OR(F24="-",F24="")),F24/F$5,F25/F$5)))</f>
        <v>-</v>
      </c>
      <c r="BF16" s="435" t="str">
        <f t="shared" si="7"/>
        <v>-</v>
      </c>
      <c r="BG16" s="435" t="str">
        <f t="shared" si="7"/>
        <v>-</v>
      </c>
      <c r="BH16" s="435" t="str">
        <f t="shared" si="7"/>
        <v>-</v>
      </c>
      <c r="BI16" s="435" t="str">
        <f t="shared" si="7"/>
        <v>-</v>
      </c>
      <c r="BJ16" s="435" t="str">
        <f t="shared" si="7"/>
        <v>-</v>
      </c>
      <c r="BK16" s="435" t="str">
        <f t="shared" ref="BK16:BL16" si="8">IF((OR($C26="-",$C26="CET",$C26="")),"-",IF(AND(OR(L24="-",L24=""),OR(L25="-",L25="")),"-",IF(NOT(OR(L24="-",L24="")),L24/L$5,L25/L$5)))</f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0"/>
      <c r="C17" s="687"/>
      <c r="D17" s="690"/>
      <c r="E17" s="447" t="s">
        <v>97</v>
      </c>
      <c r="F17" s="448" t="str">
        <f t="shared" ref="F17:K17" si="9">IF(AND(OR($C16="-",$C16="CET",$C16=""),OR(F13="-",F13="CET",F13="")),"-",IF(AND(NOT(F16="-"),NOT(F$5="-"),NOT(F$5="")),F16/F$5,"-"))</f>
        <v>-</v>
      </c>
      <c r="G17" s="448" t="str">
        <f t="shared" si="9"/>
        <v>-</v>
      </c>
      <c r="H17" s="448" t="str">
        <f t="shared" si="9"/>
        <v>-</v>
      </c>
      <c r="I17" s="448" t="str">
        <f t="shared" si="9"/>
        <v>-</v>
      </c>
      <c r="J17" s="448" t="str">
        <f t="shared" si="9"/>
        <v>-</v>
      </c>
      <c r="K17" s="449" t="str">
        <f t="shared" si="9"/>
        <v>-</v>
      </c>
      <c r="L17" s="449" t="str">
        <f t="shared" ref="L17:M17" si="10">IF(AND(OR($C16="-",$C16="CET",$C16=""),OR(L13="-",L13="CET",L13="")),"-",IF(AND(NOT(L16="-"),NOT(L$5="-"),NOT(L$5="")),L16/L$5,"-"))</f>
        <v>-</v>
      </c>
      <c r="M17" s="449" t="str">
        <f t="shared" si="10"/>
        <v>-</v>
      </c>
      <c r="N17" s="702"/>
      <c r="O17" s="672"/>
      <c r="P17" s="673"/>
      <c r="Q17" s="673"/>
      <c r="R17" s="674"/>
      <c r="S17" s="672"/>
      <c r="T17" s="673"/>
      <c r="U17" s="673"/>
      <c r="V17" s="674"/>
      <c r="W17" s="512"/>
      <c r="X17" s="512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536"/>
      <c r="BD17" s="429" t="str">
        <f>"1st " &amp; B29</f>
        <v>1st Hot 2</v>
      </c>
      <c r="BE17" s="435" t="str">
        <f t="shared" ref="BE17:BJ17" si="11">IF((OR($C31="-",$C31="CET",$C31="")),"-",IF(AND(OR(F29="-",F29=""),OR(F30="-",F30="")),"-",IF(NOT(OR(F29="-",F29="")),F29/F$5,F30/F$5)))</f>
        <v>-</v>
      </c>
      <c r="BF17" s="435" t="str">
        <f t="shared" si="11"/>
        <v>-</v>
      </c>
      <c r="BG17" s="435" t="str">
        <f t="shared" si="11"/>
        <v>-</v>
      </c>
      <c r="BH17" s="435" t="str">
        <f t="shared" si="11"/>
        <v>-</v>
      </c>
      <c r="BI17" s="435" t="str">
        <f t="shared" si="11"/>
        <v>-</v>
      </c>
      <c r="BJ17" s="435" t="str">
        <f t="shared" si="11"/>
        <v>-</v>
      </c>
      <c r="BK17" s="435" t="str">
        <f t="shared" ref="BK17:BL17" si="12">IF((OR($C31="-",$C31="CET",$C31="")),"-",IF(AND(OR(L29="-",L29=""),OR(L30="-",L30="")),"-",IF(NOT(OR(L29="-",L29="")),L29/L$5,L30/L$5)))</f>
        <v>-</v>
      </c>
      <c r="BL17" s="435" t="str">
        <f t="shared" si="12"/>
        <v>-</v>
      </c>
    </row>
    <row r="18" spans="1:64" ht="15" customHeight="1" outlineLevel="1" thickBot="1" x14ac:dyDescent="0.3">
      <c r="A18" s="396"/>
      <c r="B18" s="681"/>
      <c r="C18" s="688"/>
      <c r="D18" s="691"/>
      <c r="E18" s="450" t="s">
        <v>30</v>
      </c>
      <c r="F18" s="451" t="str">
        <f t="shared" ref="F18:K18" si="13">IF(AND(OR(F14="-",F14=""),OR(F15="-",F15="")),"-",IF(AND(OR(F13="CET",F13="-",F13=""),OR($C16="CET",$C16="-",$C16="")),"-",IF($R$9="not listed","-",IF(AND(NOT(F$5="-"),NOT(F$5="")),IF(AND(AND(NOT(F14=0),NOT(F14="-"),NOT(F14="")),AND(NOT(F15="-"),NOT(F15=0),NOT(F15=""))),IF(AND((F14+F15)/2&lt;1*F$5*IF(OR(F13="CET",F13="-",F13=""),IF(OR($C16="CET",$C16="-",$C16=""),"-",$C16),F13),F14&lt;1.1*F$5*IF(OR(F13="CET",F13="-",F13=""),IF(OR($C16="CET",$C16="-",$C16=""),"-",$C16),F13),F15&lt;1.1*F$5*IF(OR(F13="CET",F13="-",F13=""),IF($C16="CET","-",$C16),F13)),"passed","refused"),IF(IF(OR(F14="-",F14=""),F15,F14)&lt;0.7*F$5*IF(OR(F13="CET",F13="-",F13=""),IF($C16="CET","-",$C16),F13),"passed",IF(IF(OR(F14="-",F14=""),F15,F14)&lt;1.1*IF(OR(F13="CET",F13="-",F13=""),IF($C16="CET","-",$C16),F13)*F$5,"failed","refused"))),"-"))))</f>
        <v>-</v>
      </c>
      <c r="G18" s="451" t="str">
        <f t="shared" si="13"/>
        <v>-</v>
      </c>
      <c r="H18" s="451" t="str">
        <f t="shared" si="13"/>
        <v>-</v>
      </c>
      <c r="I18" s="451" t="str">
        <f t="shared" si="13"/>
        <v>-</v>
      </c>
      <c r="J18" s="451" t="str">
        <f t="shared" si="13"/>
        <v>-</v>
      </c>
      <c r="K18" s="452" t="str">
        <f t="shared" si="13"/>
        <v>-</v>
      </c>
      <c r="L18" s="452" t="str">
        <f t="shared" ref="L18:M18" si="14">IF(AND(OR(L14="-",L14=""),OR(L15="-",L15="")),"-",IF(AND(OR(L13="CET",L13="-",L13=""),OR($C16="CET",$C16="-",$C16="")),"-",IF($R$9="not listed","-",IF(AND(NOT(L$5="-"),NOT(L$5="")),IF(AND(AND(NOT(L14=0),NOT(L14="-"),NOT(L14="")),AND(NOT(L15="-"),NOT(L15=0),NOT(L15=""))),IF(AND((L14+L15)/2&lt;1*L$5*IF(OR(L13="CET",L13="-",L13=""),IF(OR($C16="CET",$C16="-",$C16=""),"-",$C16),L13),L14&lt;1.1*L$5*IF(OR(L13="CET",L13="-",L13=""),IF(OR($C16="CET",$C16="-",$C16=""),"-",$C16),L13),L15&lt;1.1*L$5*IF(OR(L13="CET",L13="-",L13=""),IF($C16="CET","-",$C16),L13)),"passed","refused"),IF(IF(OR(L14="-",L14=""),L15,L14)&lt;0.7*L$5*IF(OR(L13="CET",L13="-",L13=""),IF($C16="CET","-",$C16),L13),"passed",IF(IF(OR(L14="-",L14=""),L15,L14)&lt;1.1*IF(OR(L13="CET",L13="-",L13=""),IF($C16="CET","-",$C16),L13)*L$5,"failed","refused"))),"-"))))</f>
        <v>-</v>
      </c>
      <c r="M18" s="452" t="str">
        <f t="shared" si="14"/>
        <v>-</v>
      </c>
      <c r="N18" s="685"/>
      <c r="O18" s="672"/>
      <c r="P18" s="673"/>
      <c r="Q18" s="673"/>
      <c r="R18" s="674"/>
      <c r="S18" s="672"/>
      <c r="T18" s="673"/>
      <c r="U18" s="673"/>
      <c r="V18" s="674"/>
      <c r="W18" s="512"/>
      <c r="X18" s="512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399" t="str">
        <f>IF(COUNTIF(F18:M18,"refused")&gt;0,"refused",IF(COUNTIF(F18:M18,"failed")&gt;0,"failed",IF(COUNTIF(F18:M18,"passed")&gt;0,"passed","-")))</f>
        <v>-</v>
      </c>
      <c r="BD18" s="429" t="str">
        <f>"0.7*IEF " &amp; (B13)</f>
        <v>0.7*IEF Cold</v>
      </c>
      <c r="BE18" s="435" t="str">
        <f t="shared" ref="BE18:BJ18" si="15">IF(AND(OR($C16="-",$C16="CET",$C16=""),OR(F13="-",F13="CET",F13="")),"-",0.7*IF(OR(F13="CET",F13="-",F13=""),IF(OR($C16="CET",$C16="-",$C16=""),"-",$C16),F13))</f>
        <v>-</v>
      </c>
      <c r="BF18" s="435" t="str">
        <f t="shared" si="15"/>
        <v>-</v>
      </c>
      <c r="BG18" s="435" t="str">
        <f t="shared" si="15"/>
        <v>-</v>
      </c>
      <c r="BH18" s="435" t="str">
        <f t="shared" si="15"/>
        <v>-</v>
      </c>
      <c r="BI18" s="435" t="str">
        <f t="shared" si="15"/>
        <v>-</v>
      </c>
      <c r="BJ18" s="435" t="str">
        <f t="shared" si="15"/>
        <v>-</v>
      </c>
      <c r="BK18" s="435" t="str">
        <f t="shared" ref="BK18:BL18" si="16">IF(AND(OR($C16="-",$C16="CET",$C16=""),OR(L13="-",L13="CET",L13="")),"-",0.7*IF(OR(L13="CET",L13="-",L13=""),IF(OR($C16="CET",$C16="-",$C16=""),"-",$C16),L13))</f>
        <v>-</v>
      </c>
      <c r="BL18" s="435" t="str">
        <f t="shared" si="16"/>
        <v>-</v>
      </c>
    </row>
    <row r="19" spans="1:64" ht="15" customHeight="1" outlineLevel="1" x14ac:dyDescent="0.25">
      <c r="A19" s="396"/>
      <c r="B19" s="679" t="s">
        <v>98</v>
      </c>
      <c r="C19" s="684" t="s">
        <v>114</v>
      </c>
      <c r="D19" s="684" t="s">
        <v>113</v>
      </c>
      <c r="E19" s="453" t="s">
        <v>94</v>
      </c>
      <c r="F19" s="437" t="s">
        <v>5</v>
      </c>
      <c r="G19" s="437" t="s">
        <v>5</v>
      </c>
      <c r="H19" s="437" t="s">
        <v>5</v>
      </c>
      <c r="I19" s="437" t="s">
        <v>5</v>
      </c>
      <c r="J19" s="437" t="s">
        <v>5</v>
      </c>
      <c r="K19" s="438" t="s">
        <v>5</v>
      </c>
      <c r="L19" s="438" t="s">
        <v>5</v>
      </c>
      <c r="M19" s="438" t="s">
        <v>5</v>
      </c>
      <c r="N19" s="437" t="s">
        <v>5</v>
      </c>
      <c r="O19" s="672"/>
      <c r="P19" s="673"/>
      <c r="Q19" s="673"/>
      <c r="R19" s="674"/>
      <c r="S19" s="672"/>
      <c r="T19" s="673"/>
      <c r="U19" s="673"/>
      <c r="V19" s="674"/>
      <c r="W19" s="512"/>
      <c r="X19" s="512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536"/>
      <c r="BD19" s="429" t="str">
        <f>"0.7*IEF" &amp; B19</f>
        <v>0.7*IEFWarm</v>
      </c>
      <c r="BE19" s="435">
        <f t="shared" ref="BE19:BJ19" si="17">IF(OR($C21="-",$C21="CET",$C21=""),"-",0.7*$C21)</f>
        <v>0.7</v>
      </c>
      <c r="BF19" s="435">
        <f t="shared" si="17"/>
        <v>0.7</v>
      </c>
      <c r="BG19" s="435">
        <f t="shared" si="17"/>
        <v>0.7</v>
      </c>
      <c r="BH19" s="435">
        <f t="shared" si="17"/>
        <v>0.7</v>
      </c>
      <c r="BI19" s="435">
        <f t="shared" si="17"/>
        <v>0.7</v>
      </c>
      <c r="BJ19" s="435">
        <f t="shared" si="17"/>
        <v>0.7</v>
      </c>
      <c r="BK19" s="435">
        <f t="shared" ref="BK19:BL19" si="18">IF(OR($C21="-",$C21="CET",$C21=""),"-",0.7*$C21)</f>
        <v>0.7</v>
      </c>
      <c r="BL19" s="435">
        <f t="shared" si="18"/>
        <v>0.7</v>
      </c>
    </row>
    <row r="20" spans="1:64" s="405" customFormat="1" ht="15" customHeight="1" outlineLevel="1" thickBot="1" x14ac:dyDescent="0.3">
      <c r="A20" s="439"/>
      <c r="B20" s="680"/>
      <c r="C20" s="702"/>
      <c r="D20" s="685"/>
      <c r="E20" s="440" t="s">
        <v>95</v>
      </c>
      <c r="F20" s="441" t="s">
        <v>5</v>
      </c>
      <c r="G20" s="441" t="s">
        <v>5</v>
      </c>
      <c r="H20" s="441" t="s">
        <v>5</v>
      </c>
      <c r="I20" s="441" t="s">
        <v>5</v>
      </c>
      <c r="J20" s="441" t="s">
        <v>5</v>
      </c>
      <c r="K20" s="442" t="s">
        <v>5</v>
      </c>
      <c r="L20" s="442" t="s">
        <v>5</v>
      </c>
      <c r="M20" s="442" t="s">
        <v>5</v>
      </c>
      <c r="N20" s="441" t="s">
        <v>5</v>
      </c>
      <c r="O20" s="672"/>
      <c r="P20" s="673"/>
      <c r="Q20" s="673"/>
      <c r="R20" s="674"/>
      <c r="S20" s="672"/>
      <c r="T20" s="673"/>
      <c r="U20" s="673"/>
      <c r="V20" s="674"/>
      <c r="W20" s="443"/>
      <c r="X20" s="443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536"/>
      <c r="BD20" s="429" t="str">
        <f>"0.7*IEF " &amp; B24</f>
        <v>0.7*IEF Hot 1</v>
      </c>
      <c r="BE20" s="435">
        <f t="shared" ref="BE20:BJ20" si="19">IF(OR($C26="-",$C26="CET",$C26=""),"-",0.7*$C26)</f>
        <v>0.7</v>
      </c>
      <c r="BF20" s="435">
        <f t="shared" si="19"/>
        <v>0.7</v>
      </c>
      <c r="BG20" s="435">
        <f t="shared" si="19"/>
        <v>0.7</v>
      </c>
      <c r="BH20" s="435">
        <f t="shared" si="19"/>
        <v>0.7</v>
      </c>
      <c r="BI20" s="435">
        <f t="shared" si="19"/>
        <v>0.7</v>
      </c>
      <c r="BJ20" s="435">
        <f t="shared" si="19"/>
        <v>0.7</v>
      </c>
      <c r="BK20" s="435">
        <f t="shared" ref="BK20:BL20" si="20">IF(OR($C26="-",$C26="CET",$C26=""),"-",0.7*$C26)</f>
        <v>0.7</v>
      </c>
      <c r="BL20" s="435">
        <f t="shared" si="20"/>
        <v>0.7</v>
      </c>
    </row>
    <row r="21" spans="1:64" ht="15" customHeight="1" outlineLevel="1" thickBot="1" x14ac:dyDescent="0.3">
      <c r="A21" s="396"/>
      <c r="B21" s="680"/>
      <c r="C21" s="686">
        <v>1</v>
      </c>
      <c r="D21" s="689" t="str">
        <f>IF(AND(F21="-",G21="-",H21="-",I21="-",J21="-",K21="-",L21="-",M21="-"),"-",MAX(F21,G21,H21,I21,J21,K21,L21,M21))</f>
        <v>-</v>
      </c>
      <c r="E21" s="444" t="s">
        <v>177</v>
      </c>
      <c r="F21" s="445" t="str">
        <f t="shared" ref="F21:K21" si="21">IF(OR(F20="-",F20=""),IF(OR(F19="-",F19=""),"-",F19),IF(OR(F19="-",F19=""),F20,(F19+F20)/2))</f>
        <v>-</v>
      </c>
      <c r="G21" s="445" t="str">
        <f t="shared" si="21"/>
        <v>-</v>
      </c>
      <c r="H21" s="445" t="str">
        <f t="shared" si="21"/>
        <v>-</v>
      </c>
      <c r="I21" s="445" t="str">
        <f t="shared" si="21"/>
        <v>-</v>
      </c>
      <c r="J21" s="445" t="str">
        <f t="shared" si="21"/>
        <v>-</v>
      </c>
      <c r="K21" s="446" t="str">
        <f t="shared" si="21"/>
        <v>-</v>
      </c>
      <c r="L21" s="446" t="str">
        <f t="shared" ref="L21:M21" si="22">IF(OR(L20="-",L20=""),IF(OR(L19="-",L19=""),"-",L19),IF(OR(L19="-",L19=""),L20,(L19+L20)/2))</f>
        <v>-</v>
      </c>
      <c r="M21" s="446" t="str">
        <f t="shared" si="22"/>
        <v>-</v>
      </c>
      <c r="N21" s="828"/>
      <c r="O21" s="672"/>
      <c r="P21" s="673"/>
      <c r="Q21" s="673"/>
      <c r="R21" s="674"/>
      <c r="S21" s="672"/>
      <c r="T21" s="673"/>
      <c r="U21" s="673"/>
      <c r="V21" s="674"/>
      <c r="W21" s="512"/>
      <c r="X21" s="512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536"/>
      <c r="BD21" s="429" t="str">
        <f>"0.7*IEF " &amp; B29</f>
        <v>0.7*IEF Hot 2</v>
      </c>
      <c r="BE21" s="435">
        <f t="shared" ref="BE21:BJ21" si="23">IF(OR($C31="-",$C31="CET",$C31=""),"-",0.7*$C31)</f>
        <v>0.7</v>
      </c>
      <c r="BF21" s="435">
        <f t="shared" si="23"/>
        <v>0.7</v>
      </c>
      <c r="BG21" s="435">
        <f t="shared" si="23"/>
        <v>0.7</v>
      </c>
      <c r="BH21" s="435">
        <f t="shared" si="23"/>
        <v>0.7</v>
      </c>
      <c r="BI21" s="435">
        <f t="shared" si="23"/>
        <v>0.7</v>
      </c>
      <c r="BJ21" s="435">
        <f t="shared" si="23"/>
        <v>0.7</v>
      </c>
      <c r="BK21" s="435">
        <f t="shared" ref="BK21:BL21" si="24">IF(OR($C31="-",$C31="CET",$C31=""),"-",0.7*$C31)</f>
        <v>0.7</v>
      </c>
      <c r="BL21" s="435">
        <f t="shared" si="24"/>
        <v>0.7</v>
      </c>
    </row>
    <row r="22" spans="1:64" ht="15" customHeight="1" outlineLevel="1" thickBot="1" x14ac:dyDescent="0.3">
      <c r="A22" s="396"/>
      <c r="B22" s="680"/>
      <c r="C22" s="687"/>
      <c r="D22" s="690"/>
      <c r="E22" s="447" t="s">
        <v>97</v>
      </c>
      <c r="F22" s="448" t="str">
        <f t="shared" ref="F22:K22" si="25">IF(OR($C21="-",$C21="CET",$C21=""),"-",IF(AND(NOT(F21="-"),NOT(F$5="-"),NOT(F$5="")),F21/F$5,"-"))</f>
        <v>-</v>
      </c>
      <c r="G22" s="448" t="str">
        <f t="shared" si="25"/>
        <v>-</v>
      </c>
      <c r="H22" s="448" t="str">
        <f t="shared" si="25"/>
        <v>-</v>
      </c>
      <c r="I22" s="448" t="str">
        <f t="shared" si="25"/>
        <v>-</v>
      </c>
      <c r="J22" s="448" t="str">
        <f t="shared" si="25"/>
        <v>-</v>
      </c>
      <c r="K22" s="449" t="str">
        <f t="shared" si="25"/>
        <v>-</v>
      </c>
      <c r="L22" s="449" t="str">
        <f t="shared" ref="L22:M22" si="26">IF(OR($C21="-",$C21="CET",$C21=""),"-",IF(AND(NOT(L21="-"),NOT(L$5="-"),NOT(L$5="")),L21/L$5,"-"))</f>
        <v>-</v>
      </c>
      <c r="M22" s="449" t="str">
        <f t="shared" si="26"/>
        <v>-</v>
      </c>
      <c r="N22" s="702"/>
      <c r="O22" s="672"/>
      <c r="P22" s="673"/>
      <c r="Q22" s="673"/>
      <c r="R22" s="674"/>
      <c r="S22" s="672"/>
      <c r="T22" s="673"/>
      <c r="U22" s="673"/>
      <c r="V22" s="674"/>
      <c r="W22" s="512"/>
      <c r="X22" s="512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536"/>
      <c r="BD22" s="429" t="str">
        <f>B13</f>
        <v>Cold</v>
      </c>
      <c r="BE22" s="435" t="str">
        <f t="shared" ref="BE22:BJ22" si="27">F17</f>
        <v>-</v>
      </c>
      <c r="BF22" s="435" t="str">
        <f t="shared" si="27"/>
        <v>-</v>
      </c>
      <c r="BG22" s="435" t="str">
        <f t="shared" si="27"/>
        <v>-</v>
      </c>
      <c r="BH22" s="435" t="str">
        <f t="shared" si="27"/>
        <v>-</v>
      </c>
      <c r="BI22" s="435" t="str">
        <f t="shared" si="27"/>
        <v>-</v>
      </c>
      <c r="BJ22" s="435" t="str">
        <f t="shared" si="27"/>
        <v>-</v>
      </c>
      <c r="BK22" s="435" t="str">
        <f t="shared" ref="BK22:BL22" si="28">L17</f>
        <v>-</v>
      </c>
      <c r="BL22" s="435" t="str">
        <f t="shared" si="28"/>
        <v>-</v>
      </c>
    </row>
    <row r="23" spans="1:64" ht="15" customHeight="1" outlineLevel="1" thickBot="1" x14ac:dyDescent="0.3">
      <c r="A23" s="404"/>
      <c r="B23" s="681"/>
      <c r="C23" s="688"/>
      <c r="D23" s="691"/>
      <c r="E23" s="450" t="s">
        <v>30</v>
      </c>
      <c r="F23" s="451" t="str">
        <f t="shared" ref="F23:K23" si="29">IF(AND(OR(F19="-",F19=""),OR(F20="-",F20="")),"-",IF(OR($C21="-",$C21="",$C21="CET"),"-",IF($R$9="not listed","-",IF(NOT(F$5="-"),IF(AND(AND(NOT(F19=0),NOT(F19="-"),NOT(F19="")),AND(NOT(F20="-"),NOT(F20=0),NOT(F20=""))),IF(AND((F19+F20)/2&lt;1*F$5*IF(OR($C21="CET",$C21="-",$C21=""),"-",$C21),F19&lt;1.1*F$5*IF(OR($C21="CET",$C21="-",$C21=""),"-",$C21),F20&lt;1.1*F$5*IF(OR($C21="CET",$C21="-",$C21=""),"-",$C21)),"passed","refused"),IF(IF(OR(F19="-",F19=""),F20,F19)&lt;0.7*F$5*IF(OR($C21="CET",$C21="-",$C21=""),"-",$C21),"passed",IF(IF(OR(F19="-",F19=""),F20,F19)&lt;1.1*IF(OR($C21="CET",$C21="-",$C21=""),"-",$C21)*F$5,"failed","refused"))),"-"))))</f>
        <v>-</v>
      </c>
      <c r="G23" s="451" t="str">
        <f t="shared" si="29"/>
        <v>-</v>
      </c>
      <c r="H23" s="451" t="str">
        <f t="shared" si="29"/>
        <v>-</v>
      </c>
      <c r="I23" s="451" t="str">
        <f t="shared" si="29"/>
        <v>-</v>
      </c>
      <c r="J23" s="451" t="str">
        <f t="shared" si="29"/>
        <v>-</v>
      </c>
      <c r="K23" s="452" t="str">
        <f t="shared" si="29"/>
        <v>-</v>
      </c>
      <c r="L23" s="452" t="str">
        <f t="shared" ref="L23:M23" si="30">IF(AND(OR(L19="-",L19=""),OR(L20="-",L20="")),"-",IF(OR($C21="-",$C21="",$C21="CET"),"-",IF($R$9="not listed","-",IF(NOT(L$5="-"),IF(AND(AND(NOT(L19=0),NOT(L19="-"),NOT(L19="")),AND(NOT(L20="-"),NOT(L20=0),NOT(L20=""))),IF(AND((L19+L20)/2&lt;1*L$5*IF(OR($C21="CET",$C21="-",$C21=""),"-",$C21),L19&lt;1.1*L$5*IF(OR($C21="CET",$C21="-",$C21=""),"-",$C21),L20&lt;1.1*L$5*IF(OR($C21="CET",$C21="-",$C21=""),"-",$C21)),"passed","refused"),IF(IF(OR(L19="-",L19=""),L20,L19)&lt;0.7*L$5*IF(OR($C21="CET",$C21="-",$C21=""),"-",$C21),"passed",IF(IF(OR(L19="-",L19=""),L20,L19)&lt;1.1*IF(OR($C21="CET",$C21="-",$C21=""),"-",$C21)*L$5,"failed","refused"))),"-"))))</f>
        <v>-</v>
      </c>
      <c r="M23" s="452" t="str">
        <f t="shared" si="30"/>
        <v>-</v>
      </c>
      <c r="N23" s="685"/>
      <c r="O23" s="672"/>
      <c r="P23" s="673"/>
      <c r="Q23" s="673"/>
      <c r="R23" s="674"/>
      <c r="S23" s="672"/>
      <c r="T23" s="673"/>
      <c r="U23" s="673"/>
      <c r="V23" s="674"/>
      <c r="W23" s="512"/>
      <c r="X23" s="512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399" t="str">
        <f>IF(COUNTIF(F23:M23,"refused")&gt;0,"refused",IF(COUNTIF(F23:M23,"failed")&gt;0,"failed",IF(COUNTIF(F23:M23,"passed")&gt;0,"passed","-")))</f>
        <v>-</v>
      </c>
      <c r="BD23" s="429" t="str">
        <f>B19</f>
        <v>Warm</v>
      </c>
      <c r="BE23" s="435" t="str">
        <f t="shared" ref="BE23:BJ23" si="31">F22</f>
        <v>-</v>
      </c>
      <c r="BF23" s="435" t="str">
        <f t="shared" si="31"/>
        <v>-</v>
      </c>
      <c r="BG23" s="435" t="str">
        <f t="shared" si="31"/>
        <v>-</v>
      </c>
      <c r="BH23" s="435" t="str">
        <f t="shared" si="31"/>
        <v>-</v>
      </c>
      <c r="BI23" s="435" t="str">
        <f t="shared" si="31"/>
        <v>-</v>
      </c>
      <c r="BJ23" s="435" t="str">
        <f t="shared" si="31"/>
        <v>-</v>
      </c>
      <c r="BK23" s="435" t="str">
        <f t="shared" ref="BK23:BL23" si="32">L22</f>
        <v>-</v>
      </c>
      <c r="BL23" s="435" t="str">
        <f t="shared" si="32"/>
        <v>-</v>
      </c>
    </row>
    <row r="24" spans="1:64" ht="15" customHeight="1" outlineLevel="1" thickBot="1" x14ac:dyDescent="0.3">
      <c r="A24" s="404"/>
      <c r="B24" s="679" t="s">
        <v>99</v>
      </c>
      <c r="C24" s="684" t="s">
        <v>114</v>
      </c>
      <c r="D24" s="684" t="s">
        <v>113</v>
      </c>
      <c r="E24" s="453" t="s">
        <v>94</v>
      </c>
      <c r="F24" s="437" t="s">
        <v>5</v>
      </c>
      <c r="G24" s="437" t="s">
        <v>5</v>
      </c>
      <c r="H24" s="437" t="s">
        <v>5</v>
      </c>
      <c r="I24" s="437" t="s">
        <v>5</v>
      </c>
      <c r="J24" s="437" t="s">
        <v>5</v>
      </c>
      <c r="K24" s="438" t="s">
        <v>5</v>
      </c>
      <c r="L24" s="438" t="s">
        <v>5</v>
      </c>
      <c r="M24" s="438" t="s">
        <v>5</v>
      </c>
      <c r="N24" s="437" t="s">
        <v>5</v>
      </c>
      <c r="O24" s="672"/>
      <c r="P24" s="673"/>
      <c r="Q24" s="673"/>
      <c r="R24" s="674"/>
      <c r="S24" s="672"/>
      <c r="T24" s="673"/>
      <c r="U24" s="673"/>
      <c r="V24" s="674"/>
      <c r="W24" s="512"/>
      <c r="X24" s="512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536"/>
      <c r="BD24" s="429" t="str">
        <f>B24</f>
        <v>Hot 1</v>
      </c>
      <c r="BE24" s="435" t="str">
        <f t="shared" ref="BE24:BJ24" si="33">F27</f>
        <v>-</v>
      </c>
      <c r="BF24" s="435" t="str">
        <f t="shared" si="33"/>
        <v>-</v>
      </c>
      <c r="BG24" s="435" t="str">
        <f t="shared" si="33"/>
        <v>-</v>
      </c>
      <c r="BH24" s="435" t="str">
        <f t="shared" si="33"/>
        <v>-</v>
      </c>
      <c r="BI24" s="435" t="str">
        <f t="shared" si="33"/>
        <v>-</v>
      </c>
      <c r="BJ24" s="435" t="str">
        <f t="shared" si="33"/>
        <v>-</v>
      </c>
      <c r="BK24" s="435" t="str">
        <f t="shared" ref="BK24:BL24" si="34">L27</f>
        <v>-</v>
      </c>
      <c r="BL24" s="435" t="str">
        <f t="shared" si="34"/>
        <v>-</v>
      </c>
    </row>
    <row r="25" spans="1:64" s="405" customFormat="1" ht="15" customHeight="1" outlineLevel="1" thickBot="1" x14ac:dyDescent="0.3">
      <c r="A25" s="454"/>
      <c r="B25" s="680"/>
      <c r="C25" s="702"/>
      <c r="D25" s="685"/>
      <c r="E25" s="455" t="s">
        <v>95</v>
      </c>
      <c r="F25" s="441" t="s">
        <v>5</v>
      </c>
      <c r="G25" s="441" t="s">
        <v>5</v>
      </c>
      <c r="H25" s="441" t="s">
        <v>5</v>
      </c>
      <c r="I25" s="441" t="s">
        <v>5</v>
      </c>
      <c r="J25" s="441" t="s">
        <v>5</v>
      </c>
      <c r="K25" s="442" t="s">
        <v>5</v>
      </c>
      <c r="L25" s="442" t="s">
        <v>5</v>
      </c>
      <c r="M25" s="442" t="s">
        <v>5</v>
      </c>
      <c r="N25" s="441" t="s">
        <v>5</v>
      </c>
      <c r="O25" s="672"/>
      <c r="P25" s="673"/>
      <c r="Q25" s="673"/>
      <c r="R25" s="674"/>
      <c r="S25" s="672"/>
      <c r="T25" s="673"/>
      <c r="U25" s="673"/>
      <c r="V25" s="674"/>
      <c r="W25" s="443"/>
      <c r="X25" s="443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536"/>
      <c r="BD25" s="429" t="str">
        <f>B29</f>
        <v>Hot 2</v>
      </c>
      <c r="BE25" s="435" t="str">
        <f t="shared" ref="BE25:BJ25" si="35">F32</f>
        <v>-</v>
      </c>
      <c r="BF25" s="435" t="str">
        <f t="shared" si="35"/>
        <v>-</v>
      </c>
      <c r="BG25" s="435" t="str">
        <f t="shared" si="35"/>
        <v>-</v>
      </c>
      <c r="BH25" s="435" t="str">
        <f t="shared" si="35"/>
        <v>-</v>
      </c>
      <c r="BI25" s="435" t="str">
        <f t="shared" si="35"/>
        <v>-</v>
      </c>
      <c r="BJ25" s="435" t="str">
        <f t="shared" si="35"/>
        <v>-</v>
      </c>
      <c r="BK25" s="435" t="str">
        <f t="shared" ref="BK25:BL25" si="36">L32</f>
        <v>-</v>
      </c>
      <c r="BL25" s="435" t="str">
        <f t="shared" si="36"/>
        <v>-</v>
      </c>
    </row>
    <row r="26" spans="1:64" ht="15" customHeight="1" outlineLevel="1" thickBot="1" x14ac:dyDescent="0.3">
      <c r="A26" s="404"/>
      <c r="B26" s="680"/>
      <c r="C26" s="686">
        <v>1</v>
      </c>
      <c r="D26" s="689" t="str">
        <f>IF(AND(F26="-",G26="-",H26="-",I26="-",J26="-",K26="-",L26="-",M26="-"),"-",MAX(F26,G26,H26,I26,J26,K26,L26,M26))</f>
        <v>-</v>
      </c>
      <c r="E26" s="444" t="s">
        <v>177</v>
      </c>
      <c r="F26" s="445" t="str">
        <f t="shared" ref="F26:K26" si="37">IF(OR(F25="-",F25=""),IF(OR(F24="-",F24=""),"-",F24),IF(OR(F24="-",F24=""),F25,(F24+F25)/2))</f>
        <v>-</v>
      </c>
      <c r="G26" s="445" t="str">
        <f t="shared" si="37"/>
        <v>-</v>
      </c>
      <c r="H26" s="445" t="str">
        <f t="shared" si="37"/>
        <v>-</v>
      </c>
      <c r="I26" s="445" t="str">
        <f t="shared" si="37"/>
        <v>-</v>
      </c>
      <c r="J26" s="445" t="str">
        <f t="shared" si="37"/>
        <v>-</v>
      </c>
      <c r="K26" s="446" t="str">
        <f t="shared" si="37"/>
        <v>-</v>
      </c>
      <c r="L26" s="446" t="str">
        <f t="shared" ref="L26:M26" si="38">IF(OR(L25="-",L25=""),IF(OR(L24="-",L24=""),"-",L24),IF(OR(L24="-",L24=""),L25,(L24+L25)/2))</f>
        <v>-</v>
      </c>
      <c r="M26" s="446" t="str">
        <f t="shared" si="38"/>
        <v>-</v>
      </c>
      <c r="N26" s="828"/>
      <c r="O26" s="672"/>
      <c r="P26" s="673"/>
      <c r="Q26" s="673"/>
      <c r="R26" s="674"/>
      <c r="S26" s="672"/>
      <c r="T26" s="673"/>
      <c r="U26" s="673"/>
      <c r="V26" s="674"/>
      <c r="W26" s="512"/>
      <c r="X26" s="512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536"/>
      <c r="BD26" s="429" t="str">
        <f>"IEF " &amp;B13</f>
        <v>IEF Cold</v>
      </c>
      <c r="BE26" s="435" t="str">
        <f t="shared" ref="BE26:BJ26" si="39">IF(AND(OR($C16="-",$C16="CET",$C16=""),OR(F13="-",F13="CET",F13="")),"-",IF(OR(F13="CET",F13="-",F13=""),IF(OR($C16="CET",$C16="-",$C16=""),"-",$C16),F13))</f>
        <v>-</v>
      </c>
      <c r="BF26" s="435" t="str">
        <f t="shared" si="39"/>
        <v>-</v>
      </c>
      <c r="BG26" s="435" t="str">
        <f t="shared" si="39"/>
        <v>-</v>
      </c>
      <c r="BH26" s="435" t="str">
        <f t="shared" si="39"/>
        <v>-</v>
      </c>
      <c r="BI26" s="435" t="str">
        <f t="shared" si="39"/>
        <v>-</v>
      </c>
      <c r="BJ26" s="435" t="str">
        <f t="shared" si="39"/>
        <v>-</v>
      </c>
      <c r="BK26" s="435" t="str">
        <f t="shared" ref="BK26:BL26" si="40">IF(AND(OR($C16="-",$C16="CET",$C16=""),OR(L13="-",L13="CET",L13="")),"-",IF(OR(L13="CET",L13="-",L13=""),IF(OR($C16="CET",$C16="-",$C16=""),"-",$C16),L13))</f>
        <v>-</v>
      </c>
      <c r="BL26" s="435" t="str">
        <f t="shared" si="40"/>
        <v>-</v>
      </c>
    </row>
    <row r="27" spans="1:64" ht="15" customHeight="1" outlineLevel="1" thickBot="1" x14ac:dyDescent="0.3">
      <c r="A27" s="404"/>
      <c r="B27" s="680"/>
      <c r="C27" s="687"/>
      <c r="D27" s="690"/>
      <c r="E27" s="447" t="s">
        <v>97</v>
      </c>
      <c r="F27" s="448" t="str">
        <f t="shared" ref="F27:K27" si="41">IF(OR($C26="-",$C26="CET",$C26=""),"-",IF(AND(NOT(F26="-"),NOT(F$5="-"),NOT(F$5="")),F26/F$5,"-"))</f>
        <v>-</v>
      </c>
      <c r="G27" s="448" t="str">
        <f t="shared" si="41"/>
        <v>-</v>
      </c>
      <c r="H27" s="448" t="str">
        <f t="shared" si="41"/>
        <v>-</v>
      </c>
      <c r="I27" s="448" t="str">
        <f t="shared" si="41"/>
        <v>-</v>
      </c>
      <c r="J27" s="448" t="str">
        <f t="shared" si="41"/>
        <v>-</v>
      </c>
      <c r="K27" s="449" t="str">
        <f t="shared" si="41"/>
        <v>-</v>
      </c>
      <c r="L27" s="449" t="str">
        <f t="shared" ref="L27:M27" si="42">IF(OR($C26="-",$C26="CET",$C26=""),"-",IF(AND(NOT(L26="-"),NOT(L$5="-"),NOT(L$5="")),L26/L$5,"-"))</f>
        <v>-</v>
      </c>
      <c r="M27" s="449" t="str">
        <f t="shared" si="42"/>
        <v>-</v>
      </c>
      <c r="N27" s="702"/>
      <c r="O27" s="672"/>
      <c r="P27" s="673"/>
      <c r="Q27" s="673"/>
      <c r="R27" s="674"/>
      <c r="S27" s="672"/>
      <c r="T27" s="673"/>
      <c r="U27" s="673"/>
      <c r="V27" s="674"/>
      <c r="W27" s="512"/>
      <c r="X27" s="512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536"/>
      <c r="BD27" s="429" t="str">
        <f>"IEF " &amp; B19</f>
        <v>IEF Warm</v>
      </c>
      <c r="BE27" s="435">
        <f t="shared" ref="BE27:BJ27" si="43">IF(OR($C21="CET",$C21="-",$C21=""),"-",$C21)</f>
        <v>1</v>
      </c>
      <c r="BF27" s="435">
        <f t="shared" si="43"/>
        <v>1</v>
      </c>
      <c r="BG27" s="435">
        <f t="shared" si="43"/>
        <v>1</v>
      </c>
      <c r="BH27" s="435">
        <f t="shared" si="43"/>
        <v>1</v>
      </c>
      <c r="BI27" s="435">
        <f t="shared" si="43"/>
        <v>1</v>
      </c>
      <c r="BJ27" s="435">
        <f t="shared" si="43"/>
        <v>1</v>
      </c>
      <c r="BK27" s="435">
        <f t="shared" ref="BK27:BL27" si="44">IF(OR($C21="CET",$C21="-",$C21=""),"-",$C21)</f>
        <v>1</v>
      </c>
      <c r="BL27" s="435">
        <f t="shared" si="44"/>
        <v>1</v>
      </c>
    </row>
    <row r="28" spans="1:64" ht="15" customHeight="1" outlineLevel="1" thickBot="1" x14ac:dyDescent="0.3">
      <c r="A28" s="404"/>
      <c r="B28" s="681"/>
      <c r="C28" s="688"/>
      <c r="D28" s="691"/>
      <c r="E28" s="450" t="s">
        <v>30</v>
      </c>
      <c r="F28" s="451" t="str">
        <f t="shared" ref="F28:K28" si="45">IF(AND(OR(F24="-",F24=""),OR(F25="-",F25="")),"-",IF(OR($C26="-",$C26="",$C26="CET"),"-",IF($R$9="not listed","-",IF(NOT(F$5="-"),IF(AND(AND(NOT(F24=0),NOT(F24="-"),NOT(F24="")),AND(NOT(F25="-"),NOT(F25=0),NOT(F25=""))),IF(AND((F24+F25)/2&lt;1*F$5*IF(OR($C26="CET",$C26="-",$C26=""),"-",$C26),F24&lt;1.1*F$5*IF(OR($C26="CET",$C26="-",$C26=""),"-",$C26),F25&lt;1.1*F$5*IF(OR($C26="CET",$C26="-",$C26=""),"-",$C26)),"passed","refused"),IF(IF(OR(F24="-",F24=""),F25,F24)&lt;0.7*F$5*IF(OR($C26="CET",$C26="-",$C26=""),"-",$C26),"passed",IF(IF(OR(F24="-",F24=""),F25,F24)&lt;1.1*IF(OR($C26="CET",$C26="-",$C26=""),"-",$C26)*F$5,"failed","refused"))),"-"))))</f>
        <v>-</v>
      </c>
      <c r="G28" s="451" t="str">
        <f t="shared" si="45"/>
        <v>-</v>
      </c>
      <c r="H28" s="451" t="str">
        <f t="shared" si="45"/>
        <v>-</v>
      </c>
      <c r="I28" s="451" t="str">
        <f t="shared" si="45"/>
        <v>-</v>
      </c>
      <c r="J28" s="451" t="str">
        <f t="shared" si="45"/>
        <v>-</v>
      </c>
      <c r="K28" s="452" t="str">
        <f t="shared" si="45"/>
        <v>-</v>
      </c>
      <c r="L28" s="452" t="str">
        <f t="shared" ref="L28:M28" si="46">IF(AND(OR(L24="-",L24=""),OR(L25="-",L25="")),"-",IF(OR($C26="-",$C26="",$C26="CET"),"-",IF($R$9="not listed","-",IF(NOT(L$5="-"),IF(AND(AND(NOT(L24=0),NOT(L24="-"),NOT(L24="")),AND(NOT(L25="-"),NOT(L25=0),NOT(L25=""))),IF(AND((L24+L25)/2&lt;1*L$5*IF(OR($C26="CET",$C26="-",$C26=""),"-",$C26),L24&lt;1.1*L$5*IF(OR($C26="CET",$C26="-",$C26=""),"-",$C26),L25&lt;1.1*L$5*IF(OR($C26="CET",$C26="-",$C26=""),"-",$C26)),"passed","refused"),IF(IF(OR(L24="-",L24=""),L25,L24)&lt;0.7*L$5*IF(OR($C26="CET",$C26="-",$C26=""),"-",$C26),"passed",IF(IF(OR(L24="-",L24=""),L25,L24)&lt;1.1*IF(OR($C26="CET",$C26="-",$C26=""),"-",$C26)*L$5,"failed","refused"))),"-"))))</f>
        <v>-</v>
      </c>
      <c r="M28" s="452" t="str">
        <f t="shared" si="46"/>
        <v>-</v>
      </c>
      <c r="N28" s="685"/>
      <c r="O28" s="672"/>
      <c r="P28" s="673"/>
      <c r="Q28" s="673"/>
      <c r="R28" s="674"/>
      <c r="S28" s="672"/>
      <c r="T28" s="673"/>
      <c r="U28" s="673"/>
      <c r="V28" s="674"/>
      <c r="W28" s="512"/>
      <c r="X28" s="512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399" t="str">
        <f>IF(COUNTIF(F28:M28,"refused")&gt;0,"refused",IF(COUNTIF(F28:M28,"failed")&gt;0,"failed",IF(COUNTIF(F28:M28,"passed")&gt;0,"passed","-")))</f>
        <v>-</v>
      </c>
      <c r="BD28" s="429" t="str">
        <f>"IEF " &amp; B24</f>
        <v>IEF Hot 1</v>
      </c>
      <c r="BE28" s="435">
        <f t="shared" ref="BE28:BJ28" si="47">IF(OR($C26="CET",$C26="-",$C26=""),"-",$C26)</f>
        <v>1</v>
      </c>
      <c r="BF28" s="435">
        <f t="shared" si="47"/>
        <v>1</v>
      </c>
      <c r="BG28" s="435">
        <f t="shared" si="47"/>
        <v>1</v>
      </c>
      <c r="BH28" s="435">
        <f t="shared" si="47"/>
        <v>1</v>
      </c>
      <c r="BI28" s="435">
        <f t="shared" si="47"/>
        <v>1</v>
      </c>
      <c r="BJ28" s="435">
        <f t="shared" si="47"/>
        <v>1</v>
      </c>
      <c r="BK28" s="435">
        <f t="shared" ref="BK28:BL28" si="48">IF(OR($C26="CET",$C26="-",$C26=""),"-",$C26)</f>
        <v>1</v>
      </c>
      <c r="BL28" s="435">
        <f t="shared" si="48"/>
        <v>1</v>
      </c>
    </row>
    <row r="29" spans="1:64" ht="15" customHeight="1" outlineLevel="1" x14ac:dyDescent="0.25">
      <c r="A29" s="404"/>
      <c r="B29" s="679" t="s">
        <v>100</v>
      </c>
      <c r="C29" s="684" t="s">
        <v>114</v>
      </c>
      <c r="D29" s="684" t="s">
        <v>113</v>
      </c>
      <c r="E29" s="453" t="s">
        <v>94</v>
      </c>
      <c r="F29" s="437" t="s">
        <v>5</v>
      </c>
      <c r="G29" s="437" t="s">
        <v>5</v>
      </c>
      <c r="H29" s="437" t="s">
        <v>5</v>
      </c>
      <c r="I29" s="437" t="s">
        <v>5</v>
      </c>
      <c r="J29" s="437" t="s">
        <v>5</v>
      </c>
      <c r="K29" s="438" t="s">
        <v>5</v>
      </c>
      <c r="L29" s="438" t="s">
        <v>5</v>
      </c>
      <c r="M29" s="438" t="s">
        <v>5</v>
      </c>
      <c r="N29" s="437" t="s">
        <v>5</v>
      </c>
      <c r="O29" s="672"/>
      <c r="P29" s="673"/>
      <c r="Q29" s="673"/>
      <c r="R29" s="674"/>
      <c r="S29" s="672"/>
      <c r="T29" s="673"/>
      <c r="U29" s="673"/>
      <c r="V29" s="674"/>
      <c r="W29" s="512"/>
      <c r="X29" s="512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536"/>
      <c r="BD29" s="429" t="str">
        <f>"IEF " &amp; B29</f>
        <v>IEF Hot 2</v>
      </c>
      <c r="BE29" s="435">
        <f t="shared" ref="BE29:BJ29" si="49">IF(OR($C31="CET",$C31="-",$C31=""),"-",$C31)</f>
        <v>1</v>
      </c>
      <c r="BF29" s="435">
        <f t="shared" si="49"/>
        <v>1</v>
      </c>
      <c r="BG29" s="435">
        <f t="shared" si="49"/>
        <v>1</v>
      </c>
      <c r="BH29" s="435">
        <f t="shared" si="49"/>
        <v>1</v>
      </c>
      <c r="BI29" s="435">
        <f t="shared" si="49"/>
        <v>1</v>
      </c>
      <c r="BJ29" s="435">
        <f t="shared" si="49"/>
        <v>1</v>
      </c>
      <c r="BK29" s="435">
        <f t="shared" ref="BK29:BL29" si="50">IF(OR($C31="CET",$C31="-",$C31=""),"-",$C31)</f>
        <v>1</v>
      </c>
      <c r="BL29" s="435">
        <f t="shared" si="50"/>
        <v>1</v>
      </c>
    </row>
    <row r="30" spans="1:64" s="405" customFormat="1" ht="15" customHeight="1" outlineLevel="1" thickBot="1" x14ac:dyDescent="0.3">
      <c r="A30" s="454"/>
      <c r="B30" s="680"/>
      <c r="C30" s="702"/>
      <c r="D30" s="685"/>
      <c r="E30" s="440" t="s">
        <v>95</v>
      </c>
      <c r="F30" s="441" t="s">
        <v>5</v>
      </c>
      <c r="G30" s="441" t="s">
        <v>5</v>
      </c>
      <c r="H30" s="441" t="s">
        <v>5</v>
      </c>
      <c r="I30" s="441" t="s">
        <v>5</v>
      </c>
      <c r="J30" s="441" t="s">
        <v>5</v>
      </c>
      <c r="K30" s="442" t="s">
        <v>5</v>
      </c>
      <c r="L30" s="442" t="s">
        <v>5</v>
      </c>
      <c r="M30" s="442" t="s">
        <v>5</v>
      </c>
      <c r="N30" s="441" t="s">
        <v>5</v>
      </c>
      <c r="O30" s="672"/>
      <c r="P30" s="673"/>
      <c r="Q30" s="673"/>
      <c r="R30" s="674"/>
      <c r="S30" s="672"/>
      <c r="T30" s="673"/>
      <c r="U30" s="673"/>
      <c r="V30" s="674"/>
      <c r="W30" s="443"/>
      <c r="X30" s="443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536"/>
    </row>
    <row r="31" spans="1:64" ht="15" customHeight="1" outlineLevel="1" thickBot="1" x14ac:dyDescent="0.3">
      <c r="A31" s="404"/>
      <c r="B31" s="680"/>
      <c r="C31" s="686">
        <v>1</v>
      </c>
      <c r="D31" s="689" t="str">
        <f>IF(AND(F31="-",G31="-",H31="-",I31="-",J31="-",K31="-",L31="-",M31="-"),"-",MAX(F31,G31,H31,I31,J31,K31,L31,M31))</f>
        <v>-</v>
      </c>
      <c r="E31" s="444" t="s">
        <v>177</v>
      </c>
      <c r="F31" s="445" t="str">
        <f t="shared" ref="F31:K31" si="51">IF(OR(F30="-",F30=""),IF(OR(F29="-",F29=""),"-",F29),IF(OR(F29="-",F29=""),F30,(F29+F30)/2))</f>
        <v>-</v>
      </c>
      <c r="G31" s="445" t="str">
        <f t="shared" si="51"/>
        <v>-</v>
      </c>
      <c r="H31" s="445" t="str">
        <f t="shared" si="51"/>
        <v>-</v>
      </c>
      <c r="I31" s="445" t="str">
        <f t="shared" si="51"/>
        <v>-</v>
      </c>
      <c r="J31" s="445" t="str">
        <f t="shared" si="51"/>
        <v>-</v>
      </c>
      <c r="K31" s="446" t="str">
        <f t="shared" si="51"/>
        <v>-</v>
      </c>
      <c r="L31" s="446" t="str">
        <f t="shared" ref="L31:M31" si="52">IF(OR(L30="-",L30=""),IF(OR(L29="-",L29=""),"-",L29),IF(OR(L29="-",L29=""),L30,(L29+L30)/2))</f>
        <v>-</v>
      </c>
      <c r="M31" s="446" t="str">
        <f t="shared" si="52"/>
        <v>-</v>
      </c>
      <c r="N31" s="828"/>
      <c r="O31" s="672"/>
      <c r="P31" s="673"/>
      <c r="Q31" s="673"/>
      <c r="R31" s="674"/>
      <c r="S31" s="672"/>
      <c r="T31" s="673"/>
      <c r="U31" s="673"/>
      <c r="V31" s="674"/>
      <c r="W31" s="512"/>
      <c r="X31" s="512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536"/>
    </row>
    <row r="32" spans="1:64" ht="15" customHeight="1" outlineLevel="1" thickBot="1" x14ac:dyDescent="0.3">
      <c r="A32" s="404"/>
      <c r="B32" s="680"/>
      <c r="C32" s="687"/>
      <c r="D32" s="690"/>
      <c r="E32" s="447" t="s">
        <v>97</v>
      </c>
      <c r="F32" s="448" t="str">
        <f t="shared" ref="F32:K32" si="53">IF(OR($C31="-",$C31="CET",$C31=""),"-",IF(AND(NOT(F31="-"),NOT(F$5="-"),NOT(F$5="")),F31/F$5,"-"))</f>
        <v>-</v>
      </c>
      <c r="G32" s="448" t="str">
        <f t="shared" si="53"/>
        <v>-</v>
      </c>
      <c r="H32" s="448" t="str">
        <f t="shared" si="53"/>
        <v>-</v>
      </c>
      <c r="I32" s="448" t="str">
        <f t="shared" si="53"/>
        <v>-</v>
      </c>
      <c r="J32" s="448" t="str">
        <f t="shared" si="53"/>
        <v>-</v>
      </c>
      <c r="K32" s="449" t="str">
        <f t="shared" si="53"/>
        <v>-</v>
      </c>
      <c r="L32" s="449" t="str">
        <f t="shared" ref="L32:M32" si="54">IF(OR($C31="-",$C31="CET",$C31=""),"-",IF(AND(NOT(L31="-"),NOT(L$5="-"),NOT(L$5="")),L31/L$5,"-"))</f>
        <v>-</v>
      </c>
      <c r="M32" s="449" t="str">
        <f t="shared" si="54"/>
        <v>-</v>
      </c>
      <c r="N32" s="702"/>
      <c r="O32" s="672"/>
      <c r="P32" s="673"/>
      <c r="Q32" s="673"/>
      <c r="R32" s="674"/>
      <c r="S32" s="672"/>
      <c r="T32" s="673"/>
      <c r="U32" s="673"/>
      <c r="V32" s="674"/>
      <c r="W32" s="512"/>
      <c r="X32" s="512"/>
      <c r="Y32" s="678"/>
      <c r="Z32" s="678"/>
      <c r="AA32" s="678"/>
      <c r="AB32" s="678"/>
      <c r="AC32" s="678"/>
      <c r="AD32" s="678"/>
      <c r="AE32" s="678"/>
      <c r="AF32" s="678"/>
      <c r="AG32" s="678"/>
      <c r="AH32" s="678"/>
      <c r="BC32" s="536"/>
    </row>
    <row r="33" spans="1:72" ht="15" customHeight="1" outlineLevel="1" thickBot="1" x14ac:dyDescent="0.3">
      <c r="B33" s="681"/>
      <c r="C33" s="688"/>
      <c r="D33" s="691"/>
      <c r="E33" s="451" t="s">
        <v>30</v>
      </c>
      <c r="F33" s="451" t="str">
        <f t="shared" ref="F33:K33" si="55">IF(AND(OR(F29="-",F29=""),OR(F30="-",F30="")),"-",IF(OR($C31="-",$C31="",$C31="CET"),"-",IF($R$9="not listed","-",IF(NOT(F$5="-"),IF(AND(AND(NOT(F29=0),NOT(F29="-"),NOT(F29="")),AND(NOT(F30="-"),NOT(F30=0),NOT(F30=""))),IF(AND((F29+F30)/2&lt;1*F$5*IF(OR($C31="CET",$C31="-",$C31=""),"-",$C31),F29&lt;1.1*F$5*IF(OR($C31="CET",$C31="-",$C31=""),"-",$C31),F30&lt;1.1*F$5*IF(OR($C31="CET",$C31="-",$C31=""),"-",$C31)),"passed","refused"),IF(IF(OR(F29="-",F29=""),F30,F29)&lt;0.7*F$5*IF(OR($C31="CET",$C31="-",$C31=""),"-",$C31),"passed",IF(IF(OR(F29="-",F29=""),F30,F29)&lt;1.1*IF(OR($C31="CET",$C31="-",$C31=""),"-",$C31)*F$5,"failed","refused"))),"-"))))</f>
        <v>-</v>
      </c>
      <c r="G33" s="451" t="str">
        <f t="shared" si="55"/>
        <v>-</v>
      </c>
      <c r="H33" s="451" t="str">
        <f t="shared" si="55"/>
        <v>-</v>
      </c>
      <c r="I33" s="451" t="str">
        <f t="shared" si="55"/>
        <v>-</v>
      </c>
      <c r="J33" s="451" t="str">
        <f t="shared" si="55"/>
        <v>-</v>
      </c>
      <c r="K33" s="452" t="str">
        <f t="shared" si="55"/>
        <v>-</v>
      </c>
      <c r="L33" s="452" t="str">
        <f t="shared" ref="L33:M33" si="56">IF(AND(OR(L29="-",L29=""),OR(L30="-",L30="")),"-",IF(OR($C31="-",$C31="",$C31="CET"),"-",IF($R$9="not listed","-",IF(NOT(L$5="-"),IF(AND(AND(NOT(L29=0),NOT(L29="-"),NOT(L29="")),AND(NOT(L30="-"),NOT(L30=0),NOT(L30=""))),IF(AND((L29+L30)/2&lt;1*L$5*IF(OR($C31="CET",$C31="-",$C31=""),"-",$C31),L29&lt;1.1*L$5*IF(OR($C31="CET",$C31="-",$C31=""),"-",$C31),L30&lt;1.1*L$5*IF(OR($C31="CET",$C31="-",$C31=""),"-",$C31)),"passed","refused"),IF(IF(OR(L29="-",L29=""),L30,L29)&lt;0.7*L$5*IF(OR($C31="CET",$C31="-",$C31=""),"-",$C31),"passed",IF(IF(OR(L29="-",L29=""),L30,L29)&lt;1.1*IF(OR($C31="CET",$C31="-",$C31=""),"-",$C31)*L$5,"failed","refused"))),"-"))))</f>
        <v>-</v>
      </c>
      <c r="M33" s="452" t="str">
        <f t="shared" si="56"/>
        <v>-</v>
      </c>
      <c r="N33" s="685"/>
      <c r="O33" s="675"/>
      <c r="P33" s="676"/>
      <c r="Q33" s="676"/>
      <c r="R33" s="677"/>
      <c r="S33" s="675"/>
      <c r="T33" s="676"/>
      <c r="U33" s="676"/>
      <c r="V33" s="677"/>
      <c r="BC33" s="399" t="str">
        <f>IF(COUNTIF(F33:M33,"refused")&gt;0,"refused",IF(COUNTIF(F33:M33,"failed")&gt;0,"failed",IF(COUNTIF(F33:M33,"passed")&gt;0,"passed","-")))</f>
        <v>-</v>
      </c>
    </row>
    <row r="34" spans="1:72" ht="15" customHeight="1" x14ac:dyDescent="0.25"/>
    <row r="35" spans="1:72" ht="15" customHeight="1" x14ac:dyDescent="0.25"/>
    <row r="36" spans="1:72" ht="15" customHeight="1" thickBot="1" x14ac:dyDescent="0.3">
      <c r="A36" s="396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</row>
    <row r="37" spans="1:72" ht="24.95" customHeight="1" thickBot="1" x14ac:dyDescent="0.3">
      <c r="A37" s="396"/>
      <c r="B37" s="415">
        <v>2</v>
      </c>
      <c r="C37" s="839" t="s">
        <v>164</v>
      </c>
      <c r="D37" s="840"/>
      <c r="E37" s="840"/>
      <c r="F37" s="840"/>
      <c r="G37" s="840"/>
      <c r="H37" s="840"/>
      <c r="I37" s="840"/>
      <c r="J37" s="840"/>
      <c r="K37" s="840"/>
      <c r="L37" s="840"/>
      <c r="M37" s="840"/>
      <c r="N37" s="841"/>
      <c r="O37" s="416" t="s">
        <v>117</v>
      </c>
      <c r="P37" s="398" t="str">
        <f>IF(COUNTIF(F45:M60,"refused")&gt;0,"refused",IF(COUNTIF(F45:M60,"failed")&gt;0,"failed",IF(COUNTIF(F45:M60,"passed")&gt;0,"passed","-")))</f>
        <v>-</v>
      </c>
      <c r="Q37" s="399" t="s">
        <v>80</v>
      </c>
      <c r="R37" s="399" t="str">
        <f>IF(COUNT(F41:M42)&gt;0,"listed","not listed")</f>
        <v>not listed</v>
      </c>
      <c r="S37" s="511"/>
      <c r="T37" s="418"/>
      <c r="U37" s="418"/>
      <c r="V37" s="419"/>
      <c r="W37" s="414"/>
      <c r="X37" s="414"/>
      <c r="Y37" s="414"/>
      <c r="Z37" s="414"/>
      <c r="AA37" s="414"/>
      <c r="AB37" s="414"/>
      <c r="AC37" s="414"/>
      <c r="AD37" s="414"/>
      <c r="AE37" s="414"/>
      <c r="AF37" s="414"/>
      <c r="AG37" s="414"/>
      <c r="AH37" s="414"/>
    </row>
    <row r="38" spans="1:72" ht="15" customHeight="1" outlineLevel="1" thickBot="1" x14ac:dyDescent="0.3">
      <c r="A38" s="396"/>
      <c r="B38" s="513"/>
      <c r="C38" s="514"/>
      <c r="D38" s="514"/>
      <c r="E38" s="514"/>
      <c r="F38" s="514"/>
      <c r="G38" s="514"/>
      <c r="H38" s="514"/>
      <c r="I38" s="514"/>
      <c r="J38" s="514"/>
      <c r="K38" s="421"/>
      <c r="L38" s="421"/>
      <c r="M38" s="421"/>
      <c r="N38" s="514"/>
      <c r="O38" s="514"/>
      <c r="P38" s="514"/>
      <c r="Q38" s="514"/>
      <c r="R38" s="514"/>
      <c r="S38" s="514"/>
      <c r="T38" s="422"/>
      <c r="U38" s="422"/>
      <c r="V38" s="423"/>
      <c r="W38" s="424"/>
      <c r="X38" s="424"/>
      <c r="Y38" s="698"/>
      <c r="Z38" s="698"/>
      <c r="AA38" s="698"/>
      <c r="AB38" s="698"/>
      <c r="AC38" s="698"/>
      <c r="AD38" s="698"/>
      <c r="AE38" s="698"/>
      <c r="AF38" s="698"/>
      <c r="AG38" s="698"/>
      <c r="AH38" s="698"/>
    </row>
    <row r="39" spans="1:72" ht="15" customHeight="1" outlineLevel="1" thickBot="1" x14ac:dyDescent="0.3">
      <c r="A39" s="396"/>
      <c r="B39" s="695" t="s">
        <v>81</v>
      </c>
      <c r="C39" s="696"/>
      <c r="D39" s="696"/>
      <c r="E39" s="696"/>
      <c r="F39" s="696"/>
      <c r="G39" s="696"/>
      <c r="H39" s="696"/>
      <c r="I39" s="696"/>
      <c r="J39" s="696"/>
      <c r="K39" s="696"/>
      <c r="L39" s="696"/>
      <c r="M39" s="696"/>
      <c r="N39" s="697"/>
      <c r="O39" s="695" t="s">
        <v>82</v>
      </c>
      <c r="P39" s="696"/>
      <c r="Q39" s="696"/>
      <c r="R39" s="697"/>
      <c r="S39" s="695" t="s">
        <v>83</v>
      </c>
      <c r="T39" s="696"/>
      <c r="U39" s="696"/>
      <c r="V39" s="697"/>
      <c r="W39" s="512"/>
      <c r="X39" s="512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M39" s="430" t="str">
        <f>F4</f>
        <v>NMHC 
[g/km]</v>
      </c>
      <c r="BN39" s="430" t="str">
        <f t="shared" ref="BN39:BT39" si="57">G4</f>
        <v>THC
[g/km]</v>
      </c>
      <c r="BO39" s="430" t="str">
        <f t="shared" si="57"/>
        <v>CO
[g/km]</v>
      </c>
      <c r="BP39" s="430" t="str">
        <f t="shared" si="57"/>
        <v>NOx
[g/km]</v>
      </c>
      <c r="BQ39" s="430" t="str">
        <f t="shared" si="57"/>
        <v>PM
[mg/km]</v>
      </c>
      <c r="BR39" s="430" t="str">
        <f t="shared" si="57"/>
        <v>PN
[#/km]</v>
      </c>
      <c r="BS39" s="430" t="str">
        <f t="shared" si="57"/>
        <v>Additional
component</v>
      </c>
      <c r="BT39" s="430" t="str">
        <f t="shared" si="57"/>
        <v>Additional
component 2</v>
      </c>
    </row>
    <row r="40" spans="1:72" ht="35.1" customHeight="1" outlineLevel="1" thickBot="1" x14ac:dyDescent="0.3">
      <c r="A40" s="396"/>
      <c r="B40" s="709" t="s">
        <v>84</v>
      </c>
      <c r="C40" s="682"/>
      <c r="D40" s="682"/>
      <c r="E40" s="683"/>
      <c r="F40" s="425" t="s">
        <v>72</v>
      </c>
      <c r="G40" s="517" t="s">
        <v>73</v>
      </c>
      <c r="H40" s="425" t="s">
        <v>74</v>
      </c>
      <c r="I40" s="425" t="s">
        <v>75</v>
      </c>
      <c r="J40" s="425" t="s">
        <v>76</v>
      </c>
      <c r="K40" s="534" t="s">
        <v>170</v>
      </c>
      <c r="L40" s="535" t="str">
        <f>$L$4</f>
        <v>Additional
component</v>
      </c>
      <c r="M40" s="535" t="str">
        <f>$M$4</f>
        <v>Additional
component 2</v>
      </c>
      <c r="N40" s="425" t="s">
        <v>77</v>
      </c>
      <c r="O40" s="669"/>
      <c r="P40" s="670"/>
      <c r="Q40" s="670"/>
      <c r="R40" s="671"/>
      <c r="S40" s="669"/>
      <c r="T40" s="670"/>
      <c r="U40" s="670"/>
      <c r="V40" s="671"/>
      <c r="W40" s="512"/>
      <c r="X40" s="512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536"/>
      <c r="BM40" s="435">
        <v>1</v>
      </c>
      <c r="BN40" s="435">
        <v>1</v>
      </c>
      <c r="BO40" s="435">
        <v>1</v>
      </c>
      <c r="BP40" s="435">
        <v>1</v>
      </c>
      <c r="BQ40" s="435">
        <v>1</v>
      </c>
      <c r="BR40" s="435">
        <v>1</v>
      </c>
      <c r="BS40" s="435">
        <v>1</v>
      </c>
      <c r="BT40" s="435">
        <v>1</v>
      </c>
    </row>
    <row r="41" spans="1:72" ht="15" customHeight="1" outlineLevel="1" x14ac:dyDescent="0.25">
      <c r="A41" s="396"/>
      <c r="B41" s="679" t="s">
        <v>165</v>
      </c>
      <c r="C41" s="684" t="s">
        <v>114</v>
      </c>
      <c r="D41" s="684" t="s">
        <v>113</v>
      </c>
      <c r="E41" s="453" t="s">
        <v>94</v>
      </c>
      <c r="F41" s="437" t="s">
        <v>5</v>
      </c>
      <c r="G41" s="437" t="s">
        <v>5</v>
      </c>
      <c r="H41" s="437" t="s">
        <v>5</v>
      </c>
      <c r="I41" s="437" t="s">
        <v>5</v>
      </c>
      <c r="J41" s="437" t="s">
        <v>5</v>
      </c>
      <c r="K41" s="438" t="s">
        <v>5</v>
      </c>
      <c r="L41" s="438" t="s">
        <v>5</v>
      </c>
      <c r="M41" s="438" t="s">
        <v>5</v>
      </c>
      <c r="N41" s="437" t="s">
        <v>5</v>
      </c>
      <c r="O41" s="672"/>
      <c r="P41" s="673"/>
      <c r="Q41" s="673"/>
      <c r="R41" s="674"/>
      <c r="S41" s="672"/>
      <c r="T41" s="673"/>
      <c r="U41" s="673"/>
      <c r="V41" s="674"/>
      <c r="W41" s="512"/>
      <c r="X41" s="512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536"/>
      <c r="BM41" s="435" t="str">
        <f t="shared" ref="BM41:BR41" si="58">IF((OR($C43="-",$C43="CET",$C43="")),"-",IF(AND(OR(F41="-",F41=""),OR(F42="-",F42="")),"-",IF(NOT(OR(F41="-",F41="")),F41/F$5,F42/F$5)))</f>
        <v>-</v>
      </c>
      <c r="BN41" s="435" t="str">
        <f t="shared" si="58"/>
        <v>-</v>
      </c>
      <c r="BO41" s="435" t="str">
        <f t="shared" si="58"/>
        <v>-</v>
      </c>
      <c r="BP41" s="435" t="str">
        <f t="shared" si="58"/>
        <v>-</v>
      </c>
      <c r="BQ41" s="435" t="str">
        <f t="shared" si="58"/>
        <v>-</v>
      </c>
      <c r="BR41" s="435" t="str">
        <f t="shared" si="58"/>
        <v>-</v>
      </c>
      <c r="BS41" s="435" t="str">
        <f t="shared" ref="BS41:BT41" si="59">IF((OR($C43="-",$C43="CET",$C43="")),"-",IF(AND(OR(L41="-",L41=""),OR(L42="-",L42="")),"-",IF(NOT(OR(L41="-",L41="")),L41/L$5,L42/L$5)))</f>
        <v>-</v>
      </c>
      <c r="BT41" s="435" t="str">
        <f t="shared" si="59"/>
        <v>-</v>
      </c>
    </row>
    <row r="42" spans="1:72" s="405" customFormat="1" ht="15" customHeight="1" outlineLevel="1" thickBot="1" x14ac:dyDescent="0.3">
      <c r="A42" s="439"/>
      <c r="B42" s="680"/>
      <c r="C42" s="702"/>
      <c r="D42" s="685"/>
      <c r="E42" s="440" t="s">
        <v>95</v>
      </c>
      <c r="F42" s="441" t="s">
        <v>5</v>
      </c>
      <c r="G42" s="441" t="s">
        <v>5</v>
      </c>
      <c r="H42" s="441" t="s">
        <v>5</v>
      </c>
      <c r="I42" s="441" t="s">
        <v>5</v>
      </c>
      <c r="J42" s="441" t="s">
        <v>5</v>
      </c>
      <c r="K42" s="442" t="s">
        <v>5</v>
      </c>
      <c r="L42" s="442" t="s">
        <v>5</v>
      </c>
      <c r="M42" s="442" t="s">
        <v>5</v>
      </c>
      <c r="N42" s="441" t="s">
        <v>5</v>
      </c>
      <c r="O42" s="672"/>
      <c r="P42" s="673"/>
      <c r="Q42" s="673"/>
      <c r="R42" s="674"/>
      <c r="S42" s="672"/>
      <c r="T42" s="673"/>
      <c r="U42" s="673"/>
      <c r="V42" s="674"/>
      <c r="W42" s="443"/>
      <c r="X42" s="443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536"/>
      <c r="BM42" s="435"/>
      <c r="BN42" s="435"/>
      <c r="BO42" s="435"/>
      <c r="BP42" s="435"/>
      <c r="BQ42" s="435"/>
      <c r="BR42" s="435"/>
      <c r="BS42" s="435"/>
      <c r="BT42" s="435"/>
    </row>
    <row r="43" spans="1:72" ht="15" customHeight="1" outlineLevel="1" thickBot="1" x14ac:dyDescent="0.3">
      <c r="A43" s="396"/>
      <c r="B43" s="680"/>
      <c r="C43" s="686">
        <v>1</v>
      </c>
      <c r="D43" s="689" t="str">
        <f>IF(AND(F43="-",G43="-",H43="-",I43="-",J43="-",K43="-",L43="-",M43="-"),"-",MAX(F43,G43,H43,I43,J43,K43,L43,M43))</f>
        <v>-</v>
      </c>
      <c r="E43" s="444" t="s">
        <v>177</v>
      </c>
      <c r="F43" s="445" t="str">
        <f t="shared" ref="F43:K43" si="60">IF(OR(F42="-",F42=""),IF(OR(F41="-",F41=""),"-",F41),IF(OR(F41="-",F41=""),F42,(F41+F42)/2))</f>
        <v>-</v>
      </c>
      <c r="G43" s="445" t="str">
        <f t="shared" si="60"/>
        <v>-</v>
      </c>
      <c r="H43" s="445" t="str">
        <f t="shared" si="60"/>
        <v>-</v>
      </c>
      <c r="I43" s="445" t="str">
        <f t="shared" si="60"/>
        <v>-</v>
      </c>
      <c r="J43" s="445" t="str">
        <f t="shared" si="60"/>
        <v>-</v>
      </c>
      <c r="K43" s="446" t="str">
        <f t="shared" si="60"/>
        <v>-</v>
      </c>
      <c r="L43" s="446" t="str">
        <f t="shared" ref="L43:M43" si="61">IF(OR(L42="-",L42=""),IF(OR(L41="-",L41=""),"-",L41),IF(OR(L41="-",L41=""),L42,(L41+L42)/2))</f>
        <v>-</v>
      </c>
      <c r="M43" s="446" t="str">
        <f t="shared" si="61"/>
        <v>-</v>
      </c>
      <c r="N43" s="828"/>
      <c r="O43" s="672"/>
      <c r="P43" s="673"/>
      <c r="Q43" s="673"/>
      <c r="R43" s="674"/>
      <c r="S43" s="672"/>
      <c r="T43" s="673"/>
      <c r="U43" s="673"/>
      <c r="V43" s="674"/>
      <c r="W43" s="512"/>
      <c r="X43" s="512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536"/>
      <c r="BM43" s="435"/>
      <c r="BN43" s="435"/>
      <c r="BO43" s="435"/>
      <c r="BP43" s="435"/>
      <c r="BQ43" s="435"/>
      <c r="BR43" s="435"/>
      <c r="BS43" s="435"/>
      <c r="BT43" s="435"/>
    </row>
    <row r="44" spans="1:72" ht="15" customHeight="1" outlineLevel="1" thickBot="1" x14ac:dyDescent="0.3">
      <c r="A44" s="396"/>
      <c r="B44" s="680"/>
      <c r="C44" s="687"/>
      <c r="D44" s="690"/>
      <c r="E44" s="537" t="s">
        <v>97</v>
      </c>
      <c r="F44" s="448" t="str">
        <f t="shared" ref="F44:K44" si="62">IF(OR($C43="-",$C43="CET",$C43=""),"-",IF(AND(NOT(F43="-"),NOT(F$5="-"),NOT(F$5="")),F43/F$5,"-"))</f>
        <v>-</v>
      </c>
      <c r="G44" s="448" t="str">
        <f t="shared" si="62"/>
        <v>-</v>
      </c>
      <c r="H44" s="448" t="str">
        <f t="shared" si="62"/>
        <v>-</v>
      </c>
      <c r="I44" s="448" t="str">
        <f t="shared" si="62"/>
        <v>-</v>
      </c>
      <c r="J44" s="448" t="str">
        <f t="shared" si="62"/>
        <v>-</v>
      </c>
      <c r="K44" s="449" t="str">
        <f t="shared" si="62"/>
        <v>-</v>
      </c>
      <c r="L44" s="449" t="str">
        <f t="shared" ref="L44:M44" si="63">IF(OR($C43="-",$C43="CET",$C43=""),"-",IF(AND(NOT(L43="-"),NOT(L$5="-"),NOT(L$5="")),L43/L$5,"-"))</f>
        <v>-</v>
      </c>
      <c r="M44" s="449" t="str">
        <f t="shared" si="63"/>
        <v>-</v>
      </c>
      <c r="N44" s="702"/>
      <c r="O44" s="672"/>
      <c r="P44" s="673"/>
      <c r="Q44" s="673"/>
      <c r="R44" s="674"/>
      <c r="S44" s="672"/>
      <c r="T44" s="673"/>
      <c r="U44" s="673"/>
      <c r="V44" s="674"/>
      <c r="W44" s="512"/>
      <c r="X44" s="512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536"/>
      <c r="BM44" s="435"/>
      <c r="BN44" s="435"/>
      <c r="BO44" s="435"/>
      <c r="BP44" s="435"/>
      <c r="BQ44" s="435"/>
      <c r="BR44" s="435"/>
      <c r="BS44" s="435"/>
      <c r="BT44" s="435"/>
    </row>
    <row r="45" spans="1:72" ht="15" customHeight="1" outlineLevel="1" thickBot="1" x14ac:dyDescent="0.3">
      <c r="A45" s="396"/>
      <c r="B45" s="681"/>
      <c r="C45" s="688"/>
      <c r="D45" s="691"/>
      <c r="E45" s="451" t="s">
        <v>30</v>
      </c>
      <c r="F45" s="451" t="str">
        <f t="shared" ref="F45:K45" si="64">IF(AND(OR(F41="-",F41=""),OR(F42="-",F42="")),"-",IF(OR($C43="-",$C43="",$C43="CET"),"-",IF($R$37="not listed","-",IF(NOT(F$5="-"),IF(AND(AND(NOT(F41=0),NOT(F41="-"),NOT(F41="")),AND(NOT(F42="-"),NOT(F42=0),NOT(F42=""))),IF(AND((F41+F42)/2&lt;1*F$5*IF(OR($C43="CET",$C43="-",$C43=""),"-",$C43),F41&lt;1.1*F$5*IF(OR($C43="CET",$C43="-",$C43=""),"-",$C43),F42&lt;1.1*F$5*IF(OR($C43="CET",$C43="-",$C43=""),"-",$C43)),"passed","refused"),IF(IF(OR(F41="-",F41=""),F42,F41)&lt;0.7*F$5*IF(OR($C43="CET",$C43="-",$C43=""),"-",$C43),"passed",IF(IF(OR(F41="-",F41=""),F42,F41)&lt;1.1*IF(OR($C43="CET",$C43="-",$C43=""),"-",$C43)*F$5,"failed","refused"))),"-"))))</f>
        <v>-</v>
      </c>
      <c r="G45" s="451" t="str">
        <f t="shared" si="64"/>
        <v>-</v>
      </c>
      <c r="H45" s="451" t="str">
        <f t="shared" si="64"/>
        <v>-</v>
      </c>
      <c r="I45" s="451" t="str">
        <f t="shared" si="64"/>
        <v>-</v>
      </c>
      <c r="J45" s="451" t="str">
        <f t="shared" si="64"/>
        <v>-</v>
      </c>
      <c r="K45" s="452" t="str">
        <f t="shared" si="64"/>
        <v>-</v>
      </c>
      <c r="L45" s="452" t="str">
        <f t="shared" ref="L45:M45" si="65">IF(AND(OR(L41="-",L41=""),OR(L42="-",L42="")),"-",IF(OR($C43="-",$C43="",$C43="CET"),"-",IF($R$37="not listed","-",IF(NOT(L$5="-"),IF(AND(AND(NOT(L41=0),NOT(L41="-"),NOT(L41="")),AND(NOT(L42="-"),NOT(L42=0),NOT(L42=""))),IF(AND((L41+L42)/2&lt;1*L$5*IF(OR($C43="CET",$C43="-",$C43=""),"-",$C43),L41&lt;1.1*L$5*IF(OR($C43="CET",$C43="-",$C43=""),"-",$C43),L42&lt;1.1*L$5*IF(OR($C43="CET",$C43="-",$C43=""),"-",$C43)),"passed","refused"),IF(IF(OR(L41="-",L41=""),L42,L41)&lt;0.7*L$5*IF(OR($C43="CET",$C43="-",$C43=""),"-",$C43),"passed",IF(IF(OR(L41="-",L41=""),L42,L41)&lt;1.1*IF(OR($C43="CET",$C43="-",$C43=""),"-",$C43)*L$5,"failed","refused"))),"-"))))</f>
        <v>-</v>
      </c>
      <c r="M45" s="452" t="str">
        <f t="shared" si="65"/>
        <v>-</v>
      </c>
      <c r="N45" s="685"/>
      <c r="O45" s="672"/>
      <c r="P45" s="673"/>
      <c r="Q45" s="673"/>
      <c r="R45" s="674"/>
      <c r="S45" s="672"/>
      <c r="T45" s="673"/>
      <c r="U45" s="673"/>
      <c r="V45" s="674"/>
      <c r="W45" s="512"/>
      <c r="X45" s="512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399" t="str">
        <f>IF(COUNTIF(F45:M45,"refused")&gt;0,"refused",IF(COUNTIF(F45:M45,"failed")&gt;0,"failed",IF(COUNTIF(F45:M45,"passed")&gt;0,"passed","-")))</f>
        <v>-</v>
      </c>
      <c r="BM45" s="435">
        <f t="shared" ref="BM45:BR45" si="66">IF(OR($C43="-",$C43="CET",$C43=""),"-",0.7*$C43)</f>
        <v>0.7</v>
      </c>
      <c r="BN45" s="435">
        <f t="shared" si="66"/>
        <v>0.7</v>
      </c>
      <c r="BO45" s="435">
        <f t="shared" si="66"/>
        <v>0.7</v>
      </c>
      <c r="BP45" s="435">
        <f t="shared" si="66"/>
        <v>0.7</v>
      </c>
      <c r="BQ45" s="435">
        <f t="shared" si="66"/>
        <v>0.7</v>
      </c>
      <c r="BR45" s="435">
        <f t="shared" si="66"/>
        <v>0.7</v>
      </c>
      <c r="BS45" s="435">
        <f t="shared" ref="BS45:BT45" si="67">IF(OR($C43="-",$C43="CET",$C43=""),"-",0.7*$C43)</f>
        <v>0.7</v>
      </c>
      <c r="BT45" s="435">
        <f t="shared" si="67"/>
        <v>0.7</v>
      </c>
    </row>
    <row r="46" spans="1:72" ht="15" customHeight="1" outlineLevel="1" x14ac:dyDescent="0.25">
      <c r="A46" s="396"/>
      <c r="B46" s="721"/>
      <c r="C46" s="668"/>
      <c r="D46" s="510"/>
      <c r="E46" s="510"/>
      <c r="F46" s="463"/>
      <c r="G46" s="463"/>
      <c r="H46" s="463"/>
      <c r="I46" s="463"/>
      <c r="J46" s="463"/>
      <c r="K46" s="464"/>
      <c r="L46" s="464"/>
      <c r="M46" s="464"/>
      <c r="N46" s="465"/>
      <c r="O46" s="672"/>
      <c r="P46" s="673"/>
      <c r="Q46" s="673"/>
      <c r="R46" s="674"/>
      <c r="S46" s="672"/>
      <c r="T46" s="673"/>
      <c r="U46" s="673"/>
      <c r="V46" s="674"/>
      <c r="W46" s="512"/>
      <c r="X46" s="512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536"/>
      <c r="BM46" s="435"/>
      <c r="BN46" s="435"/>
      <c r="BO46" s="435"/>
      <c r="BP46" s="435"/>
      <c r="BQ46" s="435"/>
      <c r="BR46" s="435"/>
      <c r="BS46" s="435"/>
      <c r="BT46" s="435"/>
    </row>
    <row r="47" spans="1:72" ht="15" customHeight="1" outlineLevel="1" x14ac:dyDescent="0.25">
      <c r="A47" s="396"/>
      <c r="B47" s="721"/>
      <c r="C47" s="668"/>
      <c r="D47" s="510"/>
      <c r="E47" s="510"/>
      <c r="F47" s="463"/>
      <c r="G47" s="463"/>
      <c r="H47" s="463"/>
      <c r="I47" s="463"/>
      <c r="J47" s="463"/>
      <c r="K47" s="464"/>
      <c r="L47" s="464"/>
      <c r="M47" s="464"/>
      <c r="N47" s="465"/>
      <c r="O47" s="672"/>
      <c r="P47" s="673"/>
      <c r="Q47" s="673"/>
      <c r="R47" s="674"/>
      <c r="S47" s="672"/>
      <c r="T47" s="673"/>
      <c r="U47" s="673"/>
      <c r="V47" s="674"/>
      <c r="W47" s="512"/>
      <c r="X47" s="512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536"/>
      <c r="BM47" s="435"/>
      <c r="BN47" s="435"/>
      <c r="BO47" s="435"/>
      <c r="BP47" s="435"/>
      <c r="BQ47" s="435"/>
      <c r="BR47" s="435"/>
      <c r="BS47" s="435"/>
      <c r="BT47" s="435"/>
    </row>
    <row r="48" spans="1:72" ht="15" customHeight="1" outlineLevel="1" x14ac:dyDescent="0.25">
      <c r="A48" s="396"/>
      <c r="B48" s="721"/>
      <c r="C48" s="668"/>
      <c r="D48" s="510"/>
      <c r="E48" s="510"/>
      <c r="F48" s="466"/>
      <c r="G48" s="466"/>
      <c r="H48" s="466"/>
      <c r="I48" s="466"/>
      <c r="J48" s="466"/>
      <c r="K48" s="464"/>
      <c r="L48" s="464"/>
      <c r="M48" s="464"/>
      <c r="N48" s="467"/>
      <c r="O48" s="672"/>
      <c r="P48" s="673"/>
      <c r="Q48" s="673"/>
      <c r="R48" s="674"/>
      <c r="S48" s="672"/>
      <c r="T48" s="673"/>
      <c r="U48" s="673"/>
      <c r="V48" s="674"/>
      <c r="W48" s="512"/>
      <c r="X48" s="512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536"/>
      <c r="BM48" s="435"/>
      <c r="BN48" s="435"/>
      <c r="BO48" s="435"/>
      <c r="BP48" s="435"/>
      <c r="BQ48" s="435"/>
      <c r="BR48" s="435"/>
      <c r="BS48" s="435"/>
      <c r="BT48" s="435"/>
    </row>
    <row r="49" spans="1:72" ht="15" customHeight="1" outlineLevel="1" x14ac:dyDescent="0.25">
      <c r="A49" s="396"/>
      <c r="B49" s="721"/>
      <c r="C49" s="668"/>
      <c r="D49" s="510"/>
      <c r="E49" s="510"/>
      <c r="F49" s="466"/>
      <c r="G49" s="466"/>
      <c r="H49" s="466"/>
      <c r="I49" s="466"/>
      <c r="J49" s="466"/>
      <c r="K49" s="464"/>
      <c r="L49" s="464"/>
      <c r="M49" s="464"/>
      <c r="N49" s="467"/>
      <c r="O49" s="672"/>
      <c r="P49" s="673"/>
      <c r="Q49" s="673"/>
      <c r="R49" s="674"/>
      <c r="S49" s="672"/>
      <c r="T49" s="673"/>
      <c r="U49" s="673"/>
      <c r="V49" s="674"/>
      <c r="W49" s="512"/>
      <c r="X49" s="512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536"/>
      <c r="BM49" s="435" t="str">
        <f t="shared" ref="BM49:BR49" si="68">IF(OR($C43="-",$C43="CET"),"-",F44)</f>
        <v>-</v>
      </c>
      <c r="BN49" s="435" t="str">
        <f t="shared" si="68"/>
        <v>-</v>
      </c>
      <c r="BO49" s="435" t="str">
        <f t="shared" si="68"/>
        <v>-</v>
      </c>
      <c r="BP49" s="435" t="str">
        <f t="shared" si="68"/>
        <v>-</v>
      </c>
      <c r="BQ49" s="435" t="str">
        <f t="shared" si="68"/>
        <v>-</v>
      </c>
      <c r="BR49" s="435" t="str">
        <f t="shared" si="68"/>
        <v>-</v>
      </c>
      <c r="BS49" s="435" t="str">
        <f t="shared" ref="BS49:BT49" si="69">IF(OR($C43="-",$C43="CET"),"-",L44)</f>
        <v>-</v>
      </c>
      <c r="BT49" s="435" t="str">
        <f t="shared" si="69"/>
        <v>-</v>
      </c>
    </row>
    <row r="50" spans="1:72" ht="15" customHeight="1" outlineLevel="1" x14ac:dyDescent="0.25">
      <c r="A50" s="404"/>
      <c r="B50" s="721"/>
      <c r="C50" s="668"/>
      <c r="D50" s="510"/>
      <c r="E50" s="510"/>
      <c r="F50" s="510"/>
      <c r="G50" s="510"/>
      <c r="H50" s="510"/>
      <c r="I50" s="510"/>
      <c r="J50" s="510"/>
      <c r="K50" s="464"/>
      <c r="L50" s="464"/>
      <c r="M50" s="464"/>
      <c r="N50" s="468"/>
      <c r="O50" s="672"/>
      <c r="P50" s="673"/>
      <c r="Q50" s="673"/>
      <c r="R50" s="674"/>
      <c r="S50" s="672"/>
      <c r="T50" s="673"/>
      <c r="U50" s="673"/>
      <c r="V50" s="674"/>
      <c r="W50" s="512"/>
      <c r="X50" s="512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536"/>
      <c r="BM50" s="435"/>
      <c r="BN50" s="435"/>
      <c r="BO50" s="435"/>
      <c r="BP50" s="435"/>
      <c r="BQ50" s="435"/>
      <c r="BR50" s="435"/>
      <c r="BS50" s="435"/>
      <c r="BT50" s="435"/>
    </row>
    <row r="51" spans="1:72" ht="15" customHeight="1" outlineLevel="1" x14ac:dyDescent="0.25">
      <c r="A51" s="404"/>
      <c r="B51" s="721"/>
      <c r="C51" s="668"/>
      <c r="D51" s="510"/>
      <c r="E51" s="510"/>
      <c r="F51" s="463"/>
      <c r="G51" s="463"/>
      <c r="H51" s="463"/>
      <c r="I51" s="463"/>
      <c r="J51" s="463"/>
      <c r="K51" s="464"/>
      <c r="L51" s="464"/>
      <c r="M51" s="464"/>
      <c r="N51" s="465"/>
      <c r="O51" s="672"/>
      <c r="P51" s="673"/>
      <c r="Q51" s="673"/>
      <c r="R51" s="674"/>
      <c r="S51" s="672"/>
      <c r="T51" s="673"/>
      <c r="U51" s="673"/>
      <c r="V51" s="674"/>
      <c r="W51" s="512"/>
      <c r="X51" s="512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536"/>
      <c r="BM51" s="435"/>
      <c r="BN51" s="435"/>
      <c r="BO51" s="435"/>
      <c r="BP51" s="435"/>
      <c r="BQ51" s="435"/>
      <c r="BR51" s="435"/>
      <c r="BS51" s="435"/>
      <c r="BT51" s="435"/>
    </row>
    <row r="52" spans="1:72" ht="15" customHeight="1" outlineLevel="1" x14ac:dyDescent="0.25">
      <c r="A52" s="404"/>
      <c r="B52" s="721"/>
      <c r="C52" s="668"/>
      <c r="D52" s="510"/>
      <c r="E52" s="510"/>
      <c r="F52" s="463"/>
      <c r="G52" s="463"/>
      <c r="H52" s="463"/>
      <c r="I52" s="463"/>
      <c r="J52" s="463"/>
      <c r="K52" s="464"/>
      <c r="L52" s="464"/>
      <c r="M52" s="464"/>
      <c r="N52" s="465"/>
      <c r="O52" s="672"/>
      <c r="P52" s="673"/>
      <c r="Q52" s="673"/>
      <c r="R52" s="674"/>
      <c r="S52" s="672"/>
      <c r="T52" s="673"/>
      <c r="U52" s="673"/>
      <c r="V52" s="674"/>
      <c r="W52" s="512"/>
      <c r="X52" s="512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536"/>
      <c r="BM52" s="435"/>
      <c r="BN52" s="435"/>
      <c r="BO52" s="435"/>
      <c r="BP52" s="435"/>
      <c r="BQ52" s="435"/>
      <c r="BR52" s="435"/>
      <c r="BS52" s="435"/>
      <c r="BT52" s="435"/>
    </row>
    <row r="53" spans="1:72" ht="15" customHeight="1" outlineLevel="1" x14ac:dyDescent="0.25">
      <c r="A53" s="404"/>
      <c r="B53" s="721"/>
      <c r="C53" s="668"/>
      <c r="D53" s="510"/>
      <c r="E53" s="510"/>
      <c r="F53" s="466"/>
      <c r="G53" s="466"/>
      <c r="H53" s="466"/>
      <c r="I53" s="538"/>
      <c r="J53" s="466"/>
      <c r="K53" s="464"/>
      <c r="L53" s="464"/>
      <c r="M53" s="464"/>
      <c r="N53" s="467"/>
      <c r="O53" s="672"/>
      <c r="P53" s="673"/>
      <c r="Q53" s="673"/>
      <c r="R53" s="674"/>
      <c r="S53" s="672"/>
      <c r="T53" s="673"/>
      <c r="U53" s="673"/>
      <c r="V53" s="674"/>
      <c r="W53" s="512"/>
      <c r="X53" s="512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536"/>
      <c r="BM53" s="435">
        <f t="shared" ref="BM53:BR53" si="70">IF(OR($C43="CET",$C43="-",$C43=""),"-",$C43)</f>
        <v>1</v>
      </c>
      <c r="BN53" s="435">
        <f t="shared" si="70"/>
        <v>1</v>
      </c>
      <c r="BO53" s="435">
        <f t="shared" si="70"/>
        <v>1</v>
      </c>
      <c r="BP53" s="435">
        <f t="shared" si="70"/>
        <v>1</v>
      </c>
      <c r="BQ53" s="435">
        <f t="shared" si="70"/>
        <v>1</v>
      </c>
      <c r="BR53" s="435">
        <f t="shared" si="70"/>
        <v>1</v>
      </c>
      <c r="BS53" s="435">
        <f t="shared" ref="BS53:BT53" si="71">IF(OR($C43="CET",$C43="-",$C43=""),"-",$C43)</f>
        <v>1</v>
      </c>
      <c r="BT53" s="435">
        <f t="shared" si="71"/>
        <v>1</v>
      </c>
    </row>
    <row r="54" spans="1:72" ht="15" customHeight="1" outlineLevel="1" x14ac:dyDescent="0.25">
      <c r="A54" s="404"/>
      <c r="B54" s="721"/>
      <c r="C54" s="668"/>
      <c r="D54" s="510"/>
      <c r="E54" s="510"/>
      <c r="F54" s="466"/>
      <c r="G54" s="466"/>
      <c r="H54" s="466"/>
      <c r="I54" s="466"/>
      <c r="J54" s="466"/>
      <c r="K54" s="464"/>
      <c r="L54" s="464"/>
      <c r="M54" s="464"/>
      <c r="N54" s="467"/>
      <c r="O54" s="672"/>
      <c r="P54" s="673"/>
      <c r="Q54" s="673"/>
      <c r="R54" s="674"/>
      <c r="S54" s="672"/>
      <c r="T54" s="673"/>
      <c r="U54" s="673"/>
      <c r="V54" s="674"/>
      <c r="W54" s="512"/>
      <c r="X54" s="512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536"/>
      <c r="BD54" s="459"/>
      <c r="BE54" s="459"/>
      <c r="BF54" s="459"/>
      <c r="BG54" s="459"/>
      <c r="BH54" s="459"/>
      <c r="BI54" s="459"/>
      <c r="BJ54" s="459"/>
      <c r="BK54" s="459"/>
      <c r="BL54" s="459"/>
    </row>
    <row r="55" spans="1:72" ht="15" customHeight="1" outlineLevel="1" x14ac:dyDescent="0.25">
      <c r="A55" s="404"/>
      <c r="B55" s="721"/>
      <c r="C55" s="668"/>
      <c r="D55" s="510"/>
      <c r="E55" s="510"/>
      <c r="F55" s="510"/>
      <c r="G55" s="510"/>
      <c r="H55" s="510"/>
      <c r="I55" s="510"/>
      <c r="J55" s="510"/>
      <c r="K55" s="464"/>
      <c r="L55" s="464"/>
      <c r="M55" s="464"/>
      <c r="N55" s="468"/>
      <c r="O55" s="672"/>
      <c r="P55" s="673"/>
      <c r="Q55" s="673"/>
      <c r="R55" s="674"/>
      <c r="S55" s="672"/>
      <c r="T55" s="673"/>
      <c r="U55" s="673"/>
      <c r="V55" s="674"/>
      <c r="W55" s="512"/>
      <c r="X55" s="512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536"/>
      <c r="BD55" s="459"/>
      <c r="BE55" s="459"/>
      <c r="BF55" s="459"/>
      <c r="BG55" s="459"/>
      <c r="BH55" s="459"/>
      <c r="BI55" s="459"/>
      <c r="BJ55" s="459"/>
      <c r="BK55" s="459"/>
      <c r="BL55" s="459"/>
    </row>
    <row r="56" spans="1:72" ht="15" customHeight="1" outlineLevel="1" x14ac:dyDescent="0.25">
      <c r="A56" s="404"/>
      <c r="B56" s="721"/>
      <c r="C56" s="668"/>
      <c r="D56" s="510"/>
      <c r="E56" s="510"/>
      <c r="F56" s="463"/>
      <c r="G56" s="463"/>
      <c r="H56" s="463"/>
      <c r="I56" s="463"/>
      <c r="J56" s="463"/>
      <c r="K56" s="464"/>
      <c r="L56" s="464"/>
      <c r="M56" s="464"/>
      <c r="N56" s="465"/>
      <c r="O56" s="672"/>
      <c r="P56" s="673"/>
      <c r="Q56" s="673"/>
      <c r="R56" s="674"/>
      <c r="S56" s="672"/>
      <c r="T56" s="673"/>
      <c r="U56" s="673"/>
      <c r="V56" s="674"/>
      <c r="W56" s="512"/>
      <c r="X56" s="512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536"/>
      <c r="BD56" s="459"/>
      <c r="BE56" s="459"/>
      <c r="BF56" s="459"/>
      <c r="BG56" s="459"/>
      <c r="BH56" s="459"/>
      <c r="BI56" s="459"/>
      <c r="BJ56" s="459"/>
      <c r="BK56" s="459"/>
      <c r="BL56" s="459"/>
    </row>
    <row r="57" spans="1:72" ht="15" customHeight="1" outlineLevel="1" x14ac:dyDescent="0.25">
      <c r="A57" s="404"/>
      <c r="B57" s="721"/>
      <c r="C57" s="668"/>
      <c r="D57" s="510"/>
      <c r="E57" s="510"/>
      <c r="F57" s="463"/>
      <c r="G57" s="463"/>
      <c r="H57" s="463"/>
      <c r="I57" s="463"/>
      <c r="J57" s="463"/>
      <c r="K57" s="464"/>
      <c r="L57" s="464"/>
      <c r="M57" s="464"/>
      <c r="N57" s="465"/>
      <c r="O57" s="672"/>
      <c r="P57" s="673"/>
      <c r="Q57" s="673"/>
      <c r="R57" s="674"/>
      <c r="S57" s="672"/>
      <c r="T57" s="673"/>
      <c r="U57" s="673"/>
      <c r="V57" s="674"/>
      <c r="W57" s="512"/>
      <c r="X57" s="512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536"/>
    </row>
    <row r="58" spans="1:72" ht="15" customHeight="1" outlineLevel="1" x14ac:dyDescent="0.25">
      <c r="A58" s="404"/>
      <c r="B58" s="721"/>
      <c r="C58" s="668"/>
      <c r="D58" s="510"/>
      <c r="E58" s="510"/>
      <c r="F58" s="466"/>
      <c r="G58" s="466"/>
      <c r="H58" s="466"/>
      <c r="I58" s="466"/>
      <c r="J58" s="466"/>
      <c r="K58" s="464"/>
      <c r="L58" s="464"/>
      <c r="M58" s="464"/>
      <c r="N58" s="467"/>
      <c r="O58" s="672"/>
      <c r="P58" s="673"/>
      <c r="Q58" s="673"/>
      <c r="R58" s="674"/>
      <c r="S58" s="672"/>
      <c r="T58" s="673"/>
      <c r="U58" s="673"/>
      <c r="V58" s="674"/>
      <c r="W58" s="512"/>
      <c r="X58" s="512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536"/>
    </row>
    <row r="59" spans="1:72" ht="15" customHeight="1" outlineLevel="1" x14ac:dyDescent="0.25">
      <c r="A59" s="404"/>
      <c r="B59" s="721"/>
      <c r="C59" s="668"/>
      <c r="D59" s="510"/>
      <c r="E59" s="510"/>
      <c r="F59" s="466"/>
      <c r="G59" s="466"/>
      <c r="H59" s="466"/>
      <c r="I59" s="466"/>
      <c r="J59" s="466"/>
      <c r="K59" s="464"/>
      <c r="L59" s="464"/>
      <c r="M59" s="464"/>
      <c r="N59" s="467"/>
      <c r="O59" s="672"/>
      <c r="P59" s="673"/>
      <c r="Q59" s="673"/>
      <c r="R59" s="674"/>
      <c r="S59" s="672"/>
      <c r="T59" s="673"/>
      <c r="U59" s="673"/>
      <c r="V59" s="674"/>
      <c r="W59" s="512"/>
      <c r="X59" s="512"/>
      <c r="Y59" s="678"/>
      <c r="Z59" s="678"/>
      <c r="AA59" s="678"/>
      <c r="AB59" s="678"/>
      <c r="AC59" s="678"/>
      <c r="AD59" s="678"/>
      <c r="AE59" s="678"/>
      <c r="AF59" s="678"/>
      <c r="AG59" s="678"/>
      <c r="AH59" s="678"/>
      <c r="BC59" s="536"/>
    </row>
    <row r="60" spans="1:72" ht="15.75" outlineLevel="1" thickBot="1" x14ac:dyDescent="0.3">
      <c r="B60" s="722"/>
      <c r="C60" s="723"/>
      <c r="D60" s="516"/>
      <c r="E60" s="516"/>
      <c r="F60" s="516"/>
      <c r="G60" s="516"/>
      <c r="H60" s="516"/>
      <c r="I60" s="516"/>
      <c r="J60" s="516"/>
      <c r="K60" s="470"/>
      <c r="L60" s="470"/>
      <c r="M60" s="470"/>
      <c r="N60" s="471"/>
      <c r="O60" s="675"/>
      <c r="P60" s="676"/>
      <c r="Q60" s="676"/>
      <c r="R60" s="677"/>
      <c r="S60" s="675"/>
      <c r="T60" s="676"/>
      <c r="U60" s="676"/>
      <c r="V60" s="677"/>
      <c r="BC60" s="536"/>
    </row>
    <row r="61" spans="1:72" ht="15" customHeight="1" x14ac:dyDescent="0.25"/>
    <row r="62" spans="1:72" ht="15" customHeight="1" x14ac:dyDescent="0.25"/>
    <row r="63" spans="1:72" ht="15" customHeight="1" thickBot="1" x14ac:dyDescent="0.3">
      <c r="A63" s="396"/>
      <c r="W63" s="414"/>
      <c r="X63" s="414"/>
      <c r="Y63" s="414"/>
      <c r="Z63" s="414"/>
      <c r="AA63" s="414"/>
      <c r="AB63" s="414"/>
      <c r="AC63" s="414"/>
      <c r="AD63" s="414"/>
      <c r="AE63" s="414"/>
      <c r="AF63" s="414"/>
      <c r="AG63" s="414"/>
      <c r="AH63" s="414"/>
    </row>
    <row r="64" spans="1:72" ht="24.95" customHeight="1" thickBot="1" x14ac:dyDescent="0.3">
      <c r="A64" s="396"/>
      <c r="B64" s="415">
        <v>3</v>
      </c>
      <c r="C64" s="838" t="s">
        <v>166</v>
      </c>
      <c r="D64" s="838"/>
      <c r="E64" s="838"/>
      <c r="F64" s="838"/>
      <c r="G64" s="838"/>
      <c r="H64" s="838"/>
      <c r="I64" s="838"/>
      <c r="J64" s="838"/>
      <c r="K64" s="838"/>
      <c r="L64" s="838"/>
      <c r="M64" s="838"/>
      <c r="N64" s="838"/>
      <c r="O64" s="416" t="s">
        <v>117</v>
      </c>
      <c r="P64" s="398" t="str">
        <f>IF(COUNTIF(F72:M97,"refused")&gt;0,"refused",IF(COUNTIF(F72:M97,"failed")&gt;0,"failed",IF(COUNTIF(F72:M97,"passed")&gt;0,"passed","-")))</f>
        <v>-</v>
      </c>
      <c r="Q64" s="399" t="s">
        <v>80</v>
      </c>
      <c r="R64" s="399" t="str">
        <f>IF(COUNT(F68:M69,F73:M74,F78:M79,F83:M84,F88:M89,F93:M94)&gt;0,"listed","not listed")</f>
        <v>not listed</v>
      </c>
      <c r="S64" s="511"/>
      <c r="T64" s="418"/>
      <c r="U64" s="418"/>
      <c r="V64" s="419"/>
      <c r="W64" s="414"/>
      <c r="X64" s="414"/>
      <c r="Y64" s="414"/>
      <c r="Z64" s="414"/>
      <c r="AA64" s="414"/>
      <c r="AB64" s="414"/>
      <c r="AC64" s="414"/>
      <c r="AD64" s="414"/>
      <c r="AE64" s="414"/>
      <c r="AF64" s="414"/>
      <c r="AG64" s="414"/>
      <c r="AH64" s="414"/>
    </row>
    <row r="65" spans="1:64" ht="15" customHeight="1" outlineLevel="1" thickBot="1" x14ac:dyDescent="0.3">
      <c r="A65" s="396"/>
      <c r="B65" s="513"/>
      <c r="C65" s="514"/>
      <c r="D65" s="514"/>
      <c r="E65" s="514"/>
      <c r="F65" s="514"/>
      <c r="G65" s="514"/>
      <c r="H65" s="514"/>
      <c r="I65" s="514"/>
      <c r="J65" s="514"/>
      <c r="K65" s="421"/>
      <c r="L65" s="421"/>
      <c r="M65" s="421"/>
      <c r="N65" s="514"/>
      <c r="O65" s="514"/>
      <c r="P65" s="514"/>
      <c r="Q65" s="514"/>
      <c r="R65" s="514"/>
      <c r="S65" s="514"/>
      <c r="T65" s="422"/>
      <c r="U65" s="422"/>
      <c r="V65" s="423"/>
      <c r="W65" s="424"/>
      <c r="X65" s="424"/>
      <c r="Y65" s="698"/>
      <c r="Z65" s="698"/>
      <c r="AA65" s="698"/>
      <c r="AB65" s="698"/>
      <c r="AC65" s="698"/>
      <c r="AD65" s="698"/>
      <c r="AE65" s="698"/>
      <c r="AF65" s="698"/>
      <c r="AG65" s="698"/>
      <c r="AH65" s="698"/>
    </row>
    <row r="66" spans="1:64" ht="15" customHeight="1" outlineLevel="1" thickBot="1" x14ac:dyDescent="0.3">
      <c r="A66" s="396"/>
      <c r="B66" s="695" t="s">
        <v>81</v>
      </c>
      <c r="C66" s="696"/>
      <c r="D66" s="696"/>
      <c r="E66" s="696"/>
      <c r="F66" s="696"/>
      <c r="G66" s="696"/>
      <c r="H66" s="696"/>
      <c r="I66" s="696"/>
      <c r="J66" s="696"/>
      <c r="K66" s="696"/>
      <c r="L66" s="696"/>
      <c r="M66" s="696"/>
      <c r="N66" s="697"/>
      <c r="O66" s="695" t="s">
        <v>82</v>
      </c>
      <c r="P66" s="696"/>
      <c r="Q66" s="696"/>
      <c r="R66" s="697"/>
      <c r="S66" s="695" t="s">
        <v>83</v>
      </c>
      <c r="T66" s="696"/>
      <c r="U66" s="696"/>
      <c r="V66" s="697"/>
      <c r="W66" s="512"/>
      <c r="X66" s="512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BD66" s="429" t="s">
        <v>85</v>
      </c>
      <c r="BE66" s="430" t="str">
        <f>F$4</f>
        <v>NMHC 
[g/km]</v>
      </c>
      <c r="BF66" s="430" t="str">
        <f t="shared" ref="BF66:BL66" si="72">G$4</f>
        <v>THC
[g/km]</v>
      </c>
      <c r="BG66" s="430" t="str">
        <f t="shared" si="72"/>
        <v>CO
[g/km]</v>
      </c>
      <c r="BH66" s="430" t="str">
        <f t="shared" si="72"/>
        <v>NOx
[g/km]</v>
      </c>
      <c r="BI66" s="430" t="str">
        <f t="shared" si="72"/>
        <v>PM
[mg/km]</v>
      </c>
      <c r="BJ66" s="430" t="str">
        <f t="shared" si="72"/>
        <v>PN
[#/km]</v>
      </c>
      <c r="BK66" s="430" t="str">
        <f t="shared" si="72"/>
        <v>Additional
component</v>
      </c>
      <c r="BL66" s="430" t="str">
        <f t="shared" si="72"/>
        <v>Additional
component 2</v>
      </c>
    </row>
    <row r="67" spans="1:64" ht="35.1" customHeight="1" outlineLevel="1" thickBot="1" x14ac:dyDescent="0.3">
      <c r="A67" s="396"/>
      <c r="B67" s="709" t="s">
        <v>84</v>
      </c>
      <c r="C67" s="682"/>
      <c r="D67" s="682"/>
      <c r="E67" s="683"/>
      <c r="F67" s="425" t="s">
        <v>72</v>
      </c>
      <c r="G67" s="517" t="s">
        <v>73</v>
      </c>
      <c r="H67" s="425" t="s">
        <v>74</v>
      </c>
      <c r="I67" s="425" t="s">
        <v>75</v>
      </c>
      <c r="J67" s="425" t="s">
        <v>76</v>
      </c>
      <c r="K67" s="534" t="s">
        <v>170</v>
      </c>
      <c r="L67" s="535" t="str">
        <f>$L$4</f>
        <v>Additional
component</v>
      </c>
      <c r="M67" s="535" t="str">
        <f>$M$4</f>
        <v>Additional
component 2</v>
      </c>
      <c r="N67" s="425" t="s">
        <v>77</v>
      </c>
      <c r="O67" s="669"/>
      <c r="P67" s="670"/>
      <c r="Q67" s="670"/>
      <c r="R67" s="670"/>
      <c r="S67" s="669"/>
      <c r="T67" s="670"/>
      <c r="U67" s="670"/>
      <c r="V67" s="671"/>
      <c r="W67" s="512"/>
      <c r="X67" s="512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BC67" s="536"/>
      <c r="BD67" s="429" t="str">
        <f>$E$4</f>
        <v>US EPA Tier 2 Bin 11</v>
      </c>
      <c r="BE67" s="435">
        <v>1</v>
      </c>
      <c r="BF67" s="435">
        <v>1</v>
      </c>
      <c r="BG67" s="435">
        <v>1</v>
      </c>
      <c r="BH67" s="435">
        <v>1</v>
      </c>
      <c r="BI67" s="435">
        <v>1</v>
      </c>
      <c r="BJ67" s="435">
        <v>1</v>
      </c>
      <c r="BK67" s="435">
        <v>2</v>
      </c>
      <c r="BL67" s="435">
        <v>3</v>
      </c>
    </row>
    <row r="68" spans="1:64" ht="15" customHeight="1" outlineLevel="1" x14ac:dyDescent="0.25">
      <c r="A68" s="396"/>
      <c r="B68" s="710" t="s">
        <v>125</v>
      </c>
      <c r="C68" s="684" t="s">
        <v>114</v>
      </c>
      <c r="D68" s="684" t="s">
        <v>113</v>
      </c>
      <c r="E68" s="453" t="s">
        <v>94</v>
      </c>
      <c r="F68" s="437" t="s">
        <v>5</v>
      </c>
      <c r="G68" s="437" t="s">
        <v>5</v>
      </c>
      <c r="H68" s="437" t="s">
        <v>5</v>
      </c>
      <c r="I68" s="437" t="s">
        <v>5</v>
      </c>
      <c r="J68" s="437" t="s">
        <v>5</v>
      </c>
      <c r="K68" s="438" t="s">
        <v>5</v>
      </c>
      <c r="L68" s="438" t="s">
        <v>5</v>
      </c>
      <c r="M68" s="438" t="s">
        <v>5</v>
      </c>
      <c r="N68" s="437" t="s">
        <v>5</v>
      </c>
      <c r="O68" s="672"/>
      <c r="P68" s="673"/>
      <c r="Q68" s="673"/>
      <c r="R68" s="673"/>
      <c r="S68" s="672"/>
      <c r="T68" s="673"/>
      <c r="U68" s="673"/>
      <c r="V68" s="674"/>
      <c r="W68" s="512"/>
      <c r="X68" s="512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536"/>
      <c r="BD68" s="429" t="str">
        <f>"1st " &amp;  B68</f>
        <v>1st Drive Mode 1</v>
      </c>
      <c r="BE68" s="435" t="str">
        <f t="shared" ref="BE68:BJ68" si="73">IF((OR($C70="-",$C70="CET",$C70="")),"-",IF(AND(OR(F68="-",F68=""),OR(F69="-",F69="")),"-",IF(NOT(OR(F68="-",F68="")),F68/F$5,F69/F$5)))</f>
        <v>-</v>
      </c>
      <c r="BF68" s="435" t="str">
        <f t="shared" si="73"/>
        <v>-</v>
      </c>
      <c r="BG68" s="435" t="str">
        <f t="shared" si="73"/>
        <v>-</v>
      </c>
      <c r="BH68" s="435" t="str">
        <f t="shared" si="73"/>
        <v>-</v>
      </c>
      <c r="BI68" s="435" t="str">
        <f t="shared" si="73"/>
        <v>-</v>
      </c>
      <c r="BJ68" s="435" t="str">
        <f t="shared" si="73"/>
        <v>-</v>
      </c>
      <c r="BK68" s="435" t="str">
        <f t="shared" ref="BK68:BL68" si="74">IF((OR($C70="-",$C70="CET",$C70="")),"-",IF(AND(OR(L68="-",L68=""),OR(L69="-",L69="")),"-",IF(NOT(OR(L68="-",L68="")),L68/L$5,L69/L$5)))</f>
        <v>-</v>
      </c>
      <c r="BL68" s="435" t="str">
        <f t="shared" si="74"/>
        <v>-</v>
      </c>
    </row>
    <row r="69" spans="1:64" s="405" customFormat="1" ht="15" customHeight="1" outlineLevel="1" thickBot="1" x14ac:dyDescent="0.3">
      <c r="A69" s="439"/>
      <c r="B69" s="711"/>
      <c r="C69" s="702"/>
      <c r="D69" s="685"/>
      <c r="E69" s="440" t="s">
        <v>95</v>
      </c>
      <c r="F69" s="441" t="s">
        <v>5</v>
      </c>
      <c r="G69" s="441" t="s">
        <v>5</v>
      </c>
      <c r="H69" s="441" t="s">
        <v>5</v>
      </c>
      <c r="I69" s="441" t="s">
        <v>5</v>
      </c>
      <c r="J69" s="441" t="s">
        <v>5</v>
      </c>
      <c r="K69" s="442" t="s">
        <v>5</v>
      </c>
      <c r="L69" s="442" t="s">
        <v>5</v>
      </c>
      <c r="M69" s="442" t="s">
        <v>5</v>
      </c>
      <c r="N69" s="441" t="s">
        <v>5</v>
      </c>
      <c r="O69" s="672"/>
      <c r="P69" s="673"/>
      <c r="Q69" s="673"/>
      <c r="R69" s="673"/>
      <c r="S69" s="672"/>
      <c r="T69" s="673"/>
      <c r="U69" s="673"/>
      <c r="V69" s="674"/>
      <c r="W69" s="443"/>
      <c r="X69" s="443"/>
      <c r="Y69" s="678"/>
      <c r="Z69" s="678"/>
      <c r="AA69" s="678"/>
      <c r="AB69" s="678"/>
      <c r="AC69" s="678"/>
      <c r="AD69" s="678"/>
      <c r="AE69" s="678"/>
      <c r="AF69" s="678"/>
      <c r="AG69" s="678"/>
      <c r="AH69" s="678"/>
      <c r="BC69" s="536"/>
      <c r="BD69" s="429" t="str">
        <f>"1st " &amp; B73</f>
        <v>1st Drive Mode 2</v>
      </c>
      <c r="BE69" s="435" t="str">
        <f t="shared" ref="BE69:BJ69" si="75">IF((OR($C75="-",$C75="CET",$C75="")),"-",IF(AND(OR(F73="-",F73=""),OR(F74="-",F74="")),"-",IF(NOT(OR(F73="-",F73="")),F73/F$5,F74/F$5)))</f>
        <v>-</v>
      </c>
      <c r="BF69" s="435" t="str">
        <f t="shared" si="75"/>
        <v>-</v>
      </c>
      <c r="BG69" s="435" t="str">
        <f t="shared" si="75"/>
        <v>-</v>
      </c>
      <c r="BH69" s="435" t="str">
        <f t="shared" si="75"/>
        <v>-</v>
      </c>
      <c r="BI69" s="435" t="str">
        <f t="shared" si="75"/>
        <v>-</v>
      </c>
      <c r="BJ69" s="435" t="str">
        <f t="shared" si="75"/>
        <v>-</v>
      </c>
      <c r="BK69" s="435" t="str">
        <f t="shared" ref="BK69:BL69" si="76">IF((OR($C75="-",$C75="CET",$C75="")),"-",IF(AND(OR(L73="-",L73=""),OR(L74="-",L74="")),"-",IF(NOT(OR(L73="-",L73="")),L73/L$5,L74/L$5)))</f>
        <v>-</v>
      </c>
      <c r="BL69" s="435" t="str">
        <f t="shared" si="76"/>
        <v>-</v>
      </c>
    </row>
    <row r="70" spans="1:64" ht="15" customHeight="1" outlineLevel="1" thickBot="1" x14ac:dyDescent="0.3">
      <c r="A70" s="396"/>
      <c r="B70" s="711"/>
      <c r="C70" s="686">
        <v>1</v>
      </c>
      <c r="D70" s="689" t="str">
        <f>IF(AND(F70="-",G70="-",H70="-",I70="-",J70="-",K70="-",L70="-",M70="-"),"-",MAX(F70,G70,H70,I70,J70,K70,L70,M70))</f>
        <v>-</v>
      </c>
      <c r="E70" s="444" t="s">
        <v>177</v>
      </c>
      <c r="F70" s="445" t="str">
        <f t="shared" ref="F70:K70" si="77">IF(OR(F69="-",F69=""),IF(OR(F68="-",F68=""),"-",F68),IF(OR(F68="-",F68=""),F69,(F68+F69)/2))</f>
        <v>-</v>
      </c>
      <c r="G70" s="445" t="str">
        <f t="shared" si="77"/>
        <v>-</v>
      </c>
      <c r="H70" s="445" t="str">
        <f t="shared" si="77"/>
        <v>-</v>
      </c>
      <c r="I70" s="445" t="str">
        <f t="shared" si="77"/>
        <v>-</v>
      </c>
      <c r="J70" s="445" t="str">
        <f t="shared" si="77"/>
        <v>-</v>
      </c>
      <c r="K70" s="446" t="str">
        <f t="shared" si="77"/>
        <v>-</v>
      </c>
      <c r="L70" s="446" t="str">
        <f t="shared" ref="L70:M70" si="78">IF(OR(L69="-",L69=""),IF(OR(L68="-",L68=""),"-",L68),IF(OR(L68="-",L68=""),L69,(L68+L69)/2))</f>
        <v>-</v>
      </c>
      <c r="M70" s="446" t="str">
        <f t="shared" si="78"/>
        <v>-</v>
      </c>
      <c r="N70" s="828"/>
      <c r="O70" s="672"/>
      <c r="P70" s="673"/>
      <c r="Q70" s="673"/>
      <c r="R70" s="673"/>
      <c r="S70" s="672"/>
      <c r="T70" s="673"/>
      <c r="U70" s="673"/>
      <c r="V70" s="674"/>
      <c r="W70" s="512"/>
      <c r="X70" s="512"/>
      <c r="Y70" s="678"/>
      <c r="Z70" s="678"/>
      <c r="AA70" s="678"/>
      <c r="AB70" s="678"/>
      <c r="AC70" s="678"/>
      <c r="AD70" s="678"/>
      <c r="AE70" s="678"/>
      <c r="AF70" s="678"/>
      <c r="AG70" s="678"/>
      <c r="AH70" s="678"/>
      <c r="BC70" s="536"/>
      <c r="BD70" s="429" t="str">
        <f>"1st " &amp; B78</f>
        <v>1st Drive Mode 3</v>
      </c>
      <c r="BE70" s="435" t="str">
        <f t="shared" ref="BE70:BJ70" si="79">IF((OR($C80="-",$C80="CET",$C80="")),"-",IF(AND(OR(F78="-",F78=""),OR(F79="-",F79="")),"-",IF(NOT(OR(F78="-",F78="")),F78/F$5,F79/F$5)))</f>
        <v>-</v>
      </c>
      <c r="BF70" s="435" t="str">
        <f t="shared" si="79"/>
        <v>-</v>
      </c>
      <c r="BG70" s="435" t="str">
        <f t="shared" si="79"/>
        <v>-</v>
      </c>
      <c r="BH70" s="435" t="str">
        <f t="shared" si="79"/>
        <v>-</v>
      </c>
      <c r="BI70" s="435" t="str">
        <f t="shared" si="79"/>
        <v>-</v>
      </c>
      <c r="BJ70" s="435" t="str">
        <f t="shared" si="79"/>
        <v>-</v>
      </c>
      <c r="BK70" s="435" t="str">
        <f t="shared" ref="BK70:BL70" si="80">IF((OR($C80="-",$C80="CET",$C80="")),"-",IF(AND(OR(L78="-",L78=""),OR(L79="-",L79="")),"-",IF(NOT(OR(L78="-",L78="")),L78/L$5,L79/L$5)))</f>
        <v>-</v>
      </c>
      <c r="BL70" s="435" t="str">
        <f t="shared" si="80"/>
        <v>-</v>
      </c>
    </row>
    <row r="71" spans="1:64" ht="15" customHeight="1" outlineLevel="1" thickBot="1" x14ac:dyDescent="0.3">
      <c r="A71" s="396"/>
      <c r="B71" s="711"/>
      <c r="C71" s="687"/>
      <c r="D71" s="690"/>
      <c r="E71" s="447" t="s">
        <v>97</v>
      </c>
      <c r="F71" s="448" t="str">
        <f t="shared" ref="F71:K71" si="81">IF(OR($C70="-",$C70="CET",$C70=""),"-",IF(AND(NOT(F70="-"),NOT(F$5="-"),NOT(F$5="")),F70/F$5,"-"))</f>
        <v>-</v>
      </c>
      <c r="G71" s="448" t="str">
        <f t="shared" si="81"/>
        <v>-</v>
      </c>
      <c r="H71" s="448" t="str">
        <f t="shared" si="81"/>
        <v>-</v>
      </c>
      <c r="I71" s="448" t="str">
        <f t="shared" si="81"/>
        <v>-</v>
      </c>
      <c r="J71" s="448" t="str">
        <f t="shared" si="81"/>
        <v>-</v>
      </c>
      <c r="K71" s="449" t="str">
        <f t="shared" si="81"/>
        <v>-</v>
      </c>
      <c r="L71" s="449" t="str">
        <f t="shared" ref="L71:M71" si="82">IF(OR($C70="-",$C70="CET",$C70=""),"-",IF(AND(NOT(L70="-"),NOT(L$5="-"),NOT(L$5="")),L70/L$5,"-"))</f>
        <v>-</v>
      </c>
      <c r="M71" s="449" t="str">
        <f t="shared" si="82"/>
        <v>-</v>
      </c>
      <c r="N71" s="702"/>
      <c r="O71" s="672"/>
      <c r="P71" s="673"/>
      <c r="Q71" s="673"/>
      <c r="R71" s="673"/>
      <c r="S71" s="672"/>
      <c r="T71" s="673"/>
      <c r="U71" s="673"/>
      <c r="V71" s="674"/>
      <c r="W71" s="512"/>
      <c r="X71" s="512"/>
      <c r="Y71" s="678"/>
      <c r="Z71" s="678"/>
      <c r="AA71" s="678"/>
      <c r="AB71" s="678"/>
      <c r="AC71" s="678"/>
      <c r="AD71" s="678"/>
      <c r="AE71" s="678"/>
      <c r="AF71" s="678"/>
      <c r="AG71" s="678"/>
      <c r="AH71" s="678"/>
      <c r="BC71" s="536"/>
      <c r="BD71" s="429" t="str">
        <f>"1st " &amp; B83</f>
        <v>1st Drive Mode 4</v>
      </c>
      <c r="BE71" s="435" t="str">
        <f t="shared" ref="BE71:BJ71" si="83">IF((OR($C85="-",$C85="CET",$C85="")),"-",IF(AND(OR(F83="-",F83=""),OR(F84="-",F84="")),"-",IF(NOT(OR(F83="-",F83="")),F83/F$5,F84/F$5)))</f>
        <v>-</v>
      </c>
      <c r="BF71" s="435" t="str">
        <f t="shared" si="83"/>
        <v>-</v>
      </c>
      <c r="BG71" s="435" t="str">
        <f t="shared" si="83"/>
        <v>-</v>
      </c>
      <c r="BH71" s="435" t="str">
        <f t="shared" si="83"/>
        <v>-</v>
      </c>
      <c r="BI71" s="435" t="str">
        <f t="shared" si="83"/>
        <v>-</v>
      </c>
      <c r="BJ71" s="435" t="str">
        <f t="shared" si="83"/>
        <v>-</v>
      </c>
      <c r="BK71" s="435" t="str">
        <f t="shared" ref="BK71:BL71" si="84">IF((OR($C85="-",$C85="CET",$C85="")),"-",IF(AND(OR(L83="-",L83=""),OR(L84="-",L84="")),"-",IF(NOT(OR(L83="-",L83="")),L83/L$5,L84/L$5)))</f>
        <v>-</v>
      </c>
      <c r="BL71" s="435" t="str">
        <f t="shared" si="84"/>
        <v>-</v>
      </c>
    </row>
    <row r="72" spans="1:64" ht="15" customHeight="1" outlineLevel="1" thickBot="1" x14ac:dyDescent="0.3">
      <c r="A72" s="396"/>
      <c r="B72" s="712"/>
      <c r="C72" s="688"/>
      <c r="D72" s="691"/>
      <c r="E72" s="450" t="s">
        <v>30</v>
      </c>
      <c r="F72" s="451" t="str">
        <f t="shared" ref="F72:K72" si="85">IF(AND(OR(F68="-",F68=""),OR(F69="-",F69="")),"-",IF(OR($C70="-",$C70="",$C70="CET"),"-",IF($R$64="not listed","-",IF(NOT(F$5="-"),IF(AND(AND(NOT(F68=0),NOT(F68="-"),NOT(F68="")),AND(NOT(F69="-"),NOT(F69=0),NOT(F69=""))),IF(AND((F68+F69)/2&lt;1*F$5*IF(OR($C70="CET",$C70="-",$C70=""),"-",$C70),F68&lt;1.1*F$5*IF(OR($C70="CET",$C70="-",$C70=""),"-",$C70),F69&lt;1.1*F$5*IF(OR($C70="CET",$C70="-",$C70=""),"-",$C70)),"passed","refused"),IF(IF(OR(F68="-",F68=""),F69,F68)&lt;0.7*F$5*IF(OR($C70="CET",$C70="-",$C70=""),"-",$C70),"passed",IF(IF(OR(F68="-",F68=""),F69,F68)&lt;1.1*IF(OR($C70="CET",$C70="-",$C70=""),"-",$C70)*F$5,"failed","refused"))),"-"))))</f>
        <v>-</v>
      </c>
      <c r="G72" s="451" t="str">
        <f t="shared" si="85"/>
        <v>-</v>
      </c>
      <c r="H72" s="451" t="str">
        <f t="shared" si="85"/>
        <v>-</v>
      </c>
      <c r="I72" s="451" t="str">
        <f t="shared" si="85"/>
        <v>-</v>
      </c>
      <c r="J72" s="451" t="str">
        <f t="shared" si="85"/>
        <v>-</v>
      </c>
      <c r="K72" s="452" t="str">
        <f t="shared" si="85"/>
        <v>-</v>
      </c>
      <c r="L72" s="452" t="str">
        <f t="shared" ref="L72:M72" si="86">IF(AND(OR(L68="-",L68=""),OR(L69="-",L69="")),"-",IF(OR($C70="-",$C70="",$C70="CET"),"-",IF($R$64="not listed","-",IF(NOT(L$5="-"),IF(AND(AND(NOT(L68=0),NOT(L68="-"),NOT(L68="")),AND(NOT(L69="-"),NOT(L69=0),NOT(L69=""))),IF(AND((L68+L69)/2&lt;1*L$5*IF(OR($C70="CET",$C70="-",$C70=""),"-",$C70),L68&lt;1.1*L$5*IF(OR($C70="CET",$C70="-",$C70=""),"-",$C70),L69&lt;1.1*L$5*IF(OR($C70="CET",$C70="-",$C70=""),"-",$C70)),"passed","refused"),IF(IF(OR(L68="-",L68=""),L69,L68)&lt;0.7*L$5*IF(OR($C70="CET",$C70="-",$C70=""),"-",$C70),"passed",IF(IF(OR(L68="-",L68=""),L69,L68)&lt;1.1*IF(OR($C70="CET",$C70="-",$C70=""),"-",$C70)*L$5,"failed","refused"))),"-"))))</f>
        <v>-</v>
      </c>
      <c r="M72" s="452" t="str">
        <f t="shared" si="86"/>
        <v>-</v>
      </c>
      <c r="N72" s="685"/>
      <c r="O72" s="672"/>
      <c r="P72" s="673"/>
      <c r="Q72" s="673"/>
      <c r="R72" s="673"/>
      <c r="S72" s="672"/>
      <c r="T72" s="673"/>
      <c r="U72" s="673"/>
      <c r="V72" s="674"/>
      <c r="W72" s="512"/>
      <c r="X72" s="512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BC72" s="399" t="str">
        <f>IF(COUNTIF(F72:M72,"refused")&gt;0,"refused",IF(COUNTIF(F72:M72,"failed")&gt;0,"failed",IF(COUNTIF(F72:M72,"passed")&gt;0,"passed","-")))</f>
        <v>-</v>
      </c>
      <c r="BD72" s="429" t="str">
        <f>"1st " &amp; B88</f>
        <v>1st Drive Mode 5</v>
      </c>
      <c r="BE72" s="435" t="str">
        <f t="shared" ref="BE72:BJ72" si="87">IF((OR($C90="-",$C90="CET",$C90="")),"-",IF(AND(OR(F88="-",F88=""),OR(F89="-",F89="")),"-",IF(NOT(OR(F88="-",F88="")),F88/F$5,F89/F$5)))</f>
        <v>-</v>
      </c>
      <c r="BF72" s="435" t="str">
        <f t="shared" si="87"/>
        <v>-</v>
      </c>
      <c r="BG72" s="435" t="str">
        <f t="shared" si="87"/>
        <v>-</v>
      </c>
      <c r="BH72" s="435" t="str">
        <f t="shared" si="87"/>
        <v>-</v>
      </c>
      <c r="BI72" s="435" t="str">
        <f t="shared" si="87"/>
        <v>-</v>
      </c>
      <c r="BJ72" s="435" t="str">
        <f t="shared" si="87"/>
        <v>-</v>
      </c>
      <c r="BK72" s="435" t="str">
        <f t="shared" ref="BK72:BL72" si="88">IF((OR($C90="-",$C90="CET",$C90="")),"-",IF(AND(OR(L88="-",L88=""),OR(L89="-",L89="")),"-",IF(NOT(OR(L88="-",L88="")),L88/L$5,L89/L$5)))</f>
        <v>-</v>
      </c>
      <c r="BL72" s="435" t="str">
        <f t="shared" si="88"/>
        <v>-</v>
      </c>
    </row>
    <row r="73" spans="1:64" ht="15" customHeight="1" outlineLevel="1" x14ac:dyDescent="0.25">
      <c r="A73" s="396"/>
      <c r="B73" s="710" t="s">
        <v>124</v>
      </c>
      <c r="C73" s="684" t="s">
        <v>114</v>
      </c>
      <c r="D73" s="684" t="s">
        <v>113</v>
      </c>
      <c r="E73" s="453" t="s">
        <v>94</v>
      </c>
      <c r="F73" s="437" t="s">
        <v>5</v>
      </c>
      <c r="G73" s="437" t="s">
        <v>5</v>
      </c>
      <c r="H73" s="437" t="s">
        <v>5</v>
      </c>
      <c r="I73" s="437" t="s">
        <v>5</v>
      </c>
      <c r="J73" s="437" t="s">
        <v>5</v>
      </c>
      <c r="K73" s="438" t="s">
        <v>5</v>
      </c>
      <c r="L73" s="438" t="s">
        <v>5</v>
      </c>
      <c r="M73" s="438" t="s">
        <v>5</v>
      </c>
      <c r="N73" s="437" t="s">
        <v>5</v>
      </c>
      <c r="O73" s="672"/>
      <c r="P73" s="673"/>
      <c r="Q73" s="673"/>
      <c r="R73" s="673"/>
      <c r="S73" s="672"/>
      <c r="T73" s="673"/>
      <c r="U73" s="673"/>
      <c r="V73" s="674"/>
      <c r="W73" s="512"/>
      <c r="X73" s="512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BC73" s="536"/>
      <c r="BD73" s="429" t="str">
        <f>"1st " &amp; B93</f>
        <v>1st Drive Mode 6</v>
      </c>
      <c r="BE73" s="435" t="str">
        <f t="shared" ref="BE73:BJ73" si="89">IF((OR($C95="-",$C95="CET",$C95="")),"-",IF(AND(OR(F93="-",F93=""),OR(F94="-",F94="")),"-",IF(NOT(OR(F93="-",F93="")),F93/F$5,F94/F$5)))</f>
        <v>-</v>
      </c>
      <c r="BF73" s="435" t="str">
        <f t="shared" si="89"/>
        <v>-</v>
      </c>
      <c r="BG73" s="435" t="str">
        <f t="shared" si="89"/>
        <v>-</v>
      </c>
      <c r="BH73" s="435" t="str">
        <f t="shared" si="89"/>
        <v>-</v>
      </c>
      <c r="BI73" s="435" t="str">
        <f t="shared" si="89"/>
        <v>-</v>
      </c>
      <c r="BJ73" s="435" t="str">
        <f t="shared" si="89"/>
        <v>-</v>
      </c>
      <c r="BK73" s="435" t="str">
        <f t="shared" ref="BK73:BL73" si="90">IF((OR($C95="-",$C95="CET",$C95="")),"-",IF(AND(OR(L93="-",L93=""),OR(L94="-",L94="")),"-",IF(NOT(OR(L93="-",L93="")),L93/L$5,L94/L$5)))</f>
        <v>-</v>
      </c>
      <c r="BL73" s="435" t="str">
        <f t="shared" si="90"/>
        <v>-</v>
      </c>
    </row>
    <row r="74" spans="1:64" s="405" customFormat="1" ht="15" customHeight="1" outlineLevel="1" thickBot="1" x14ac:dyDescent="0.3">
      <c r="A74" s="439"/>
      <c r="B74" s="711"/>
      <c r="C74" s="702"/>
      <c r="D74" s="685"/>
      <c r="E74" s="440" t="s">
        <v>95</v>
      </c>
      <c r="F74" s="441" t="s">
        <v>5</v>
      </c>
      <c r="G74" s="441" t="s">
        <v>5</v>
      </c>
      <c r="H74" s="441" t="s">
        <v>5</v>
      </c>
      <c r="I74" s="441" t="s">
        <v>5</v>
      </c>
      <c r="J74" s="441" t="s">
        <v>5</v>
      </c>
      <c r="K74" s="442" t="s">
        <v>5</v>
      </c>
      <c r="L74" s="442" t="s">
        <v>5</v>
      </c>
      <c r="M74" s="442" t="s">
        <v>5</v>
      </c>
      <c r="N74" s="441" t="s">
        <v>5</v>
      </c>
      <c r="O74" s="672"/>
      <c r="P74" s="673"/>
      <c r="Q74" s="673"/>
      <c r="R74" s="673"/>
      <c r="S74" s="672"/>
      <c r="T74" s="673"/>
      <c r="U74" s="673"/>
      <c r="V74" s="674"/>
      <c r="W74" s="443"/>
      <c r="X74" s="443"/>
      <c r="Y74" s="678"/>
      <c r="Z74" s="678"/>
      <c r="AA74" s="678"/>
      <c r="AB74" s="678"/>
      <c r="AC74" s="678"/>
      <c r="AD74" s="678"/>
      <c r="AE74" s="678"/>
      <c r="AF74" s="678"/>
      <c r="AG74" s="678"/>
      <c r="AH74" s="678"/>
      <c r="BC74" s="536"/>
      <c r="BD74" s="429" t="str">
        <f>"0.7*IEF " &amp; (B68)</f>
        <v>0.7*IEF Drive Mode 1</v>
      </c>
      <c r="BE74" s="435">
        <f t="shared" ref="BE74:BJ74" si="91">IF(OR($C70="-",$C70="CET",$C70=""),"-",0.7*$C70)</f>
        <v>0.7</v>
      </c>
      <c r="BF74" s="435">
        <f t="shared" si="91"/>
        <v>0.7</v>
      </c>
      <c r="BG74" s="435">
        <f t="shared" si="91"/>
        <v>0.7</v>
      </c>
      <c r="BH74" s="435">
        <f t="shared" si="91"/>
        <v>0.7</v>
      </c>
      <c r="BI74" s="435">
        <f t="shared" si="91"/>
        <v>0.7</v>
      </c>
      <c r="BJ74" s="435">
        <f t="shared" si="91"/>
        <v>0.7</v>
      </c>
      <c r="BK74" s="435">
        <f t="shared" ref="BK74:BL74" si="92">IF(OR($C70="-",$C70="CET",$C70=""),"-",0.7*$C70)</f>
        <v>0.7</v>
      </c>
      <c r="BL74" s="435">
        <f t="shared" si="92"/>
        <v>0.7</v>
      </c>
    </row>
    <row r="75" spans="1:64" ht="15" customHeight="1" outlineLevel="1" thickBot="1" x14ac:dyDescent="0.3">
      <c r="A75" s="396"/>
      <c r="B75" s="711"/>
      <c r="C75" s="686">
        <v>1</v>
      </c>
      <c r="D75" s="689" t="str">
        <f>IF(AND(F75="-",G75="-",H75="-",I75="-",J75="-",K75="-",L75="-",M75="-"),"-",MAX(F75,G75,H75,I75,J75,K75,L75,M75))</f>
        <v>-</v>
      </c>
      <c r="E75" s="444" t="s">
        <v>177</v>
      </c>
      <c r="F75" s="445" t="str">
        <f t="shared" ref="F75:K75" si="93">IF(OR(F74="-",F74=""),IF(OR(F73="-",F73=""),"-",F73),IF(OR(F73="-",F73=""),F74,(F73+F74)/2))</f>
        <v>-</v>
      </c>
      <c r="G75" s="445" t="str">
        <f t="shared" si="93"/>
        <v>-</v>
      </c>
      <c r="H75" s="445" t="str">
        <f t="shared" si="93"/>
        <v>-</v>
      </c>
      <c r="I75" s="445" t="str">
        <f t="shared" si="93"/>
        <v>-</v>
      </c>
      <c r="J75" s="445" t="str">
        <f t="shared" si="93"/>
        <v>-</v>
      </c>
      <c r="K75" s="446" t="str">
        <f t="shared" si="93"/>
        <v>-</v>
      </c>
      <c r="L75" s="446" t="str">
        <f t="shared" ref="L75:M75" si="94">IF(OR(L74="-",L74=""),IF(OR(L73="-",L73=""),"-",L73),IF(OR(L73="-",L73=""),L74,(L73+L74)/2))</f>
        <v>-</v>
      </c>
      <c r="M75" s="446" t="str">
        <f t="shared" si="94"/>
        <v>-</v>
      </c>
      <c r="N75" s="828"/>
      <c r="O75" s="672"/>
      <c r="P75" s="673"/>
      <c r="Q75" s="673"/>
      <c r="R75" s="673"/>
      <c r="S75" s="672"/>
      <c r="T75" s="673"/>
      <c r="U75" s="673"/>
      <c r="V75" s="674"/>
      <c r="W75" s="512"/>
      <c r="X75" s="512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BC75" s="536"/>
      <c r="BD75" s="429" t="str">
        <f>"0.7*IEF " &amp; B73</f>
        <v>0.7*IEF Drive Mode 2</v>
      </c>
      <c r="BE75" s="435">
        <f t="shared" ref="BE75:BL75" si="95">IF(OR($C75="-",$C75="CET",$C75=""),"-",0.7*$C75)</f>
        <v>0.7</v>
      </c>
      <c r="BF75" s="435">
        <f t="shared" si="95"/>
        <v>0.7</v>
      </c>
      <c r="BG75" s="435">
        <f t="shared" si="95"/>
        <v>0.7</v>
      </c>
      <c r="BH75" s="435">
        <f t="shared" si="95"/>
        <v>0.7</v>
      </c>
      <c r="BI75" s="435">
        <f t="shared" si="95"/>
        <v>0.7</v>
      </c>
      <c r="BJ75" s="435">
        <f t="shared" si="95"/>
        <v>0.7</v>
      </c>
      <c r="BK75" s="435">
        <f t="shared" si="95"/>
        <v>0.7</v>
      </c>
      <c r="BL75" s="435">
        <f t="shared" si="95"/>
        <v>0.7</v>
      </c>
    </row>
    <row r="76" spans="1:64" ht="15" customHeight="1" outlineLevel="1" thickBot="1" x14ac:dyDescent="0.3">
      <c r="A76" s="396"/>
      <c r="B76" s="711"/>
      <c r="C76" s="687"/>
      <c r="D76" s="690"/>
      <c r="E76" s="447" t="s">
        <v>97</v>
      </c>
      <c r="F76" s="448" t="str">
        <f t="shared" ref="F76:K76" si="96">IF(OR($C75="-",$C75="CET",$C75=""),"-",IF(AND(NOT(F75="-"),NOT(F$5="-"),NOT(F$5="")),F75/F$5,"-"))</f>
        <v>-</v>
      </c>
      <c r="G76" s="448" t="str">
        <f t="shared" si="96"/>
        <v>-</v>
      </c>
      <c r="H76" s="448" t="str">
        <f t="shared" si="96"/>
        <v>-</v>
      </c>
      <c r="I76" s="448" t="str">
        <f t="shared" si="96"/>
        <v>-</v>
      </c>
      <c r="J76" s="448" t="str">
        <f t="shared" si="96"/>
        <v>-</v>
      </c>
      <c r="K76" s="449" t="str">
        <f t="shared" si="96"/>
        <v>-</v>
      </c>
      <c r="L76" s="449" t="str">
        <f t="shared" ref="L76:M76" si="97">IF(OR($C75="-",$C75="CET",$C75=""),"-",IF(AND(NOT(L75="-"),NOT(L$5="-"),NOT(L$5="")),L75/L$5,"-"))</f>
        <v>-</v>
      </c>
      <c r="M76" s="449" t="str">
        <f t="shared" si="97"/>
        <v>-</v>
      </c>
      <c r="N76" s="702"/>
      <c r="O76" s="672"/>
      <c r="P76" s="673"/>
      <c r="Q76" s="673"/>
      <c r="R76" s="673"/>
      <c r="S76" s="672"/>
      <c r="T76" s="673"/>
      <c r="U76" s="673"/>
      <c r="V76" s="674"/>
      <c r="W76" s="512"/>
      <c r="X76" s="512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BC76" s="536"/>
      <c r="BD76" s="429" t="str">
        <f>"0.7*IEF " &amp; B78</f>
        <v>0.7*IEF Drive Mode 3</v>
      </c>
      <c r="BE76" s="435">
        <f t="shared" ref="BE76:BJ76" si="98">IF(OR($C80="-",$C80="CET",$C80=""),"-",0.7*$C80)</f>
        <v>0.7</v>
      </c>
      <c r="BF76" s="435">
        <f t="shared" si="98"/>
        <v>0.7</v>
      </c>
      <c r="BG76" s="435">
        <f t="shared" si="98"/>
        <v>0.7</v>
      </c>
      <c r="BH76" s="435">
        <f t="shared" si="98"/>
        <v>0.7</v>
      </c>
      <c r="BI76" s="435">
        <f t="shared" si="98"/>
        <v>0.7</v>
      </c>
      <c r="BJ76" s="435">
        <f t="shared" si="98"/>
        <v>0.7</v>
      </c>
      <c r="BK76" s="435">
        <f t="shared" ref="BK76:BL76" si="99">IF(OR($C80="-",$C80="CET",$C80=""),"-",0.7*$C80)</f>
        <v>0.7</v>
      </c>
      <c r="BL76" s="435">
        <f t="shared" si="99"/>
        <v>0.7</v>
      </c>
    </row>
    <row r="77" spans="1:64" ht="15" customHeight="1" outlineLevel="1" thickBot="1" x14ac:dyDescent="0.3">
      <c r="A77" s="404"/>
      <c r="B77" s="712"/>
      <c r="C77" s="688"/>
      <c r="D77" s="691"/>
      <c r="E77" s="451" t="s">
        <v>30</v>
      </c>
      <c r="F77" s="451" t="str">
        <f t="shared" ref="F77:K77" si="100">IF(AND(OR(F73="-",F73=""),OR(F74="-",F74="")),"-",IF(OR($C75="-",$C75="",$C75="CET"),"-",IF($R$64="not listed","-",IF(NOT(F$5="-"),IF(AND(AND(NOT(F73=0),NOT(F73="-"),NOT(F73="")),AND(NOT(F74="-"),NOT(F74=0),NOT(F74=""))),IF(AND((F73+F74)/2&lt;1*F$5*IF(OR($C75="CET",$C75="-",$C75=""),"-",$C75),F73&lt;1.1*F$5*IF(OR($C75="CET",$C75="-",$C75=""),"-",$C75),F74&lt;1.1*F$5*IF(OR($C75="CET",$C75="-",$C75=""),"-",$C75)),"passed","refused"),IF(IF(OR(F73="-",F73=""),F74,F73)&lt;0.7*F$5*IF(OR($C75="CET",$C75="-",$C75=""),"-",$C75),"passed",IF(IF(OR(F73="-",F73=""),F74,F73)&lt;1.1*IF(OR($C75="CET",$C75="-",$C75=""),"-",$C75)*F$5,"failed","refused"))),"-"))))</f>
        <v>-</v>
      </c>
      <c r="G77" s="451" t="str">
        <f t="shared" si="100"/>
        <v>-</v>
      </c>
      <c r="H77" s="451" t="str">
        <f t="shared" si="100"/>
        <v>-</v>
      </c>
      <c r="I77" s="451" t="str">
        <f t="shared" si="100"/>
        <v>-</v>
      </c>
      <c r="J77" s="451" t="str">
        <f t="shared" si="100"/>
        <v>-</v>
      </c>
      <c r="K77" s="452" t="str">
        <f t="shared" si="100"/>
        <v>-</v>
      </c>
      <c r="L77" s="452" t="str">
        <f t="shared" ref="L77:M77" si="101">IF(AND(OR(L73="-",L73=""),OR(L74="-",L74="")),"-",IF(OR($C75="-",$C75="",$C75="CET"),"-",IF($R$64="not listed","-",IF(NOT(L$5="-"),IF(AND(AND(NOT(L73=0),NOT(L73="-"),NOT(L73="")),AND(NOT(L74="-"),NOT(L74=0),NOT(L74=""))),IF(AND((L73+L74)/2&lt;1*L$5*IF(OR($C75="CET",$C75="-",$C75=""),"-",$C75),L73&lt;1.1*L$5*IF(OR($C75="CET",$C75="-",$C75=""),"-",$C75),L74&lt;1.1*L$5*IF(OR($C75="CET",$C75="-",$C75=""),"-",$C75)),"passed","refused"),IF(IF(OR(L73="-",L73=""),L74,L73)&lt;0.7*L$5*IF(OR($C75="CET",$C75="-",$C75=""),"-",$C75),"passed",IF(IF(OR(L73="-",L73=""),L74,L73)&lt;1.1*IF(OR($C75="CET",$C75="-",$C75=""),"-",$C75)*L$5,"failed","refused"))),"-"))))</f>
        <v>-</v>
      </c>
      <c r="M77" s="452" t="str">
        <f t="shared" si="101"/>
        <v>-</v>
      </c>
      <c r="N77" s="685"/>
      <c r="O77" s="672"/>
      <c r="P77" s="673"/>
      <c r="Q77" s="673"/>
      <c r="R77" s="673"/>
      <c r="S77" s="672"/>
      <c r="T77" s="673"/>
      <c r="U77" s="673"/>
      <c r="V77" s="674"/>
      <c r="W77" s="512"/>
      <c r="X77" s="512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BC77" s="399" t="str">
        <f>IF(COUNTIF(F77:M77,"refused")&gt;0,"refused",IF(COUNTIF(F77:M77,"failed")&gt;0,"failed",IF(COUNTIF(F77:M77,"passed")&gt;0,"passed","-")))</f>
        <v>-</v>
      </c>
      <c r="BD77" s="429" t="str">
        <f>"0.7*IEF " &amp; B83</f>
        <v>0.7*IEF Drive Mode 4</v>
      </c>
      <c r="BE77" s="435">
        <f t="shared" ref="BE77:BJ77" si="102">IF(OR($C85="-",$C85="CET",$C85=""),"-",0.7*$C85)</f>
        <v>0.7</v>
      </c>
      <c r="BF77" s="435">
        <f t="shared" si="102"/>
        <v>0.7</v>
      </c>
      <c r="BG77" s="435">
        <f t="shared" si="102"/>
        <v>0.7</v>
      </c>
      <c r="BH77" s="435">
        <f t="shared" si="102"/>
        <v>0.7</v>
      </c>
      <c r="BI77" s="435">
        <f t="shared" si="102"/>
        <v>0.7</v>
      </c>
      <c r="BJ77" s="435">
        <f t="shared" si="102"/>
        <v>0.7</v>
      </c>
      <c r="BK77" s="435">
        <f t="shared" ref="BK77:BL77" si="103">IF(OR($C85="-",$C85="CET",$C85=""),"-",0.7*$C85)</f>
        <v>0.7</v>
      </c>
      <c r="BL77" s="435">
        <f t="shared" si="103"/>
        <v>0.7</v>
      </c>
    </row>
    <row r="78" spans="1:64" ht="15" customHeight="1" outlineLevel="1" x14ac:dyDescent="0.25">
      <c r="A78" s="404"/>
      <c r="B78" s="710" t="s">
        <v>123</v>
      </c>
      <c r="C78" s="684" t="s">
        <v>114</v>
      </c>
      <c r="D78" s="684" t="s">
        <v>113</v>
      </c>
      <c r="E78" s="453" t="s">
        <v>94</v>
      </c>
      <c r="F78" s="437" t="s">
        <v>5</v>
      </c>
      <c r="G78" s="437" t="s">
        <v>5</v>
      </c>
      <c r="H78" s="437" t="s">
        <v>5</v>
      </c>
      <c r="I78" s="437" t="s">
        <v>5</v>
      </c>
      <c r="J78" s="437" t="s">
        <v>5</v>
      </c>
      <c r="K78" s="438" t="s">
        <v>5</v>
      </c>
      <c r="L78" s="438" t="s">
        <v>5</v>
      </c>
      <c r="M78" s="438" t="s">
        <v>5</v>
      </c>
      <c r="N78" s="437" t="s">
        <v>5</v>
      </c>
      <c r="O78" s="672"/>
      <c r="P78" s="673"/>
      <c r="Q78" s="673"/>
      <c r="R78" s="673"/>
      <c r="S78" s="672"/>
      <c r="T78" s="673"/>
      <c r="U78" s="673"/>
      <c r="V78" s="674"/>
      <c r="W78" s="512"/>
      <c r="X78" s="512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536"/>
      <c r="BD78" s="429" t="str">
        <f>"0.7*IEF " &amp; B88</f>
        <v>0.7*IEF Drive Mode 5</v>
      </c>
      <c r="BE78" s="435">
        <f t="shared" ref="BE78:BJ78" si="104">IF(OR($C90="-",$C90="CET",$C90=""),"-",0.7*$C90)</f>
        <v>0.7</v>
      </c>
      <c r="BF78" s="435">
        <f t="shared" si="104"/>
        <v>0.7</v>
      </c>
      <c r="BG78" s="435">
        <f t="shared" si="104"/>
        <v>0.7</v>
      </c>
      <c r="BH78" s="435">
        <f t="shared" si="104"/>
        <v>0.7</v>
      </c>
      <c r="BI78" s="435">
        <f t="shared" si="104"/>
        <v>0.7</v>
      </c>
      <c r="BJ78" s="435">
        <f t="shared" si="104"/>
        <v>0.7</v>
      </c>
      <c r="BK78" s="435">
        <f t="shared" ref="BK78:BL78" si="105">IF(OR($C90="-",$C90="CET",$C90=""),"-",0.7*$C90)</f>
        <v>0.7</v>
      </c>
      <c r="BL78" s="435">
        <f t="shared" si="105"/>
        <v>0.7</v>
      </c>
    </row>
    <row r="79" spans="1:64" s="405" customFormat="1" ht="15" customHeight="1" outlineLevel="1" thickBot="1" x14ac:dyDescent="0.3">
      <c r="A79" s="454"/>
      <c r="B79" s="711"/>
      <c r="C79" s="702"/>
      <c r="D79" s="685"/>
      <c r="E79" s="440" t="s">
        <v>95</v>
      </c>
      <c r="F79" s="441" t="s">
        <v>5</v>
      </c>
      <c r="G79" s="441" t="s">
        <v>5</v>
      </c>
      <c r="H79" s="441" t="s">
        <v>5</v>
      </c>
      <c r="I79" s="441" t="s">
        <v>5</v>
      </c>
      <c r="J79" s="441" t="s">
        <v>5</v>
      </c>
      <c r="K79" s="442" t="s">
        <v>5</v>
      </c>
      <c r="L79" s="442" t="s">
        <v>5</v>
      </c>
      <c r="M79" s="442" t="s">
        <v>5</v>
      </c>
      <c r="N79" s="441" t="s">
        <v>5</v>
      </c>
      <c r="O79" s="672"/>
      <c r="P79" s="673"/>
      <c r="Q79" s="673"/>
      <c r="R79" s="673"/>
      <c r="S79" s="672"/>
      <c r="T79" s="673"/>
      <c r="U79" s="673"/>
      <c r="V79" s="674"/>
      <c r="W79" s="443"/>
      <c r="X79" s="443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BC79" s="536"/>
      <c r="BD79" s="429" t="str">
        <f>"0.7*IEF " &amp; B93</f>
        <v>0.7*IEF Drive Mode 6</v>
      </c>
      <c r="BE79" s="435">
        <f t="shared" ref="BE79:BJ79" si="106">IF(OR($C95="-",$C95="CET",$C95=""),"-",0.7*$C95)</f>
        <v>0.7</v>
      </c>
      <c r="BF79" s="435">
        <f t="shared" si="106"/>
        <v>0.7</v>
      </c>
      <c r="BG79" s="435">
        <f t="shared" si="106"/>
        <v>0.7</v>
      </c>
      <c r="BH79" s="435">
        <f t="shared" si="106"/>
        <v>0.7</v>
      </c>
      <c r="BI79" s="435">
        <f t="shared" si="106"/>
        <v>0.7</v>
      </c>
      <c r="BJ79" s="435">
        <f t="shared" si="106"/>
        <v>0.7</v>
      </c>
      <c r="BK79" s="435">
        <f t="shared" ref="BK79:BL79" si="107">IF(OR($C95="-",$C95="CET",$C95=""),"-",0.7*$C95)</f>
        <v>0.7</v>
      </c>
      <c r="BL79" s="435">
        <f t="shared" si="107"/>
        <v>0.7</v>
      </c>
    </row>
    <row r="80" spans="1:64" ht="15" customHeight="1" outlineLevel="1" thickBot="1" x14ac:dyDescent="0.3">
      <c r="A80" s="404"/>
      <c r="B80" s="711"/>
      <c r="C80" s="686">
        <v>1</v>
      </c>
      <c r="D80" s="689" t="str">
        <f>IF(AND(F80="-",G80="-",H80="-",I80="-",J80="-",K80="-",L80="-",M80="-"),"-",MAX(F80,G80,H80,I80,J80,K80,L80,M80))</f>
        <v>-</v>
      </c>
      <c r="E80" s="444" t="s">
        <v>177</v>
      </c>
      <c r="F80" s="445" t="str">
        <f t="shared" ref="F80:K80" si="108">IF(OR(F79="-",F79=""),IF(OR(F78="-",F78=""),"-",F78),IF(OR(F78="-",F78=""),F79,(F78+F79)/2))</f>
        <v>-</v>
      </c>
      <c r="G80" s="445" t="str">
        <f t="shared" si="108"/>
        <v>-</v>
      </c>
      <c r="H80" s="445" t="str">
        <f t="shared" si="108"/>
        <v>-</v>
      </c>
      <c r="I80" s="445" t="str">
        <f t="shared" si="108"/>
        <v>-</v>
      </c>
      <c r="J80" s="445" t="str">
        <f t="shared" si="108"/>
        <v>-</v>
      </c>
      <c r="K80" s="446" t="str">
        <f t="shared" si="108"/>
        <v>-</v>
      </c>
      <c r="L80" s="446" t="str">
        <f t="shared" ref="L80:M80" si="109">IF(OR(L79="-",L79=""),IF(OR(L78="-",L78=""),"-",L78),IF(OR(L78="-",L78=""),L79,(L78+L79)/2))</f>
        <v>-</v>
      </c>
      <c r="M80" s="446" t="str">
        <f t="shared" si="109"/>
        <v>-</v>
      </c>
      <c r="N80" s="828"/>
      <c r="O80" s="672"/>
      <c r="P80" s="673"/>
      <c r="Q80" s="673"/>
      <c r="R80" s="673"/>
      <c r="S80" s="672"/>
      <c r="T80" s="673"/>
      <c r="U80" s="673"/>
      <c r="V80" s="674"/>
      <c r="W80" s="512"/>
      <c r="X80" s="512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BC80" s="536"/>
      <c r="BD80" s="429" t="str">
        <f>$B68</f>
        <v>Drive Mode 1</v>
      </c>
      <c r="BE80" s="435" t="str">
        <f t="shared" ref="BE80:BJ80" si="110">F71</f>
        <v>-</v>
      </c>
      <c r="BF80" s="435" t="str">
        <f t="shared" si="110"/>
        <v>-</v>
      </c>
      <c r="BG80" s="435" t="str">
        <f t="shared" si="110"/>
        <v>-</v>
      </c>
      <c r="BH80" s="435" t="str">
        <f t="shared" si="110"/>
        <v>-</v>
      </c>
      <c r="BI80" s="435" t="str">
        <f t="shared" si="110"/>
        <v>-</v>
      </c>
      <c r="BJ80" s="435" t="str">
        <f t="shared" si="110"/>
        <v>-</v>
      </c>
      <c r="BK80" s="435" t="str">
        <f t="shared" ref="BK80:BL80" si="111">L71</f>
        <v>-</v>
      </c>
      <c r="BL80" s="435" t="str">
        <f t="shared" si="111"/>
        <v>-</v>
      </c>
    </row>
    <row r="81" spans="1:64" ht="15" customHeight="1" outlineLevel="1" thickBot="1" x14ac:dyDescent="0.3">
      <c r="A81" s="404"/>
      <c r="B81" s="711"/>
      <c r="C81" s="687"/>
      <c r="D81" s="690"/>
      <c r="E81" s="447" t="s">
        <v>97</v>
      </c>
      <c r="F81" s="448" t="str">
        <f t="shared" ref="F81:K81" si="112">IF(OR($C80="-",$C80="CET",$C80=""),"-",IF(AND(NOT(F80="-"),NOT(F$5="-"),NOT(F$5="")),F80/F$5,"-"))</f>
        <v>-</v>
      </c>
      <c r="G81" s="448" t="str">
        <f t="shared" si="112"/>
        <v>-</v>
      </c>
      <c r="H81" s="448" t="str">
        <f t="shared" si="112"/>
        <v>-</v>
      </c>
      <c r="I81" s="448" t="str">
        <f t="shared" si="112"/>
        <v>-</v>
      </c>
      <c r="J81" s="448" t="str">
        <f t="shared" si="112"/>
        <v>-</v>
      </c>
      <c r="K81" s="449" t="str">
        <f t="shared" si="112"/>
        <v>-</v>
      </c>
      <c r="L81" s="449" t="str">
        <f t="shared" ref="L81:M81" si="113">IF(OR($C80="-",$C80="CET",$C80=""),"-",IF(AND(NOT(L80="-"),NOT(L$5="-"),NOT(L$5="")),L80/L$5,"-"))</f>
        <v>-</v>
      </c>
      <c r="M81" s="449" t="str">
        <f t="shared" si="113"/>
        <v>-</v>
      </c>
      <c r="N81" s="702"/>
      <c r="O81" s="672"/>
      <c r="P81" s="673"/>
      <c r="Q81" s="673"/>
      <c r="R81" s="673"/>
      <c r="S81" s="672"/>
      <c r="T81" s="673"/>
      <c r="U81" s="673"/>
      <c r="V81" s="674"/>
      <c r="W81" s="512"/>
      <c r="X81" s="512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BC81" s="536"/>
      <c r="BD81" s="429" t="str">
        <f>$B73</f>
        <v>Drive Mode 2</v>
      </c>
      <c r="BE81" s="435" t="str">
        <f t="shared" ref="BE81:BJ81" si="114">F76</f>
        <v>-</v>
      </c>
      <c r="BF81" s="435" t="str">
        <f t="shared" si="114"/>
        <v>-</v>
      </c>
      <c r="BG81" s="435" t="str">
        <f t="shared" si="114"/>
        <v>-</v>
      </c>
      <c r="BH81" s="435" t="str">
        <f t="shared" si="114"/>
        <v>-</v>
      </c>
      <c r="BI81" s="435" t="str">
        <f t="shared" si="114"/>
        <v>-</v>
      </c>
      <c r="BJ81" s="435" t="str">
        <f t="shared" si="114"/>
        <v>-</v>
      </c>
      <c r="BK81" s="435" t="str">
        <f t="shared" ref="BK81:BL81" si="115">L76</f>
        <v>-</v>
      </c>
      <c r="BL81" s="435" t="str">
        <f t="shared" si="115"/>
        <v>-</v>
      </c>
    </row>
    <row r="82" spans="1:64" ht="15" customHeight="1" outlineLevel="1" thickBot="1" x14ac:dyDescent="0.3">
      <c r="A82" s="404"/>
      <c r="B82" s="712"/>
      <c r="C82" s="688"/>
      <c r="D82" s="691"/>
      <c r="E82" s="451" t="s">
        <v>30</v>
      </c>
      <c r="F82" s="451" t="str">
        <f t="shared" ref="F82:K82" si="116">IF(AND(OR(F78="-",F78=""),OR(F79="-",F79="")),"-",IF(OR($C80="-",$C80="",$C80="CET"),"-",IF($R$64="not listed","-",IF(NOT(F$5="-"),IF(AND(AND(NOT(F78=0),NOT(F78="-"),NOT(F78="")),AND(NOT(F79="-"),NOT(F79=0),NOT(F79=""))),IF(AND((F78+F79)/2&lt;1*F$5*IF(OR($C80="CET",$C80="-",$C80=""),"-",$C80),F78&lt;1.1*F$5*IF(OR($C80="CET",$C80="-",$C80=""),"-",$C80),F79&lt;1.1*F$5*IF(OR($C80="CET",$C80="-",$C80=""),"-",$C80)),"passed","refused"),IF(IF(OR(F78="-",F78=""),F79,F78)&lt;0.7*F$5*IF(OR($C80="CET",$C80="-",$C80=""),"-",$C80),"passed",IF(IF(OR(F78="-",F78=""),F79,F78)&lt;1.1*IF(OR($C80="CET",$C80="-",$C80=""),"-",$C80)*F$5,"failed","refused"))),"-"))))</f>
        <v>-</v>
      </c>
      <c r="G82" s="451" t="str">
        <f t="shared" si="116"/>
        <v>-</v>
      </c>
      <c r="H82" s="451" t="str">
        <f t="shared" si="116"/>
        <v>-</v>
      </c>
      <c r="I82" s="451" t="str">
        <f t="shared" si="116"/>
        <v>-</v>
      </c>
      <c r="J82" s="451" t="str">
        <f t="shared" si="116"/>
        <v>-</v>
      </c>
      <c r="K82" s="452" t="str">
        <f t="shared" si="116"/>
        <v>-</v>
      </c>
      <c r="L82" s="452" t="str">
        <f t="shared" ref="L82:M82" si="117">IF(AND(OR(L78="-",L78=""),OR(L79="-",L79="")),"-",IF(OR($C80="-",$C80="",$C80="CET"),"-",IF($R$64="not listed","-",IF(NOT(L$5="-"),IF(AND(AND(NOT(L78=0),NOT(L78="-"),NOT(L78="")),AND(NOT(L79="-"),NOT(L79=0),NOT(L79=""))),IF(AND((L78+L79)/2&lt;1*L$5*IF(OR($C80="CET",$C80="-",$C80=""),"-",$C80),L78&lt;1.1*L$5*IF(OR($C80="CET",$C80="-",$C80=""),"-",$C80),L79&lt;1.1*L$5*IF(OR($C80="CET",$C80="-",$C80=""),"-",$C80)),"passed","refused"),IF(IF(OR(L78="-",L78=""),L79,L78)&lt;0.7*L$5*IF(OR($C80="CET",$C80="-",$C80=""),"-",$C80),"passed",IF(IF(OR(L78="-",L78=""),L79,L78)&lt;1.1*IF(OR($C80="CET",$C80="-",$C80=""),"-",$C80)*L$5,"failed","refused"))),"-"))))</f>
        <v>-</v>
      </c>
      <c r="M82" s="452" t="str">
        <f t="shared" si="117"/>
        <v>-</v>
      </c>
      <c r="N82" s="685"/>
      <c r="O82" s="672"/>
      <c r="P82" s="673"/>
      <c r="Q82" s="673"/>
      <c r="R82" s="673"/>
      <c r="S82" s="672"/>
      <c r="T82" s="673"/>
      <c r="U82" s="673"/>
      <c r="V82" s="674"/>
      <c r="W82" s="512"/>
      <c r="X82" s="512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BC82" s="399" t="str">
        <f>IF(COUNTIF(F82:M82,"refused")&gt;0,"refused",IF(COUNTIF(F82:M82,"failed")&gt;0,"failed",IF(COUNTIF(F82:M82,"passed")&gt;0,"passed","-")))</f>
        <v>-</v>
      </c>
      <c r="BD82" s="429" t="str">
        <f>$B78</f>
        <v>Drive Mode 3</v>
      </c>
      <c r="BE82" s="435" t="str">
        <f t="shared" ref="BE82:BJ82" si="118">F81</f>
        <v>-</v>
      </c>
      <c r="BF82" s="435" t="str">
        <f t="shared" si="118"/>
        <v>-</v>
      </c>
      <c r="BG82" s="435" t="str">
        <f t="shared" si="118"/>
        <v>-</v>
      </c>
      <c r="BH82" s="435" t="str">
        <f t="shared" si="118"/>
        <v>-</v>
      </c>
      <c r="BI82" s="435" t="str">
        <f t="shared" si="118"/>
        <v>-</v>
      </c>
      <c r="BJ82" s="435" t="str">
        <f t="shared" si="118"/>
        <v>-</v>
      </c>
      <c r="BK82" s="435" t="str">
        <f t="shared" ref="BK82:BL82" si="119">L81</f>
        <v>-</v>
      </c>
      <c r="BL82" s="435" t="str">
        <f t="shared" si="119"/>
        <v>-</v>
      </c>
    </row>
    <row r="83" spans="1:64" ht="15" customHeight="1" outlineLevel="1" x14ac:dyDescent="0.25">
      <c r="A83" s="404"/>
      <c r="B83" s="842" t="s">
        <v>122</v>
      </c>
      <c r="C83" s="684" t="s">
        <v>114</v>
      </c>
      <c r="D83" s="684" t="s">
        <v>113</v>
      </c>
      <c r="E83" s="453" t="s">
        <v>94</v>
      </c>
      <c r="F83" s="437" t="s">
        <v>5</v>
      </c>
      <c r="G83" s="437" t="s">
        <v>5</v>
      </c>
      <c r="H83" s="437" t="s">
        <v>5</v>
      </c>
      <c r="I83" s="437" t="s">
        <v>5</v>
      </c>
      <c r="J83" s="437" t="s">
        <v>5</v>
      </c>
      <c r="K83" s="438" t="s">
        <v>5</v>
      </c>
      <c r="L83" s="438" t="s">
        <v>5</v>
      </c>
      <c r="M83" s="438" t="s">
        <v>5</v>
      </c>
      <c r="N83" s="437" t="s">
        <v>5</v>
      </c>
      <c r="O83" s="672"/>
      <c r="P83" s="673"/>
      <c r="Q83" s="673"/>
      <c r="R83" s="673"/>
      <c r="S83" s="672"/>
      <c r="T83" s="673"/>
      <c r="U83" s="673"/>
      <c r="V83" s="674"/>
      <c r="W83" s="512"/>
      <c r="X83" s="512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536"/>
      <c r="BD83" s="429" t="str">
        <f>$B83</f>
        <v>Drive Mode 4</v>
      </c>
      <c r="BE83" s="435" t="str">
        <f t="shared" ref="BE83:BJ83" si="120">F86</f>
        <v>-</v>
      </c>
      <c r="BF83" s="435" t="str">
        <f t="shared" si="120"/>
        <v>-</v>
      </c>
      <c r="BG83" s="435" t="str">
        <f t="shared" si="120"/>
        <v>-</v>
      </c>
      <c r="BH83" s="435" t="str">
        <f t="shared" si="120"/>
        <v>-</v>
      </c>
      <c r="BI83" s="435" t="str">
        <f t="shared" si="120"/>
        <v>-</v>
      </c>
      <c r="BJ83" s="435" t="str">
        <f t="shared" si="120"/>
        <v>-</v>
      </c>
      <c r="BK83" s="435" t="str">
        <f t="shared" ref="BK83:BL83" si="121">L86</f>
        <v>-</v>
      </c>
      <c r="BL83" s="435" t="str">
        <f t="shared" si="121"/>
        <v>-</v>
      </c>
    </row>
    <row r="84" spans="1:64" s="405" customFormat="1" ht="15" customHeight="1" outlineLevel="1" thickBot="1" x14ac:dyDescent="0.3">
      <c r="A84" s="454"/>
      <c r="B84" s="711"/>
      <c r="C84" s="702"/>
      <c r="D84" s="685"/>
      <c r="E84" s="440" t="s">
        <v>95</v>
      </c>
      <c r="F84" s="441" t="s">
        <v>5</v>
      </c>
      <c r="G84" s="441" t="s">
        <v>5</v>
      </c>
      <c r="H84" s="441" t="s">
        <v>5</v>
      </c>
      <c r="I84" s="441" t="s">
        <v>5</v>
      </c>
      <c r="J84" s="441" t="s">
        <v>5</v>
      </c>
      <c r="K84" s="442" t="s">
        <v>5</v>
      </c>
      <c r="L84" s="442" t="s">
        <v>5</v>
      </c>
      <c r="M84" s="442" t="s">
        <v>5</v>
      </c>
      <c r="N84" s="441" t="s">
        <v>5</v>
      </c>
      <c r="O84" s="672"/>
      <c r="P84" s="673"/>
      <c r="Q84" s="673"/>
      <c r="R84" s="673"/>
      <c r="S84" s="672"/>
      <c r="T84" s="673"/>
      <c r="U84" s="673"/>
      <c r="V84" s="674"/>
      <c r="W84" s="443"/>
      <c r="X84" s="443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BC84" s="536"/>
      <c r="BD84" s="429" t="str">
        <f>$B88</f>
        <v>Drive Mode 5</v>
      </c>
      <c r="BE84" s="435" t="str">
        <f t="shared" ref="BE84:BJ84" si="122">F91</f>
        <v>-</v>
      </c>
      <c r="BF84" s="435" t="str">
        <f t="shared" si="122"/>
        <v>-</v>
      </c>
      <c r="BG84" s="435" t="str">
        <f t="shared" si="122"/>
        <v>-</v>
      </c>
      <c r="BH84" s="435" t="str">
        <f t="shared" si="122"/>
        <v>-</v>
      </c>
      <c r="BI84" s="435" t="str">
        <f t="shared" si="122"/>
        <v>-</v>
      </c>
      <c r="BJ84" s="435" t="str">
        <f t="shared" si="122"/>
        <v>-</v>
      </c>
      <c r="BK84" s="435" t="str">
        <f t="shared" ref="BK84:BL84" si="123">L91</f>
        <v>-</v>
      </c>
      <c r="BL84" s="435" t="str">
        <f t="shared" si="123"/>
        <v>-</v>
      </c>
    </row>
    <row r="85" spans="1:64" ht="15" customHeight="1" outlineLevel="1" thickBot="1" x14ac:dyDescent="0.3">
      <c r="A85" s="404"/>
      <c r="B85" s="711"/>
      <c r="C85" s="686">
        <v>1</v>
      </c>
      <c r="D85" s="689" t="str">
        <f>IF(AND(F85="-",G85="-",H85="-",I85="-",J85="-",K85="-",L85="-",M85="-"),"-",MAX(F85,G85,H85,I85,J85,K85,L85,M85))</f>
        <v>-</v>
      </c>
      <c r="E85" s="444" t="s">
        <v>177</v>
      </c>
      <c r="F85" s="445" t="str">
        <f t="shared" ref="F85:K85" si="124">IF(OR(F84="-",F84=""),IF(OR(F83="-",F83=""),"-",F83),IF(OR(F83="-",F83=""),F84,(F83+F84)/2))</f>
        <v>-</v>
      </c>
      <c r="G85" s="445" t="str">
        <f t="shared" si="124"/>
        <v>-</v>
      </c>
      <c r="H85" s="445" t="str">
        <f t="shared" si="124"/>
        <v>-</v>
      </c>
      <c r="I85" s="445" t="str">
        <f t="shared" si="124"/>
        <v>-</v>
      </c>
      <c r="J85" s="445" t="str">
        <f t="shared" si="124"/>
        <v>-</v>
      </c>
      <c r="K85" s="446" t="str">
        <f t="shared" si="124"/>
        <v>-</v>
      </c>
      <c r="L85" s="446" t="str">
        <f t="shared" ref="L85:M85" si="125">IF(OR(L84="-",L84=""),IF(OR(L83="-",L83=""),"-",L83),IF(OR(L83="-",L83=""),L84,(L83+L84)/2))</f>
        <v>-</v>
      </c>
      <c r="M85" s="446" t="str">
        <f t="shared" si="125"/>
        <v>-</v>
      </c>
      <c r="N85" s="828"/>
      <c r="O85" s="672"/>
      <c r="P85" s="673"/>
      <c r="Q85" s="673"/>
      <c r="R85" s="673"/>
      <c r="S85" s="672"/>
      <c r="T85" s="673"/>
      <c r="U85" s="673"/>
      <c r="V85" s="674"/>
      <c r="W85" s="512"/>
      <c r="X85" s="512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BC85" s="536"/>
      <c r="BD85" s="429" t="str">
        <f>$B93</f>
        <v>Drive Mode 6</v>
      </c>
      <c r="BE85" s="435" t="str">
        <f t="shared" ref="BE85:BJ85" si="126">F96</f>
        <v>-</v>
      </c>
      <c r="BF85" s="435" t="str">
        <f t="shared" si="126"/>
        <v>-</v>
      </c>
      <c r="BG85" s="435" t="str">
        <f t="shared" si="126"/>
        <v>-</v>
      </c>
      <c r="BH85" s="435" t="str">
        <f t="shared" si="126"/>
        <v>-</v>
      </c>
      <c r="BI85" s="435" t="str">
        <f t="shared" si="126"/>
        <v>-</v>
      </c>
      <c r="BJ85" s="435" t="str">
        <f t="shared" si="126"/>
        <v>-</v>
      </c>
      <c r="BK85" s="435" t="str">
        <f t="shared" ref="BK85:BL85" si="127">L96</f>
        <v>-</v>
      </c>
      <c r="BL85" s="435" t="str">
        <f t="shared" si="127"/>
        <v>-</v>
      </c>
    </row>
    <row r="86" spans="1:64" ht="15" customHeight="1" outlineLevel="1" thickBot="1" x14ac:dyDescent="0.3">
      <c r="A86" s="404"/>
      <c r="B86" s="711"/>
      <c r="C86" s="687"/>
      <c r="D86" s="690"/>
      <c r="E86" s="447" t="s">
        <v>97</v>
      </c>
      <c r="F86" s="448" t="str">
        <f t="shared" ref="F86:K86" si="128">IF(OR($C85="-",$C85="CET",$C85=""),"-",IF(AND(NOT(F85="-"),NOT(F$5="-"),NOT(F$5="")),F85/F$5,"-"))</f>
        <v>-</v>
      </c>
      <c r="G86" s="448" t="str">
        <f t="shared" si="128"/>
        <v>-</v>
      </c>
      <c r="H86" s="448" t="str">
        <f t="shared" si="128"/>
        <v>-</v>
      </c>
      <c r="I86" s="448" t="str">
        <f t="shared" si="128"/>
        <v>-</v>
      </c>
      <c r="J86" s="448" t="str">
        <f t="shared" si="128"/>
        <v>-</v>
      </c>
      <c r="K86" s="449" t="str">
        <f t="shared" si="128"/>
        <v>-</v>
      </c>
      <c r="L86" s="449" t="str">
        <f t="shared" ref="L86:M86" si="129">IF(OR($C85="-",$C85="CET",$C85=""),"-",IF(AND(NOT(L85="-"),NOT(L$5="-"),NOT(L$5="")),L85/L$5,"-"))</f>
        <v>-</v>
      </c>
      <c r="M86" s="449" t="str">
        <f t="shared" si="129"/>
        <v>-</v>
      </c>
      <c r="N86" s="702"/>
      <c r="O86" s="672"/>
      <c r="P86" s="673"/>
      <c r="Q86" s="673"/>
      <c r="R86" s="673"/>
      <c r="S86" s="672"/>
      <c r="T86" s="673"/>
      <c r="U86" s="673"/>
      <c r="V86" s="674"/>
      <c r="W86" s="512"/>
      <c r="X86" s="512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BC86" s="536"/>
      <c r="BD86" s="429" t="str">
        <f>"IEF " &amp;B68</f>
        <v>IEF Drive Mode 1</v>
      </c>
      <c r="BE86" s="435">
        <f t="shared" ref="BE86:BJ86" si="130">IF(OR($C70="CET",$C70="-",$C70=""),"-",$C70)</f>
        <v>1</v>
      </c>
      <c r="BF86" s="435">
        <f t="shared" si="130"/>
        <v>1</v>
      </c>
      <c r="BG86" s="435">
        <f t="shared" si="130"/>
        <v>1</v>
      </c>
      <c r="BH86" s="435">
        <f t="shared" si="130"/>
        <v>1</v>
      </c>
      <c r="BI86" s="435">
        <f t="shared" si="130"/>
        <v>1</v>
      </c>
      <c r="BJ86" s="435">
        <f t="shared" si="130"/>
        <v>1</v>
      </c>
      <c r="BK86" s="435">
        <f t="shared" ref="BK86:BL86" si="131">IF(OR($C70="CET",$C70="-",$C70=""),"-",$C70)</f>
        <v>1</v>
      </c>
      <c r="BL86" s="435">
        <f t="shared" si="131"/>
        <v>1</v>
      </c>
    </row>
    <row r="87" spans="1:64" ht="15" customHeight="1" outlineLevel="1" thickBot="1" x14ac:dyDescent="0.3">
      <c r="A87" s="404"/>
      <c r="B87" s="712"/>
      <c r="C87" s="688"/>
      <c r="D87" s="691"/>
      <c r="E87" s="451" t="s">
        <v>30</v>
      </c>
      <c r="F87" s="451" t="str">
        <f t="shared" ref="F87:K87" si="132">IF(AND(OR(F83="-",F83=""),OR(F84="-",F84="")),"-",IF(OR($C85="-",$C85="",$C85="CET"),"-",IF($R$64="not listed","-",IF(NOT(F$5="-"),IF(AND(AND(NOT(F83=0),NOT(F83="-"),NOT(F83="")),AND(NOT(F84="-"),NOT(F84=0),NOT(F84=""))),IF(AND((F83+F84)/2&lt;1*F$5*IF(OR($C85="CET",$C85="-",$C85=""),"-",$C85),F83&lt;1.1*F$5*IF(OR($C85="CET",$C85="-",$C85=""),"-",$C85),F84&lt;1.1*F$5*IF(OR($C85="CET",$C85="-",$C85=""),"-",$C85)),"passed","refused"),IF(IF(OR(F83="-",F83=""),F84,F83)&lt;0.7*F$5*IF(OR($C85="CET",$C85="-",$C85=""),"-",$C85),"passed",IF(IF(OR(F83="-",F83=""),F84,F83)&lt;1.1*IF(OR($C85="CET",$C85="-",$C85=""),"-",$C85)*F$5,"failed","refused"))),"-"))))</f>
        <v>-</v>
      </c>
      <c r="G87" s="451" t="str">
        <f t="shared" si="132"/>
        <v>-</v>
      </c>
      <c r="H87" s="451" t="str">
        <f t="shared" si="132"/>
        <v>-</v>
      </c>
      <c r="I87" s="451" t="str">
        <f t="shared" si="132"/>
        <v>-</v>
      </c>
      <c r="J87" s="451" t="str">
        <f t="shared" si="132"/>
        <v>-</v>
      </c>
      <c r="K87" s="452" t="str">
        <f t="shared" si="132"/>
        <v>-</v>
      </c>
      <c r="L87" s="452" t="str">
        <f t="shared" ref="L87:M87" si="133">IF(AND(OR(L83="-",L83=""),OR(L84="-",L84="")),"-",IF(OR($C85="-",$C85="",$C85="CET"),"-",IF($R$64="not listed","-",IF(NOT(L$5="-"),IF(AND(AND(NOT(L83=0),NOT(L83="-"),NOT(L83="")),AND(NOT(L84="-"),NOT(L84=0),NOT(L84=""))),IF(AND((L83+L84)/2&lt;1*L$5*IF(OR($C85="CET",$C85="-",$C85=""),"-",$C85),L83&lt;1.1*L$5*IF(OR($C85="CET",$C85="-",$C85=""),"-",$C85),L84&lt;1.1*L$5*IF(OR($C85="CET",$C85="-",$C85=""),"-",$C85)),"passed","refused"),IF(IF(OR(L83="-",L83=""),L84,L83)&lt;0.7*L$5*IF(OR($C85="CET",$C85="-",$C85=""),"-",$C85),"passed",IF(IF(OR(L83="-",L83=""),L84,L83)&lt;1.1*IF(OR($C85="CET",$C85="-",$C85=""),"-",$C85)*L$5,"failed","refused"))),"-"))))</f>
        <v>-</v>
      </c>
      <c r="M87" s="452" t="str">
        <f t="shared" si="133"/>
        <v>-</v>
      </c>
      <c r="N87" s="685"/>
      <c r="O87" s="672"/>
      <c r="P87" s="673"/>
      <c r="Q87" s="673"/>
      <c r="R87" s="673"/>
      <c r="S87" s="672"/>
      <c r="T87" s="673"/>
      <c r="U87" s="673"/>
      <c r="V87" s="674"/>
      <c r="W87" s="512"/>
      <c r="X87" s="512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BC87" s="399" t="str">
        <f>IF(COUNTIF(F87:M87,"refused")&gt;0,"refused",IF(COUNTIF(F87:M87,"failed")&gt;0,"failed",IF(COUNTIF(F87:M87,"passed")&gt;0,"passed","-")))</f>
        <v>-</v>
      </c>
      <c r="BD87" s="429" t="str">
        <f>"IEF " &amp; B73</f>
        <v>IEF Drive Mode 2</v>
      </c>
      <c r="BE87" s="435">
        <f t="shared" ref="BE87:BJ87" si="134">IF(OR($C75="CET",$C75="-",$C75=""),"-",$C75)</f>
        <v>1</v>
      </c>
      <c r="BF87" s="435">
        <f t="shared" si="134"/>
        <v>1</v>
      </c>
      <c r="BG87" s="435">
        <f t="shared" si="134"/>
        <v>1</v>
      </c>
      <c r="BH87" s="435">
        <f t="shared" si="134"/>
        <v>1</v>
      </c>
      <c r="BI87" s="435">
        <f t="shared" si="134"/>
        <v>1</v>
      </c>
      <c r="BJ87" s="435">
        <f t="shared" si="134"/>
        <v>1</v>
      </c>
      <c r="BK87" s="435">
        <f t="shared" ref="BK87:BL87" si="135">IF(OR($C75="CET",$C75="-",$C75=""),"-",$C75)</f>
        <v>1</v>
      </c>
      <c r="BL87" s="435">
        <f t="shared" si="135"/>
        <v>1</v>
      </c>
    </row>
    <row r="88" spans="1:64" ht="15" customHeight="1" outlineLevel="1" x14ac:dyDescent="0.25">
      <c r="A88" s="404"/>
      <c r="B88" s="710" t="s">
        <v>121</v>
      </c>
      <c r="C88" s="684" t="s">
        <v>114</v>
      </c>
      <c r="D88" s="684" t="s">
        <v>113</v>
      </c>
      <c r="E88" s="453" t="s">
        <v>94</v>
      </c>
      <c r="F88" s="437" t="s">
        <v>5</v>
      </c>
      <c r="G88" s="437" t="s">
        <v>5</v>
      </c>
      <c r="H88" s="437" t="s">
        <v>5</v>
      </c>
      <c r="I88" s="437" t="s">
        <v>5</v>
      </c>
      <c r="J88" s="437" t="s">
        <v>5</v>
      </c>
      <c r="K88" s="438" t="s">
        <v>5</v>
      </c>
      <c r="L88" s="438" t="s">
        <v>5</v>
      </c>
      <c r="M88" s="438" t="s">
        <v>5</v>
      </c>
      <c r="N88" s="437" t="s">
        <v>5</v>
      </c>
      <c r="O88" s="672"/>
      <c r="P88" s="673"/>
      <c r="Q88" s="673"/>
      <c r="R88" s="673"/>
      <c r="S88" s="672"/>
      <c r="T88" s="673"/>
      <c r="U88" s="673"/>
      <c r="V88" s="674"/>
      <c r="W88" s="512"/>
      <c r="X88" s="512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536"/>
      <c r="BD88" s="429" t="str">
        <f>"IEF " &amp; B78</f>
        <v>IEF Drive Mode 3</v>
      </c>
      <c r="BE88" s="435">
        <f t="shared" ref="BE88:BJ88" si="136">IF(OR($C80="CET",$C80="-",$C80=""),"-",$C80)</f>
        <v>1</v>
      </c>
      <c r="BF88" s="435">
        <f t="shared" si="136"/>
        <v>1</v>
      </c>
      <c r="BG88" s="435">
        <f t="shared" si="136"/>
        <v>1</v>
      </c>
      <c r="BH88" s="435">
        <f t="shared" si="136"/>
        <v>1</v>
      </c>
      <c r="BI88" s="435">
        <f t="shared" si="136"/>
        <v>1</v>
      </c>
      <c r="BJ88" s="435">
        <f t="shared" si="136"/>
        <v>1</v>
      </c>
      <c r="BK88" s="435">
        <f t="shared" ref="BK88:BL88" si="137">IF(OR($C80="CET",$C80="-",$C80=""),"-",$C80)</f>
        <v>1</v>
      </c>
      <c r="BL88" s="435">
        <f t="shared" si="137"/>
        <v>1</v>
      </c>
    </row>
    <row r="89" spans="1:64" s="405" customFormat="1" ht="15" customHeight="1" outlineLevel="1" thickBot="1" x14ac:dyDescent="0.3">
      <c r="A89" s="454"/>
      <c r="B89" s="711"/>
      <c r="C89" s="702"/>
      <c r="D89" s="685"/>
      <c r="E89" s="440" t="s">
        <v>95</v>
      </c>
      <c r="F89" s="441" t="s">
        <v>5</v>
      </c>
      <c r="G89" s="441" t="s">
        <v>5</v>
      </c>
      <c r="H89" s="441" t="s">
        <v>5</v>
      </c>
      <c r="I89" s="441" t="s">
        <v>5</v>
      </c>
      <c r="J89" s="441" t="s">
        <v>5</v>
      </c>
      <c r="K89" s="442" t="s">
        <v>5</v>
      </c>
      <c r="L89" s="442" t="s">
        <v>5</v>
      </c>
      <c r="M89" s="442" t="s">
        <v>5</v>
      </c>
      <c r="N89" s="441" t="s">
        <v>5</v>
      </c>
      <c r="O89" s="672"/>
      <c r="P89" s="673"/>
      <c r="Q89" s="673"/>
      <c r="R89" s="673"/>
      <c r="S89" s="672"/>
      <c r="T89" s="673"/>
      <c r="U89" s="673"/>
      <c r="V89" s="674"/>
      <c r="W89" s="443"/>
      <c r="X89" s="443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BC89" s="536"/>
      <c r="BD89" s="429" t="str">
        <f>"IEF " &amp; B83</f>
        <v>IEF Drive Mode 4</v>
      </c>
      <c r="BE89" s="435">
        <f t="shared" ref="BE89:BJ89" si="138">IF(OR($C85="CET",$C85="-",$C85=""),"-",$C85)</f>
        <v>1</v>
      </c>
      <c r="BF89" s="435">
        <f t="shared" si="138"/>
        <v>1</v>
      </c>
      <c r="BG89" s="435">
        <f t="shared" si="138"/>
        <v>1</v>
      </c>
      <c r="BH89" s="435">
        <f t="shared" si="138"/>
        <v>1</v>
      </c>
      <c r="BI89" s="435">
        <f t="shared" si="138"/>
        <v>1</v>
      </c>
      <c r="BJ89" s="435">
        <f t="shared" si="138"/>
        <v>1</v>
      </c>
      <c r="BK89" s="435">
        <f t="shared" ref="BK89:BL89" si="139">IF(OR($C85="CET",$C85="-",$C85=""),"-",$C85)</f>
        <v>1</v>
      </c>
      <c r="BL89" s="435">
        <f t="shared" si="139"/>
        <v>1</v>
      </c>
    </row>
    <row r="90" spans="1:64" ht="15" customHeight="1" outlineLevel="1" thickBot="1" x14ac:dyDescent="0.3">
      <c r="A90" s="404"/>
      <c r="B90" s="711"/>
      <c r="C90" s="686">
        <v>1</v>
      </c>
      <c r="D90" s="689" t="str">
        <f>IF(AND(F90="-",G90="-",H90="-",I90="-",J90="-",K90="-",L90="-",M90="-"),"-",MAX(F90,G90,H90,I90,J90,K90,L90,M90))</f>
        <v>-</v>
      </c>
      <c r="E90" s="444" t="s">
        <v>177</v>
      </c>
      <c r="F90" s="445" t="str">
        <f t="shared" ref="F90:K90" si="140">IF(OR(F89="-",F89=""),IF(OR(F88="-",F88=""),"-",F88),IF(OR(F88="-",F88=""),F89,(F88+F89)/2))</f>
        <v>-</v>
      </c>
      <c r="G90" s="445" t="str">
        <f t="shared" si="140"/>
        <v>-</v>
      </c>
      <c r="H90" s="445" t="str">
        <f t="shared" si="140"/>
        <v>-</v>
      </c>
      <c r="I90" s="445" t="str">
        <f t="shared" si="140"/>
        <v>-</v>
      </c>
      <c r="J90" s="445" t="str">
        <f t="shared" si="140"/>
        <v>-</v>
      </c>
      <c r="K90" s="446" t="str">
        <f t="shared" si="140"/>
        <v>-</v>
      </c>
      <c r="L90" s="446" t="str">
        <f t="shared" ref="L90:M90" si="141">IF(OR(L89="-",L89=""),IF(OR(L88="-",L88=""),"-",L88),IF(OR(L88="-",L88=""),L89,(L88+L89)/2))</f>
        <v>-</v>
      </c>
      <c r="M90" s="446" t="str">
        <f t="shared" si="141"/>
        <v>-</v>
      </c>
      <c r="N90" s="828"/>
      <c r="O90" s="672"/>
      <c r="P90" s="673"/>
      <c r="Q90" s="673"/>
      <c r="R90" s="673"/>
      <c r="S90" s="672"/>
      <c r="T90" s="673"/>
      <c r="U90" s="673"/>
      <c r="V90" s="674"/>
      <c r="W90" s="512"/>
      <c r="X90" s="512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BC90" s="536"/>
      <c r="BD90" s="429" t="str">
        <f>"IEF " &amp; B88</f>
        <v>IEF Drive Mode 5</v>
      </c>
      <c r="BE90" s="435">
        <f t="shared" ref="BE90:BL90" si="142">IF(OR($C90="CET",$C90="-",$C90=""),"-",$C90)</f>
        <v>1</v>
      </c>
      <c r="BF90" s="435">
        <f t="shared" si="142"/>
        <v>1</v>
      </c>
      <c r="BG90" s="435">
        <f t="shared" si="142"/>
        <v>1</v>
      </c>
      <c r="BH90" s="435">
        <f t="shared" si="142"/>
        <v>1</v>
      </c>
      <c r="BI90" s="435">
        <f t="shared" si="142"/>
        <v>1</v>
      </c>
      <c r="BJ90" s="435">
        <f t="shared" si="142"/>
        <v>1</v>
      </c>
      <c r="BK90" s="435">
        <f t="shared" si="142"/>
        <v>1</v>
      </c>
      <c r="BL90" s="435">
        <f t="shared" si="142"/>
        <v>1</v>
      </c>
    </row>
    <row r="91" spans="1:64" ht="15" customHeight="1" outlineLevel="1" thickBot="1" x14ac:dyDescent="0.3">
      <c r="A91" s="404"/>
      <c r="B91" s="711"/>
      <c r="C91" s="687"/>
      <c r="D91" s="690"/>
      <c r="E91" s="447" t="s">
        <v>97</v>
      </c>
      <c r="F91" s="448" t="str">
        <f t="shared" ref="F91:K91" si="143">IF(OR($C90="-",$C90="CET",$C90=""),"-",IF(AND(NOT(F90="-"),NOT(F$5="-"),NOT(F$5="")),F90/F$5,"-"))</f>
        <v>-</v>
      </c>
      <c r="G91" s="448" t="str">
        <f t="shared" si="143"/>
        <v>-</v>
      </c>
      <c r="H91" s="448" t="str">
        <f t="shared" si="143"/>
        <v>-</v>
      </c>
      <c r="I91" s="448" t="str">
        <f t="shared" si="143"/>
        <v>-</v>
      </c>
      <c r="J91" s="448" t="str">
        <f t="shared" si="143"/>
        <v>-</v>
      </c>
      <c r="K91" s="449" t="str">
        <f t="shared" si="143"/>
        <v>-</v>
      </c>
      <c r="L91" s="449" t="str">
        <f t="shared" ref="L91:M91" si="144">IF(OR($C90="-",$C90="CET",$C90=""),"-",IF(AND(NOT(L90="-"),NOT(L$5="-"),NOT(L$5="")),L90/L$5,"-"))</f>
        <v>-</v>
      </c>
      <c r="M91" s="449" t="str">
        <f t="shared" si="144"/>
        <v>-</v>
      </c>
      <c r="N91" s="702"/>
      <c r="O91" s="672"/>
      <c r="P91" s="673"/>
      <c r="Q91" s="673"/>
      <c r="R91" s="673"/>
      <c r="S91" s="672"/>
      <c r="T91" s="673"/>
      <c r="U91" s="673"/>
      <c r="V91" s="674"/>
      <c r="W91" s="512"/>
      <c r="X91" s="512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BC91" s="536"/>
      <c r="BD91" s="429" t="str">
        <f>"IEF " &amp; B93</f>
        <v>IEF Drive Mode 6</v>
      </c>
      <c r="BE91" s="435">
        <f t="shared" ref="BE91:BJ91" si="145">IF(OR($C95="CET",$C95="-",$C95=""),"-",$C95)</f>
        <v>1</v>
      </c>
      <c r="BF91" s="435">
        <f t="shared" si="145"/>
        <v>1</v>
      </c>
      <c r="BG91" s="435">
        <f t="shared" si="145"/>
        <v>1</v>
      </c>
      <c r="BH91" s="435">
        <f t="shared" si="145"/>
        <v>1</v>
      </c>
      <c r="BI91" s="435">
        <f t="shared" si="145"/>
        <v>1</v>
      </c>
      <c r="BJ91" s="435">
        <f t="shared" si="145"/>
        <v>1</v>
      </c>
      <c r="BK91" s="435">
        <f t="shared" ref="BK91:BL91" si="146">IF(OR($C95="CET",$C95="-",$C95=""),"-",$C95)</f>
        <v>1</v>
      </c>
      <c r="BL91" s="435">
        <f t="shared" si="146"/>
        <v>1</v>
      </c>
    </row>
    <row r="92" spans="1:64" ht="15" customHeight="1" outlineLevel="1" thickBot="1" x14ac:dyDescent="0.3">
      <c r="A92" s="404"/>
      <c r="B92" s="712"/>
      <c r="C92" s="688"/>
      <c r="D92" s="691"/>
      <c r="E92" s="451" t="s">
        <v>30</v>
      </c>
      <c r="F92" s="451" t="str">
        <f t="shared" ref="F92:K92" si="147">IF(AND(OR(F88="-",F88=""),OR(F89="-",F89="")),"-",IF(OR($C90="-",$C90="",$C90="CET"),"-",IF($R$64="not listed","-",IF(NOT(F$5="-"),IF(AND(AND(NOT(F88=0),NOT(F88="-"),NOT(F88="")),AND(NOT(F89="-"),NOT(F89=0),NOT(F89=""))),IF(AND((F88+F89)/2&lt;1*F$5*IF(OR($C90="CET",$C90="-",$C90=""),"-",$C90),F88&lt;1.1*F$5*IF(OR($C90="CET",$C90="-",$C90=""),"-",$C90),F89&lt;1.1*F$5*IF(OR($C90="CET",$C90="-",$C90=""),"-",$C90)),"passed","refused"),IF(IF(OR(F88="-",F88=""),F89,F88)&lt;0.7*F$5*IF(OR($C90="CET",$C90="-",$C90=""),"-",$C90),"passed",IF(IF(OR(F88="-",F88=""),F89,F88)&lt;1.1*IF(OR($C90="CET",$C90="-",$C90=""),"-",$C90)*F$5,"failed","refused"))),"-"))))</f>
        <v>-</v>
      </c>
      <c r="G92" s="451" t="str">
        <f t="shared" si="147"/>
        <v>-</v>
      </c>
      <c r="H92" s="451" t="str">
        <f t="shared" si="147"/>
        <v>-</v>
      </c>
      <c r="I92" s="451" t="str">
        <f t="shared" si="147"/>
        <v>-</v>
      </c>
      <c r="J92" s="451" t="str">
        <f t="shared" si="147"/>
        <v>-</v>
      </c>
      <c r="K92" s="452" t="str">
        <f t="shared" si="147"/>
        <v>-</v>
      </c>
      <c r="L92" s="452" t="str">
        <f t="shared" ref="L92:M92" si="148">IF(AND(OR(L88="-",L88=""),OR(L89="-",L89="")),"-",IF(OR($C90="-",$C90="",$C90="CET"),"-",IF($R$64="not listed","-",IF(NOT(L$5="-"),IF(AND(AND(NOT(L88=0),NOT(L88="-"),NOT(L88="")),AND(NOT(L89="-"),NOT(L89=0),NOT(L89=""))),IF(AND((L88+L89)/2&lt;1*L$5*IF(OR($C90="CET",$C90="-",$C90=""),"-",$C90),L88&lt;1.1*L$5*IF(OR($C90="CET",$C90="-",$C90=""),"-",$C90),L89&lt;1.1*L$5*IF(OR($C90="CET",$C90="-",$C90=""),"-",$C90)),"passed","refused"),IF(IF(OR(L88="-",L88=""),L89,L88)&lt;0.7*L$5*IF(OR($C90="CET",$C90="-",$C90=""),"-",$C90),"passed",IF(IF(OR(L88="-",L88=""),L89,L88)&lt;1.1*IF(OR($C90="CET",$C90="-",$C90=""),"-",$C90)*L$5,"failed","refused"))),"-"))))</f>
        <v>-</v>
      </c>
      <c r="M92" s="452" t="str">
        <f t="shared" si="148"/>
        <v>-</v>
      </c>
      <c r="N92" s="685"/>
      <c r="O92" s="672"/>
      <c r="P92" s="673"/>
      <c r="Q92" s="673"/>
      <c r="R92" s="673"/>
      <c r="S92" s="672"/>
      <c r="T92" s="673"/>
      <c r="U92" s="673"/>
      <c r="V92" s="674"/>
      <c r="W92" s="512"/>
      <c r="X92" s="512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BC92" s="399" t="str">
        <f>IF(COUNTIF(F92:M92,"refused")&gt;0,"refused",IF(COUNTIF(F92:M92,"failed")&gt;0,"failed",IF(COUNTIF(F92:M92,"passed")&gt;0,"passed","-")))</f>
        <v>-</v>
      </c>
    </row>
    <row r="93" spans="1:64" ht="15" customHeight="1" outlineLevel="1" x14ac:dyDescent="0.25">
      <c r="A93" s="404"/>
      <c r="B93" s="710" t="s">
        <v>120</v>
      </c>
      <c r="C93" s="713" t="s">
        <v>114</v>
      </c>
      <c r="D93" s="684" t="s">
        <v>113</v>
      </c>
      <c r="E93" s="453" t="s">
        <v>94</v>
      </c>
      <c r="F93" s="437" t="s">
        <v>5</v>
      </c>
      <c r="G93" s="437" t="s">
        <v>5</v>
      </c>
      <c r="H93" s="437" t="s">
        <v>5</v>
      </c>
      <c r="I93" s="437" t="s">
        <v>5</v>
      </c>
      <c r="J93" s="437" t="s">
        <v>5</v>
      </c>
      <c r="K93" s="438" t="s">
        <v>5</v>
      </c>
      <c r="L93" s="438" t="s">
        <v>5</v>
      </c>
      <c r="M93" s="438" t="s">
        <v>5</v>
      </c>
      <c r="N93" s="437" t="s">
        <v>5</v>
      </c>
      <c r="O93" s="672"/>
      <c r="P93" s="673"/>
      <c r="Q93" s="673"/>
      <c r="R93" s="673"/>
      <c r="S93" s="672"/>
      <c r="T93" s="673"/>
      <c r="U93" s="673"/>
      <c r="V93" s="674"/>
      <c r="W93" s="512"/>
      <c r="X93" s="512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536"/>
      <c r="BD93" s="459"/>
      <c r="BE93" s="459"/>
      <c r="BF93" s="459"/>
      <c r="BG93" s="459"/>
      <c r="BH93" s="459"/>
      <c r="BI93" s="459"/>
      <c r="BJ93" s="459"/>
      <c r="BK93" s="459"/>
      <c r="BL93" s="459"/>
    </row>
    <row r="94" spans="1:64" s="405" customFormat="1" ht="15" customHeight="1" outlineLevel="1" thickBot="1" x14ac:dyDescent="0.3">
      <c r="A94" s="454"/>
      <c r="B94" s="711"/>
      <c r="C94" s="714"/>
      <c r="D94" s="685"/>
      <c r="E94" s="440" t="s">
        <v>95</v>
      </c>
      <c r="F94" s="441" t="s">
        <v>5</v>
      </c>
      <c r="G94" s="441" t="s">
        <v>5</v>
      </c>
      <c r="H94" s="441" t="s">
        <v>5</v>
      </c>
      <c r="I94" s="441" t="s">
        <v>5</v>
      </c>
      <c r="J94" s="441" t="s">
        <v>5</v>
      </c>
      <c r="K94" s="442" t="s">
        <v>5</v>
      </c>
      <c r="L94" s="442" t="s">
        <v>5</v>
      </c>
      <c r="M94" s="442" t="s">
        <v>5</v>
      </c>
      <c r="N94" s="441" t="s">
        <v>5</v>
      </c>
      <c r="O94" s="672"/>
      <c r="P94" s="673"/>
      <c r="Q94" s="673"/>
      <c r="R94" s="673"/>
      <c r="S94" s="672"/>
      <c r="T94" s="673"/>
      <c r="U94" s="673"/>
      <c r="V94" s="674"/>
      <c r="W94" s="443"/>
      <c r="X94" s="443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BC94" s="536"/>
      <c r="BD94" s="459"/>
      <c r="BE94" s="459"/>
      <c r="BF94" s="459"/>
      <c r="BG94" s="459"/>
      <c r="BH94" s="459"/>
      <c r="BI94" s="459"/>
      <c r="BJ94" s="459"/>
      <c r="BK94" s="459"/>
      <c r="BL94" s="459"/>
    </row>
    <row r="95" spans="1:64" ht="15" customHeight="1" outlineLevel="1" thickBot="1" x14ac:dyDescent="0.3">
      <c r="A95" s="404"/>
      <c r="B95" s="711"/>
      <c r="C95" s="715">
        <v>1</v>
      </c>
      <c r="D95" s="689" t="str">
        <f>IF(AND(F95="-",G95="-",H95="-",I95="-",J95="-",K95="-",L95="-",M95="-"),"-",MAX(F95,G95,H95,I95,J95,K95,L95,M95))</f>
        <v>-</v>
      </c>
      <c r="E95" s="444" t="s">
        <v>177</v>
      </c>
      <c r="F95" s="445" t="str">
        <f t="shared" ref="F95:K95" si="149">IF(OR(F94="-",F94=""),IF(OR(F93="-",F93=""),"-",F93),IF(OR(F93="-",F93=""),F94,(F93+F94)/2))</f>
        <v>-</v>
      </c>
      <c r="G95" s="445" t="str">
        <f t="shared" si="149"/>
        <v>-</v>
      </c>
      <c r="H95" s="445" t="str">
        <f t="shared" si="149"/>
        <v>-</v>
      </c>
      <c r="I95" s="445" t="str">
        <f t="shared" si="149"/>
        <v>-</v>
      </c>
      <c r="J95" s="445" t="str">
        <f t="shared" si="149"/>
        <v>-</v>
      </c>
      <c r="K95" s="446" t="str">
        <f t="shared" si="149"/>
        <v>-</v>
      </c>
      <c r="L95" s="446" t="str">
        <f t="shared" ref="L95:M95" si="150">IF(OR(L94="-",L94=""),IF(OR(L93="-",L93=""),"-",L93),IF(OR(L93="-",L93=""),L94,(L93+L94)/2))</f>
        <v>-</v>
      </c>
      <c r="M95" s="446" t="str">
        <f t="shared" si="150"/>
        <v>-</v>
      </c>
      <c r="N95" s="828"/>
      <c r="O95" s="672"/>
      <c r="P95" s="673"/>
      <c r="Q95" s="673"/>
      <c r="R95" s="673"/>
      <c r="S95" s="672"/>
      <c r="T95" s="673"/>
      <c r="U95" s="673"/>
      <c r="V95" s="674"/>
      <c r="W95" s="512"/>
      <c r="X95" s="512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BC95" s="536"/>
      <c r="BD95" s="460"/>
      <c r="BE95" s="460"/>
      <c r="BF95" s="460"/>
      <c r="BG95" s="460"/>
      <c r="BH95" s="460"/>
      <c r="BI95" s="460"/>
      <c r="BJ95" s="460"/>
      <c r="BK95" s="460"/>
      <c r="BL95" s="460"/>
    </row>
    <row r="96" spans="1:64" ht="15" customHeight="1" outlineLevel="1" thickBot="1" x14ac:dyDescent="0.3">
      <c r="A96" s="404"/>
      <c r="B96" s="711"/>
      <c r="C96" s="716"/>
      <c r="D96" s="690"/>
      <c r="E96" s="447" t="s">
        <v>97</v>
      </c>
      <c r="F96" s="448" t="str">
        <f t="shared" ref="F96:K96" si="151">IF(OR($C95="-",$C95="CET",$C95=""),"-",IF(AND(NOT(F95="-"),NOT(F$5="-"),NOT(F$5="")),F95/F$5,"-"))</f>
        <v>-</v>
      </c>
      <c r="G96" s="448" t="str">
        <f t="shared" si="151"/>
        <v>-</v>
      </c>
      <c r="H96" s="448" t="str">
        <f t="shared" si="151"/>
        <v>-</v>
      </c>
      <c r="I96" s="448" t="str">
        <f t="shared" si="151"/>
        <v>-</v>
      </c>
      <c r="J96" s="448" t="str">
        <f t="shared" si="151"/>
        <v>-</v>
      </c>
      <c r="K96" s="449" t="str">
        <f t="shared" si="151"/>
        <v>-</v>
      </c>
      <c r="L96" s="449" t="str">
        <f t="shared" ref="L96:M96" si="152">IF(OR($C95="-",$C95="CET",$C95=""),"-",IF(AND(NOT(L95="-"),NOT(L$5="-"),NOT(L$5="")),L95/L$5,"-"))</f>
        <v>-</v>
      </c>
      <c r="M96" s="449" t="str">
        <f t="shared" si="152"/>
        <v>-</v>
      </c>
      <c r="N96" s="702"/>
      <c r="O96" s="672"/>
      <c r="P96" s="673"/>
      <c r="Q96" s="673"/>
      <c r="R96" s="673"/>
      <c r="S96" s="672"/>
      <c r="T96" s="673"/>
      <c r="U96" s="673"/>
      <c r="V96" s="674"/>
      <c r="W96" s="512"/>
      <c r="X96" s="512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BC96" s="536"/>
      <c r="BD96" s="460"/>
      <c r="BE96" s="460"/>
      <c r="BF96" s="460"/>
      <c r="BG96" s="460"/>
      <c r="BH96" s="460"/>
      <c r="BI96" s="460"/>
      <c r="BJ96" s="460"/>
      <c r="BK96" s="460"/>
      <c r="BL96" s="460"/>
    </row>
    <row r="97" spans="1:64" ht="15.75" outlineLevel="1" thickBot="1" x14ac:dyDescent="0.3">
      <c r="B97" s="712"/>
      <c r="C97" s="717"/>
      <c r="D97" s="691"/>
      <c r="E97" s="451" t="s">
        <v>30</v>
      </c>
      <c r="F97" s="451" t="str">
        <f t="shared" ref="F97:K97" si="153">IF(AND(OR(F93="-",F93=""),OR(F94="-",F94="")),"-",IF(OR($C95="-",$C95="",$C95="CET"),"-",IF($R$64="not listed","-",IF(NOT(F$5="-"),IF(AND(AND(NOT(F93=0),NOT(F93="-"),NOT(F93="")),AND(NOT(F94="-"),NOT(F94=0),NOT(F94=""))),IF(AND((F93+F94)/2&lt;1*F$5*IF(OR($C95="CET",$C95="-",$C95=""),"-",$C95),F93&lt;1.1*F$5*IF(OR($C95="CET",$C95="-",$C95=""),"-",$C95),F94&lt;1.1*F$5*IF(OR($C95="CET",$C95="-",$C95=""),"-",$C95)),"passed","refused"),IF(IF(OR(F93="-",F93=""),F94,F93)&lt;0.7*F$5*IF(OR($C95="CET",$C95="-",$C95=""),"-",$C95),"passed",IF(IF(OR(F93="-",F93=""),F94,F93)&lt;1.1*IF(OR($C95="CET",$C95="-",$C95=""),"-",$C95)*F$5,"failed","refused"))),"-"))))</f>
        <v>-</v>
      </c>
      <c r="G97" s="451" t="str">
        <f t="shared" si="153"/>
        <v>-</v>
      </c>
      <c r="H97" s="451" t="str">
        <f t="shared" si="153"/>
        <v>-</v>
      </c>
      <c r="I97" s="451" t="str">
        <f t="shared" si="153"/>
        <v>-</v>
      </c>
      <c r="J97" s="451" t="str">
        <f t="shared" si="153"/>
        <v>-</v>
      </c>
      <c r="K97" s="452" t="str">
        <f t="shared" si="153"/>
        <v>-</v>
      </c>
      <c r="L97" s="452" t="str">
        <f t="shared" ref="L97:M97" si="154">IF(AND(OR(L93="-",L93=""),OR(L94="-",L94="")),"-",IF(OR($C95="-",$C95="",$C95="CET"),"-",IF($R$64="not listed","-",IF(NOT(L$5="-"),IF(AND(AND(NOT(L93=0),NOT(L93="-"),NOT(L93="")),AND(NOT(L94="-"),NOT(L94=0),NOT(L94=""))),IF(AND((L93+L94)/2&lt;1*L$5*IF(OR($C95="CET",$C95="-",$C95=""),"-",$C95),L93&lt;1.1*L$5*IF(OR($C95="CET",$C95="-",$C95=""),"-",$C95),L94&lt;1.1*L$5*IF(OR($C95="CET",$C95="-",$C95=""),"-",$C95)),"passed","refused"),IF(IF(OR(L93="-",L93=""),L94,L93)&lt;0.7*L$5*IF(OR($C95="CET",$C95="-",$C95=""),"-",$C95),"passed",IF(IF(OR(L93="-",L93=""),L94,L93)&lt;1.1*IF(OR($C95="CET",$C95="-",$C95=""),"-",$C95)*L$5,"failed","refused"))),"-"))))</f>
        <v>-</v>
      </c>
      <c r="M97" s="452" t="str">
        <f t="shared" si="154"/>
        <v>-</v>
      </c>
      <c r="N97" s="685"/>
      <c r="O97" s="675"/>
      <c r="P97" s="676"/>
      <c r="Q97" s="676"/>
      <c r="R97" s="676"/>
      <c r="S97" s="675"/>
      <c r="T97" s="676"/>
      <c r="U97" s="676"/>
      <c r="V97" s="677"/>
      <c r="BC97" s="399" t="str">
        <f>IF(COUNTIF(F97:M97,"refused")&gt;0,"refused",IF(COUNTIF(F97:M97,"failed")&gt;0,"failed",IF(COUNTIF(F97:M97,"passed")&gt;0,"passed","-")))</f>
        <v>-</v>
      </c>
      <c r="BD97" s="460"/>
      <c r="BE97" s="460"/>
      <c r="BF97" s="460"/>
      <c r="BG97" s="460"/>
      <c r="BH97" s="460"/>
      <c r="BI97" s="460"/>
      <c r="BJ97" s="460"/>
      <c r="BK97" s="460"/>
      <c r="BL97" s="460"/>
    </row>
    <row r="98" spans="1:64" ht="15" customHeight="1" x14ac:dyDescent="0.25"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ht="15" customHeight="1" x14ac:dyDescent="0.25">
      <c r="BD99" s="459"/>
      <c r="BE99" s="459"/>
      <c r="BF99" s="459"/>
      <c r="BG99" s="459"/>
      <c r="BH99" s="459"/>
      <c r="BI99" s="459"/>
      <c r="BJ99" s="459"/>
      <c r="BK99" s="459"/>
      <c r="BL99" s="459"/>
    </row>
    <row r="100" spans="1:64" ht="15" customHeight="1" thickBot="1" x14ac:dyDescent="0.3">
      <c r="A100" s="396"/>
      <c r="W100" s="414"/>
      <c r="X100" s="414"/>
      <c r="Y100" s="414"/>
      <c r="Z100" s="414"/>
      <c r="AA100" s="414"/>
      <c r="AB100" s="414"/>
      <c r="AC100" s="414"/>
      <c r="AD100" s="414"/>
      <c r="AE100" s="414"/>
      <c r="AF100" s="414"/>
      <c r="AG100" s="414"/>
      <c r="AH100" s="414"/>
      <c r="BD100" s="459"/>
      <c r="BE100" s="459"/>
      <c r="BF100" s="459"/>
      <c r="BG100" s="459"/>
      <c r="BH100" s="459"/>
      <c r="BI100" s="459"/>
      <c r="BJ100" s="459"/>
      <c r="BK100" s="459"/>
      <c r="BL100" s="459"/>
    </row>
    <row r="101" spans="1:64" ht="24.95" customHeight="1" thickBot="1" x14ac:dyDescent="0.3">
      <c r="A101" s="396"/>
      <c r="B101" s="415">
        <v>4</v>
      </c>
      <c r="C101" s="706" t="s">
        <v>167</v>
      </c>
      <c r="D101" s="707"/>
      <c r="E101" s="707"/>
      <c r="F101" s="707"/>
      <c r="G101" s="707"/>
      <c r="H101" s="707"/>
      <c r="I101" s="707"/>
      <c r="J101" s="707"/>
      <c r="K101" s="707"/>
      <c r="L101" s="707"/>
      <c r="M101" s="707"/>
      <c r="N101" s="708"/>
      <c r="O101" s="416" t="s">
        <v>117</v>
      </c>
      <c r="P101" s="398" t="str">
        <f>IF(COUNTIF(F109:M116,"refused")&gt;0,"refused",IF(COUNTIF(F109:M116,"failed")&gt;0,"failed",IF(COUNTIF(F109:M116,"passed")&gt;0,"passed","-")))</f>
        <v>-</v>
      </c>
      <c r="Q101" s="399" t="s">
        <v>80</v>
      </c>
      <c r="R101" s="399" t="str">
        <f>IF(COUNT(F106:M107,F112:M113)&gt;0,"listed","not listed")</f>
        <v>not listed</v>
      </c>
      <c r="S101" s="511"/>
      <c r="T101" s="418"/>
      <c r="U101" s="418"/>
      <c r="V101" s="419"/>
      <c r="W101" s="414"/>
      <c r="X101" s="414"/>
      <c r="Y101" s="414"/>
      <c r="Z101" s="414"/>
      <c r="AA101" s="414"/>
      <c r="AB101" s="414"/>
      <c r="AC101" s="414"/>
      <c r="AD101" s="414"/>
      <c r="AE101" s="414"/>
      <c r="AF101" s="414"/>
      <c r="AG101" s="414"/>
      <c r="AH101" s="414"/>
    </row>
    <row r="102" spans="1:64" ht="15" customHeight="1" outlineLevel="1" thickBot="1" x14ac:dyDescent="0.3">
      <c r="A102" s="396"/>
      <c r="B102" s="513"/>
      <c r="C102" s="514"/>
      <c r="D102" s="514"/>
      <c r="E102" s="514"/>
      <c r="F102" s="514"/>
      <c r="G102" s="514"/>
      <c r="H102" s="514"/>
      <c r="I102" s="514"/>
      <c r="J102" s="514"/>
      <c r="K102" s="421"/>
      <c r="L102" s="421"/>
      <c r="M102" s="421"/>
      <c r="N102" s="514"/>
      <c r="O102" s="514"/>
      <c r="P102" s="514"/>
      <c r="Q102" s="514"/>
      <c r="R102" s="514"/>
      <c r="S102" s="514"/>
      <c r="T102" s="422"/>
      <c r="U102" s="422"/>
      <c r="V102" s="423"/>
      <c r="W102" s="424"/>
      <c r="X102" s="424"/>
      <c r="Y102" s="698"/>
      <c r="Z102" s="698"/>
      <c r="AA102" s="698"/>
      <c r="AB102" s="698"/>
      <c r="AC102" s="698"/>
      <c r="AD102" s="698"/>
      <c r="AE102" s="698"/>
      <c r="AF102" s="698"/>
      <c r="AG102" s="698"/>
      <c r="AH102" s="698"/>
    </row>
    <row r="103" spans="1:64" ht="15" customHeight="1" outlineLevel="1" thickBot="1" x14ac:dyDescent="0.3">
      <c r="A103" s="396"/>
      <c r="B103" s="695" t="s">
        <v>81</v>
      </c>
      <c r="C103" s="696"/>
      <c r="D103" s="696"/>
      <c r="E103" s="696"/>
      <c r="F103" s="696"/>
      <c r="G103" s="696"/>
      <c r="H103" s="696"/>
      <c r="I103" s="696"/>
      <c r="J103" s="696"/>
      <c r="K103" s="696"/>
      <c r="L103" s="696"/>
      <c r="M103" s="696"/>
      <c r="N103" s="697"/>
      <c r="O103" s="695" t="s">
        <v>82</v>
      </c>
      <c r="P103" s="696"/>
      <c r="Q103" s="696"/>
      <c r="R103" s="697"/>
      <c r="S103" s="695" t="s">
        <v>83</v>
      </c>
      <c r="T103" s="696"/>
      <c r="U103" s="696"/>
      <c r="V103" s="697"/>
      <c r="W103" s="512"/>
      <c r="X103" s="512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</row>
    <row r="104" spans="1:64" ht="35.1" customHeight="1" outlineLevel="1" thickBot="1" x14ac:dyDescent="0.3">
      <c r="A104" s="396"/>
      <c r="B104" s="731" t="s">
        <v>84</v>
      </c>
      <c r="C104" s="732"/>
      <c r="D104" s="732"/>
      <c r="E104" s="733"/>
      <c r="F104" s="425" t="s">
        <v>72</v>
      </c>
      <c r="G104" s="517" t="s">
        <v>73</v>
      </c>
      <c r="H104" s="425" t="s">
        <v>74</v>
      </c>
      <c r="I104" s="425" t="s">
        <v>75</v>
      </c>
      <c r="J104" s="425" t="s">
        <v>76</v>
      </c>
      <c r="K104" s="534" t="s">
        <v>170</v>
      </c>
      <c r="L104" s="535" t="str">
        <f>$L$4</f>
        <v>Additional
component</v>
      </c>
      <c r="M104" s="535" t="str">
        <f>$M$4</f>
        <v>Additional
component 2</v>
      </c>
      <c r="N104" s="425" t="s">
        <v>77</v>
      </c>
      <c r="O104" s="669"/>
      <c r="P104" s="670"/>
      <c r="Q104" s="670"/>
      <c r="R104" s="671"/>
      <c r="S104" s="669"/>
      <c r="T104" s="670"/>
      <c r="U104" s="670"/>
      <c r="V104" s="671"/>
      <c r="W104" s="512"/>
      <c r="X104" s="512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536"/>
    </row>
    <row r="105" spans="1:64" ht="15" customHeight="1" outlineLevel="1" thickBot="1" x14ac:dyDescent="0.3">
      <c r="A105" s="396"/>
      <c r="B105" s="835" t="s">
        <v>168</v>
      </c>
      <c r="C105" s="515" t="s">
        <v>64</v>
      </c>
      <c r="D105" s="709" t="s">
        <v>119</v>
      </c>
      <c r="E105" s="683"/>
      <c r="F105" s="432" t="s">
        <v>64</v>
      </c>
      <c r="G105" s="432" t="s">
        <v>64</v>
      </c>
      <c r="H105" s="432" t="s">
        <v>64</v>
      </c>
      <c r="I105" s="432" t="s">
        <v>64</v>
      </c>
      <c r="J105" s="432" t="s">
        <v>64</v>
      </c>
      <c r="K105" s="433" t="s">
        <v>64</v>
      </c>
      <c r="L105" s="433" t="s">
        <v>64</v>
      </c>
      <c r="M105" s="433" t="s">
        <v>64</v>
      </c>
      <c r="N105" s="432" t="s">
        <v>64</v>
      </c>
      <c r="O105" s="672"/>
      <c r="P105" s="673"/>
      <c r="Q105" s="673"/>
      <c r="R105" s="674"/>
      <c r="S105" s="672"/>
      <c r="T105" s="673"/>
      <c r="U105" s="673"/>
      <c r="V105" s="674"/>
      <c r="W105" s="512"/>
      <c r="X105" s="512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536"/>
    </row>
    <row r="106" spans="1:64" s="405" customFormat="1" ht="15" customHeight="1" outlineLevel="1" x14ac:dyDescent="0.25">
      <c r="A106" s="439"/>
      <c r="B106" s="836"/>
      <c r="C106" s="684" t="s">
        <v>114</v>
      </c>
      <c r="D106" s="684" t="s">
        <v>113</v>
      </c>
      <c r="E106" s="453" t="s">
        <v>94</v>
      </c>
      <c r="F106" s="473" t="s">
        <v>5</v>
      </c>
      <c r="G106" s="473" t="s">
        <v>5</v>
      </c>
      <c r="H106" s="473" t="s">
        <v>5</v>
      </c>
      <c r="I106" s="473" t="s">
        <v>5</v>
      </c>
      <c r="J106" s="473" t="s">
        <v>5</v>
      </c>
      <c r="K106" s="474" t="s">
        <v>5</v>
      </c>
      <c r="L106" s="474" t="s">
        <v>5</v>
      </c>
      <c r="M106" s="474" t="s">
        <v>5</v>
      </c>
      <c r="N106" s="437" t="s">
        <v>5</v>
      </c>
      <c r="O106" s="672"/>
      <c r="P106" s="673"/>
      <c r="Q106" s="673"/>
      <c r="R106" s="674"/>
      <c r="S106" s="672"/>
      <c r="T106" s="673"/>
      <c r="U106" s="673"/>
      <c r="V106" s="674"/>
      <c r="W106" s="443"/>
      <c r="X106" s="443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BC106" s="536"/>
    </row>
    <row r="107" spans="1:64" ht="15" customHeight="1" outlineLevel="1" thickBot="1" x14ac:dyDescent="0.3">
      <c r="A107" s="396"/>
      <c r="B107" s="836"/>
      <c r="C107" s="685"/>
      <c r="D107" s="685"/>
      <c r="E107" s="440" t="s">
        <v>95</v>
      </c>
      <c r="F107" s="475" t="s">
        <v>5</v>
      </c>
      <c r="G107" s="475" t="s">
        <v>5</v>
      </c>
      <c r="H107" s="475" t="s">
        <v>5</v>
      </c>
      <c r="I107" s="475" t="s">
        <v>5</v>
      </c>
      <c r="J107" s="475" t="s">
        <v>5</v>
      </c>
      <c r="K107" s="476" t="s">
        <v>5</v>
      </c>
      <c r="L107" s="476" t="s">
        <v>5</v>
      </c>
      <c r="M107" s="476" t="s">
        <v>5</v>
      </c>
      <c r="N107" s="441" t="s">
        <v>5</v>
      </c>
      <c r="O107" s="672"/>
      <c r="P107" s="673"/>
      <c r="Q107" s="673"/>
      <c r="R107" s="674"/>
      <c r="S107" s="672"/>
      <c r="T107" s="673"/>
      <c r="U107" s="673"/>
      <c r="V107" s="674"/>
      <c r="W107" s="512"/>
      <c r="X107" s="512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BC107" s="536"/>
    </row>
    <row r="108" spans="1:64" ht="15" customHeight="1" outlineLevel="1" thickBot="1" x14ac:dyDescent="0.3">
      <c r="A108" s="396"/>
      <c r="B108" s="836"/>
      <c r="C108" s="832" t="s">
        <v>64</v>
      </c>
      <c r="D108" s="689" t="str">
        <f>IF(AND(F108="-",G108="-",H108="-",I108="-",J108="-",K108="-",L108="-",M108="-"),"-",MAX(F108,G108,H108,I108,J108,K108,L108,M108))</f>
        <v>-</v>
      </c>
      <c r="E108" s="444" t="s">
        <v>177</v>
      </c>
      <c r="F108" s="445" t="str">
        <f t="shared" ref="F108:K108" si="155">IF(OR(F107="-",F107=""),IF(OR(F106="-",F106=""),"-",F106),IF(OR(F106="-",F106=""),F107,(F106+F107)/2))</f>
        <v>-</v>
      </c>
      <c r="G108" s="445" t="str">
        <f t="shared" si="155"/>
        <v>-</v>
      </c>
      <c r="H108" s="445" t="str">
        <f t="shared" si="155"/>
        <v>-</v>
      </c>
      <c r="I108" s="445" t="str">
        <f t="shared" si="155"/>
        <v>-</v>
      </c>
      <c r="J108" s="445" t="str">
        <f t="shared" si="155"/>
        <v>-</v>
      </c>
      <c r="K108" s="446" t="str">
        <f t="shared" si="155"/>
        <v>-</v>
      </c>
      <c r="L108" s="446" t="str">
        <f t="shared" ref="L108:M108" si="156">IF(OR(L107="-",L107=""),IF(OR(L106="-",L106=""),"-",L106),IF(OR(L106="-",L106=""),L107,(L106+L107)/2))</f>
        <v>-</v>
      </c>
      <c r="M108" s="446" t="str">
        <f t="shared" si="156"/>
        <v>-</v>
      </c>
      <c r="N108" s="828"/>
      <c r="O108" s="672"/>
      <c r="P108" s="673"/>
      <c r="Q108" s="673"/>
      <c r="R108" s="674"/>
      <c r="S108" s="672"/>
      <c r="T108" s="673"/>
      <c r="U108" s="673"/>
      <c r="V108" s="674"/>
      <c r="W108" s="512"/>
      <c r="X108" s="512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BC108" s="536"/>
    </row>
    <row r="109" spans="1:64" ht="15" customHeight="1" outlineLevel="1" thickBot="1" x14ac:dyDescent="0.3">
      <c r="A109" s="396"/>
      <c r="B109" s="836"/>
      <c r="C109" s="833"/>
      <c r="D109" s="690"/>
      <c r="E109" s="447" t="s">
        <v>97</v>
      </c>
      <c r="F109" s="448" t="str">
        <f t="shared" ref="F109:K109" si="157">IF(AND(OR($C108="-",$C108="CET",$C108=""),OR(F105="-",F105="CET",F105="")),"-",IF(AND(NOT(F108="-"),NOT(F$5="-"),NOT(F$5="")),F108/F$5,"-"))</f>
        <v>-</v>
      </c>
      <c r="G109" s="448" t="str">
        <f t="shared" si="157"/>
        <v>-</v>
      </c>
      <c r="H109" s="448" t="str">
        <f t="shared" si="157"/>
        <v>-</v>
      </c>
      <c r="I109" s="448" t="str">
        <f t="shared" si="157"/>
        <v>-</v>
      </c>
      <c r="J109" s="448" t="str">
        <f t="shared" si="157"/>
        <v>-</v>
      </c>
      <c r="K109" s="449" t="str">
        <f t="shared" si="157"/>
        <v>-</v>
      </c>
      <c r="L109" s="449" t="str">
        <f t="shared" ref="L109:M109" si="158">IF(AND(OR($C108="-",$C108="CET",$C108=""),OR(L105="-",L105="CET",L105="")),"-",IF(AND(NOT(L108="-"),NOT(L$5="-"),NOT(L$5="")),L108/L$5,"-"))</f>
        <v>-</v>
      </c>
      <c r="M109" s="449" t="str">
        <f t="shared" si="158"/>
        <v>-</v>
      </c>
      <c r="N109" s="702"/>
      <c r="O109" s="672"/>
      <c r="P109" s="673"/>
      <c r="Q109" s="673"/>
      <c r="R109" s="674"/>
      <c r="S109" s="672"/>
      <c r="T109" s="673"/>
      <c r="U109" s="673"/>
      <c r="V109" s="674"/>
      <c r="W109" s="512"/>
      <c r="X109" s="512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BC109" s="536"/>
      <c r="BD109" s="429" t="s">
        <v>85</v>
      </c>
      <c r="BE109" s="430" t="str">
        <f>F$4</f>
        <v>NMHC 
[g/km]</v>
      </c>
      <c r="BF109" s="430" t="str">
        <f t="shared" ref="BF109:BL109" si="159">G$4</f>
        <v>THC
[g/km]</v>
      </c>
      <c r="BG109" s="430" t="str">
        <f t="shared" si="159"/>
        <v>CO
[g/km]</v>
      </c>
      <c r="BH109" s="430" t="str">
        <f t="shared" si="159"/>
        <v>NOx
[g/km]</v>
      </c>
      <c r="BI109" s="430" t="str">
        <f t="shared" si="159"/>
        <v>PM
[mg/km]</v>
      </c>
      <c r="BJ109" s="430" t="str">
        <f t="shared" si="159"/>
        <v>PN
[#/km]</v>
      </c>
      <c r="BK109" s="430" t="str">
        <f t="shared" si="159"/>
        <v>Additional
component</v>
      </c>
      <c r="BL109" s="430" t="str">
        <f t="shared" si="159"/>
        <v>Additional
component 2</v>
      </c>
    </row>
    <row r="110" spans="1:64" ht="15" customHeight="1" outlineLevel="1" thickBot="1" x14ac:dyDescent="0.3">
      <c r="A110" s="396"/>
      <c r="B110" s="837"/>
      <c r="C110" s="834"/>
      <c r="D110" s="691"/>
      <c r="E110" s="451" t="s">
        <v>30</v>
      </c>
      <c r="F110" s="451" t="str">
        <f t="shared" ref="F110:K110" si="160">IF(AND(OR(F106="-",F106=""),OR(F107="-",F107="")),"-",IF(AND(OR(F105="CET",F105="-",F105=""),OR($C108="CET",$C108="-",$C108="")),"-",IF($R$9="not listed","-",IF(AND(NOT(F$5="-"),NOT(F$5="")),IF(AND(AND(NOT(F106=0),NOT(F106="-"),NOT(F106="")),AND(NOT(F107="-"),NOT(F107=0),NOT(F107=""))),IF(AND((F106+F107)/2&lt;1*F$5*IF(OR(F105="CET",F105="-",F105=""),IF(OR($C108="CET",$C108="-",$C108=""),"-",$C108),F105),F106&lt;1.1*F$5*IF(OR(F105="CET",F105="-",F105=""),IF(OR($C108="CET",$C108="-",$C108=""),"-",$C108),F105),F107&lt;1.1*F$5*IF(OR(F105="CET",F105="-",F105=""),IF($C108="CET","-",$C108),F105)),"passed","refused"),IF(IF(OR(F106="-",F106=""),F107,F106)&lt;0.7*F$5*IF(OR(F105="CET",F105="-",F105=""),IF($C108="CET","-",$C108),F105),"passed",IF(IF(OR(F106="-",F106=""),F107,F106)&lt;1.1*IF(OR(F105="CET",F105="-",F105=""),IF($C108="CET","-",$C108),F105)*F$5,"failed","refused"))),"-"))))</f>
        <v>-</v>
      </c>
      <c r="G110" s="451" t="str">
        <f t="shared" si="160"/>
        <v>-</v>
      </c>
      <c r="H110" s="451" t="str">
        <f t="shared" si="160"/>
        <v>-</v>
      </c>
      <c r="I110" s="451" t="str">
        <f t="shared" si="160"/>
        <v>-</v>
      </c>
      <c r="J110" s="451" t="str">
        <f t="shared" si="160"/>
        <v>-</v>
      </c>
      <c r="K110" s="452" t="str">
        <f t="shared" si="160"/>
        <v>-</v>
      </c>
      <c r="L110" s="452" t="str">
        <f t="shared" ref="L110:M110" si="161">IF(AND(OR(L106="-",L106=""),OR(L107="-",L107="")),"-",IF(AND(OR(L105="CET",L105="-",L105=""),OR($C108="CET",$C108="-",$C108="")),"-",IF($R$9="not listed","-",IF(AND(NOT(L$5="-"),NOT(L$5="")),IF(AND(AND(NOT(L106=0),NOT(L106="-"),NOT(L106="")),AND(NOT(L107="-"),NOT(L107=0),NOT(L107=""))),IF(AND((L106+L107)/2&lt;1*L$5*IF(OR(L105="CET",L105="-",L105=""),IF(OR($C108="CET",$C108="-",$C108=""),"-",$C108),L105),L106&lt;1.1*L$5*IF(OR(L105="CET",L105="-",L105=""),IF(OR($C108="CET",$C108="-",$C108=""),"-",$C108),L105),L107&lt;1.1*L$5*IF(OR(L105="CET",L105="-",L105=""),IF($C108="CET","-",$C108),L105)),"passed","refused"),IF(IF(OR(L106="-",L106=""),L107,L106)&lt;0.7*L$5*IF(OR(L105="CET",L105="-",L105=""),IF($C108="CET","-",$C108),L105),"passed",IF(IF(OR(L106="-",L106=""),L107,L106)&lt;1.1*IF(OR(L105="CET",L105="-",L105=""),IF($C108="CET","-",$C108),L105)*L$5,"failed","refused"))),"-"))))</f>
        <v>-</v>
      </c>
      <c r="M110" s="452" t="str">
        <f t="shared" si="161"/>
        <v>-</v>
      </c>
      <c r="N110" s="685"/>
      <c r="O110" s="672"/>
      <c r="P110" s="673"/>
      <c r="Q110" s="673"/>
      <c r="R110" s="674"/>
      <c r="S110" s="672"/>
      <c r="T110" s="673"/>
      <c r="U110" s="673"/>
      <c r="V110" s="674"/>
      <c r="W110" s="512"/>
      <c r="X110" s="512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BC110" s="399" t="str">
        <f>IF(COUNTIF(F110:M110,"refused")&gt;0,"refused",IF(COUNTIF(F110:M110,"failed")&gt;0,"failed",IF(COUNTIF(F110:M110,"passed")&gt;0,"passed","-")))</f>
        <v>-</v>
      </c>
      <c r="BD110" s="429" t="str">
        <f>$E$4</f>
        <v>US EPA Tier 2 Bin 11</v>
      </c>
      <c r="BE110" s="435">
        <v>1</v>
      </c>
      <c r="BF110" s="435">
        <v>1</v>
      </c>
      <c r="BG110" s="435">
        <v>1</v>
      </c>
      <c r="BH110" s="435">
        <v>1</v>
      </c>
      <c r="BI110" s="435">
        <v>1</v>
      </c>
      <c r="BJ110" s="435">
        <v>1</v>
      </c>
      <c r="BK110" s="435">
        <v>1</v>
      </c>
      <c r="BL110" s="435">
        <v>1</v>
      </c>
    </row>
    <row r="111" spans="1:64" ht="15" customHeight="1" outlineLevel="1" thickBot="1" x14ac:dyDescent="0.3">
      <c r="A111" s="396"/>
      <c r="B111" s="835" t="s">
        <v>131</v>
      </c>
      <c r="C111" s="515" t="s">
        <v>64</v>
      </c>
      <c r="D111" s="709" t="s">
        <v>119</v>
      </c>
      <c r="E111" s="683"/>
      <c r="F111" s="432" t="s">
        <v>64</v>
      </c>
      <c r="G111" s="432" t="s">
        <v>64</v>
      </c>
      <c r="H111" s="432" t="s">
        <v>64</v>
      </c>
      <c r="I111" s="432" t="s">
        <v>64</v>
      </c>
      <c r="J111" s="432" t="s">
        <v>64</v>
      </c>
      <c r="K111" s="433" t="s">
        <v>64</v>
      </c>
      <c r="L111" s="433" t="s">
        <v>64</v>
      </c>
      <c r="M111" s="433" t="s">
        <v>64</v>
      </c>
      <c r="N111" s="432" t="s">
        <v>64</v>
      </c>
      <c r="O111" s="672"/>
      <c r="P111" s="673"/>
      <c r="Q111" s="673"/>
      <c r="R111" s="674"/>
      <c r="S111" s="672"/>
      <c r="T111" s="673"/>
      <c r="U111" s="673"/>
      <c r="V111" s="674"/>
      <c r="W111" s="512"/>
      <c r="X111" s="512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BC111" s="536"/>
      <c r="BD111" s="429" t="str">
        <f>"1st " &amp;  B105</f>
        <v>1st US6</v>
      </c>
      <c r="BE111" s="435" t="str">
        <f t="shared" ref="BE111:BJ111" si="162">IF((OR($C108="-",$C108="CET",$C108="")),"-",IF(AND(OR(F106="-",F106=""),OR(F107="-",F107="")),"-",IF(NOT(OR(F106="-",F106="")),F106/F$5,F107/F$5)))</f>
        <v>-</v>
      </c>
      <c r="BF111" s="435" t="str">
        <f t="shared" si="162"/>
        <v>-</v>
      </c>
      <c r="BG111" s="435" t="str">
        <f t="shared" si="162"/>
        <v>-</v>
      </c>
      <c r="BH111" s="435" t="str">
        <f t="shared" si="162"/>
        <v>-</v>
      </c>
      <c r="BI111" s="435" t="str">
        <f t="shared" si="162"/>
        <v>-</v>
      </c>
      <c r="BJ111" s="435" t="str">
        <f t="shared" si="162"/>
        <v>-</v>
      </c>
      <c r="BK111" s="435" t="str">
        <f t="shared" ref="BK111:BL111" si="163">IF((OR($C108="-",$C108="CET",$C108="")),"-",IF(AND(OR(L106="-",L106=""),OR(L107="-",L107="")),"-",IF(NOT(OR(L106="-",L106="")),L106/L$5,L107/L$5)))</f>
        <v>-</v>
      </c>
      <c r="BL111" s="435" t="str">
        <f t="shared" si="163"/>
        <v>-</v>
      </c>
    </row>
    <row r="112" spans="1:64" ht="15" customHeight="1" outlineLevel="1" x14ac:dyDescent="0.25">
      <c r="A112" s="396"/>
      <c r="B112" s="836"/>
      <c r="C112" s="684" t="s">
        <v>114</v>
      </c>
      <c r="D112" s="684" t="s">
        <v>113</v>
      </c>
      <c r="E112" s="453" t="s">
        <v>94</v>
      </c>
      <c r="F112" s="473" t="s">
        <v>5</v>
      </c>
      <c r="G112" s="473" t="s">
        <v>5</v>
      </c>
      <c r="H112" s="473" t="s">
        <v>5</v>
      </c>
      <c r="I112" s="473" t="s">
        <v>5</v>
      </c>
      <c r="J112" s="473" t="s">
        <v>5</v>
      </c>
      <c r="K112" s="474" t="s">
        <v>5</v>
      </c>
      <c r="L112" s="474" t="s">
        <v>5</v>
      </c>
      <c r="M112" s="474" t="s">
        <v>5</v>
      </c>
      <c r="N112" s="473" t="s">
        <v>5</v>
      </c>
      <c r="O112" s="672"/>
      <c r="P112" s="673"/>
      <c r="Q112" s="673"/>
      <c r="R112" s="674"/>
      <c r="S112" s="672"/>
      <c r="T112" s="673"/>
      <c r="U112" s="673"/>
      <c r="V112" s="674"/>
      <c r="W112" s="512"/>
      <c r="X112" s="512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BC112" s="536"/>
      <c r="BD112" s="429" t="str">
        <f>"1st " &amp;  B111</f>
        <v>1st HWY</v>
      </c>
      <c r="BE112" s="435" t="str">
        <f t="shared" ref="BE112:BJ112" si="164">IF((OR($C114="-",$C114="CET",$C114="")),"-",IF(AND(OR(F112="-",F112=""),OR(F113="-",F113="")),"-",IF(NOT(OR(F112="-",F112="")),F112/F$5,F113/F$5)))</f>
        <v>-</v>
      </c>
      <c r="BF112" s="435" t="str">
        <f t="shared" si="164"/>
        <v>-</v>
      </c>
      <c r="BG112" s="435" t="str">
        <f t="shared" si="164"/>
        <v>-</v>
      </c>
      <c r="BH112" s="435" t="str">
        <f t="shared" si="164"/>
        <v>-</v>
      </c>
      <c r="BI112" s="435" t="str">
        <f t="shared" si="164"/>
        <v>-</v>
      </c>
      <c r="BJ112" s="435" t="str">
        <f t="shared" si="164"/>
        <v>-</v>
      </c>
      <c r="BK112" s="435" t="str">
        <f t="shared" ref="BK112:BL112" si="165">IF((OR($C114="-",$C114="CET",$C114="")),"-",IF(AND(OR(L112="-",L112=""),OR(L113="-",L113="")),"-",IF(NOT(OR(L112="-",L112="")),L112/L$5,L113/L$5)))</f>
        <v>-</v>
      </c>
      <c r="BL112" s="435" t="str">
        <f t="shared" si="165"/>
        <v>-</v>
      </c>
    </row>
    <row r="113" spans="1:64" ht="15" customHeight="1" outlineLevel="1" thickBot="1" x14ac:dyDescent="0.3">
      <c r="A113" s="396"/>
      <c r="B113" s="836"/>
      <c r="C113" s="685"/>
      <c r="D113" s="685"/>
      <c r="E113" s="440" t="s">
        <v>95</v>
      </c>
      <c r="F113" s="475" t="s">
        <v>5</v>
      </c>
      <c r="G113" s="475" t="s">
        <v>5</v>
      </c>
      <c r="H113" s="475" t="s">
        <v>5</v>
      </c>
      <c r="I113" s="475" t="s">
        <v>5</v>
      </c>
      <c r="J113" s="475" t="s">
        <v>5</v>
      </c>
      <c r="K113" s="476" t="s">
        <v>5</v>
      </c>
      <c r="L113" s="476" t="s">
        <v>5</v>
      </c>
      <c r="M113" s="476" t="s">
        <v>5</v>
      </c>
      <c r="N113" s="475" t="s">
        <v>5</v>
      </c>
      <c r="O113" s="672"/>
      <c r="P113" s="673"/>
      <c r="Q113" s="673"/>
      <c r="R113" s="674"/>
      <c r="S113" s="672"/>
      <c r="T113" s="673"/>
      <c r="U113" s="673"/>
      <c r="V113" s="674"/>
      <c r="W113" s="512"/>
      <c r="X113" s="512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BC113" s="536"/>
      <c r="BD113" s="429"/>
      <c r="BE113" s="435"/>
      <c r="BF113" s="435"/>
      <c r="BG113" s="435"/>
      <c r="BH113" s="435"/>
      <c r="BI113" s="435"/>
      <c r="BJ113" s="435"/>
      <c r="BK113" s="435"/>
      <c r="BL113" s="435"/>
    </row>
    <row r="114" spans="1:64" ht="15" customHeight="1" outlineLevel="1" thickBot="1" x14ac:dyDescent="0.3">
      <c r="A114" s="404"/>
      <c r="B114" s="836"/>
      <c r="C114" s="832">
        <v>1</v>
      </c>
      <c r="D114" s="689" t="str">
        <f>IF(AND(F114="-",G114="-",H114="-",I114="-",J114="-",K114="-",L114="-",M114="-"),"-",MAX(F114,G114,H114,I114,J114,K114,L114,M114))</f>
        <v>-</v>
      </c>
      <c r="E114" s="444" t="s">
        <v>177</v>
      </c>
      <c r="F114" s="445" t="str">
        <f t="shared" ref="F114:K114" si="166">IF(OR(F113="-",F113=""),IF(OR(F112="-",F112=""),"-",F112),IF(OR(F112="-",F112=""),F113,(F112+F113)/2))</f>
        <v>-</v>
      </c>
      <c r="G114" s="445" t="str">
        <f t="shared" si="166"/>
        <v>-</v>
      </c>
      <c r="H114" s="445" t="str">
        <f t="shared" si="166"/>
        <v>-</v>
      </c>
      <c r="I114" s="445" t="str">
        <f t="shared" si="166"/>
        <v>-</v>
      </c>
      <c r="J114" s="445" t="str">
        <f t="shared" si="166"/>
        <v>-</v>
      </c>
      <c r="K114" s="446" t="str">
        <f t="shared" si="166"/>
        <v>-</v>
      </c>
      <c r="L114" s="446" t="str">
        <f t="shared" ref="L114:M114" si="167">IF(OR(L113="-",L113=""),IF(OR(L112="-",L112=""),"-",L112),IF(OR(L112="-",L112=""),L113,(L112+L113)/2))</f>
        <v>-</v>
      </c>
      <c r="M114" s="446" t="str">
        <f t="shared" si="167"/>
        <v>-</v>
      </c>
      <c r="N114" s="828"/>
      <c r="O114" s="672"/>
      <c r="P114" s="673"/>
      <c r="Q114" s="673"/>
      <c r="R114" s="674"/>
      <c r="S114" s="672"/>
      <c r="T114" s="673"/>
      <c r="U114" s="673"/>
      <c r="V114" s="674"/>
      <c r="W114" s="512"/>
      <c r="X114" s="512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BC114" s="536"/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ht="15" customHeight="1" outlineLevel="1" thickBot="1" x14ac:dyDescent="0.3">
      <c r="A115" s="404"/>
      <c r="B115" s="836"/>
      <c r="C115" s="833"/>
      <c r="D115" s="690"/>
      <c r="E115" s="447" t="s">
        <v>97</v>
      </c>
      <c r="F115" s="448" t="str">
        <f t="shared" ref="F115:K115" si="168">IF(AND(OR($C114="-",$C114="CET",$C114=""),OR(F111="-",F111="CET",F111="")),"-",IF(AND(NOT(F114="-"),NOT(F$5="-"),NOT(F$5="")),F114/F$5,"-"))</f>
        <v>-</v>
      </c>
      <c r="G115" s="448" t="str">
        <f t="shared" si="168"/>
        <v>-</v>
      </c>
      <c r="H115" s="448" t="str">
        <f t="shared" si="168"/>
        <v>-</v>
      </c>
      <c r="I115" s="448" t="str">
        <f t="shared" si="168"/>
        <v>-</v>
      </c>
      <c r="J115" s="448" t="str">
        <f t="shared" si="168"/>
        <v>-</v>
      </c>
      <c r="K115" s="449" t="str">
        <f t="shared" si="168"/>
        <v>-</v>
      </c>
      <c r="L115" s="449" t="str">
        <f t="shared" ref="L115:M115" si="169">IF(AND(OR($C114="-",$C114="CET",$C114=""),OR(L111="-",L111="CET",L111="")),"-",IF(AND(NOT(L114="-"),NOT(L$5="-"),NOT(L$5="")),L114/L$5,"-"))</f>
        <v>-</v>
      </c>
      <c r="M115" s="449" t="str">
        <f t="shared" si="169"/>
        <v>-</v>
      </c>
      <c r="N115" s="702"/>
      <c r="O115" s="672"/>
      <c r="P115" s="673"/>
      <c r="Q115" s="673"/>
      <c r="R115" s="674"/>
      <c r="S115" s="672"/>
      <c r="T115" s="673"/>
      <c r="U115" s="673"/>
      <c r="V115" s="674"/>
      <c r="W115" s="512"/>
      <c r="X115" s="512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BD115" s="429" t="str">
        <f>"0.7*IEF " &amp; (B105)</f>
        <v>0.7*IEF US6</v>
      </c>
      <c r="BE115" s="435" t="str">
        <f t="shared" ref="BE115:BJ115" si="170">IF(AND(OR($C108="-",$C108="CET",$C108=""),OR(F105="-",F105="CET",F105="")),"-",0.7*IF(OR(F105="CET",F105="-",F105=""),IF(OR($C108="CET",$C108="-",$C108=""),"-",$C108),F105))</f>
        <v>-</v>
      </c>
      <c r="BF115" s="435" t="str">
        <f t="shared" si="170"/>
        <v>-</v>
      </c>
      <c r="BG115" s="435" t="str">
        <f t="shared" si="170"/>
        <v>-</v>
      </c>
      <c r="BH115" s="435" t="str">
        <f t="shared" si="170"/>
        <v>-</v>
      </c>
      <c r="BI115" s="435" t="str">
        <f t="shared" si="170"/>
        <v>-</v>
      </c>
      <c r="BJ115" s="435" t="str">
        <f t="shared" si="170"/>
        <v>-</v>
      </c>
      <c r="BK115" s="435" t="str">
        <f t="shared" ref="BK115:BL115" si="171">IF(AND(OR($C108="-",$C108="CET",$C108=""),OR(L105="-",L105="CET",L105="")),"-",0.7*IF(OR(L105="CET",L105="-",L105=""),IF(OR($C108="CET",$C108="-",$C108=""),"-",$C108),L105))</f>
        <v>-</v>
      </c>
      <c r="BL115" s="435" t="str">
        <f t="shared" si="171"/>
        <v>-</v>
      </c>
    </row>
    <row r="116" spans="1:64" ht="15" customHeight="1" outlineLevel="1" thickBot="1" x14ac:dyDescent="0.3">
      <c r="A116" s="404"/>
      <c r="B116" s="837"/>
      <c r="C116" s="834"/>
      <c r="D116" s="691"/>
      <c r="E116" s="451" t="s">
        <v>30</v>
      </c>
      <c r="F116" s="451" t="str">
        <f t="shared" ref="F116:K116" si="172">IF(AND(OR(F112="-",F112=""),OR(F113="-",F113="")),"-",IF(AND(OR(F111="CET",F111="-",F111=""),OR($C114="CET",$C114="-",$C114="")),"-",IF($R$9="not listed","-",IF(AND(NOT(F$5="-"),NOT(F$5="")),IF(AND(AND(NOT(F112=0),NOT(F112="-"),NOT(F112="")),AND(NOT(F113="-"),NOT(F113=0),NOT(F113=""))),IF(AND((F112+F113)/2&lt;1*F$5*IF(OR(F111="CET",F111="-",F111=""),IF(OR($C114="CET",$C114="-",$C114=""),"-",$C114),F111),F112&lt;1.1*F$5*IF(OR(F111="CET",F111="-",F111=""),IF(OR($C114="CET",$C114="-",$C114=""),"-",$C114),F111),F113&lt;1.1*F$5*IF(OR(F111="CET",F111="-",F111=""),IF($C114="CET","-",$C114),F111)),"passed","refused"),IF(IF(OR(F112="-",F112=""),F113,F112)&lt;0.7*F$5*IF(OR(F111="CET",F111="-",F111=""),IF($C114="CET","-",$C114),F111),"passed",IF(IF(OR(F112="-",F112=""),F113,F112)&lt;1.1*IF(OR(F111="CET",F111="-",F111=""),IF($C114="CET","-",$C114),F111)*F$5,"failed","refused"))),"-"))))</f>
        <v>-</v>
      </c>
      <c r="G116" s="451" t="str">
        <f t="shared" si="172"/>
        <v>-</v>
      </c>
      <c r="H116" s="451" t="str">
        <f t="shared" si="172"/>
        <v>-</v>
      </c>
      <c r="I116" s="451" t="str">
        <f t="shared" si="172"/>
        <v>-</v>
      </c>
      <c r="J116" s="451" t="str">
        <f t="shared" si="172"/>
        <v>-</v>
      </c>
      <c r="K116" s="452" t="str">
        <f t="shared" si="172"/>
        <v>-</v>
      </c>
      <c r="L116" s="452" t="str">
        <f t="shared" ref="L116:M116" si="173">IF(AND(OR(L112="-",L112=""),OR(L113="-",L113="")),"-",IF(AND(OR(L111="CET",L111="-",L111=""),OR($C114="CET",$C114="-",$C114="")),"-",IF($R$9="not listed","-",IF(AND(NOT(L$5="-"),NOT(L$5="")),IF(AND(AND(NOT(L112=0),NOT(L112="-"),NOT(L112="")),AND(NOT(L113="-"),NOT(L113=0),NOT(L113=""))),IF(AND((L112+L113)/2&lt;1*L$5*IF(OR(L111="CET",L111="-",L111=""),IF(OR($C114="CET",$C114="-",$C114=""),"-",$C114),L111),L112&lt;1.1*L$5*IF(OR(L111="CET",L111="-",L111=""),IF(OR($C114="CET",$C114="-",$C114=""),"-",$C114),L111),L113&lt;1.1*L$5*IF(OR(L111="CET",L111="-",L111=""),IF($C114="CET","-",$C114),L111)),"passed","refused"),IF(IF(OR(L112="-",L112=""),L113,L112)&lt;0.7*L$5*IF(OR(L111="CET",L111="-",L111=""),IF($C114="CET","-",$C114),L111),"passed",IF(IF(OR(L112="-",L112=""),L113,L112)&lt;1.1*IF(OR(L111="CET",L111="-",L111=""),IF($C114="CET","-",$C114),L111)*L$5,"failed","refused"))),"-"))))</f>
        <v>-</v>
      </c>
      <c r="M116" s="452" t="str">
        <f t="shared" si="173"/>
        <v>-</v>
      </c>
      <c r="N116" s="685"/>
      <c r="O116" s="672"/>
      <c r="P116" s="673"/>
      <c r="Q116" s="673"/>
      <c r="R116" s="674"/>
      <c r="S116" s="672"/>
      <c r="T116" s="673"/>
      <c r="U116" s="673"/>
      <c r="V116" s="674"/>
      <c r="W116" s="512"/>
      <c r="X116" s="512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BC116" s="399" t="str">
        <f>IF(COUNTIF(F116:M116,"refused")&gt;0,"refused",IF(COUNTIF(F116:M116,"failed")&gt;0,"failed",IF(COUNTIF(F116:M116,"passed")&gt;0,"passed","-")))</f>
        <v>-</v>
      </c>
      <c r="BD116" s="429" t="str">
        <f>"0.7*IEF " &amp; (B111)</f>
        <v>0.7*IEF HWY</v>
      </c>
      <c r="BE116" s="435">
        <f t="shared" ref="BE116:BJ116" si="174">IF(AND(OR($C114="-",$C114="CET",$C114=""),OR(F111="-",F111="CET",F111="")),"-",0.7*IF(OR(F111="CET",F111="-",F111=""),IF(OR($C114="CET",$C114="-",$C114=""),"-",$C114),F111))</f>
        <v>0.7</v>
      </c>
      <c r="BF116" s="435">
        <f t="shared" si="174"/>
        <v>0.7</v>
      </c>
      <c r="BG116" s="435">
        <f t="shared" si="174"/>
        <v>0.7</v>
      </c>
      <c r="BH116" s="435">
        <f t="shared" si="174"/>
        <v>0.7</v>
      </c>
      <c r="BI116" s="435">
        <f t="shared" si="174"/>
        <v>0.7</v>
      </c>
      <c r="BJ116" s="435">
        <f t="shared" si="174"/>
        <v>0.7</v>
      </c>
      <c r="BK116" s="435">
        <f t="shared" ref="BK116:BL116" si="175">IF(AND(OR($C114="-",$C114="CET",$C114=""),OR(L111="-",L111="CET",L111="")),"-",0.7*IF(OR(L111="CET",L111="-",L111=""),IF(OR($C114="CET",$C114="-",$C114=""),"-",$C114),L111))</f>
        <v>0.7</v>
      </c>
      <c r="BL116" s="435">
        <f t="shared" si="175"/>
        <v>0.7</v>
      </c>
    </row>
    <row r="117" spans="1:64" ht="15" customHeight="1" outlineLevel="1" x14ac:dyDescent="0.25">
      <c r="A117" s="404"/>
      <c r="B117" s="539"/>
      <c r="C117" s="487"/>
      <c r="D117" s="510"/>
      <c r="E117" s="510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512"/>
      <c r="X117" s="512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BD117" s="429"/>
      <c r="BE117" s="435"/>
      <c r="BF117" s="435"/>
      <c r="BG117" s="435"/>
      <c r="BH117" s="435"/>
      <c r="BI117" s="435"/>
      <c r="BJ117" s="435"/>
      <c r="BK117" s="435"/>
      <c r="BL117" s="435"/>
    </row>
    <row r="118" spans="1:64" ht="15" customHeight="1" outlineLevel="1" x14ac:dyDescent="0.25">
      <c r="A118" s="404"/>
      <c r="B118" s="539"/>
      <c r="C118" s="487"/>
      <c r="D118" s="510"/>
      <c r="E118" s="510"/>
      <c r="F118" s="466"/>
      <c r="G118" s="466"/>
      <c r="H118" s="466"/>
      <c r="I118" s="466"/>
      <c r="J118" s="466"/>
      <c r="K118" s="464"/>
      <c r="L118" s="464"/>
      <c r="M118" s="464"/>
      <c r="N118" s="467"/>
      <c r="O118" s="672"/>
      <c r="P118" s="673"/>
      <c r="Q118" s="673"/>
      <c r="R118" s="674"/>
      <c r="S118" s="672"/>
      <c r="T118" s="673"/>
      <c r="U118" s="673"/>
      <c r="V118" s="674"/>
      <c r="W118" s="512"/>
      <c r="X118" s="512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ht="15" customHeight="1" outlineLevel="1" x14ac:dyDescent="0.25">
      <c r="A119" s="404"/>
      <c r="B119" s="539"/>
      <c r="C119" s="487"/>
      <c r="D119" s="510"/>
      <c r="E119" s="510"/>
      <c r="F119" s="510"/>
      <c r="G119" s="510"/>
      <c r="H119" s="510"/>
      <c r="I119" s="510"/>
      <c r="J119" s="510"/>
      <c r="K119" s="464"/>
      <c r="L119" s="464"/>
      <c r="M119" s="464"/>
      <c r="N119" s="468"/>
      <c r="O119" s="672"/>
      <c r="P119" s="673"/>
      <c r="Q119" s="673"/>
      <c r="R119" s="674"/>
      <c r="S119" s="672"/>
      <c r="T119" s="673"/>
      <c r="U119" s="673"/>
      <c r="V119" s="674"/>
      <c r="W119" s="512"/>
      <c r="X119" s="512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BD119" s="429" t="str">
        <f>B105</f>
        <v>US6</v>
      </c>
      <c r="BE119" s="435" t="str">
        <f t="shared" ref="BE119:BJ119" si="176">F109</f>
        <v>-</v>
      </c>
      <c r="BF119" s="435" t="str">
        <f t="shared" si="176"/>
        <v>-</v>
      </c>
      <c r="BG119" s="435" t="str">
        <f t="shared" si="176"/>
        <v>-</v>
      </c>
      <c r="BH119" s="435" t="str">
        <f t="shared" si="176"/>
        <v>-</v>
      </c>
      <c r="BI119" s="435" t="str">
        <f t="shared" si="176"/>
        <v>-</v>
      </c>
      <c r="BJ119" s="435" t="str">
        <f t="shared" si="176"/>
        <v>-</v>
      </c>
      <c r="BK119" s="435" t="str">
        <f t="shared" ref="BK119:BL119" si="177">L109</f>
        <v>-</v>
      </c>
      <c r="BL119" s="435" t="str">
        <f t="shared" si="177"/>
        <v>-</v>
      </c>
    </row>
    <row r="120" spans="1:64" ht="15" customHeight="1" outlineLevel="1" x14ac:dyDescent="0.25">
      <c r="A120" s="404"/>
      <c r="B120" s="539"/>
      <c r="C120" s="487"/>
      <c r="D120" s="510"/>
      <c r="E120" s="510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512"/>
      <c r="X120" s="512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BD120" s="429" t="str">
        <f>B111</f>
        <v>HWY</v>
      </c>
      <c r="BE120" s="435" t="str">
        <f t="shared" ref="BE120:BJ120" si="178">F115</f>
        <v>-</v>
      </c>
      <c r="BF120" s="435" t="str">
        <f t="shared" si="178"/>
        <v>-</v>
      </c>
      <c r="BG120" s="435" t="str">
        <f t="shared" si="178"/>
        <v>-</v>
      </c>
      <c r="BH120" s="435" t="str">
        <f t="shared" si="178"/>
        <v>-</v>
      </c>
      <c r="BI120" s="435" t="str">
        <f t="shared" si="178"/>
        <v>-</v>
      </c>
      <c r="BJ120" s="435" t="str">
        <f t="shared" si="178"/>
        <v>-</v>
      </c>
      <c r="BK120" s="435" t="str">
        <f t="shared" ref="BK120:BL120" si="179">L115</f>
        <v>-</v>
      </c>
      <c r="BL120" s="435" t="str">
        <f t="shared" si="179"/>
        <v>-</v>
      </c>
    </row>
    <row r="121" spans="1:64" ht="15" customHeight="1" outlineLevel="1" x14ac:dyDescent="0.25">
      <c r="A121" s="404"/>
      <c r="B121" s="539"/>
      <c r="C121" s="487"/>
      <c r="D121" s="510"/>
      <c r="E121" s="510"/>
      <c r="F121" s="463"/>
      <c r="G121" s="463"/>
      <c r="H121" s="463"/>
      <c r="I121" s="463"/>
      <c r="J121" s="463"/>
      <c r="K121" s="464"/>
      <c r="L121" s="464"/>
      <c r="M121" s="464"/>
      <c r="N121" s="465"/>
      <c r="O121" s="672"/>
      <c r="P121" s="673"/>
      <c r="Q121" s="673"/>
      <c r="R121" s="674"/>
      <c r="S121" s="672"/>
      <c r="T121" s="673"/>
      <c r="U121" s="673"/>
      <c r="V121" s="674"/>
      <c r="W121" s="512"/>
      <c r="X121" s="512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BD121" s="429"/>
      <c r="BE121" s="435"/>
      <c r="BF121" s="435"/>
      <c r="BG121" s="435"/>
      <c r="BH121" s="435"/>
      <c r="BI121" s="435"/>
      <c r="BJ121" s="435"/>
      <c r="BK121" s="435"/>
      <c r="BL121" s="435"/>
    </row>
    <row r="122" spans="1:64" ht="15" customHeight="1" outlineLevel="1" x14ac:dyDescent="0.25">
      <c r="A122" s="404"/>
      <c r="B122" s="539"/>
      <c r="C122" s="487"/>
      <c r="D122" s="510"/>
      <c r="E122" s="510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W122" s="512"/>
      <c r="X122" s="512"/>
      <c r="Y122" s="678"/>
      <c r="Z122" s="678"/>
      <c r="AA122" s="678"/>
      <c r="AB122" s="678"/>
      <c r="AC122" s="678"/>
      <c r="AD122" s="678"/>
      <c r="AE122" s="678"/>
      <c r="AF122" s="678"/>
      <c r="AG122" s="678"/>
      <c r="AH122" s="678"/>
      <c r="BD122" s="429" t="str">
        <f>"IEF " &amp;B105</f>
        <v>IEF US6</v>
      </c>
      <c r="BE122" s="435" t="str">
        <f t="shared" ref="BE122:BJ122" si="180">IF(AND(OR($C108="-",$C108="CET",$C108=""),OR(F105="-",F105="CET",F105="")),"-",IF(OR(F105="CET",F105="-",F105=""),IF(OR($C108="CET",$C108="-",$C108=""),"-",$C108),F105))</f>
        <v>-</v>
      </c>
      <c r="BF122" s="435" t="str">
        <f t="shared" si="180"/>
        <v>-</v>
      </c>
      <c r="BG122" s="435" t="str">
        <f t="shared" si="180"/>
        <v>-</v>
      </c>
      <c r="BH122" s="435" t="str">
        <f t="shared" si="180"/>
        <v>-</v>
      </c>
      <c r="BI122" s="435" t="str">
        <f t="shared" si="180"/>
        <v>-</v>
      </c>
      <c r="BJ122" s="435" t="str">
        <f t="shared" si="180"/>
        <v>-</v>
      </c>
      <c r="BK122" s="435" t="str">
        <f t="shared" ref="BK122:BL122" si="181">IF(AND(OR($C108="-",$C108="CET",$C108=""),OR(L105="-",L105="CET",L105="")),"-",IF(OR(L105="CET",L105="-",L105=""),IF(OR($C108="CET",$C108="-",$C108=""),"-",$C108),L105))</f>
        <v>-</v>
      </c>
      <c r="BL122" s="435" t="str">
        <f t="shared" si="181"/>
        <v>-</v>
      </c>
    </row>
    <row r="123" spans="1:64" ht="15" customHeight="1" outlineLevel="1" x14ac:dyDescent="0.25">
      <c r="A123" s="404"/>
      <c r="B123" s="539"/>
      <c r="C123" s="487"/>
      <c r="D123" s="510"/>
      <c r="E123" s="510"/>
      <c r="F123" s="466"/>
      <c r="G123" s="466"/>
      <c r="H123" s="466"/>
      <c r="I123" s="466"/>
      <c r="J123" s="466"/>
      <c r="K123" s="464"/>
      <c r="L123" s="464"/>
      <c r="M123" s="464"/>
      <c r="N123" s="467"/>
      <c r="O123" s="672"/>
      <c r="P123" s="673"/>
      <c r="Q123" s="673"/>
      <c r="R123" s="674"/>
      <c r="S123" s="672"/>
      <c r="T123" s="673"/>
      <c r="U123" s="673"/>
      <c r="V123" s="674"/>
      <c r="W123" s="512"/>
      <c r="X123" s="512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BD123" s="429" t="str">
        <f>"IEF " &amp;B111</f>
        <v>IEF HWY</v>
      </c>
      <c r="BE123" s="435">
        <f t="shared" ref="BE123:BJ123" si="182">IF(AND(OR($C114="-",$C114="CET",$C114=""),OR(F111="-",F111="CET",F111="")),"-",IF(OR(F111="CET",F111="-",F111=""),IF(OR($C114="CET",$C114="-",$C114=""),"-",$C114),F111))</f>
        <v>1</v>
      </c>
      <c r="BF123" s="435">
        <f t="shared" si="182"/>
        <v>1</v>
      </c>
      <c r="BG123" s="435">
        <f t="shared" si="182"/>
        <v>1</v>
      </c>
      <c r="BH123" s="435">
        <f t="shared" si="182"/>
        <v>1</v>
      </c>
      <c r="BI123" s="435">
        <f t="shared" si="182"/>
        <v>1</v>
      </c>
      <c r="BJ123" s="435">
        <f t="shared" si="182"/>
        <v>1</v>
      </c>
      <c r="BK123" s="435">
        <f t="shared" ref="BK123:BL123" si="183">IF(AND(OR($C114="-",$C114="CET",$C114=""),OR(L111="-",L111="CET",L111="")),"-",IF(OR(L111="CET",L111="-",L111=""),IF(OR($C114="CET",$C114="-",$C114=""),"-",$C114),L111))</f>
        <v>1</v>
      </c>
      <c r="BL123" s="435">
        <f t="shared" si="183"/>
        <v>1</v>
      </c>
    </row>
    <row r="124" spans="1:64" ht="15.75" outlineLevel="1" thickBot="1" x14ac:dyDescent="0.3">
      <c r="B124" s="540"/>
      <c r="C124" s="496"/>
      <c r="D124" s="516"/>
      <c r="E124" s="516"/>
      <c r="F124" s="516"/>
      <c r="G124" s="516"/>
      <c r="H124" s="516"/>
      <c r="I124" s="516"/>
      <c r="J124" s="516"/>
      <c r="K124" s="470"/>
      <c r="L124" s="470"/>
      <c r="M124" s="470"/>
      <c r="N124" s="471"/>
      <c r="O124" s="675"/>
      <c r="P124" s="676"/>
      <c r="Q124" s="676"/>
      <c r="R124" s="677"/>
      <c r="S124" s="675"/>
      <c r="T124" s="676"/>
      <c r="U124" s="676"/>
      <c r="V124" s="677"/>
      <c r="BD124" s="459"/>
      <c r="BE124" s="459"/>
      <c r="BF124" s="459"/>
      <c r="BG124" s="459"/>
      <c r="BH124" s="459"/>
      <c r="BI124" s="459"/>
      <c r="BJ124" s="459"/>
      <c r="BK124" s="459"/>
      <c r="BL124" s="459"/>
    </row>
    <row r="125" spans="1:64" ht="15" customHeight="1" x14ac:dyDescent="0.25">
      <c r="BD125" s="459"/>
      <c r="BE125" s="459"/>
      <c r="BF125" s="459"/>
      <c r="BG125" s="459"/>
      <c r="BH125" s="459"/>
      <c r="BI125" s="459"/>
      <c r="BJ125" s="459"/>
      <c r="BK125" s="459"/>
      <c r="BL125" s="459"/>
    </row>
    <row r="126" spans="1:64" ht="15" customHeight="1" x14ac:dyDescent="0.25">
      <c r="BD126" s="459"/>
      <c r="BE126" s="459"/>
      <c r="BF126" s="459"/>
      <c r="BG126" s="459"/>
      <c r="BH126" s="459"/>
      <c r="BI126" s="459"/>
      <c r="BJ126" s="459"/>
      <c r="BK126" s="459"/>
      <c r="BL126" s="459"/>
    </row>
    <row r="127" spans="1:64" ht="15" customHeight="1" thickBot="1" x14ac:dyDescent="0.3">
      <c r="A127" s="396"/>
      <c r="W127" s="414"/>
      <c r="X127" s="414"/>
      <c r="Y127" s="414"/>
      <c r="Z127" s="414"/>
      <c r="AA127" s="414"/>
      <c r="AB127" s="414"/>
      <c r="AC127" s="414"/>
      <c r="AD127" s="414"/>
      <c r="AE127" s="414"/>
      <c r="AF127" s="414"/>
      <c r="AG127" s="414"/>
      <c r="AH127" s="414"/>
      <c r="BD127" s="459"/>
      <c r="BE127" s="459"/>
      <c r="BF127" s="459"/>
      <c r="BG127" s="459"/>
      <c r="BH127" s="459"/>
      <c r="BI127" s="459"/>
      <c r="BJ127" s="459"/>
      <c r="BK127" s="459"/>
      <c r="BL127" s="459"/>
    </row>
    <row r="128" spans="1:64" ht="24.95" customHeight="1" thickBot="1" x14ac:dyDescent="0.3">
      <c r="A128" s="396"/>
      <c r="B128" s="415">
        <v>5</v>
      </c>
      <c r="C128" s="838" t="s">
        <v>132</v>
      </c>
      <c r="D128" s="838"/>
      <c r="E128" s="838"/>
      <c r="F128" s="838"/>
      <c r="G128" s="838"/>
      <c r="H128" s="838"/>
      <c r="I128" s="838"/>
      <c r="J128" s="838"/>
      <c r="K128" s="838"/>
      <c r="L128" s="838"/>
      <c r="M128" s="838"/>
      <c r="N128" s="838"/>
      <c r="O128" s="416" t="s">
        <v>117</v>
      </c>
      <c r="P128" s="398" t="str">
        <f>IF(COUNTIF(F136:M137,"refused")&gt;0,"refused",IF(COUNTIF(F136:M137,"failed")&gt;0,"failed",IF(COUNTIF(F136:M137,"passed")&gt;0,"passed","-")))</f>
        <v>-</v>
      </c>
      <c r="Q128" s="399" t="s">
        <v>80</v>
      </c>
      <c r="R128" s="399" t="str">
        <f>IF(COUNT(F133:M134)&gt;0,"listed","not listed")</f>
        <v>not listed</v>
      </c>
      <c r="S128" s="511"/>
      <c r="T128" s="418"/>
      <c r="U128" s="418"/>
      <c r="V128" s="419"/>
      <c r="W128" s="414"/>
      <c r="X128" s="414"/>
      <c r="Y128" s="414"/>
      <c r="Z128" s="414"/>
      <c r="AA128" s="414"/>
      <c r="AB128" s="414"/>
      <c r="AC128" s="414"/>
      <c r="AD128" s="414"/>
      <c r="AE128" s="414"/>
      <c r="AF128" s="414"/>
      <c r="AG128" s="414"/>
      <c r="AH128" s="414"/>
    </row>
    <row r="129" spans="1:78" ht="15" customHeight="1" outlineLevel="1" thickBot="1" x14ac:dyDescent="0.3">
      <c r="A129" s="396"/>
      <c r="B129" s="513"/>
      <c r="C129" s="514"/>
      <c r="D129" s="514"/>
      <c r="E129" s="514"/>
      <c r="F129" s="514"/>
      <c r="G129" s="514"/>
      <c r="H129" s="514"/>
      <c r="I129" s="514"/>
      <c r="J129" s="514"/>
      <c r="K129" s="421"/>
      <c r="L129" s="421"/>
      <c r="M129" s="421"/>
      <c r="N129" s="514"/>
      <c r="O129" s="514"/>
      <c r="P129" s="514"/>
      <c r="Q129" s="514"/>
      <c r="R129" s="514"/>
      <c r="S129" s="514"/>
      <c r="T129" s="422"/>
      <c r="U129" s="422"/>
      <c r="V129" s="423"/>
      <c r="W129" s="424"/>
      <c r="X129" s="424"/>
      <c r="Y129" s="698"/>
      <c r="Z129" s="698"/>
      <c r="AA129" s="698"/>
      <c r="AB129" s="698"/>
      <c r="AC129" s="698"/>
      <c r="AD129" s="698"/>
      <c r="AE129" s="698"/>
      <c r="AF129" s="698"/>
      <c r="AG129" s="698"/>
      <c r="AH129" s="698"/>
    </row>
    <row r="130" spans="1:78" ht="15" customHeight="1" outlineLevel="1" thickBot="1" x14ac:dyDescent="0.3">
      <c r="A130" s="396"/>
      <c r="B130" s="695" t="s">
        <v>81</v>
      </c>
      <c r="C130" s="696"/>
      <c r="D130" s="696"/>
      <c r="E130" s="696"/>
      <c r="F130" s="696"/>
      <c r="G130" s="696"/>
      <c r="H130" s="696"/>
      <c r="I130" s="696"/>
      <c r="J130" s="696"/>
      <c r="K130" s="696"/>
      <c r="L130" s="696"/>
      <c r="M130" s="696"/>
      <c r="N130" s="697"/>
      <c r="O130" s="695" t="s">
        <v>82</v>
      </c>
      <c r="P130" s="696"/>
      <c r="Q130" s="696"/>
      <c r="R130" s="697"/>
      <c r="S130" s="695" t="s">
        <v>83</v>
      </c>
      <c r="T130" s="696"/>
      <c r="U130" s="696"/>
      <c r="V130" s="697"/>
      <c r="W130" s="512"/>
      <c r="X130" s="512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</row>
    <row r="131" spans="1:78" ht="35.1" customHeight="1" outlineLevel="1" thickBot="1" x14ac:dyDescent="0.3">
      <c r="A131" s="396"/>
      <c r="B131" s="709" t="s">
        <v>84</v>
      </c>
      <c r="C131" s="682"/>
      <c r="D131" s="682"/>
      <c r="E131" s="683"/>
      <c r="F131" s="425" t="s">
        <v>72</v>
      </c>
      <c r="G131" s="517" t="s">
        <v>73</v>
      </c>
      <c r="H131" s="425" t="s">
        <v>74</v>
      </c>
      <c r="I131" s="425" t="s">
        <v>75</v>
      </c>
      <c r="J131" s="425" t="s">
        <v>76</v>
      </c>
      <c r="K131" s="534" t="s">
        <v>170</v>
      </c>
      <c r="L131" s="535" t="str">
        <f>$L$4</f>
        <v>Additional
component</v>
      </c>
      <c r="M131" s="535" t="str">
        <f>$M$4</f>
        <v>Additional
component 2</v>
      </c>
      <c r="N131" s="425" t="s">
        <v>77</v>
      </c>
      <c r="O131" s="669"/>
      <c r="P131" s="670"/>
      <c r="Q131" s="670"/>
      <c r="R131" s="671"/>
      <c r="S131" s="669"/>
      <c r="T131" s="670"/>
      <c r="U131" s="670"/>
      <c r="V131" s="671"/>
      <c r="W131" s="512"/>
      <c r="X131" s="512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536"/>
    </row>
    <row r="132" spans="1:78" ht="15" customHeight="1" outlineLevel="1" thickBot="1" x14ac:dyDescent="0.3">
      <c r="A132" s="396"/>
      <c r="B132" s="835" t="s">
        <v>169</v>
      </c>
      <c r="C132" s="515" t="s">
        <v>64</v>
      </c>
      <c r="D132" s="709" t="s">
        <v>119</v>
      </c>
      <c r="E132" s="683"/>
      <c r="F132" s="432" t="s">
        <v>64</v>
      </c>
      <c r="G132" s="432" t="s">
        <v>64</v>
      </c>
      <c r="H132" s="432" t="s">
        <v>64</v>
      </c>
      <c r="I132" s="432" t="s">
        <v>64</v>
      </c>
      <c r="J132" s="432" t="s">
        <v>64</v>
      </c>
      <c r="K132" s="433" t="s">
        <v>64</v>
      </c>
      <c r="L132" s="433" t="s">
        <v>64</v>
      </c>
      <c r="M132" s="433" t="s">
        <v>64</v>
      </c>
      <c r="N132" s="432" t="s">
        <v>64</v>
      </c>
      <c r="O132" s="672"/>
      <c r="P132" s="673"/>
      <c r="Q132" s="673"/>
      <c r="R132" s="674"/>
      <c r="S132" s="672"/>
      <c r="T132" s="673"/>
      <c r="U132" s="673"/>
      <c r="V132" s="674"/>
      <c r="W132" s="512"/>
      <c r="X132" s="512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BC132" s="536"/>
    </row>
    <row r="133" spans="1:78" s="405" customFormat="1" ht="15" customHeight="1" outlineLevel="1" x14ac:dyDescent="0.25">
      <c r="A133" s="439"/>
      <c r="B133" s="836"/>
      <c r="C133" s="684" t="s">
        <v>114</v>
      </c>
      <c r="D133" s="684" t="s">
        <v>113</v>
      </c>
      <c r="E133" s="453" t="s">
        <v>94</v>
      </c>
      <c r="F133" s="473" t="s">
        <v>5</v>
      </c>
      <c r="G133" s="473" t="s">
        <v>5</v>
      </c>
      <c r="H133" s="473" t="s">
        <v>5</v>
      </c>
      <c r="I133" s="473" t="s">
        <v>5</v>
      </c>
      <c r="J133" s="473" t="s">
        <v>5</v>
      </c>
      <c r="K133" s="474" t="s">
        <v>5</v>
      </c>
      <c r="L133" s="474" t="s">
        <v>5</v>
      </c>
      <c r="M133" s="474" t="s">
        <v>5</v>
      </c>
      <c r="N133" s="473" t="s">
        <v>5</v>
      </c>
      <c r="O133" s="672"/>
      <c r="P133" s="673"/>
      <c r="Q133" s="673"/>
      <c r="R133" s="674"/>
      <c r="S133" s="672"/>
      <c r="T133" s="673"/>
      <c r="U133" s="673"/>
      <c r="V133" s="674"/>
      <c r="W133" s="443"/>
      <c r="X133" s="443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</row>
    <row r="134" spans="1:78" ht="15" customHeight="1" outlineLevel="1" thickBot="1" x14ac:dyDescent="0.3">
      <c r="A134" s="396"/>
      <c r="B134" s="836"/>
      <c r="C134" s="685"/>
      <c r="D134" s="685"/>
      <c r="E134" s="440" t="s">
        <v>95</v>
      </c>
      <c r="F134" s="475" t="s">
        <v>5</v>
      </c>
      <c r="G134" s="475" t="s">
        <v>5</v>
      </c>
      <c r="H134" s="475" t="s">
        <v>5</v>
      </c>
      <c r="I134" s="475" t="s">
        <v>5</v>
      </c>
      <c r="J134" s="475" t="s">
        <v>5</v>
      </c>
      <c r="K134" s="476" t="s">
        <v>5</v>
      </c>
      <c r="L134" s="476" t="s">
        <v>5</v>
      </c>
      <c r="M134" s="476" t="s">
        <v>5</v>
      </c>
      <c r="N134" s="475" t="s">
        <v>5</v>
      </c>
      <c r="O134" s="672"/>
      <c r="P134" s="673"/>
      <c r="Q134" s="673"/>
      <c r="R134" s="674"/>
      <c r="S134" s="672"/>
      <c r="T134" s="673"/>
      <c r="U134" s="673"/>
      <c r="V134" s="674"/>
      <c r="W134" s="512"/>
      <c r="X134" s="512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</row>
    <row r="135" spans="1:78" ht="15" customHeight="1" outlineLevel="1" thickBot="1" x14ac:dyDescent="0.3">
      <c r="A135" s="396"/>
      <c r="B135" s="836"/>
      <c r="C135" s="832" t="s">
        <v>64</v>
      </c>
      <c r="D135" s="689" t="str">
        <f>IF(AND(F135="-",G135="-",H135="-",I135="-",J135="-",K135="-",L135="-",M135="-"),"-",MAX(F135,G135,H135,I135,J135,K135,L135,M135))</f>
        <v>-</v>
      </c>
      <c r="E135" s="444" t="s">
        <v>177</v>
      </c>
      <c r="F135" s="445" t="str">
        <f t="shared" ref="F135:K135" si="184">IF(OR(F134="-",F134=""),IF(OR(F133="-",F133=""),"-",F133),IF(OR(F133="-",F133=""),F134,(F133+F134)/2))</f>
        <v>-</v>
      </c>
      <c r="G135" s="445" t="str">
        <f t="shared" si="184"/>
        <v>-</v>
      </c>
      <c r="H135" s="445" t="str">
        <f t="shared" si="184"/>
        <v>-</v>
      </c>
      <c r="I135" s="445" t="str">
        <f t="shared" si="184"/>
        <v>-</v>
      </c>
      <c r="J135" s="445" t="str">
        <f t="shared" si="184"/>
        <v>-</v>
      </c>
      <c r="K135" s="446" t="str">
        <f t="shared" si="184"/>
        <v>-</v>
      </c>
      <c r="L135" s="446" t="str">
        <f t="shared" ref="L135:M135" si="185">IF(OR(L134="-",L134=""),IF(OR(L133="-",L133=""),"-",L133),IF(OR(L133="-",L133=""),L134,(L133+L134)/2))</f>
        <v>-</v>
      </c>
      <c r="M135" s="446" t="str">
        <f t="shared" si="185"/>
        <v>-</v>
      </c>
      <c r="N135" s="828"/>
      <c r="O135" s="672"/>
      <c r="P135" s="673"/>
      <c r="Q135" s="673"/>
      <c r="R135" s="674"/>
      <c r="S135" s="672"/>
      <c r="T135" s="673"/>
      <c r="U135" s="673"/>
      <c r="V135" s="674"/>
      <c r="W135" s="512"/>
      <c r="X135" s="512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</row>
    <row r="136" spans="1:78" ht="15" customHeight="1" outlineLevel="1" thickBot="1" x14ac:dyDescent="0.3">
      <c r="A136" s="396"/>
      <c r="B136" s="836"/>
      <c r="C136" s="833"/>
      <c r="D136" s="690"/>
      <c r="E136" s="447" t="s">
        <v>97</v>
      </c>
      <c r="F136" s="448" t="str">
        <f t="shared" ref="F136:K136" si="186">IF(AND(OR($C135="-",$C135="CET",$C135=""),OR(F132="-",F132="CET",F132="")),"-",IF(AND(NOT(F135="-"),NOT(F$7="-"),NOT(F$7="")),F135/F$7,"-"))</f>
        <v>-</v>
      </c>
      <c r="G136" s="448" t="str">
        <f t="shared" si="186"/>
        <v>-</v>
      </c>
      <c r="H136" s="448" t="str">
        <f t="shared" si="186"/>
        <v>-</v>
      </c>
      <c r="I136" s="448" t="str">
        <f t="shared" si="186"/>
        <v>-</v>
      </c>
      <c r="J136" s="448" t="str">
        <f t="shared" si="186"/>
        <v>-</v>
      </c>
      <c r="K136" s="449" t="str">
        <f t="shared" si="186"/>
        <v>-</v>
      </c>
      <c r="L136" s="449" t="str">
        <f t="shared" ref="L136:M136" si="187">IF(AND(OR($C135="-",$C135="CET",$C135=""),OR(L132="-",L132="CET",L132="")),"-",IF(AND(NOT(L135="-"),NOT(L$7="-"),NOT(L$7="")),L135/L$7,"-"))</f>
        <v>-</v>
      </c>
      <c r="M136" s="449" t="str">
        <f t="shared" si="187"/>
        <v>-</v>
      </c>
      <c r="N136" s="702"/>
      <c r="O136" s="672"/>
      <c r="P136" s="673"/>
      <c r="Q136" s="673"/>
      <c r="R136" s="674"/>
      <c r="S136" s="672"/>
      <c r="T136" s="673"/>
      <c r="U136" s="673"/>
      <c r="V136" s="674"/>
      <c r="W136" s="512"/>
      <c r="X136" s="512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U136" s="430" t="s">
        <v>87</v>
      </c>
      <c r="BV136" s="430" t="s">
        <v>88</v>
      </c>
      <c r="BW136" s="430" t="s">
        <v>89</v>
      </c>
      <c r="BX136" s="430" t="s">
        <v>90</v>
      </c>
      <c r="BY136" s="430" t="s">
        <v>91</v>
      </c>
      <c r="BZ136" s="430" t="s">
        <v>92</v>
      </c>
    </row>
    <row r="137" spans="1:78" ht="15" customHeight="1" outlineLevel="1" thickBot="1" x14ac:dyDescent="0.3">
      <c r="A137" s="396"/>
      <c r="B137" s="837"/>
      <c r="C137" s="834"/>
      <c r="D137" s="691"/>
      <c r="E137" s="451" t="s">
        <v>30</v>
      </c>
      <c r="F137" s="451" t="str">
        <f>IF(AND(OR(F133="-",F133=""),OR(F134="-",F134="")),"-",IF(AND(OR(F132="CET",F132="-",F132=""),OR($C135="CET",$C135="-",$C135="")),"-",IF($R$128="not listed","-",IF(AND(NOT(F$7="-"),NOT(F$7="")),IF(AND(AND(NOT(F133=0),NOT(F133="-"),NOT(F133="")),AND(NOT(F134="-"),NOT(F134=0),NOT(F134=""))),IF(AND((F133+F134)/2&lt;1*F$7*IF(OR(F132="CET",F132="-",F132=""),IF(OR($C135="CET",$C135="-",$C135=""),"-",$C135),F132),F133&lt;1.1*F$7*IF(OR(F132="CET",F132="-",F132=""),IF(OR($C135="CET",$C135="-",$C135=""),"-",$C135),F132),F134&lt;1.1*F$7*IF(OR(F132="CET",F132="-",F132=""),IF($C135="CET","-",$C135),F132)),"passed","refused"),IF(IF(OR(F133="-",F133=""),F134,F133)&lt;0.7*F$7*IF(OR(F132="CET",F132="-",F132=""),IF($C135="CET","-",$C135),F132),"passed",IF(IF(OR(F133="-",F133=""),F134,F133)&lt;1.1*IF(OR(F132="CET",F132="-",F132=""),IF($C135="CET","-",$C135),F132)*F$7,"failed","refused"))),"-"))))</f>
        <v>-</v>
      </c>
      <c r="G137" s="451" t="str">
        <f>IF(AND(OR(G133="-",G133=""),OR(G134="-",G134="")),"-",IF(AND(OR(G132="CET",G132="-",G132=""),OR($C135="CET",$C135="-",$C135="")),"-",IF($R$128="not listed","-",IF(OR(NOT(G$7="-"),NOT(G$7="")),IF(AND(AND(NOT(G133=0),NOT(G133="-"),NOT(G133="")),AND(NOT(G134="-"),NOT(G134=0),NOT(G134=""))),IF(AND((G133+G134)/2&lt;1*G$7*IF(OR(G132="CET",G132="-",G132=""),IF(OR($C135="CET",$C135="-",$C135=""),"-",$C135),G132),G133&lt;1.1*G$7*IF(OR(G132="CET",G132="-",G132=""),IF(OR($C135="CET",$C135="-",$C135=""),"-",$C135),G132),G134&lt;1.1*G$7*IF(OR(G132="CET",G132="-",G132=""),IF($C135="CET","-",$C135),G132)),"passed","refused"),IF(IF(OR(G133="-",G133=""),G134,G133)&lt;0.7*G$7*IF(OR(G132="CET",G132="-",G132=""),IF($C135="CET","-",$C135),G132),"passed",IF(IF(OR(G133="-",G133=""),G134,G133)&lt;1.1*IF(OR(G132="CET",G132="-",G132=""),IF($C135="CET","-",$C135),G132)*G$7,"failed","refused"))),"-"))))</f>
        <v>-</v>
      </c>
      <c r="H137" s="451" t="str">
        <f>IF(AND(OR(H133="-",H133=""),OR(H134="-",H134="")),"-",IF(AND(OR(H132="CET",H132="-",H132=""),OR($C135="CET",$C135="-",$C135="")),"-",IF($R$128="not listed","-",IF(OR(NOT(H$7="-"),NOT(H$7="")),IF(AND(AND(NOT(H133=0),NOT(H133="-"),NOT(H133="")),AND(NOT(H134="-"),NOT(H134=0),NOT(H134=""))),IF(AND((H133+H134)/2&lt;1*H$7*IF(OR(H132="CET",H132="-",H132=""),IF(OR($C135="CET",$C135="-",$C135=""),"-",$C135),H132),H133&lt;1.1*H$7*IF(OR(H132="CET",H132="-",H132=""),IF(OR($C135="CET",$C135="-",$C135=""),"-",$C135),H132),H134&lt;1.1*H$7*IF(OR(H132="CET",H132="-",H132=""),IF($C135="CET","-",$C135),H132)),"passed","refused"),IF(IF(OR(H133="-",H133=""),H134,H133)&lt;0.7*H$7*IF(OR(H132="CET",H132="-",H132=""),IF($C135="CET","-",$C135),H132),"passed",IF(IF(OR(H133="-",H133=""),H134,H133)&lt;1.1*IF(OR(H132="CET",H132="-",H132=""),IF($C135="CET","-",$C135),H132)*H$7,"failed","refused"))),"-"))))</f>
        <v>-</v>
      </c>
      <c r="I137" s="451" t="str">
        <f>IF(AND(OR(I133="-",I133=""),OR(I134="-",I134="")),"-",IF(AND(OR(I132="CET",I132="-",I132=""),OR($C135="CET",$C135="-",$C135="")),"-",IF($R$128="not listed","-",IF(OR(NOT(I$7="-"),NOT(I$7="")),IF(AND(AND(NOT(I133=0),NOT(I133="-"),NOT(I133="")),AND(NOT(I134="-"),NOT(I134=0),NOT(I134=""))),IF(AND((I133+I134)/2&lt;1*I$7*IF(OR(I132="CET",I132="-",I132=""),IF(OR($C135="CET",$C135="-",$C135=""),"-",$C135),I132),I133&lt;1.1*I$7*IF(OR(I132="CET",I132="-",I132=""),IF(OR($C135="CET",$C135="-",$C135=""),"-",$C135),I132),I134&lt;1.1*I$7*IF(OR(I132="CET",I132="-",I132=""),IF($C135="CET","-",$C135),I132)),"passed","refused"),IF(IF(OR(I133="-",I133=""),I134,I133)&lt;0.7*I$7*IF(OR(I132="CET",I132="-",I132=""),IF($C135="CET","-",$C135),I132),"passed",IF(IF(OR(I133="-",I133=""),I134,I133)&lt;1.1*IF(OR(I132="CET",I132="-",I132=""),IF($C135="CET","-",$C135),I132)*I$7,"failed","refused"))),"-"))))</f>
        <v>-</v>
      </c>
      <c r="J137" s="451" t="str">
        <f>IF(AND(OR(J133="-",J133=""),OR(J134="-",J134="")),"-",IF(AND(OR(J132="CET",J132="-",J132=""),OR($C135="CET",$C135="-",$C135="")),"-",IF($R$128="not listed","-",IF(OR(NOT(J$7="-"),NOT(J$7="")),IF(AND(AND(NOT(J133=0),NOT(J133="-"),NOT(J133="")),AND(NOT(J134="-"),NOT(J134=0),NOT(J134=""))),IF(AND((J133+J134)/2&lt;1*J$7*IF(OR(J132="CET",J132="-",J132=""),IF(OR($C135="CET",$C135="-",$C135=""),"-",$C135),J132),J133&lt;1.1*J$7*IF(OR(J132="CET",J132="-",J132=""),IF(OR($C135="CET",$C135="-",$C135=""),"-",$C135),J132),J134&lt;1.1*J$7*IF(OR(J132="CET",J132="-",J132=""),IF($C135="CET","-",$C135),J132)),"passed","refused"),IF(IF(OR(J133="-",J133=""),J134,J133)&lt;0.7*J$7*IF(OR(J132="CET",J132="-",J132=""),IF($C135="CET","-",$C135),J132),"passed",IF(IF(OR(J133="-",J133=""),J134,J133)&lt;1.1*IF(OR(J132="CET",J132="-",J132=""),IF($C135="CET","-",$C135),J132)*J$7,"failed","refused"))),"-"))))</f>
        <v>-</v>
      </c>
      <c r="K137" s="452" t="str">
        <f>IF(AND(OR(K133="-",K133=""),OR(K134="-",K134="")),"-",IF(AND(OR(K132="CET",K132="-",K132=""),OR($C135="CET",$C135="-",$C135="")),"-",IF($R$128="not listed","-",IF(OR(NOT(K$7="-"),NOT(K$7="")),IF(AND(AND(NOT(K133=0),NOT(K133="-"),NOT(K133="")),AND(NOT(K134="-"),NOT(K134=0),NOT(K134=""))),IF(AND((K133+K134)/2&lt;1*K$7*IF(OR(K132="CET",K132="-",K132=""),IF(OR($C135="CET",$C135="-",$C135=""),"-",$C135),K132),K133&lt;1.1*K$7*IF(OR(K132="CET",K132="-",K132=""),IF(OR($C135="CET",$C135="-",$C135=""),"-",$C135),K132),K134&lt;1.1*K$7*IF(OR(K132="CET",K132="-",K132=""),IF($C135="CET","-",$C135),K132)),"passed","refused"),IF(IF(OR(K133="-",K133=""),K134,K133)&lt;0.7*K$7*IF(OR(K132="CET",K132="-",K132=""),IF($C135="CET","-",$C135),K132),"passed",IF(IF(OR(K133="-",K133=""),K134,K133)&lt;1.1*IF(OR(K132="CET",K132="-",K132=""),IF($C135="CET","-",$C135),K132)*K$7,"failed","refused"))),"-"))))</f>
        <v>-</v>
      </c>
      <c r="L137" s="452" t="str">
        <f t="shared" ref="L137:M137" si="188">IF(AND(OR(L133="-",L133=""),OR(L134="-",L134="")),"-",IF(AND(OR(L132="CET",L132="-",L132=""),OR($C135="CET",$C135="-",$C135="")),"-",IF($R$128="not listed","-",IF(OR(NOT(L$7="-"),NOT(L$7="")),IF(AND(AND(NOT(L133=0),NOT(L133="-"),NOT(L133="")),AND(NOT(L134="-"),NOT(L134=0),NOT(L134=""))),IF(AND((L133+L134)/2&lt;1*L$7*IF(OR(L132="CET",L132="-",L132=""),IF(OR($C135="CET",$C135="-",$C135=""),"-",$C135),L132),L133&lt;1.1*L$7*IF(OR(L132="CET",L132="-",L132=""),IF(OR($C135="CET",$C135="-",$C135=""),"-",$C135),L132),L134&lt;1.1*L$7*IF(OR(L132="CET",L132="-",L132=""),IF($C135="CET","-",$C135),L132)),"passed","refused"),IF(IF(OR(L133="-",L133=""),L134,L133)&lt;0.7*L$7*IF(OR(L132="CET",L132="-",L132=""),IF($C135="CET","-",$C135),L132),"passed",IF(IF(OR(L133="-",L133=""),L134,L133)&lt;1.1*IF(OR(L132="CET",L132="-",L132=""),IF($C135="CET","-",$C135),L132)*L$7,"failed","refused"))),"-"))))</f>
        <v>-</v>
      </c>
      <c r="M137" s="452" t="str">
        <f t="shared" si="188"/>
        <v>-</v>
      </c>
      <c r="N137" s="685"/>
      <c r="O137" s="672"/>
      <c r="P137" s="673"/>
      <c r="Q137" s="673"/>
      <c r="R137" s="674"/>
      <c r="S137" s="672"/>
      <c r="T137" s="673"/>
      <c r="U137" s="673"/>
      <c r="V137" s="674"/>
      <c r="W137" s="512"/>
      <c r="X137" s="512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BC137" s="399" t="str">
        <f>IF(COUNTIF(F137:M137,"refused")&gt;0,"refused",IF(COUNTIF(F137:M137,"failed")&gt;0,"failed",IF(COUNTIF(F137:M137,"passed")&gt;0,"passed","-")))</f>
        <v>-</v>
      </c>
      <c r="BU137" s="435">
        <v>1</v>
      </c>
      <c r="BV137" s="435">
        <v>1</v>
      </c>
      <c r="BW137" s="435">
        <v>1</v>
      </c>
      <c r="BX137" s="435">
        <v>1</v>
      </c>
      <c r="BY137" s="435">
        <v>1</v>
      </c>
      <c r="BZ137" s="435">
        <v>1</v>
      </c>
    </row>
    <row r="138" spans="1:78" ht="15" customHeight="1" outlineLevel="1" x14ac:dyDescent="0.25">
      <c r="A138" s="396"/>
      <c r="B138" s="721"/>
      <c r="C138" s="668"/>
      <c r="D138" s="510"/>
      <c r="E138" s="510"/>
      <c r="F138" s="463"/>
      <c r="G138" s="463"/>
      <c r="H138" s="463"/>
      <c r="I138" s="463"/>
      <c r="J138" s="463"/>
      <c r="K138" s="464"/>
      <c r="L138" s="464"/>
      <c r="M138" s="464"/>
      <c r="N138" s="465"/>
      <c r="O138" s="672"/>
      <c r="P138" s="673"/>
      <c r="Q138" s="673"/>
      <c r="R138" s="674"/>
      <c r="S138" s="672"/>
      <c r="T138" s="673"/>
      <c r="U138" s="673"/>
      <c r="V138" s="674"/>
      <c r="W138" s="512"/>
      <c r="X138" s="512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BU138" s="435" t="str">
        <f>IF((OR($C135="-",$C135="CET",$C135="")),"-",IF(AND(OR(G133="-",G133=""),OR(G134="-",G134="")),"-",IF(NOT(OR(G133="-",G133="")),G133/G$7,G134/G$7)))</f>
        <v>-</v>
      </c>
      <c r="BV138" s="435" t="str">
        <f>IF((OR($C135="-",$C135="CET",$C135="")),"-",IF(AND(OR(H133="-",H133=""),OR(H134="-",H134="")),"-",IF(NOT(OR(H133="-",H133="")),H133/H$7,H134/H$7)))</f>
        <v>-</v>
      </c>
      <c r="BW138" s="435" t="str">
        <f>IF((OR($C135="-",$C135="CET",$C135="")),"-",IF(AND(OR(I133="-",I133=""),OR(I134="-",I134="")),"-",IF(NOT(OR(I133="-",I133="")),I133/I$7,I134/I$7)))</f>
        <v>-</v>
      </c>
      <c r="BX138" s="435" t="str">
        <f>IF((OR($C135="-",$C135="CET",$C135="")),"-",IF(AND(OR(J133="-",J133=""),OR(J134="-",J134="")),"-",IF(NOT(OR(J133="-",J133="")),J133/J$7,J134/J$7)))</f>
        <v>-</v>
      </c>
      <c r="BY138" s="435" t="str">
        <f>IF((OR($C135="-",$C135="CET",$C135="")),"-",IF(AND(OR(K133="-",K133=""),OR(K134="-",K134="")),"-",IF(NOT(OR(K133="-",K133="")),K133/K$7,K134/K$7)))</f>
        <v>-</v>
      </c>
      <c r="BZ138" s="435" t="str">
        <f t="shared" ref="BZ138" si="189">IF((OR($C135="-",$C135="CET",$C135="")),"-",IF(AND(OR(N133="-",N133=""),OR(N134="-",N134="")),"-",IF(NOT(OR(N133="-",N133="")),N133/N$7,N134/N$7)))</f>
        <v>-</v>
      </c>
    </row>
    <row r="139" spans="1:78" ht="15" customHeight="1" outlineLevel="1" x14ac:dyDescent="0.25">
      <c r="A139" s="396"/>
      <c r="B139" s="721"/>
      <c r="C139" s="668"/>
      <c r="D139" s="510"/>
      <c r="E139" s="510"/>
      <c r="F139" s="463"/>
      <c r="G139" s="463"/>
      <c r="H139" s="463"/>
      <c r="I139" s="463"/>
      <c r="J139" s="463"/>
      <c r="K139" s="464"/>
      <c r="L139" s="464"/>
      <c r="M139" s="464"/>
      <c r="N139" s="465"/>
      <c r="O139" s="672"/>
      <c r="P139" s="673"/>
      <c r="Q139" s="673"/>
      <c r="R139" s="674"/>
      <c r="S139" s="672"/>
      <c r="T139" s="673"/>
      <c r="U139" s="673"/>
      <c r="V139" s="674"/>
      <c r="W139" s="512"/>
      <c r="X139" s="512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BU139" s="435"/>
      <c r="BV139" s="435"/>
      <c r="BW139" s="435"/>
      <c r="BX139" s="435"/>
      <c r="BY139" s="435"/>
      <c r="BZ139" s="435"/>
    </row>
    <row r="140" spans="1:78" ht="15" customHeight="1" outlineLevel="1" x14ac:dyDescent="0.25">
      <c r="A140" s="396"/>
      <c r="B140" s="721"/>
      <c r="C140" s="668"/>
      <c r="D140" s="510"/>
      <c r="E140" s="510"/>
      <c r="F140" s="466"/>
      <c r="G140" s="466"/>
      <c r="H140" s="466"/>
      <c r="I140" s="466"/>
      <c r="J140" s="466"/>
      <c r="K140" s="464"/>
      <c r="L140" s="464"/>
      <c r="M140" s="464"/>
      <c r="N140" s="467"/>
      <c r="O140" s="672"/>
      <c r="P140" s="673"/>
      <c r="Q140" s="673"/>
      <c r="R140" s="674"/>
      <c r="S140" s="672"/>
      <c r="T140" s="673"/>
      <c r="U140" s="673"/>
      <c r="V140" s="674"/>
      <c r="W140" s="512"/>
      <c r="X140" s="512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BU140" s="435"/>
      <c r="BV140" s="435"/>
      <c r="BW140" s="435"/>
      <c r="BX140" s="435"/>
      <c r="BY140" s="435"/>
      <c r="BZ140" s="435"/>
    </row>
    <row r="141" spans="1:78" ht="15" customHeight="1" outlineLevel="1" x14ac:dyDescent="0.25">
      <c r="A141" s="404"/>
      <c r="B141" s="721"/>
      <c r="C141" s="668"/>
      <c r="D141" s="510"/>
      <c r="E141" s="510"/>
      <c r="F141" s="466"/>
      <c r="G141" s="466"/>
      <c r="H141" s="466"/>
      <c r="I141" s="466"/>
      <c r="J141" s="466"/>
      <c r="K141" s="464"/>
      <c r="L141" s="464"/>
      <c r="M141" s="464"/>
      <c r="N141" s="467"/>
      <c r="O141" s="672"/>
      <c r="P141" s="673"/>
      <c r="Q141" s="673"/>
      <c r="R141" s="674"/>
      <c r="S141" s="672"/>
      <c r="T141" s="673"/>
      <c r="U141" s="673"/>
      <c r="V141" s="674"/>
      <c r="W141" s="512"/>
      <c r="X141" s="512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U141" s="435"/>
      <c r="BV141" s="435"/>
      <c r="BW141" s="435"/>
      <c r="BX141" s="435"/>
      <c r="BY141" s="435"/>
      <c r="BZ141" s="435"/>
    </row>
    <row r="142" spans="1:78" ht="15" customHeight="1" outlineLevel="1" x14ac:dyDescent="0.25">
      <c r="A142" s="404"/>
      <c r="B142" s="721"/>
      <c r="C142" s="668"/>
      <c r="D142" s="510"/>
      <c r="E142" s="510"/>
      <c r="F142" s="510"/>
      <c r="G142" s="510"/>
      <c r="H142" s="510"/>
      <c r="I142" s="510"/>
      <c r="J142" s="510"/>
      <c r="K142" s="464"/>
      <c r="L142" s="464"/>
      <c r="M142" s="464"/>
      <c r="N142" s="468"/>
      <c r="O142" s="672"/>
      <c r="P142" s="673"/>
      <c r="Q142" s="673"/>
      <c r="R142" s="674"/>
      <c r="S142" s="672"/>
      <c r="T142" s="673"/>
      <c r="U142" s="673"/>
      <c r="V142" s="674"/>
      <c r="W142" s="512"/>
      <c r="X142" s="512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BU142" s="435" t="str">
        <f>IF(AND(OR($C135="-",$C135="CET",$C135=""),OR(G132="-",G132="CET",G132="")),"-",0.7*IF(OR(G132="CET",G132="-",G132=""),IF(OR($C135="CET",$C135="-",$C135=""),"-",$C135),G132))</f>
        <v>-</v>
      </c>
      <c r="BV142" s="435" t="str">
        <f>IF(AND(OR($C135="-",$C135="CET",$C135=""),OR(H132="-",H132="CET",H132="")),"-",0.7*IF(OR(H132="CET",H132="-",H132=""),IF(OR($C135="CET",$C135="-",$C135=""),"-",$C135),H132))</f>
        <v>-</v>
      </c>
      <c r="BW142" s="435" t="str">
        <f>IF(AND(OR($C135="-",$C135="CET",$C135=""),OR(I132="-",I132="CET",I132="")),"-",0.7*IF(OR(I132="CET",I132="-",I132=""),IF(OR($C135="CET",$C135="-",$C135=""),"-",$C135),I132))</f>
        <v>-</v>
      </c>
      <c r="BX142" s="435" t="str">
        <f>IF(AND(OR($C135="-",$C135="CET",$C135=""),OR(J132="-",J132="CET",J132="")),"-",0.7*IF(OR(J132="CET",J132="-",J132=""),IF(OR($C135="CET",$C135="-",$C135=""),"-",$C135),J132))</f>
        <v>-</v>
      </c>
      <c r="BY142" s="435" t="str">
        <f>IF(AND(OR($C135="-",$C135="CET",$C135=""),OR(K132="-",K132="CET",K132="")),"-",0.7*IF(OR(K132="CET",K132="-",K132=""),IF(OR($C135="CET",$C135="-",$C135=""),"-",$C135),K132))</f>
        <v>-</v>
      </c>
      <c r="BZ142" s="435" t="str">
        <f t="shared" ref="BZ142" si="190">IF(AND(OR($C135="-",$C135="CET",$C135=""),OR(N132="-",N132="CET",N132="")),"-",0.7*IF(OR(N132="CET",N132="-",N132=""),IF(OR($C135="CET",$C135="-",$C135=""),"-",$C135),N132))</f>
        <v>-</v>
      </c>
    </row>
    <row r="143" spans="1:78" ht="15" customHeight="1" outlineLevel="1" x14ac:dyDescent="0.25">
      <c r="A143" s="404"/>
      <c r="B143" s="721"/>
      <c r="C143" s="668"/>
      <c r="D143" s="510"/>
      <c r="E143" s="510"/>
      <c r="F143" s="463"/>
      <c r="G143" s="463"/>
      <c r="H143" s="463"/>
      <c r="I143" s="463"/>
      <c r="J143" s="463"/>
      <c r="K143" s="464"/>
      <c r="L143" s="464"/>
      <c r="M143" s="464"/>
      <c r="N143" s="465"/>
      <c r="O143" s="672"/>
      <c r="P143" s="673"/>
      <c r="Q143" s="673"/>
      <c r="R143" s="674"/>
      <c r="S143" s="672"/>
      <c r="T143" s="673"/>
      <c r="U143" s="673"/>
      <c r="V143" s="674"/>
      <c r="W143" s="512"/>
      <c r="X143" s="512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BU143" s="435"/>
      <c r="BV143" s="435"/>
      <c r="BW143" s="435"/>
      <c r="BX143" s="435"/>
      <c r="BY143" s="435"/>
      <c r="BZ143" s="435"/>
    </row>
    <row r="144" spans="1:78" ht="15" customHeight="1" outlineLevel="1" x14ac:dyDescent="0.25">
      <c r="A144" s="404"/>
      <c r="B144" s="721"/>
      <c r="C144" s="668"/>
      <c r="D144" s="510"/>
      <c r="E144" s="510"/>
      <c r="F144" s="463"/>
      <c r="G144" s="463"/>
      <c r="H144" s="463"/>
      <c r="I144" s="463"/>
      <c r="J144" s="463"/>
      <c r="K144" s="464"/>
      <c r="L144" s="464"/>
      <c r="M144" s="464"/>
      <c r="N144" s="465"/>
      <c r="O144" s="672"/>
      <c r="P144" s="673"/>
      <c r="Q144" s="673"/>
      <c r="R144" s="674"/>
      <c r="S144" s="672"/>
      <c r="T144" s="673"/>
      <c r="U144" s="673"/>
      <c r="V144" s="674"/>
      <c r="W144" s="512"/>
      <c r="X144" s="512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BU144" s="435"/>
      <c r="BV144" s="435"/>
      <c r="BW144" s="435"/>
      <c r="BX144" s="435"/>
      <c r="BY144" s="435"/>
      <c r="BZ144" s="435"/>
    </row>
    <row r="145" spans="1:78" ht="15" customHeight="1" outlineLevel="1" x14ac:dyDescent="0.25">
      <c r="A145" s="404"/>
      <c r="B145" s="721"/>
      <c r="C145" s="668"/>
      <c r="D145" s="510"/>
      <c r="E145" s="510"/>
      <c r="F145" s="466"/>
      <c r="G145" s="466"/>
      <c r="H145" s="466"/>
      <c r="I145" s="466"/>
      <c r="J145" s="466"/>
      <c r="K145" s="464"/>
      <c r="L145" s="464"/>
      <c r="M145" s="464"/>
      <c r="N145" s="467"/>
      <c r="O145" s="672"/>
      <c r="P145" s="673"/>
      <c r="Q145" s="673"/>
      <c r="R145" s="674"/>
      <c r="S145" s="672"/>
      <c r="T145" s="673"/>
      <c r="U145" s="673"/>
      <c r="V145" s="674"/>
      <c r="W145" s="512"/>
      <c r="X145" s="512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BU145" s="435"/>
      <c r="BV145" s="435"/>
      <c r="BW145" s="435"/>
      <c r="BX145" s="435"/>
      <c r="BY145" s="435"/>
      <c r="BZ145" s="435"/>
    </row>
    <row r="146" spans="1:78" ht="15" customHeight="1" outlineLevel="1" x14ac:dyDescent="0.25">
      <c r="A146" s="404"/>
      <c r="B146" s="721"/>
      <c r="C146" s="668"/>
      <c r="D146" s="510"/>
      <c r="E146" s="510"/>
      <c r="F146" s="466"/>
      <c r="G146" s="466"/>
      <c r="H146" s="466"/>
      <c r="I146" s="466"/>
      <c r="J146" s="466"/>
      <c r="K146" s="464"/>
      <c r="L146" s="464"/>
      <c r="M146" s="464"/>
      <c r="N146" s="467"/>
      <c r="O146" s="672"/>
      <c r="P146" s="673"/>
      <c r="Q146" s="673"/>
      <c r="R146" s="674"/>
      <c r="S146" s="672"/>
      <c r="T146" s="673"/>
      <c r="U146" s="673"/>
      <c r="V146" s="674"/>
      <c r="W146" s="512"/>
      <c r="X146" s="512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U146" s="435" t="str">
        <f>G136</f>
        <v>-</v>
      </c>
      <c r="BV146" s="435" t="str">
        <f>H136</f>
        <v>-</v>
      </c>
      <c r="BW146" s="435" t="str">
        <f>I136</f>
        <v>-</v>
      </c>
      <c r="BX146" s="435" t="str">
        <f>J136</f>
        <v>-</v>
      </c>
      <c r="BY146" s="435" t="str">
        <f>K136</f>
        <v>-</v>
      </c>
      <c r="BZ146" s="435">
        <f t="shared" ref="BZ146" si="191">N136</f>
        <v>0</v>
      </c>
    </row>
    <row r="147" spans="1:78" ht="15" customHeight="1" outlineLevel="1" x14ac:dyDescent="0.25">
      <c r="A147" s="404"/>
      <c r="B147" s="721"/>
      <c r="C147" s="668"/>
      <c r="D147" s="510"/>
      <c r="E147" s="510"/>
      <c r="F147" s="510"/>
      <c r="G147" s="510"/>
      <c r="H147" s="510"/>
      <c r="I147" s="510"/>
      <c r="J147" s="510"/>
      <c r="K147" s="464"/>
      <c r="L147" s="464"/>
      <c r="M147" s="464"/>
      <c r="N147" s="468"/>
      <c r="O147" s="672"/>
      <c r="P147" s="673"/>
      <c r="Q147" s="673"/>
      <c r="R147" s="674"/>
      <c r="S147" s="672"/>
      <c r="T147" s="673"/>
      <c r="U147" s="673"/>
      <c r="V147" s="674"/>
      <c r="W147" s="512"/>
      <c r="X147" s="512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BU147" s="435"/>
      <c r="BV147" s="435"/>
      <c r="BW147" s="435"/>
      <c r="BX147" s="435"/>
      <c r="BY147" s="435"/>
      <c r="BZ147" s="435"/>
    </row>
    <row r="148" spans="1:78" ht="15" customHeight="1" outlineLevel="1" x14ac:dyDescent="0.25">
      <c r="A148" s="404"/>
      <c r="B148" s="721"/>
      <c r="C148" s="668"/>
      <c r="D148" s="510"/>
      <c r="E148" s="510"/>
      <c r="F148" s="463"/>
      <c r="G148" s="463"/>
      <c r="H148" s="463"/>
      <c r="I148" s="463"/>
      <c r="J148" s="463"/>
      <c r="K148" s="464"/>
      <c r="L148" s="464"/>
      <c r="M148" s="464"/>
      <c r="N148" s="465"/>
      <c r="O148" s="672"/>
      <c r="P148" s="673"/>
      <c r="Q148" s="673"/>
      <c r="R148" s="674"/>
      <c r="S148" s="672"/>
      <c r="T148" s="673"/>
      <c r="U148" s="673"/>
      <c r="V148" s="674"/>
      <c r="W148" s="512"/>
      <c r="X148" s="512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BU148" s="435"/>
      <c r="BV148" s="435"/>
      <c r="BW148" s="435"/>
      <c r="BX148" s="435"/>
      <c r="BY148" s="435"/>
      <c r="BZ148" s="435"/>
    </row>
    <row r="149" spans="1:78" ht="15" customHeight="1" outlineLevel="1" x14ac:dyDescent="0.25">
      <c r="A149" s="404"/>
      <c r="B149" s="721"/>
      <c r="C149" s="668"/>
      <c r="D149" s="510"/>
      <c r="E149" s="510"/>
      <c r="F149" s="463"/>
      <c r="G149" s="463"/>
      <c r="H149" s="463"/>
      <c r="I149" s="463"/>
      <c r="J149" s="463"/>
      <c r="K149" s="464"/>
      <c r="L149" s="464"/>
      <c r="M149" s="464"/>
      <c r="N149" s="465"/>
      <c r="O149" s="672"/>
      <c r="P149" s="673"/>
      <c r="Q149" s="673"/>
      <c r="R149" s="674"/>
      <c r="S149" s="672"/>
      <c r="T149" s="673"/>
      <c r="U149" s="673"/>
      <c r="V149" s="674"/>
      <c r="W149" s="512"/>
      <c r="X149" s="512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BU149" s="435"/>
      <c r="BV149" s="435"/>
      <c r="BW149" s="435"/>
      <c r="BX149" s="435"/>
      <c r="BY149" s="435"/>
      <c r="BZ149" s="435"/>
    </row>
    <row r="150" spans="1:78" ht="15" customHeight="1" outlineLevel="1" x14ac:dyDescent="0.25">
      <c r="A150" s="404"/>
      <c r="B150" s="721"/>
      <c r="C150" s="668"/>
      <c r="D150" s="510"/>
      <c r="E150" s="510"/>
      <c r="F150" s="466"/>
      <c r="G150" s="466"/>
      <c r="H150" s="466"/>
      <c r="I150" s="466"/>
      <c r="J150" s="466"/>
      <c r="K150" s="464"/>
      <c r="L150" s="464"/>
      <c r="M150" s="464"/>
      <c r="N150" s="467"/>
      <c r="O150" s="672"/>
      <c r="P150" s="673"/>
      <c r="Q150" s="673"/>
      <c r="R150" s="674"/>
      <c r="S150" s="672"/>
      <c r="T150" s="673"/>
      <c r="U150" s="673"/>
      <c r="V150" s="674"/>
      <c r="W150" s="512"/>
      <c r="X150" s="512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BU150" s="435" t="str">
        <f>IF(AND(OR($C135="-",$C135="CET",$C135=""),OR(G132="-",G132="CET",G132="")),"-",IF(OR(G132="CET",G132="-",G132=""),IF(OR($C135="CET",$C135="-",$C135=""),"-",$C135),G132))</f>
        <v>-</v>
      </c>
      <c r="BV150" s="435" t="str">
        <f>IF(AND(OR($C135="-",$C135="CET",$C135=""),OR(H132="-",H132="CET",H132="")),"-",IF(OR(H132="CET",H132="-",H132=""),IF(OR($C135="CET",$C135="-",$C135=""),"-",$C135),H132))</f>
        <v>-</v>
      </c>
      <c r="BW150" s="435" t="str">
        <f>IF(AND(OR($C135="-",$C135="CET",$C135=""),OR(I132="-",I132="CET",I132="")),"-",IF(OR(I132="CET",I132="-",I132=""),IF(OR($C135="CET",$C135="-",$C135=""),"-",$C135),I132))</f>
        <v>-</v>
      </c>
      <c r="BX150" s="435" t="str">
        <f>IF(AND(OR($C135="-",$C135="CET",$C135=""),OR(J132="-",J132="CET",J132="")),"-",IF(OR(J132="CET",J132="-",J132=""),IF(OR($C135="CET",$C135="-",$C135=""),"-",$C135),J132))</f>
        <v>-</v>
      </c>
      <c r="BY150" s="435" t="str">
        <f>IF(AND(OR($C135="-",$C135="CET",$C135=""),OR(K132="-",K132="CET",K132="")),"-",IF(OR(K132="CET",K132="-",K132=""),IF(OR($C135="CET",$C135="-",$C135=""),"-",$C135),K132))</f>
        <v>-</v>
      </c>
      <c r="BZ150" s="435" t="str">
        <f t="shared" ref="BZ150" si="192">IF(AND(OR($C135="-",$C135="CET",$C135=""),OR(N132="-",N132="CET",N132="")),"-",IF(OR(N132="CET",N132="-",N132=""),IF(OR($C135="CET",$C135="-",$C135=""),"-",$C135),N132))</f>
        <v>-</v>
      </c>
    </row>
    <row r="151" spans="1:78" outlineLevel="1" x14ac:dyDescent="0.25">
      <c r="B151" s="721"/>
      <c r="C151" s="668"/>
      <c r="D151" s="510"/>
      <c r="E151" s="510"/>
      <c r="F151" s="466"/>
      <c r="G151" s="466"/>
      <c r="H151" s="466"/>
      <c r="I151" s="466"/>
      <c r="J151" s="466"/>
      <c r="K151" s="464"/>
      <c r="L151" s="464"/>
      <c r="M151" s="464"/>
      <c r="N151" s="467"/>
      <c r="O151" s="672"/>
      <c r="P151" s="673"/>
      <c r="Q151" s="673"/>
      <c r="R151" s="674"/>
      <c r="S151" s="672"/>
      <c r="T151" s="673"/>
      <c r="U151" s="673"/>
      <c r="V151" s="674"/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78" ht="15.75" outlineLevel="1" thickBot="1" x14ac:dyDescent="0.3">
      <c r="B152" s="722"/>
      <c r="C152" s="723"/>
      <c r="D152" s="516"/>
      <c r="E152" s="516"/>
      <c r="F152" s="516"/>
      <c r="G152" s="516"/>
      <c r="H152" s="516"/>
      <c r="I152" s="516"/>
      <c r="J152" s="516"/>
      <c r="K152" s="470"/>
      <c r="L152" s="470"/>
      <c r="M152" s="470"/>
      <c r="N152" s="471"/>
      <c r="O152" s="675"/>
      <c r="P152" s="676"/>
      <c r="Q152" s="676"/>
      <c r="R152" s="677"/>
      <c r="S152" s="675"/>
      <c r="T152" s="676"/>
      <c r="U152" s="676"/>
      <c r="V152" s="677"/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78" ht="15" customHeight="1" x14ac:dyDescent="0.25">
      <c r="A153" s="396"/>
      <c r="W153" s="414"/>
      <c r="X153" s="414"/>
      <c r="Y153" s="414"/>
      <c r="Z153" s="414"/>
      <c r="AA153" s="414"/>
      <c r="AB153" s="414"/>
      <c r="AC153" s="414"/>
      <c r="AD153" s="414"/>
      <c r="AE153" s="414"/>
      <c r="AF153" s="414"/>
      <c r="AG153" s="414"/>
      <c r="AH153" s="414"/>
      <c r="BD153" s="459"/>
      <c r="BE153" s="459"/>
      <c r="BF153" s="459"/>
      <c r="BG153" s="459"/>
      <c r="BH153" s="459"/>
      <c r="BI153" s="459"/>
      <c r="BJ153" s="459"/>
      <c r="BK153" s="459"/>
      <c r="BL153" s="459"/>
    </row>
    <row r="154" spans="1:78" ht="15" customHeight="1" x14ac:dyDescent="0.25">
      <c r="A154" s="396"/>
      <c r="W154" s="414"/>
      <c r="X154" s="414"/>
      <c r="Y154" s="414"/>
      <c r="Z154" s="414"/>
      <c r="AA154" s="414"/>
      <c r="AB154" s="414"/>
      <c r="AC154" s="414"/>
      <c r="AD154" s="414"/>
      <c r="AE154" s="414"/>
      <c r="AF154" s="414"/>
      <c r="AG154" s="414"/>
      <c r="AH154" s="414"/>
      <c r="BD154" s="459"/>
      <c r="BE154" s="459"/>
      <c r="BF154" s="459"/>
      <c r="BG154" s="459"/>
      <c r="BH154" s="459"/>
      <c r="BI154" s="459"/>
      <c r="BJ154" s="459"/>
      <c r="BK154" s="459"/>
      <c r="BL154" s="459"/>
    </row>
    <row r="155" spans="1:78" ht="15" customHeight="1" thickBot="1" x14ac:dyDescent="0.3">
      <c r="A155" s="396"/>
      <c r="W155" s="414"/>
      <c r="X155" s="414"/>
      <c r="Y155" s="414"/>
      <c r="Z155" s="414"/>
      <c r="AA155" s="414"/>
      <c r="AB155" s="414"/>
      <c r="AC155" s="414"/>
      <c r="AD155" s="414"/>
      <c r="AE155" s="414"/>
      <c r="AF155" s="414"/>
      <c r="AG155" s="414"/>
      <c r="AH155" s="414"/>
    </row>
    <row r="156" spans="1:78" ht="24.95" customHeight="1" thickBot="1" x14ac:dyDescent="0.3">
      <c r="A156" s="396"/>
      <c r="B156" s="415">
        <v>6</v>
      </c>
      <c r="C156" s="706" t="s">
        <v>109</v>
      </c>
      <c r="D156" s="707"/>
      <c r="E156" s="707"/>
      <c r="F156" s="707"/>
      <c r="G156" s="707"/>
      <c r="H156" s="707"/>
      <c r="I156" s="707"/>
      <c r="J156" s="707"/>
      <c r="K156" s="707"/>
      <c r="L156" s="707"/>
      <c r="M156" s="707"/>
      <c r="N156" s="708"/>
      <c r="O156" s="416" t="s">
        <v>117</v>
      </c>
      <c r="P156" s="398" t="str">
        <f>IF(COUNTIF(F164:M164,"refused")&gt;0,"refused",IF(COUNTIF(F164:M164,"failed")&gt;0,"failed",IF(COUNTIF(F164:M164,"passed")&gt;0,"passed","-")))</f>
        <v>-</v>
      </c>
      <c r="Q156" s="399" t="s">
        <v>80</v>
      </c>
      <c r="R156" s="399" t="str">
        <f>IF(COUNT(F160:M161)&gt;0,"listed","not listed")</f>
        <v>not listed</v>
      </c>
      <c r="S156" s="511"/>
      <c r="T156" s="418"/>
      <c r="U156" s="418"/>
      <c r="V156" s="419"/>
      <c r="W156" s="424"/>
      <c r="X156" s="424"/>
      <c r="Y156" s="698"/>
      <c r="Z156" s="698"/>
      <c r="AA156" s="698"/>
      <c r="AB156" s="698"/>
      <c r="AC156" s="698"/>
      <c r="AD156" s="698"/>
      <c r="AE156" s="698"/>
      <c r="AF156" s="698"/>
      <c r="AG156" s="698"/>
      <c r="AH156" s="698"/>
    </row>
    <row r="157" spans="1:78" ht="15" customHeight="1" outlineLevel="1" thickBot="1" x14ac:dyDescent="0.3">
      <c r="A157" s="396"/>
      <c r="B157" s="513"/>
      <c r="C157" s="514"/>
      <c r="D157" s="514"/>
      <c r="E157" s="514"/>
      <c r="F157" s="514"/>
      <c r="G157" s="514"/>
      <c r="H157" s="514"/>
      <c r="I157" s="514"/>
      <c r="J157" s="514"/>
      <c r="K157" s="421"/>
      <c r="L157" s="421"/>
      <c r="M157" s="421"/>
      <c r="N157" s="514"/>
      <c r="O157" s="514"/>
      <c r="P157" s="514"/>
      <c r="Q157" s="514"/>
      <c r="R157" s="514"/>
      <c r="S157" s="514"/>
      <c r="T157" s="422"/>
      <c r="U157" s="422"/>
      <c r="V157" s="423"/>
      <c r="W157" s="512"/>
      <c r="X157" s="512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</row>
    <row r="158" spans="1:78" ht="15" customHeight="1" outlineLevel="1" thickBot="1" x14ac:dyDescent="0.3">
      <c r="A158" s="396"/>
      <c r="B158" s="695" t="s">
        <v>81</v>
      </c>
      <c r="C158" s="696"/>
      <c r="D158" s="696"/>
      <c r="E158" s="696"/>
      <c r="F158" s="696"/>
      <c r="G158" s="696"/>
      <c r="H158" s="696"/>
      <c r="I158" s="696"/>
      <c r="J158" s="696"/>
      <c r="K158" s="696"/>
      <c r="L158" s="696"/>
      <c r="M158" s="696"/>
      <c r="N158" s="697"/>
      <c r="O158" s="695" t="s">
        <v>82</v>
      </c>
      <c r="P158" s="696"/>
      <c r="Q158" s="696"/>
      <c r="R158" s="697"/>
      <c r="S158" s="695" t="s">
        <v>83</v>
      </c>
      <c r="T158" s="696"/>
      <c r="U158" s="696"/>
      <c r="V158" s="697"/>
      <c r="W158" s="512"/>
      <c r="X158" s="512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</row>
    <row r="159" spans="1:78" ht="35.1" customHeight="1" outlineLevel="1" thickBot="1" x14ac:dyDescent="0.3">
      <c r="A159" s="396"/>
      <c r="B159" s="709" t="s">
        <v>84</v>
      </c>
      <c r="C159" s="682"/>
      <c r="D159" s="682"/>
      <c r="E159" s="683"/>
      <c r="F159" s="425" t="s">
        <v>72</v>
      </c>
      <c r="G159" s="517" t="s">
        <v>73</v>
      </c>
      <c r="H159" s="425" t="s">
        <v>74</v>
      </c>
      <c r="I159" s="425" t="s">
        <v>75</v>
      </c>
      <c r="J159" s="425" t="s">
        <v>76</v>
      </c>
      <c r="K159" s="534" t="s">
        <v>170</v>
      </c>
      <c r="L159" s="535" t="str">
        <f>$L$4</f>
        <v>Additional
component</v>
      </c>
      <c r="M159" s="535" t="str">
        <f>$M$4</f>
        <v>Additional
component 2</v>
      </c>
      <c r="N159" s="425" t="s">
        <v>77</v>
      </c>
      <c r="O159" s="669"/>
      <c r="P159" s="670"/>
      <c r="Q159" s="670"/>
      <c r="R159" s="671"/>
      <c r="S159" s="669"/>
      <c r="T159" s="670"/>
      <c r="U159" s="670"/>
      <c r="V159" s="671"/>
      <c r="W159" s="512"/>
      <c r="X159" s="512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BC159" s="536"/>
    </row>
    <row r="160" spans="1:78" s="405" customFormat="1" ht="15" customHeight="1" outlineLevel="1" x14ac:dyDescent="0.25">
      <c r="A160" s="439"/>
      <c r="B160" s="718" t="s">
        <v>108</v>
      </c>
      <c r="C160" s="684" t="s">
        <v>114</v>
      </c>
      <c r="D160" s="684" t="s">
        <v>113</v>
      </c>
      <c r="E160" s="453" t="s">
        <v>94</v>
      </c>
      <c r="F160" s="473" t="s">
        <v>5</v>
      </c>
      <c r="G160" s="473" t="s">
        <v>5</v>
      </c>
      <c r="H160" s="473" t="s">
        <v>5</v>
      </c>
      <c r="I160" s="473" t="s">
        <v>5</v>
      </c>
      <c r="J160" s="473" t="s">
        <v>5</v>
      </c>
      <c r="K160" s="474" t="s">
        <v>5</v>
      </c>
      <c r="L160" s="474" t="s">
        <v>5</v>
      </c>
      <c r="M160" s="474" t="s">
        <v>5</v>
      </c>
      <c r="N160" s="473" t="s">
        <v>5</v>
      </c>
      <c r="O160" s="672"/>
      <c r="P160" s="673"/>
      <c r="Q160" s="673"/>
      <c r="R160" s="674"/>
      <c r="S160" s="672"/>
      <c r="T160" s="673"/>
      <c r="U160" s="673"/>
      <c r="V160" s="674"/>
      <c r="W160" s="443"/>
      <c r="X160" s="443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</row>
    <row r="161" spans="1:64" ht="15" customHeight="1" outlineLevel="1" thickBot="1" x14ac:dyDescent="0.3">
      <c r="A161" s="396"/>
      <c r="B161" s="719"/>
      <c r="C161" s="702"/>
      <c r="D161" s="685"/>
      <c r="E161" s="440" t="s">
        <v>95</v>
      </c>
      <c r="F161" s="475" t="s">
        <v>5</v>
      </c>
      <c r="G161" s="475" t="s">
        <v>5</v>
      </c>
      <c r="H161" s="475" t="s">
        <v>5</v>
      </c>
      <c r="I161" s="475" t="s">
        <v>5</v>
      </c>
      <c r="J161" s="475" t="s">
        <v>5</v>
      </c>
      <c r="K161" s="476" t="s">
        <v>5</v>
      </c>
      <c r="L161" s="476" t="s">
        <v>5</v>
      </c>
      <c r="M161" s="476" t="s">
        <v>5</v>
      </c>
      <c r="N161" s="475" t="s">
        <v>5</v>
      </c>
      <c r="O161" s="672"/>
      <c r="P161" s="673"/>
      <c r="Q161" s="673"/>
      <c r="R161" s="674"/>
      <c r="S161" s="672"/>
      <c r="T161" s="673"/>
      <c r="U161" s="673"/>
      <c r="V161" s="674"/>
      <c r="W161" s="512"/>
      <c r="X161" s="512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</row>
    <row r="162" spans="1:64" ht="15" customHeight="1" outlineLevel="1" thickBot="1" x14ac:dyDescent="0.3">
      <c r="A162" s="396"/>
      <c r="B162" s="719"/>
      <c r="C162" s="686" t="s">
        <v>5</v>
      </c>
      <c r="D162" s="689" t="str">
        <f>IF(AND(F162="-",G162="-",H162="-",I162="-",J162="-",K162="-",L162="-",M162="-"),"-",MAX(F162,G162,H162,I162,J162,K162,L162,M162))</f>
        <v>-</v>
      </c>
      <c r="E162" s="444" t="s">
        <v>177</v>
      </c>
      <c r="F162" s="445" t="str">
        <f t="shared" ref="F162:K162" si="193">IF(OR(F161="-",F161=""),IF(OR(F160="-",F160=""),"-",F160),IF(OR(F160="-",F160=""),F161,(F160+F161)/2))</f>
        <v>-</v>
      </c>
      <c r="G162" s="445" t="str">
        <f t="shared" si="193"/>
        <v>-</v>
      </c>
      <c r="H162" s="445" t="str">
        <f t="shared" si="193"/>
        <v>-</v>
      </c>
      <c r="I162" s="445" t="str">
        <f t="shared" si="193"/>
        <v>-</v>
      </c>
      <c r="J162" s="445" t="str">
        <f t="shared" si="193"/>
        <v>-</v>
      </c>
      <c r="K162" s="446" t="str">
        <f t="shared" si="193"/>
        <v>-</v>
      </c>
      <c r="L162" s="446" t="str">
        <f t="shared" ref="L162:M162" si="194">IF(OR(L161="-",L161=""),IF(OR(L160="-",L160=""),"-",L160),IF(OR(L160="-",L160=""),L161,(L160+L161)/2))</f>
        <v>-</v>
      </c>
      <c r="M162" s="446" t="str">
        <f t="shared" si="194"/>
        <v>-</v>
      </c>
      <c r="N162" s="828"/>
      <c r="O162" s="672"/>
      <c r="P162" s="673"/>
      <c r="Q162" s="673"/>
      <c r="R162" s="674"/>
      <c r="S162" s="672"/>
      <c r="T162" s="673"/>
      <c r="U162" s="673"/>
      <c r="V162" s="674"/>
      <c r="W162" s="512"/>
      <c r="X162" s="512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</row>
    <row r="163" spans="1:64" ht="15" customHeight="1" outlineLevel="1" thickBot="1" x14ac:dyDescent="0.3">
      <c r="A163" s="396"/>
      <c r="B163" s="719"/>
      <c r="C163" s="687"/>
      <c r="D163" s="690"/>
      <c r="E163" s="447" t="s">
        <v>97</v>
      </c>
      <c r="F163" s="448" t="str">
        <f t="shared" ref="F163:K163" si="195">IF(OR($C162="-",$C162="CET",$C162=""),"-",IF(AND(NOT(F162="-"),NOT(F$5="-"),NOT(F$5="")),F162/F$5,"-"))</f>
        <v>-</v>
      </c>
      <c r="G163" s="448" t="str">
        <f t="shared" si="195"/>
        <v>-</v>
      </c>
      <c r="H163" s="448" t="str">
        <f t="shared" si="195"/>
        <v>-</v>
      </c>
      <c r="I163" s="448" t="str">
        <f t="shared" si="195"/>
        <v>-</v>
      </c>
      <c r="J163" s="448" t="str">
        <f t="shared" si="195"/>
        <v>-</v>
      </c>
      <c r="K163" s="449" t="str">
        <f t="shared" si="195"/>
        <v>-</v>
      </c>
      <c r="L163" s="449" t="str">
        <f t="shared" ref="L163:M163" si="196">IF(OR($C162="-",$C162="CET",$C162=""),"-",IF(AND(NOT(L162="-"),NOT(L$5="-"),NOT(L$5="")),L162/L$5,"-"))</f>
        <v>-</v>
      </c>
      <c r="M163" s="449" t="str">
        <f t="shared" si="196"/>
        <v>-</v>
      </c>
      <c r="N163" s="702"/>
      <c r="O163" s="672"/>
      <c r="P163" s="673"/>
      <c r="Q163" s="673"/>
      <c r="R163" s="674"/>
      <c r="S163" s="672"/>
      <c r="T163" s="673"/>
      <c r="U163" s="673"/>
      <c r="V163" s="674"/>
      <c r="W163" s="512"/>
      <c r="X163" s="512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D163" s="429" t="s">
        <v>85</v>
      </c>
      <c r="BE163" s="430" t="s">
        <v>86</v>
      </c>
      <c r="BF163" s="430" t="s">
        <v>87</v>
      </c>
      <c r="BG163" s="430" t="s">
        <v>88</v>
      </c>
      <c r="BH163" s="430" t="s">
        <v>89</v>
      </c>
      <c r="BI163" s="430" t="s">
        <v>90</v>
      </c>
      <c r="BJ163" s="430" t="s">
        <v>91</v>
      </c>
      <c r="BK163" s="430" t="s">
        <v>91</v>
      </c>
      <c r="BL163" s="430" t="s">
        <v>91</v>
      </c>
    </row>
    <row r="164" spans="1:64" ht="15" customHeight="1" outlineLevel="1" thickBot="1" x14ac:dyDescent="0.3">
      <c r="A164" s="396"/>
      <c r="B164" s="720"/>
      <c r="C164" s="688"/>
      <c r="D164" s="691"/>
      <c r="E164" s="451" t="s">
        <v>30</v>
      </c>
      <c r="F164" s="451" t="str">
        <f t="shared" ref="F164:M164" si="197">IF(AND(OR(F160="-",F160=""),OR(F161="-",F161="")),"-",IF(OR($C162="-",$C162="",$C162="CET"),"-",IF($R$156="not listed","-",IF(NOT(F$5="-"),IF(AND(AND(NOT(F160=0),NOT(F160="-"),NOT(F160="")),AND(NOT(F161="-"),NOT(F161=0),NOT(F161=""))),IF(AND((F160+F161)/2&lt;1*F$5*IF(OR($C162="CET",$C162="-",$C162=""),"-",$C162),F160&lt;1.1*F$5*IF(OR($C162="CET",$C162="-",$C162=""),"-",$C162),F161&lt;1.1*F$5*IF(OR($C162="CET",$C162="-",$C162=""),"-",$C162)),"passed","refused"),IF(IF(OR(F160="-",F160=""),F161,F160)&lt;0.7*F$5*IF(OR($C162="CET",$C162="-",$C162=""),"-",$C162),"passed",IF(IF(OR(F160="-",F160=""),F161,F160)&lt;1.1*IF(OR($C162="CET",$C162="-",$C162=""),"-",$C162)*F$5,"failed","refused"))),"-"))))</f>
        <v>-</v>
      </c>
      <c r="G164" s="451" t="str">
        <f t="shared" si="197"/>
        <v>-</v>
      </c>
      <c r="H164" s="451" t="str">
        <f t="shared" si="197"/>
        <v>-</v>
      </c>
      <c r="I164" s="451" t="str">
        <f t="shared" si="197"/>
        <v>-</v>
      </c>
      <c r="J164" s="451" t="str">
        <f t="shared" si="197"/>
        <v>-</v>
      </c>
      <c r="K164" s="452" t="str">
        <f t="shared" si="197"/>
        <v>-</v>
      </c>
      <c r="L164" s="452" t="str">
        <f t="shared" si="197"/>
        <v>-</v>
      </c>
      <c r="M164" s="452" t="str">
        <f t="shared" si="197"/>
        <v>-</v>
      </c>
      <c r="N164" s="685"/>
      <c r="O164" s="672"/>
      <c r="P164" s="673"/>
      <c r="Q164" s="673"/>
      <c r="R164" s="674"/>
      <c r="S164" s="672"/>
      <c r="T164" s="673"/>
      <c r="U164" s="673"/>
      <c r="V164" s="674"/>
      <c r="W164" s="512"/>
      <c r="X164" s="512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BC164" s="399" t="str">
        <f>IF(COUNTIF(F164:M164,"refused")&gt;0,"refused",IF(COUNTIF(F164:M164,"failed")&gt;0,"failed",IF(COUNTIF(F164:M164,"passed")&gt;0,"passed","-")))</f>
        <v>-</v>
      </c>
      <c r="BD164" s="429" t="str">
        <f>$E$4</f>
        <v>US EPA Tier 2 Bin 11</v>
      </c>
      <c r="BE164" s="435">
        <v>1</v>
      </c>
      <c r="BF164" s="435">
        <v>1</v>
      </c>
      <c r="BG164" s="435">
        <v>1</v>
      </c>
      <c r="BH164" s="435">
        <v>1</v>
      </c>
      <c r="BI164" s="435">
        <v>1</v>
      </c>
      <c r="BJ164" s="435">
        <v>1</v>
      </c>
      <c r="BK164" s="435">
        <v>2</v>
      </c>
      <c r="BL164" s="435">
        <v>3</v>
      </c>
    </row>
    <row r="165" spans="1:64" ht="15" customHeight="1" outlineLevel="1" x14ac:dyDescent="0.25">
      <c r="A165" s="396"/>
      <c r="B165" s="721"/>
      <c r="C165" s="668"/>
      <c r="D165" s="510"/>
      <c r="E165" s="510"/>
      <c r="F165" s="463"/>
      <c r="G165" s="463"/>
      <c r="H165" s="463"/>
      <c r="I165" s="463"/>
      <c r="J165" s="463"/>
      <c r="K165" s="464"/>
      <c r="L165" s="464"/>
      <c r="M165" s="464"/>
      <c r="N165" s="465"/>
      <c r="O165" s="672"/>
      <c r="P165" s="673"/>
      <c r="Q165" s="673"/>
      <c r="R165" s="674"/>
      <c r="S165" s="672"/>
      <c r="T165" s="673"/>
      <c r="U165" s="673"/>
      <c r="V165" s="674"/>
      <c r="W165" s="512"/>
      <c r="X165" s="512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BD165" s="429" t="str">
        <f>"1st " &amp;  B160</f>
        <v>1st s.s.e.t.</v>
      </c>
      <c r="BE165" s="435" t="str">
        <f t="shared" ref="BE165:BJ165" si="198">IF((OR($C162="-",$C162="CET",$C162="")),"-",IF(AND(OR(F160="-",F160=""),OR(F161="-",F161="")),"-",IF(NOT(OR(F160="-",F160="")),F160/F$5,F161/F$5)))</f>
        <v>-</v>
      </c>
      <c r="BF165" s="435" t="str">
        <f t="shared" si="198"/>
        <v>-</v>
      </c>
      <c r="BG165" s="435" t="str">
        <f t="shared" si="198"/>
        <v>-</v>
      </c>
      <c r="BH165" s="435" t="str">
        <f t="shared" si="198"/>
        <v>-</v>
      </c>
      <c r="BI165" s="435" t="str">
        <f t="shared" si="198"/>
        <v>-</v>
      </c>
      <c r="BJ165" s="435" t="str">
        <f t="shared" si="198"/>
        <v>-</v>
      </c>
      <c r="BK165" s="435" t="str">
        <f t="shared" ref="BK165:BL165" si="199">IF((OR($C162="-",$C162="CET",$C162="")),"-",IF(AND(OR(L160="-",L160=""),OR(L161="-",L161="")),"-",IF(NOT(OR(L160="-",L160="")),L160/L$5,L161/L$5)))</f>
        <v>-</v>
      </c>
      <c r="BL165" s="435" t="str">
        <f t="shared" si="199"/>
        <v>-</v>
      </c>
    </row>
    <row r="166" spans="1:64" ht="15" customHeight="1" outlineLevel="1" x14ac:dyDescent="0.25">
      <c r="A166" s="396"/>
      <c r="B166" s="721"/>
      <c r="C166" s="668"/>
      <c r="D166" s="510"/>
      <c r="E166" s="510"/>
      <c r="F166" s="463"/>
      <c r="G166" s="463"/>
      <c r="H166" s="463"/>
      <c r="I166" s="463"/>
      <c r="J166" s="463"/>
      <c r="K166" s="464"/>
      <c r="L166" s="464"/>
      <c r="M166" s="464"/>
      <c r="N166" s="465"/>
      <c r="O166" s="672"/>
      <c r="P166" s="673"/>
      <c r="Q166" s="673"/>
      <c r="R166" s="674"/>
      <c r="S166" s="672"/>
      <c r="T166" s="673"/>
      <c r="U166" s="673"/>
      <c r="V166" s="674"/>
      <c r="W166" s="512"/>
      <c r="X166" s="512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BD166" s="429"/>
      <c r="BE166" s="435"/>
      <c r="BF166" s="435"/>
      <c r="BG166" s="435"/>
      <c r="BH166" s="435"/>
      <c r="BI166" s="435"/>
      <c r="BJ166" s="435"/>
      <c r="BK166" s="435"/>
      <c r="BL166" s="435"/>
    </row>
    <row r="167" spans="1:64" ht="15" customHeight="1" outlineLevel="1" x14ac:dyDescent="0.25">
      <c r="A167" s="396"/>
      <c r="B167" s="721"/>
      <c r="C167" s="668"/>
      <c r="D167" s="510"/>
      <c r="E167" s="510"/>
      <c r="F167" s="466"/>
      <c r="G167" s="466"/>
      <c r="H167" s="466"/>
      <c r="I167" s="466"/>
      <c r="J167" s="466"/>
      <c r="K167" s="464"/>
      <c r="L167" s="464"/>
      <c r="M167" s="464"/>
      <c r="N167" s="467"/>
      <c r="O167" s="672"/>
      <c r="P167" s="673"/>
      <c r="Q167" s="673"/>
      <c r="R167" s="674"/>
      <c r="S167" s="672"/>
      <c r="T167" s="673"/>
      <c r="U167" s="673"/>
      <c r="V167" s="674"/>
      <c r="W167" s="512"/>
      <c r="X167" s="512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BD167" s="429"/>
      <c r="BE167" s="435"/>
      <c r="BF167" s="435"/>
      <c r="BG167" s="435"/>
      <c r="BH167" s="435"/>
      <c r="BI167" s="435"/>
      <c r="BJ167" s="435"/>
      <c r="BK167" s="435"/>
      <c r="BL167" s="435"/>
    </row>
    <row r="168" spans="1:64" ht="15" customHeight="1" outlineLevel="1" x14ac:dyDescent="0.25">
      <c r="A168" s="404"/>
      <c r="B168" s="721"/>
      <c r="C168" s="668"/>
      <c r="D168" s="510"/>
      <c r="E168" s="510"/>
      <c r="F168" s="466"/>
      <c r="G168" s="466"/>
      <c r="H168" s="466"/>
      <c r="I168" s="466"/>
      <c r="J168" s="466"/>
      <c r="K168" s="464"/>
      <c r="L168" s="464"/>
      <c r="M168" s="464"/>
      <c r="N168" s="467"/>
      <c r="O168" s="672"/>
      <c r="P168" s="673"/>
      <c r="Q168" s="673"/>
      <c r="R168" s="674"/>
      <c r="S168" s="672"/>
      <c r="T168" s="673"/>
      <c r="U168" s="673"/>
      <c r="V168" s="674"/>
      <c r="W168" s="512"/>
      <c r="X168" s="512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D168" s="429"/>
      <c r="BE168" s="435"/>
      <c r="BF168" s="435"/>
      <c r="BG168" s="435"/>
      <c r="BH168" s="435"/>
      <c r="BI168" s="435"/>
      <c r="BJ168" s="435"/>
      <c r="BK168" s="435"/>
      <c r="BL168" s="435"/>
    </row>
    <row r="169" spans="1:64" ht="15" customHeight="1" outlineLevel="1" x14ac:dyDescent="0.25">
      <c r="A169" s="404"/>
      <c r="B169" s="721"/>
      <c r="C169" s="668"/>
      <c r="D169" s="510"/>
      <c r="E169" s="510"/>
      <c r="F169" s="510"/>
      <c r="G169" s="510"/>
      <c r="H169" s="510"/>
      <c r="I169" s="510"/>
      <c r="J169" s="510"/>
      <c r="K169" s="464"/>
      <c r="L169" s="464"/>
      <c r="M169" s="464"/>
      <c r="N169" s="468"/>
      <c r="O169" s="672"/>
      <c r="P169" s="673"/>
      <c r="Q169" s="673"/>
      <c r="R169" s="674"/>
      <c r="S169" s="672"/>
      <c r="T169" s="673"/>
      <c r="U169" s="673"/>
      <c r="V169" s="674"/>
      <c r="W169" s="512"/>
      <c r="X169" s="512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BD169" s="429" t="str">
        <f>"0.7*IEF " &amp; (B160)</f>
        <v>0.7*IEF s.s.e.t.</v>
      </c>
      <c r="BE169" s="435" t="str">
        <f t="shared" ref="BE169:BJ169" si="200">IF(OR($C162="-",$C162="CET",$C162=""),"-",0.7*$C162)</f>
        <v>-</v>
      </c>
      <c r="BF169" s="435" t="str">
        <f t="shared" si="200"/>
        <v>-</v>
      </c>
      <c r="BG169" s="435" t="str">
        <f t="shared" si="200"/>
        <v>-</v>
      </c>
      <c r="BH169" s="435" t="str">
        <f t="shared" si="200"/>
        <v>-</v>
      </c>
      <c r="BI169" s="435" t="str">
        <f t="shared" si="200"/>
        <v>-</v>
      </c>
      <c r="BJ169" s="435" t="str">
        <f t="shared" si="200"/>
        <v>-</v>
      </c>
      <c r="BK169" s="435" t="str">
        <f t="shared" ref="BK169:BL169" si="201">IF(OR($C162="-",$C162="CET",$C162=""),"-",0.7*$C162)</f>
        <v>-</v>
      </c>
      <c r="BL169" s="435" t="str">
        <f t="shared" si="201"/>
        <v>-</v>
      </c>
    </row>
    <row r="170" spans="1:64" ht="15" customHeight="1" outlineLevel="1" x14ac:dyDescent="0.25">
      <c r="A170" s="404"/>
      <c r="B170" s="721"/>
      <c r="C170" s="668"/>
      <c r="D170" s="510"/>
      <c r="E170" s="510"/>
      <c r="F170" s="463"/>
      <c r="G170" s="463"/>
      <c r="H170" s="463"/>
      <c r="I170" s="463"/>
      <c r="J170" s="463"/>
      <c r="K170" s="464"/>
      <c r="L170" s="464"/>
      <c r="M170" s="464"/>
      <c r="N170" s="465"/>
      <c r="O170" s="672"/>
      <c r="P170" s="673"/>
      <c r="Q170" s="673"/>
      <c r="R170" s="674"/>
      <c r="S170" s="672"/>
      <c r="T170" s="673"/>
      <c r="U170" s="673"/>
      <c r="V170" s="674"/>
      <c r="W170" s="512"/>
      <c r="X170" s="512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BD170" s="429"/>
      <c r="BE170" s="435"/>
      <c r="BF170" s="435"/>
      <c r="BG170" s="435"/>
      <c r="BH170" s="435"/>
      <c r="BI170" s="435"/>
      <c r="BJ170" s="435"/>
      <c r="BK170" s="435"/>
      <c r="BL170" s="435"/>
    </row>
    <row r="171" spans="1:64" ht="15" customHeight="1" outlineLevel="1" x14ac:dyDescent="0.25">
      <c r="A171" s="404"/>
      <c r="B171" s="721"/>
      <c r="C171" s="668"/>
      <c r="D171" s="510"/>
      <c r="E171" s="510"/>
      <c r="F171" s="463"/>
      <c r="G171" s="463"/>
      <c r="H171" s="463"/>
      <c r="I171" s="463"/>
      <c r="J171" s="463"/>
      <c r="K171" s="464"/>
      <c r="L171" s="464"/>
      <c r="M171" s="464"/>
      <c r="N171" s="465"/>
      <c r="O171" s="672"/>
      <c r="P171" s="673"/>
      <c r="Q171" s="673"/>
      <c r="R171" s="674"/>
      <c r="S171" s="672"/>
      <c r="T171" s="673"/>
      <c r="U171" s="673"/>
      <c r="V171" s="674"/>
      <c r="W171" s="512"/>
      <c r="X171" s="512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BD171" s="429"/>
      <c r="BE171" s="435"/>
      <c r="BF171" s="435"/>
      <c r="BG171" s="435"/>
      <c r="BH171" s="435"/>
      <c r="BI171" s="435"/>
      <c r="BJ171" s="435"/>
      <c r="BK171" s="435"/>
      <c r="BL171" s="435"/>
    </row>
    <row r="172" spans="1:64" ht="15" customHeight="1" outlineLevel="1" x14ac:dyDescent="0.25">
      <c r="A172" s="404"/>
      <c r="B172" s="721"/>
      <c r="C172" s="668"/>
      <c r="D172" s="510"/>
      <c r="E172" s="510"/>
      <c r="F172" s="466"/>
      <c r="G172" s="466"/>
      <c r="H172" s="466"/>
      <c r="I172" s="466"/>
      <c r="J172" s="466"/>
      <c r="K172" s="464"/>
      <c r="L172" s="464"/>
      <c r="M172" s="464"/>
      <c r="N172" s="467"/>
      <c r="O172" s="672"/>
      <c r="P172" s="673"/>
      <c r="Q172" s="673"/>
      <c r="R172" s="674"/>
      <c r="S172" s="672"/>
      <c r="T172" s="673"/>
      <c r="U172" s="673"/>
      <c r="V172" s="674"/>
      <c r="W172" s="512"/>
      <c r="X172" s="512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BD172" s="429"/>
      <c r="BE172" s="435"/>
      <c r="BF172" s="435"/>
      <c r="BG172" s="435"/>
      <c r="BH172" s="435"/>
      <c r="BI172" s="435"/>
      <c r="BJ172" s="435"/>
      <c r="BK172" s="435"/>
      <c r="BL172" s="435"/>
    </row>
    <row r="173" spans="1:64" ht="15" customHeight="1" outlineLevel="1" x14ac:dyDescent="0.25">
      <c r="A173" s="404"/>
      <c r="B173" s="721"/>
      <c r="C173" s="668"/>
      <c r="D173" s="510"/>
      <c r="E173" s="510"/>
      <c r="F173" s="466"/>
      <c r="G173" s="466"/>
      <c r="H173" s="466"/>
      <c r="I173" s="466"/>
      <c r="J173" s="466"/>
      <c r="K173" s="464"/>
      <c r="L173" s="464"/>
      <c r="M173" s="464"/>
      <c r="N173" s="467"/>
      <c r="O173" s="672"/>
      <c r="P173" s="673"/>
      <c r="Q173" s="673"/>
      <c r="R173" s="674"/>
      <c r="S173" s="672"/>
      <c r="T173" s="673"/>
      <c r="U173" s="673"/>
      <c r="V173" s="674"/>
      <c r="W173" s="512"/>
      <c r="X173" s="512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D173" s="429" t="str">
        <f>B160</f>
        <v>s.s.e.t.</v>
      </c>
      <c r="BE173" s="435" t="str">
        <f t="shared" ref="BE173:BJ173" si="202">F163</f>
        <v>-</v>
      </c>
      <c r="BF173" s="435" t="str">
        <f t="shared" si="202"/>
        <v>-</v>
      </c>
      <c r="BG173" s="435" t="str">
        <f t="shared" si="202"/>
        <v>-</v>
      </c>
      <c r="BH173" s="435" t="str">
        <f t="shared" si="202"/>
        <v>-</v>
      </c>
      <c r="BI173" s="435" t="str">
        <f t="shared" si="202"/>
        <v>-</v>
      </c>
      <c r="BJ173" s="435" t="str">
        <f t="shared" si="202"/>
        <v>-</v>
      </c>
      <c r="BK173" s="435" t="str">
        <f t="shared" ref="BK173:BL173" si="203">L163</f>
        <v>-</v>
      </c>
      <c r="BL173" s="435" t="str">
        <f t="shared" si="203"/>
        <v>-</v>
      </c>
    </row>
    <row r="174" spans="1:64" ht="15" customHeight="1" outlineLevel="1" x14ac:dyDescent="0.25">
      <c r="A174" s="404"/>
      <c r="B174" s="721"/>
      <c r="C174" s="668"/>
      <c r="D174" s="510"/>
      <c r="E174" s="510"/>
      <c r="F174" s="510"/>
      <c r="G174" s="510"/>
      <c r="H174" s="510"/>
      <c r="I174" s="510"/>
      <c r="J174" s="510"/>
      <c r="K174" s="464"/>
      <c r="L174" s="464"/>
      <c r="M174" s="464"/>
      <c r="N174" s="468"/>
      <c r="O174" s="672"/>
      <c r="P174" s="673"/>
      <c r="Q174" s="673"/>
      <c r="R174" s="674"/>
      <c r="S174" s="672"/>
      <c r="T174" s="673"/>
      <c r="U174" s="673"/>
      <c r="V174" s="674"/>
      <c r="W174" s="512"/>
      <c r="X174" s="512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BD174" s="429"/>
      <c r="BE174" s="435"/>
      <c r="BF174" s="435"/>
      <c r="BG174" s="435"/>
      <c r="BH174" s="435"/>
      <c r="BI174" s="435"/>
      <c r="BJ174" s="435"/>
      <c r="BK174" s="435"/>
      <c r="BL174" s="435"/>
    </row>
    <row r="175" spans="1:64" ht="15" customHeight="1" outlineLevel="1" x14ac:dyDescent="0.25">
      <c r="A175" s="404"/>
      <c r="B175" s="721"/>
      <c r="C175" s="668"/>
      <c r="D175" s="510"/>
      <c r="E175" s="510"/>
      <c r="F175" s="463"/>
      <c r="G175" s="463"/>
      <c r="H175" s="463"/>
      <c r="I175" s="463"/>
      <c r="J175" s="463"/>
      <c r="K175" s="464"/>
      <c r="L175" s="464"/>
      <c r="M175" s="464"/>
      <c r="N175" s="465"/>
      <c r="O175" s="672"/>
      <c r="P175" s="673"/>
      <c r="Q175" s="673"/>
      <c r="R175" s="674"/>
      <c r="S175" s="672"/>
      <c r="T175" s="673"/>
      <c r="U175" s="673"/>
      <c r="V175" s="674"/>
      <c r="W175" s="512"/>
      <c r="X175" s="512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BD175" s="429"/>
      <c r="BE175" s="435"/>
      <c r="BF175" s="435"/>
      <c r="BG175" s="435"/>
      <c r="BH175" s="435"/>
      <c r="BI175" s="435"/>
      <c r="BJ175" s="435"/>
      <c r="BK175" s="435"/>
      <c r="BL175" s="435"/>
    </row>
    <row r="176" spans="1:64" ht="15" customHeight="1" outlineLevel="1" x14ac:dyDescent="0.25">
      <c r="A176" s="404"/>
      <c r="B176" s="721"/>
      <c r="C176" s="668"/>
      <c r="D176" s="510"/>
      <c r="E176" s="510"/>
      <c r="F176" s="463"/>
      <c r="G176" s="463"/>
      <c r="H176" s="463"/>
      <c r="I176" s="463"/>
      <c r="J176" s="463"/>
      <c r="K176" s="464"/>
      <c r="L176" s="464"/>
      <c r="M176" s="464"/>
      <c r="N176" s="465"/>
      <c r="O176" s="672"/>
      <c r="P176" s="673"/>
      <c r="Q176" s="673"/>
      <c r="R176" s="674"/>
      <c r="S176" s="672"/>
      <c r="T176" s="673"/>
      <c r="U176" s="673"/>
      <c r="V176" s="674"/>
      <c r="W176" s="512"/>
      <c r="X176" s="512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BD176" s="429"/>
      <c r="BE176" s="435"/>
      <c r="BF176" s="435"/>
      <c r="BG176" s="435"/>
      <c r="BH176" s="435"/>
      <c r="BI176" s="435"/>
      <c r="BJ176" s="435"/>
      <c r="BK176" s="435"/>
      <c r="BL176" s="435"/>
    </row>
    <row r="177" spans="1:64" ht="15" customHeight="1" outlineLevel="1" x14ac:dyDescent="0.25">
      <c r="A177" s="404"/>
      <c r="B177" s="721"/>
      <c r="C177" s="668"/>
      <c r="D177" s="510"/>
      <c r="E177" s="510"/>
      <c r="F177" s="466"/>
      <c r="G177" s="466"/>
      <c r="H177" s="466"/>
      <c r="I177" s="466"/>
      <c r="J177" s="466"/>
      <c r="K177" s="464"/>
      <c r="L177" s="464"/>
      <c r="M177" s="464"/>
      <c r="N177" s="467"/>
      <c r="O177" s="672"/>
      <c r="P177" s="673"/>
      <c r="Q177" s="673"/>
      <c r="R177" s="674"/>
      <c r="S177" s="672"/>
      <c r="T177" s="673"/>
      <c r="U177" s="673"/>
      <c r="V177" s="674"/>
      <c r="W177" s="512"/>
      <c r="X177" s="512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BD177" s="429" t="str">
        <f>"IEF " &amp;B160</f>
        <v>IEF s.s.e.t.</v>
      </c>
      <c r="BE177" s="435" t="str">
        <f t="shared" ref="BE177:BJ177" si="204">IF(OR($C170="-",$C170="CET",$C170=""),"-",$C170)</f>
        <v>-</v>
      </c>
      <c r="BF177" s="435" t="str">
        <f t="shared" si="204"/>
        <v>-</v>
      </c>
      <c r="BG177" s="435" t="str">
        <f t="shared" si="204"/>
        <v>-</v>
      </c>
      <c r="BH177" s="435" t="str">
        <f t="shared" si="204"/>
        <v>-</v>
      </c>
      <c r="BI177" s="435" t="str">
        <f t="shared" si="204"/>
        <v>-</v>
      </c>
      <c r="BJ177" s="435" t="str">
        <f t="shared" si="204"/>
        <v>-</v>
      </c>
      <c r="BK177" s="435" t="str">
        <f t="shared" ref="BK177:BL177" si="205">IF(OR($C170="-",$C170="CET",$C170=""),"-",$C170)</f>
        <v>-</v>
      </c>
      <c r="BL177" s="435" t="str">
        <f t="shared" si="205"/>
        <v>-</v>
      </c>
    </row>
    <row r="178" spans="1:64" outlineLevel="1" x14ac:dyDescent="0.25">
      <c r="B178" s="721"/>
      <c r="C178" s="668"/>
      <c r="D178" s="510"/>
      <c r="E178" s="510"/>
      <c r="F178" s="466"/>
      <c r="G178" s="466"/>
      <c r="H178" s="466"/>
      <c r="I178" s="466"/>
      <c r="J178" s="466"/>
      <c r="K178" s="464"/>
      <c r="L178" s="464"/>
      <c r="M178" s="464"/>
      <c r="N178" s="467"/>
      <c r="O178" s="672"/>
      <c r="P178" s="673"/>
      <c r="Q178" s="673"/>
      <c r="R178" s="674"/>
      <c r="S178" s="672"/>
      <c r="T178" s="673"/>
      <c r="U178" s="673"/>
      <c r="V178" s="674"/>
      <c r="BD178" s="459"/>
      <c r="BE178" s="459"/>
      <c r="BF178" s="459"/>
      <c r="BG178" s="459"/>
      <c r="BH178" s="459"/>
      <c r="BI178" s="459"/>
      <c r="BJ178" s="459"/>
      <c r="BK178" s="459"/>
      <c r="BL178" s="459"/>
    </row>
    <row r="179" spans="1:64" ht="15.75" outlineLevel="1" thickBot="1" x14ac:dyDescent="0.3">
      <c r="B179" s="722"/>
      <c r="C179" s="723"/>
      <c r="D179" s="516"/>
      <c r="E179" s="516"/>
      <c r="F179" s="516"/>
      <c r="G179" s="516"/>
      <c r="H179" s="516"/>
      <c r="I179" s="516"/>
      <c r="J179" s="516"/>
      <c r="K179" s="470"/>
      <c r="L179" s="470"/>
      <c r="M179" s="470"/>
      <c r="N179" s="471"/>
      <c r="O179" s="675"/>
      <c r="P179" s="676"/>
      <c r="Q179" s="676"/>
      <c r="R179" s="677"/>
      <c r="S179" s="675"/>
      <c r="T179" s="676"/>
      <c r="U179" s="676"/>
      <c r="V179" s="677"/>
      <c r="BD179" s="459"/>
      <c r="BE179" s="459"/>
      <c r="BF179" s="459"/>
      <c r="BG179" s="459"/>
      <c r="BH179" s="459"/>
      <c r="BI179" s="459"/>
      <c r="BJ179" s="459"/>
      <c r="BK179" s="459"/>
      <c r="BL179" s="459"/>
    </row>
    <row r="180" spans="1:64" ht="15" customHeight="1" x14ac:dyDescent="0.25">
      <c r="A180" s="396"/>
      <c r="W180" s="414"/>
      <c r="X180" s="414"/>
      <c r="Y180" s="414"/>
      <c r="Z180" s="414"/>
      <c r="AA180" s="414"/>
      <c r="AB180" s="414"/>
      <c r="AC180" s="414"/>
      <c r="AD180" s="414"/>
      <c r="AE180" s="414"/>
      <c r="AF180" s="414"/>
      <c r="AG180" s="414"/>
      <c r="AH180" s="414"/>
    </row>
    <row r="181" spans="1:64" ht="15" customHeight="1" x14ac:dyDescent="0.25">
      <c r="A181" s="396"/>
      <c r="W181" s="414"/>
      <c r="X181" s="414"/>
      <c r="Y181" s="414"/>
      <c r="Z181" s="414"/>
      <c r="AA181" s="414"/>
      <c r="AB181" s="414"/>
      <c r="AC181" s="414"/>
      <c r="AD181" s="414"/>
      <c r="AE181" s="414"/>
      <c r="AF181" s="414"/>
      <c r="AG181" s="414"/>
      <c r="AH181" s="414"/>
    </row>
    <row r="182" spans="1:64" ht="15" customHeight="1" thickBot="1" x14ac:dyDescent="0.3">
      <c r="A182" s="396"/>
      <c r="W182" s="414"/>
      <c r="X182" s="414"/>
      <c r="Y182" s="414"/>
      <c r="Z182" s="414"/>
      <c r="AA182" s="414"/>
      <c r="AB182" s="414"/>
      <c r="AC182" s="414"/>
      <c r="AD182" s="414"/>
      <c r="AE182" s="414"/>
      <c r="AF182" s="414"/>
      <c r="AG182" s="414"/>
      <c r="AH182" s="414"/>
    </row>
    <row r="183" spans="1:64" ht="24.95" customHeight="1" thickBot="1" x14ac:dyDescent="0.3">
      <c r="A183" s="396"/>
      <c r="B183" s="415">
        <v>7</v>
      </c>
      <c r="C183" s="706" t="s">
        <v>118</v>
      </c>
      <c r="D183" s="707"/>
      <c r="E183" s="707"/>
      <c r="F183" s="707"/>
      <c r="G183" s="707"/>
      <c r="H183" s="707"/>
      <c r="I183" s="707"/>
      <c r="J183" s="707"/>
      <c r="K183" s="707"/>
      <c r="L183" s="707"/>
      <c r="M183" s="707"/>
      <c r="N183" s="708"/>
      <c r="O183" s="416" t="s">
        <v>117</v>
      </c>
      <c r="P183" s="398" t="str">
        <f>IF(COUNTIF(F191:M196,"refused")&gt;0,"refused",IF(COUNTIF(F191:M196,"failed")&gt;0,"failed",IF(COUNTIF(F191:M196,"passed")&gt;0,"passed","-")))</f>
        <v>-</v>
      </c>
      <c r="Q183" s="399" t="s">
        <v>80</v>
      </c>
      <c r="R183" s="399" t="str">
        <f>IF(COUNT(F187:M188,F192:M193)&gt;0,"listed","not listed")</f>
        <v>not listed</v>
      </c>
      <c r="S183" s="511"/>
      <c r="T183" s="418"/>
      <c r="U183" s="418"/>
      <c r="V183" s="419"/>
      <c r="W183" s="424"/>
      <c r="X183" s="424"/>
      <c r="Y183" s="698"/>
      <c r="Z183" s="698"/>
      <c r="AA183" s="698"/>
      <c r="AB183" s="698"/>
      <c r="AC183" s="698"/>
      <c r="AD183" s="698"/>
      <c r="AE183" s="698"/>
      <c r="AF183" s="698"/>
      <c r="AG183" s="698"/>
      <c r="AH183" s="698"/>
    </row>
    <row r="184" spans="1:64" ht="15" customHeight="1" outlineLevel="1" thickBot="1" x14ac:dyDescent="0.3">
      <c r="A184" s="396"/>
      <c r="B184" s="513"/>
      <c r="C184" s="514"/>
      <c r="D184" s="514"/>
      <c r="E184" s="514"/>
      <c r="F184" s="514"/>
      <c r="G184" s="514"/>
      <c r="H184" s="514"/>
      <c r="I184" s="514"/>
      <c r="J184" s="514"/>
      <c r="K184" s="421"/>
      <c r="L184" s="421"/>
      <c r="M184" s="421"/>
      <c r="N184" s="514"/>
      <c r="O184" s="514"/>
      <c r="P184" s="514"/>
      <c r="Q184" s="514"/>
      <c r="R184" s="514"/>
      <c r="S184" s="514"/>
      <c r="T184" s="422"/>
      <c r="U184" s="422"/>
      <c r="V184" s="423"/>
      <c r="W184" s="512"/>
      <c r="X184" s="512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BD184" s="429" t="s">
        <v>85</v>
      </c>
      <c r="BE184" s="430" t="s">
        <v>86</v>
      </c>
      <c r="BF184" s="430" t="s">
        <v>87</v>
      </c>
      <c r="BG184" s="430" t="s">
        <v>88</v>
      </c>
      <c r="BH184" s="430" t="s">
        <v>89</v>
      </c>
      <c r="BI184" s="430" t="s">
        <v>90</v>
      </c>
      <c r="BJ184" s="430" t="s">
        <v>91</v>
      </c>
      <c r="BK184" s="430" t="s">
        <v>91</v>
      </c>
      <c r="BL184" s="430" t="s">
        <v>91</v>
      </c>
    </row>
    <row r="185" spans="1:64" ht="15" customHeight="1" outlineLevel="1" thickBot="1" x14ac:dyDescent="0.3">
      <c r="A185" s="396"/>
      <c r="B185" s="695" t="s">
        <v>81</v>
      </c>
      <c r="C185" s="696"/>
      <c r="D185" s="696"/>
      <c r="E185" s="696"/>
      <c r="F185" s="696"/>
      <c r="G185" s="696"/>
      <c r="H185" s="696"/>
      <c r="I185" s="696"/>
      <c r="J185" s="696"/>
      <c r="K185" s="696"/>
      <c r="L185" s="696"/>
      <c r="M185" s="696"/>
      <c r="N185" s="697"/>
      <c r="O185" s="695" t="s">
        <v>82</v>
      </c>
      <c r="P185" s="696"/>
      <c r="Q185" s="696"/>
      <c r="R185" s="697"/>
      <c r="S185" s="695" t="s">
        <v>83</v>
      </c>
      <c r="T185" s="696"/>
      <c r="U185" s="696"/>
      <c r="V185" s="697"/>
      <c r="W185" s="512"/>
      <c r="X185" s="512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D185" s="429" t="str">
        <f>$E$4</f>
        <v>US EPA Tier 2 Bin 11</v>
      </c>
      <c r="BE185" s="435">
        <v>1</v>
      </c>
      <c r="BF185" s="435">
        <v>1</v>
      </c>
      <c r="BG185" s="435">
        <v>1</v>
      </c>
      <c r="BH185" s="435">
        <v>1</v>
      </c>
      <c r="BI185" s="435">
        <v>1</v>
      </c>
      <c r="BJ185" s="435">
        <v>1</v>
      </c>
      <c r="BK185" s="435">
        <v>2</v>
      </c>
      <c r="BL185" s="435">
        <v>3</v>
      </c>
    </row>
    <row r="186" spans="1:64" ht="35.1" customHeight="1" outlineLevel="1" thickBot="1" x14ac:dyDescent="0.3">
      <c r="A186" s="396"/>
      <c r="B186" s="709" t="s">
        <v>84</v>
      </c>
      <c r="C186" s="682"/>
      <c r="D186" s="682"/>
      <c r="E186" s="683"/>
      <c r="F186" s="425" t="s">
        <v>72</v>
      </c>
      <c r="G186" s="517" t="s">
        <v>73</v>
      </c>
      <c r="H186" s="425" t="s">
        <v>74</v>
      </c>
      <c r="I186" s="425" t="s">
        <v>75</v>
      </c>
      <c r="J186" s="425" t="s">
        <v>76</v>
      </c>
      <c r="K186" s="534" t="s">
        <v>170</v>
      </c>
      <c r="L186" s="535" t="str">
        <f>$L$4</f>
        <v>Additional
component</v>
      </c>
      <c r="M186" s="535" t="str">
        <f>$M$4</f>
        <v>Additional
component 2</v>
      </c>
      <c r="N186" s="425" t="s">
        <v>77</v>
      </c>
      <c r="O186" s="669"/>
      <c r="P186" s="670"/>
      <c r="Q186" s="670"/>
      <c r="R186" s="671"/>
      <c r="S186" s="669"/>
      <c r="T186" s="670"/>
      <c r="U186" s="670"/>
      <c r="V186" s="671"/>
      <c r="W186" s="512"/>
      <c r="X186" s="512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BC186" s="536"/>
      <c r="BD186" s="429" t="str">
        <f>"1st " &amp;  B187</f>
        <v>1st normal</v>
      </c>
      <c r="BE186" s="435" t="str">
        <f t="shared" ref="BE186:BJ186" si="206">IF((OR($C189="-",$C189="CET",$C189="")),"-",IF(AND(OR(F187="-",F187=""),OR(F188="-",F188="")),"-",IF(NOT(OR(F187="-",F187="")),F187/F$5,F188/F$5)))</f>
        <v>-</v>
      </c>
      <c r="BF186" s="435" t="str">
        <f t="shared" si="206"/>
        <v>-</v>
      </c>
      <c r="BG186" s="435" t="str">
        <f t="shared" si="206"/>
        <v>-</v>
      </c>
      <c r="BH186" s="435" t="str">
        <f t="shared" si="206"/>
        <v>-</v>
      </c>
      <c r="BI186" s="435" t="str">
        <f t="shared" si="206"/>
        <v>-</v>
      </c>
      <c r="BJ186" s="435" t="str">
        <f t="shared" si="206"/>
        <v>-</v>
      </c>
      <c r="BK186" s="435" t="str">
        <f t="shared" ref="BK186:BL186" si="207">IF((OR($C189="-",$C189="CET",$C189="")),"-",IF(AND(OR(L187="-",L187=""),OR(L188="-",L188="")),"-",IF(NOT(OR(L187="-",L187="")),L187/L$5,L188/L$5)))</f>
        <v>-</v>
      </c>
      <c r="BL186" s="435" t="str">
        <f t="shared" si="207"/>
        <v>-</v>
      </c>
    </row>
    <row r="187" spans="1:64" s="405" customFormat="1" ht="15" customHeight="1" outlineLevel="1" x14ac:dyDescent="0.25">
      <c r="A187" s="439"/>
      <c r="B187" s="724" t="s">
        <v>116</v>
      </c>
      <c r="C187" s="684" t="s">
        <v>114</v>
      </c>
      <c r="D187" s="684" t="s">
        <v>113</v>
      </c>
      <c r="E187" s="453" t="s">
        <v>94</v>
      </c>
      <c r="F187" s="473" t="s">
        <v>5</v>
      </c>
      <c r="G187" s="473" t="s">
        <v>5</v>
      </c>
      <c r="H187" s="473" t="s">
        <v>5</v>
      </c>
      <c r="I187" s="473" t="s">
        <v>5</v>
      </c>
      <c r="J187" s="473" t="s">
        <v>5</v>
      </c>
      <c r="K187" s="474" t="s">
        <v>5</v>
      </c>
      <c r="L187" s="474" t="s">
        <v>5</v>
      </c>
      <c r="M187" s="474" t="s">
        <v>5</v>
      </c>
      <c r="N187" s="473" t="s">
        <v>5</v>
      </c>
      <c r="O187" s="672"/>
      <c r="P187" s="673"/>
      <c r="Q187" s="673"/>
      <c r="R187" s="674"/>
      <c r="S187" s="672"/>
      <c r="T187" s="673"/>
      <c r="U187" s="673"/>
      <c r="V187" s="674"/>
      <c r="W187" s="443"/>
      <c r="X187" s="443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BC187" s="536"/>
      <c r="BD187" s="429" t="str">
        <f>"1st " &amp; B192</f>
        <v>1st aggressive</v>
      </c>
      <c r="BE187" s="435" t="str">
        <f t="shared" ref="BE187:BJ187" si="208">IF((OR($C194="-",$C194="CET",$C194="")),"-",IF(AND(OR(F192="-",F192=""),OR(F193="-",F193="")),"-",IF(NOT(OR(F192="-",F192="")),F192/F$5,F193/F$5)))</f>
        <v>-</v>
      </c>
      <c r="BF187" s="435" t="str">
        <f t="shared" si="208"/>
        <v>-</v>
      </c>
      <c r="BG187" s="435" t="str">
        <f t="shared" si="208"/>
        <v>-</v>
      </c>
      <c r="BH187" s="435" t="str">
        <f t="shared" si="208"/>
        <v>-</v>
      </c>
      <c r="BI187" s="435" t="str">
        <f t="shared" si="208"/>
        <v>-</v>
      </c>
      <c r="BJ187" s="435" t="str">
        <f t="shared" si="208"/>
        <v>-</v>
      </c>
      <c r="BK187" s="435" t="str">
        <f t="shared" ref="BK187:BL187" si="209">IF((OR($C194="-",$C194="CET",$C194="")),"-",IF(AND(OR(L192="-",L192=""),OR(L193="-",L193="")),"-",IF(NOT(OR(L192="-",L192="")),L192/L$5,L193/L$5)))</f>
        <v>-</v>
      </c>
      <c r="BL187" s="435" t="str">
        <f t="shared" si="209"/>
        <v>-</v>
      </c>
    </row>
    <row r="188" spans="1:64" ht="15" customHeight="1" outlineLevel="1" thickBot="1" x14ac:dyDescent="0.3">
      <c r="A188" s="396"/>
      <c r="B188" s="725"/>
      <c r="C188" s="702"/>
      <c r="D188" s="685"/>
      <c r="E188" s="440" t="s">
        <v>95</v>
      </c>
      <c r="F188" s="475" t="s">
        <v>5</v>
      </c>
      <c r="G188" s="475" t="s">
        <v>5</v>
      </c>
      <c r="H188" s="475" t="s">
        <v>5</v>
      </c>
      <c r="I188" s="475" t="s">
        <v>5</v>
      </c>
      <c r="J188" s="475" t="s">
        <v>5</v>
      </c>
      <c r="K188" s="476" t="s">
        <v>5</v>
      </c>
      <c r="L188" s="476" t="s">
        <v>5</v>
      </c>
      <c r="M188" s="476" t="s">
        <v>5</v>
      </c>
      <c r="N188" s="475" t="s">
        <v>5</v>
      </c>
      <c r="O188" s="672"/>
      <c r="P188" s="673"/>
      <c r="Q188" s="673"/>
      <c r="R188" s="674"/>
      <c r="S188" s="672"/>
      <c r="T188" s="673"/>
      <c r="U188" s="673"/>
      <c r="V188" s="674"/>
      <c r="W188" s="512"/>
      <c r="X188" s="512"/>
      <c r="Y188" s="678"/>
      <c r="Z188" s="678"/>
      <c r="AA188" s="678"/>
      <c r="AB188" s="678"/>
      <c r="AC188" s="678"/>
      <c r="AD188" s="678"/>
      <c r="AE188" s="678"/>
      <c r="AF188" s="678"/>
      <c r="AG188" s="678"/>
      <c r="AH188" s="678"/>
      <c r="BC188" s="536"/>
      <c r="BD188" s="429"/>
      <c r="BE188" s="435"/>
      <c r="BF188" s="435"/>
      <c r="BG188" s="435"/>
      <c r="BH188" s="435"/>
      <c r="BI188" s="435"/>
      <c r="BJ188" s="435"/>
      <c r="BK188" s="435"/>
      <c r="BL188" s="435"/>
    </row>
    <row r="189" spans="1:64" ht="15" customHeight="1" outlineLevel="1" thickBot="1" x14ac:dyDescent="0.3">
      <c r="A189" s="396"/>
      <c r="B189" s="725"/>
      <c r="C189" s="686">
        <v>2</v>
      </c>
      <c r="D189" s="689" t="str">
        <f>IF(AND(F189="-",G189="-",H189="-",I189="-",J189="-",K189="-",L189="-",M189="-"),"-",MAX(F189,G189,H189,I189,J189,K189,L189,M189))</f>
        <v>-</v>
      </c>
      <c r="E189" s="444" t="s">
        <v>177</v>
      </c>
      <c r="F189" s="445" t="str">
        <f t="shared" ref="F189:K189" si="210">IF(OR(F188="-",F188=""),IF(OR(F187="-",F187=""),"-",F187),IF(OR(F187="-",F187=""),F188,(F187+F188)/2))</f>
        <v>-</v>
      </c>
      <c r="G189" s="445" t="str">
        <f t="shared" si="210"/>
        <v>-</v>
      </c>
      <c r="H189" s="445" t="str">
        <f t="shared" si="210"/>
        <v>-</v>
      </c>
      <c r="I189" s="445" t="str">
        <f t="shared" si="210"/>
        <v>-</v>
      </c>
      <c r="J189" s="445" t="str">
        <f t="shared" si="210"/>
        <v>-</v>
      </c>
      <c r="K189" s="446" t="str">
        <f t="shared" si="210"/>
        <v>-</v>
      </c>
      <c r="L189" s="446" t="str">
        <f t="shared" ref="L189:M189" si="211">IF(OR(L188="-",L188=""),IF(OR(L187="-",L187=""),"-",L187),IF(OR(L187="-",L187=""),L188,(L187+L188)/2))</f>
        <v>-</v>
      </c>
      <c r="M189" s="446" t="str">
        <f t="shared" si="211"/>
        <v>-</v>
      </c>
      <c r="N189" s="828"/>
      <c r="O189" s="672"/>
      <c r="P189" s="673"/>
      <c r="Q189" s="673"/>
      <c r="R189" s="674"/>
      <c r="S189" s="672"/>
      <c r="T189" s="673"/>
      <c r="U189" s="673"/>
      <c r="V189" s="674"/>
      <c r="W189" s="512"/>
      <c r="X189" s="512"/>
      <c r="Y189" s="678"/>
      <c r="Z189" s="678"/>
      <c r="AA189" s="678"/>
      <c r="AB189" s="678"/>
      <c r="AC189" s="678"/>
      <c r="AD189" s="678"/>
      <c r="AE189" s="678"/>
      <c r="AF189" s="678"/>
      <c r="AG189" s="678"/>
      <c r="AH189" s="678"/>
      <c r="BC189" s="536"/>
      <c r="BD189" s="429"/>
      <c r="BE189" s="435"/>
      <c r="BF189" s="435"/>
      <c r="BG189" s="435"/>
      <c r="BH189" s="435"/>
      <c r="BI189" s="435"/>
      <c r="BJ189" s="435"/>
      <c r="BK189" s="435"/>
      <c r="BL189" s="435"/>
    </row>
    <row r="190" spans="1:64" ht="15" customHeight="1" outlineLevel="1" thickBot="1" x14ac:dyDescent="0.3">
      <c r="A190" s="396"/>
      <c r="B190" s="725"/>
      <c r="C190" s="687"/>
      <c r="D190" s="690"/>
      <c r="E190" s="447" t="s">
        <v>97</v>
      </c>
      <c r="F190" s="448" t="str">
        <f t="shared" ref="F190:K190" si="212">IF(OR($C189="-",$C189="CET",$C189=""),"-",IF(AND(NOT(F189="-"),NOT(F$5="-"),NOT(F$5="")),F189/F$5,"-"))</f>
        <v>-</v>
      </c>
      <c r="G190" s="448" t="str">
        <f t="shared" si="212"/>
        <v>-</v>
      </c>
      <c r="H190" s="448" t="str">
        <f t="shared" si="212"/>
        <v>-</v>
      </c>
      <c r="I190" s="448" t="str">
        <f t="shared" si="212"/>
        <v>-</v>
      </c>
      <c r="J190" s="448" t="str">
        <f t="shared" si="212"/>
        <v>-</v>
      </c>
      <c r="K190" s="449" t="str">
        <f t="shared" si="212"/>
        <v>-</v>
      </c>
      <c r="L190" s="449" t="str">
        <f t="shared" ref="L190:M190" si="213">IF(OR($C189="-",$C189="CET",$C189=""),"-",IF(AND(NOT(L189="-"),NOT(L$5="-"),NOT(L$5="")),L189/L$5,"-"))</f>
        <v>-</v>
      </c>
      <c r="M190" s="449" t="str">
        <f t="shared" si="213"/>
        <v>-</v>
      </c>
      <c r="N190" s="702"/>
      <c r="O190" s="672"/>
      <c r="P190" s="673"/>
      <c r="Q190" s="673"/>
      <c r="R190" s="674"/>
      <c r="S190" s="672"/>
      <c r="T190" s="673"/>
      <c r="U190" s="673"/>
      <c r="V190" s="674"/>
      <c r="W190" s="512"/>
      <c r="X190" s="512"/>
      <c r="Y190" s="678"/>
      <c r="Z190" s="678"/>
      <c r="AA190" s="678"/>
      <c r="AB190" s="678"/>
      <c r="AC190" s="678"/>
      <c r="AD190" s="678"/>
      <c r="AE190" s="678"/>
      <c r="AF190" s="678"/>
      <c r="AG190" s="678"/>
      <c r="AH190" s="678"/>
      <c r="BC190" s="536"/>
      <c r="BD190" s="429"/>
      <c r="BE190" s="435"/>
      <c r="BF190" s="435"/>
      <c r="BG190" s="435"/>
      <c r="BH190" s="435"/>
      <c r="BI190" s="435"/>
      <c r="BJ190" s="435"/>
      <c r="BK190" s="435"/>
      <c r="BL190" s="435"/>
    </row>
    <row r="191" spans="1:64" ht="15" customHeight="1" outlineLevel="1" thickBot="1" x14ac:dyDescent="0.3">
      <c r="A191" s="396"/>
      <c r="B191" s="726"/>
      <c r="C191" s="688"/>
      <c r="D191" s="691"/>
      <c r="E191" s="450" t="s">
        <v>30</v>
      </c>
      <c r="F191" s="451" t="str">
        <f t="shared" ref="F191:M191" si="214">IF(AND(OR(F187="-",F187=""),OR(F188="-",F188="")),"-",IF(OR($C189="-",$C189="",$C189="CET"),"-",IF($R$183="not listed","-",IF(NOT(F$5="-"),IF(AND(AND(NOT(F187=0),NOT(F187="-"),NOT(F187="")),AND(NOT(F188="-"),NOT(F188=0),NOT(F188=""))),IF(AND((F187+F188)/2&lt;1*F$5*IF(OR($C189="CET",$C189="-",$C189=""),"-",$C189),F187&lt;1.1*F$5*IF(OR($C189="CET",$C189="-",$C189=""),"-",$C189),F188&lt;1.1*F$5*IF(OR($C189="CET",$C189="-",$C189=""),"-",$C189)),"passed","refused"),IF(IF(OR(F187="-",F187=""),F188,F187)&lt;0.7*F$5*IF(OR($C189="CET",$C189="-",$C189=""),"-",$C189),"passed",IF(IF(OR(F187="-",F187=""),F188,F187)&lt;1.1*IF(OR($C189="CET",$C189="-",$C189=""),"-",$C189)*F$5,"failed","refused"))),"-"))))</f>
        <v>-</v>
      </c>
      <c r="G191" s="451" t="str">
        <f t="shared" si="214"/>
        <v>-</v>
      </c>
      <c r="H191" s="451" t="str">
        <f t="shared" si="214"/>
        <v>-</v>
      </c>
      <c r="I191" s="451" t="str">
        <f t="shared" si="214"/>
        <v>-</v>
      </c>
      <c r="J191" s="451" t="str">
        <f t="shared" si="214"/>
        <v>-</v>
      </c>
      <c r="K191" s="452" t="str">
        <f t="shared" si="214"/>
        <v>-</v>
      </c>
      <c r="L191" s="452" t="str">
        <f t="shared" si="214"/>
        <v>-</v>
      </c>
      <c r="M191" s="452" t="str">
        <f t="shared" si="214"/>
        <v>-</v>
      </c>
      <c r="N191" s="685"/>
      <c r="O191" s="672"/>
      <c r="P191" s="673"/>
      <c r="Q191" s="673"/>
      <c r="R191" s="674"/>
      <c r="S191" s="672"/>
      <c r="T191" s="673"/>
      <c r="U191" s="673"/>
      <c r="V191" s="674"/>
      <c r="W191" s="512"/>
      <c r="X191" s="512"/>
      <c r="Y191" s="678"/>
      <c r="Z191" s="678"/>
      <c r="AA191" s="678"/>
      <c r="AB191" s="678"/>
      <c r="AC191" s="678"/>
      <c r="AD191" s="678"/>
      <c r="AE191" s="678"/>
      <c r="AF191" s="678"/>
      <c r="AG191" s="678"/>
      <c r="AH191" s="678"/>
      <c r="BC191" s="399" t="str">
        <f>IF(COUNTIF(F191:M191,"refused")&gt;0,"refused",IF(COUNTIF(F191:M191,"failed")&gt;0,"failed",IF(COUNTIF(F191:M191,"passed")&gt;0,"passed","-")))</f>
        <v>-</v>
      </c>
      <c r="BD191" s="429"/>
      <c r="BE191" s="435"/>
      <c r="BF191" s="435"/>
      <c r="BG191" s="435"/>
      <c r="BH191" s="435"/>
      <c r="BI191" s="435"/>
      <c r="BJ191" s="435"/>
      <c r="BK191" s="435"/>
      <c r="BL191" s="435"/>
    </row>
    <row r="192" spans="1:64" s="405" customFormat="1" ht="15" customHeight="1" outlineLevel="1" x14ac:dyDescent="0.25">
      <c r="A192" s="439"/>
      <c r="B192" s="724" t="s">
        <v>115</v>
      </c>
      <c r="C192" s="684" t="s">
        <v>114</v>
      </c>
      <c r="D192" s="684" t="s">
        <v>113</v>
      </c>
      <c r="E192" s="453" t="s">
        <v>94</v>
      </c>
      <c r="F192" s="473" t="s">
        <v>5</v>
      </c>
      <c r="G192" s="473" t="s">
        <v>5</v>
      </c>
      <c r="H192" s="473" t="s">
        <v>5</v>
      </c>
      <c r="I192" s="473" t="s">
        <v>5</v>
      </c>
      <c r="J192" s="473" t="s">
        <v>5</v>
      </c>
      <c r="K192" s="474" t="s">
        <v>5</v>
      </c>
      <c r="L192" s="474" t="s">
        <v>5</v>
      </c>
      <c r="M192" s="474" t="s">
        <v>5</v>
      </c>
      <c r="N192" s="473" t="s">
        <v>5</v>
      </c>
      <c r="O192" s="672"/>
      <c r="P192" s="673"/>
      <c r="Q192" s="673"/>
      <c r="R192" s="674"/>
      <c r="S192" s="672"/>
      <c r="T192" s="673"/>
      <c r="U192" s="673"/>
      <c r="V192" s="674"/>
      <c r="W192" s="443"/>
      <c r="X192" s="443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BC192" s="536"/>
      <c r="BD192" s="429" t="str">
        <f>"0.7*IEF " &amp; (B187)</f>
        <v>0.7*IEF normal</v>
      </c>
      <c r="BE192" s="435">
        <f t="shared" ref="BE192:BJ192" si="215">IF(OR($C189="-",$C189="CET",$C189=""),"-",0.7*$C189)</f>
        <v>1.4</v>
      </c>
      <c r="BF192" s="435">
        <f t="shared" si="215"/>
        <v>1.4</v>
      </c>
      <c r="BG192" s="435">
        <f t="shared" si="215"/>
        <v>1.4</v>
      </c>
      <c r="BH192" s="435">
        <f t="shared" si="215"/>
        <v>1.4</v>
      </c>
      <c r="BI192" s="435">
        <f t="shared" si="215"/>
        <v>1.4</v>
      </c>
      <c r="BJ192" s="435">
        <f t="shared" si="215"/>
        <v>1.4</v>
      </c>
      <c r="BK192" s="435">
        <f t="shared" ref="BK192:BL192" si="216">IF(OR($C189="-",$C189="CET",$C189=""),"-",0.7*$C189)</f>
        <v>1.4</v>
      </c>
      <c r="BL192" s="435">
        <f t="shared" si="216"/>
        <v>1.4</v>
      </c>
    </row>
    <row r="193" spans="1:64" ht="15" customHeight="1" outlineLevel="1" thickBot="1" x14ac:dyDescent="0.3">
      <c r="A193" s="396"/>
      <c r="B193" s="725"/>
      <c r="C193" s="702"/>
      <c r="D193" s="685"/>
      <c r="E193" s="440" t="s">
        <v>95</v>
      </c>
      <c r="F193" s="475" t="s">
        <v>5</v>
      </c>
      <c r="G193" s="475" t="s">
        <v>5</v>
      </c>
      <c r="H193" s="475" t="s">
        <v>5</v>
      </c>
      <c r="I193" s="475" t="s">
        <v>5</v>
      </c>
      <c r="J193" s="475" t="s">
        <v>5</v>
      </c>
      <c r="K193" s="476" t="s">
        <v>5</v>
      </c>
      <c r="L193" s="476" t="s">
        <v>5</v>
      </c>
      <c r="M193" s="476" t="s">
        <v>5</v>
      </c>
      <c r="N193" s="475" t="s">
        <v>5</v>
      </c>
      <c r="O193" s="672"/>
      <c r="P193" s="673"/>
      <c r="Q193" s="673"/>
      <c r="R193" s="674"/>
      <c r="S193" s="672"/>
      <c r="T193" s="673"/>
      <c r="U193" s="673"/>
      <c r="V193" s="674"/>
      <c r="W193" s="512"/>
      <c r="X193" s="512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BC193" s="536"/>
      <c r="BD193" s="429" t="str">
        <f>"0.7*IEF " &amp; B192</f>
        <v>0.7*IEF aggressive</v>
      </c>
      <c r="BE193" s="435">
        <f t="shared" ref="BE193:BL193" si="217">IF(OR($C194="-",$C194="CET",$C194=""),"-",0.7*$C194)</f>
        <v>2.8</v>
      </c>
      <c r="BF193" s="435">
        <f t="shared" si="217"/>
        <v>2.8</v>
      </c>
      <c r="BG193" s="435">
        <f t="shared" si="217"/>
        <v>2.8</v>
      </c>
      <c r="BH193" s="435">
        <f t="shared" si="217"/>
        <v>2.8</v>
      </c>
      <c r="BI193" s="435">
        <f t="shared" si="217"/>
        <v>2.8</v>
      </c>
      <c r="BJ193" s="435">
        <f t="shared" si="217"/>
        <v>2.8</v>
      </c>
      <c r="BK193" s="435">
        <f t="shared" si="217"/>
        <v>2.8</v>
      </c>
      <c r="BL193" s="435">
        <f t="shared" si="217"/>
        <v>2.8</v>
      </c>
    </row>
    <row r="194" spans="1:64" ht="15" customHeight="1" outlineLevel="1" thickBot="1" x14ac:dyDescent="0.3">
      <c r="A194" s="396"/>
      <c r="B194" s="725"/>
      <c r="C194" s="686">
        <v>4</v>
      </c>
      <c r="D194" s="689" t="str">
        <f>IF(AND(F194="-",G194="-",H194="-",I194="-",J194="-",K194="-",L194="-",M194="-"),"-",MAX(F194,G194,H194,I194,J194,K194,L194,M194))</f>
        <v>-</v>
      </c>
      <c r="E194" s="444" t="s">
        <v>177</v>
      </c>
      <c r="F194" s="445" t="str">
        <f t="shared" ref="F194:K194" si="218">IF(OR(F193="-",F193=""),IF(OR(F192="-",F192=""),"-",F192),IF(OR(F192="-",F192=""),F193,(F192+F193)/2))</f>
        <v>-</v>
      </c>
      <c r="G194" s="445" t="str">
        <f t="shared" si="218"/>
        <v>-</v>
      </c>
      <c r="H194" s="445" t="str">
        <f t="shared" si="218"/>
        <v>-</v>
      </c>
      <c r="I194" s="445" t="str">
        <f t="shared" si="218"/>
        <v>-</v>
      </c>
      <c r="J194" s="445" t="str">
        <f t="shared" si="218"/>
        <v>-</v>
      </c>
      <c r="K194" s="446" t="str">
        <f t="shared" si="218"/>
        <v>-</v>
      </c>
      <c r="L194" s="446" t="str">
        <f t="shared" ref="L194:M194" si="219">IF(OR(L193="-",L193=""),IF(OR(L192="-",L192=""),"-",L192),IF(OR(L192="-",L192=""),L193,(L192+L193)/2))</f>
        <v>-</v>
      </c>
      <c r="M194" s="446" t="str">
        <f t="shared" si="219"/>
        <v>-</v>
      </c>
      <c r="N194" s="828"/>
      <c r="O194" s="672"/>
      <c r="P194" s="673"/>
      <c r="Q194" s="673"/>
      <c r="R194" s="674"/>
      <c r="S194" s="672"/>
      <c r="T194" s="673"/>
      <c r="U194" s="673"/>
      <c r="V194" s="674"/>
      <c r="W194" s="512"/>
      <c r="X194" s="512"/>
      <c r="Y194" s="678"/>
      <c r="Z194" s="678"/>
      <c r="AA194" s="678"/>
      <c r="AB194" s="678"/>
      <c r="AC194" s="678"/>
      <c r="AD194" s="678"/>
      <c r="AE194" s="678"/>
      <c r="AF194" s="678"/>
      <c r="AG194" s="678"/>
      <c r="AH194" s="678"/>
      <c r="BC194" s="536"/>
      <c r="BD194" s="429"/>
      <c r="BE194" s="435"/>
      <c r="BF194" s="435"/>
      <c r="BG194" s="435"/>
      <c r="BH194" s="435"/>
      <c r="BI194" s="435"/>
      <c r="BJ194" s="435"/>
      <c r="BK194" s="435"/>
      <c r="BL194" s="435"/>
    </row>
    <row r="195" spans="1:64" ht="15" customHeight="1" outlineLevel="1" thickBot="1" x14ac:dyDescent="0.3">
      <c r="A195" s="404"/>
      <c r="B195" s="725"/>
      <c r="C195" s="687"/>
      <c r="D195" s="690"/>
      <c r="E195" s="447" t="s">
        <v>97</v>
      </c>
      <c r="F195" s="448" t="str">
        <f t="shared" ref="F195:K195" si="220">IF(OR($C194="-",$C194="CET",$C194=""),"-",IF(AND(NOT(F194="-"),NOT(F$5="-"),NOT(F$5="")),F194/F$5,"-"))</f>
        <v>-</v>
      </c>
      <c r="G195" s="448" t="str">
        <f t="shared" si="220"/>
        <v>-</v>
      </c>
      <c r="H195" s="448" t="str">
        <f t="shared" si="220"/>
        <v>-</v>
      </c>
      <c r="I195" s="448" t="str">
        <f t="shared" si="220"/>
        <v>-</v>
      </c>
      <c r="J195" s="448" t="str">
        <f t="shared" si="220"/>
        <v>-</v>
      </c>
      <c r="K195" s="449" t="str">
        <f t="shared" si="220"/>
        <v>-</v>
      </c>
      <c r="L195" s="449" t="str">
        <f t="shared" ref="L195:M195" si="221">IF(OR($C194="-",$C194="CET",$C194=""),"-",IF(AND(NOT(L194="-"),NOT(L$5="-"),NOT(L$5="")),L194/L$5,"-"))</f>
        <v>-</v>
      </c>
      <c r="M195" s="449" t="str">
        <f t="shared" si="221"/>
        <v>-</v>
      </c>
      <c r="N195" s="702"/>
      <c r="O195" s="672"/>
      <c r="P195" s="673"/>
      <c r="Q195" s="673"/>
      <c r="R195" s="674"/>
      <c r="S195" s="672"/>
      <c r="T195" s="673"/>
      <c r="U195" s="673"/>
      <c r="V195" s="674"/>
      <c r="W195" s="512"/>
      <c r="X195" s="512"/>
      <c r="Y195" s="678"/>
      <c r="Z195" s="678"/>
      <c r="AA195" s="678"/>
      <c r="AB195" s="678"/>
      <c r="AC195" s="678"/>
      <c r="AD195" s="678"/>
      <c r="AE195" s="678"/>
      <c r="AF195" s="678"/>
      <c r="AG195" s="678"/>
      <c r="AH195" s="678"/>
      <c r="BC195" s="536"/>
      <c r="BD195" s="429"/>
      <c r="BE195" s="435"/>
      <c r="BF195" s="435"/>
      <c r="BG195" s="435"/>
      <c r="BH195" s="435"/>
      <c r="BI195" s="435"/>
      <c r="BJ195" s="435"/>
      <c r="BK195" s="435"/>
      <c r="BL195" s="435"/>
    </row>
    <row r="196" spans="1:64" ht="15" customHeight="1" outlineLevel="1" thickBot="1" x14ac:dyDescent="0.3">
      <c r="A196" s="404"/>
      <c r="B196" s="726"/>
      <c r="C196" s="688"/>
      <c r="D196" s="691"/>
      <c r="E196" s="451" t="s">
        <v>30</v>
      </c>
      <c r="F196" s="451" t="str">
        <f t="shared" ref="F196:M196" si="222">IF(AND(OR(F192="-",F192=""),OR(F193="-",F193="")),"-",IF(OR($C194="-",$C194="",$C194="CET"),"-",IF($R$183="not listed","-",IF(NOT(F$5="-"),IF(AND(AND(NOT(F192=0),NOT(F192="-"),NOT(F192="")),AND(NOT(F193="-"),NOT(F193=0),NOT(F193=""))),IF(AND((F192+F193)/2&lt;1*F$5*IF(OR($C194="CET",$C194="-",$C194=""),"-",$C194),F192&lt;1.1*F$5*IF(OR($C194="CET",$C194="-",$C194=""),"-",$C194),F193&lt;1.1*F$5*IF(OR($C194="CET",$C194="-",$C194=""),"-",$C194)),"passed","refused"),IF(IF(OR(F192="-",F192=""),F193,F192)&lt;0.7*F$5*IF(OR($C194="CET",$C194="-",$C194=""),"-",$C194),"passed",IF(IF(OR(F192="-",F192=""),F193,F192)&lt;1.1*IF(OR($C194="CET",$C194="-",$C194=""),"-",$C194)*F$5,"failed","refused"))),"-"))))</f>
        <v>-</v>
      </c>
      <c r="G196" s="451" t="str">
        <f t="shared" si="222"/>
        <v>-</v>
      </c>
      <c r="H196" s="451" t="str">
        <f t="shared" si="222"/>
        <v>-</v>
      </c>
      <c r="I196" s="451" t="str">
        <f t="shared" si="222"/>
        <v>-</v>
      </c>
      <c r="J196" s="451" t="str">
        <f t="shared" si="222"/>
        <v>-</v>
      </c>
      <c r="K196" s="452" t="str">
        <f t="shared" si="222"/>
        <v>-</v>
      </c>
      <c r="L196" s="452" t="str">
        <f t="shared" si="222"/>
        <v>-</v>
      </c>
      <c r="M196" s="452" t="str">
        <f t="shared" si="222"/>
        <v>-</v>
      </c>
      <c r="N196" s="685"/>
      <c r="O196" s="672"/>
      <c r="P196" s="673"/>
      <c r="Q196" s="673"/>
      <c r="R196" s="674"/>
      <c r="S196" s="672"/>
      <c r="T196" s="673"/>
      <c r="U196" s="673"/>
      <c r="V196" s="674"/>
      <c r="W196" s="512"/>
      <c r="X196" s="512"/>
      <c r="Y196" s="678"/>
      <c r="Z196" s="678"/>
      <c r="AA196" s="678"/>
      <c r="AB196" s="678"/>
      <c r="AC196" s="678"/>
      <c r="AD196" s="678"/>
      <c r="AE196" s="678"/>
      <c r="AF196" s="678"/>
      <c r="AG196" s="678"/>
      <c r="AH196" s="678"/>
      <c r="BC196" s="399" t="str">
        <f>IF(COUNTIF(F196:M196,"refused")&gt;0,"refused",IF(COUNTIF(F196:M196,"failed")&gt;0,"failed",IF(COUNTIF(F196:M196,"passed")&gt;0,"passed","-")))</f>
        <v>-</v>
      </c>
      <c r="BD196" s="429"/>
      <c r="BE196" s="435"/>
      <c r="BF196" s="435"/>
      <c r="BG196" s="435"/>
      <c r="BH196" s="435"/>
      <c r="BI196" s="435"/>
      <c r="BJ196" s="435"/>
      <c r="BK196" s="435"/>
      <c r="BL196" s="435"/>
    </row>
    <row r="197" spans="1:64" s="405" customFormat="1" ht="15" customHeight="1" outlineLevel="1" x14ac:dyDescent="0.25">
      <c r="A197" s="454"/>
      <c r="B197" s="478"/>
      <c r="C197" s="479"/>
      <c r="D197" s="479"/>
      <c r="E197" s="480"/>
      <c r="F197" s="481"/>
      <c r="G197" s="481"/>
      <c r="H197" s="481"/>
      <c r="I197" s="481"/>
      <c r="J197" s="481"/>
      <c r="K197" s="482"/>
      <c r="L197" s="482"/>
      <c r="M197" s="482"/>
      <c r="N197" s="483"/>
      <c r="O197" s="672"/>
      <c r="P197" s="673"/>
      <c r="Q197" s="673"/>
      <c r="R197" s="674"/>
      <c r="S197" s="672"/>
      <c r="T197" s="673"/>
      <c r="U197" s="673"/>
      <c r="V197" s="674"/>
      <c r="W197" s="443"/>
      <c r="X197" s="443"/>
      <c r="Y197" s="678"/>
      <c r="Z197" s="678"/>
      <c r="AA197" s="678"/>
      <c r="AB197" s="678"/>
      <c r="AC197" s="678"/>
      <c r="AD197" s="678"/>
      <c r="AE197" s="678"/>
      <c r="AF197" s="678"/>
      <c r="AG197" s="678"/>
      <c r="AH197" s="678"/>
      <c r="BD197" s="429"/>
      <c r="BE197" s="435"/>
      <c r="BF197" s="435"/>
      <c r="BG197" s="435"/>
      <c r="BH197" s="435"/>
      <c r="BI197" s="435"/>
      <c r="BJ197" s="435"/>
      <c r="BK197" s="435"/>
      <c r="BL197" s="435"/>
    </row>
    <row r="198" spans="1:64" ht="15" customHeight="1" outlineLevel="1" x14ac:dyDescent="0.25">
      <c r="A198" s="404"/>
      <c r="B198" s="484"/>
      <c r="C198" s="485"/>
      <c r="D198" s="485"/>
      <c r="E198" s="486"/>
      <c r="F198" s="463"/>
      <c r="G198" s="463"/>
      <c r="H198" s="463"/>
      <c r="I198" s="463"/>
      <c r="J198" s="463"/>
      <c r="K198" s="464"/>
      <c r="L198" s="464"/>
      <c r="M198" s="464"/>
      <c r="N198" s="465"/>
      <c r="O198" s="672"/>
      <c r="P198" s="673"/>
      <c r="Q198" s="673"/>
      <c r="R198" s="674"/>
      <c r="S198" s="672"/>
      <c r="T198" s="673"/>
      <c r="U198" s="673"/>
      <c r="V198" s="674"/>
      <c r="W198" s="512"/>
      <c r="X198" s="512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BD198" s="429" t="str">
        <f>$B187</f>
        <v>normal</v>
      </c>
      <c r="BE198" s="435" t="str">
        <f t="shared" ref="BE198:BJ198" si="223">F190</f>
        <v>-</v>
      </c>
      <c r="BF198" s="435" t="str">
        <f t="shared" si="223"/>
        <v>-</v>
      </c>
      <c r="BG198" s="435" t="str">
        <f t="shared" si="223"/>
        <v>-</v>
      </c>
      <c r="BH198" s="435" t="str">
        <f t="shared" si="223"/>
        <v>-</v>
      </c>
      <c r="BI198" s="435" t="str">
        <f t="shared" si="223"/>
        <v>-</v>
      </c>
      <c r="BJ198" s="435" t="str">
        <f t="shared" si="223"/>
        <v>-</v>
      </c>
      <c r="BK198" s="435" t="str">
        <f t="shared" ref="BK198:BL198" si="224">L190</f>
        <v>-</v>
      </c>
      <c r="BL198" s="435" t="str">
        <f t="shared" si="224"/>
        <v>-</v>
      </c>
    </row>
    <row r="199" spans="1:64" ht="15" customHeight="1" outlineLevel="1" x14ac:dyDescent="0.25">
      <c r="A199" s="404"/>
      <c r="B199" s="484"/>
      <c r="C199" s="487"/>
      <c r="D199" s="488"/>
      <c r="E199" s="489"/>
      <c r="F199" s="489"/>
      <c r="G199" s="489"/>
      <c r="H199" s="489"/>
      <c r="I199" s="489"/>
      <c r="J199" s="489"/>
      <c r="K199" s="490"/>
      <c r="L199" s="490"/>
      <c r="M199" s="490"/>
      <c r="N199" s="491"/>
      <c r="O199" s="672"/>
      <c r="P199" s="673"/>
      <c r="Q199" s="673"/>
      <c r="R199" s="674"/>
      <c r="S199" s="672"/>
      <c r="T199" s="673"/>
      <c r="U199" s="673"/>
      <c r="V199" s="674"/>
      <c r="W199" s="512"/>
      <c r="X199" s="512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BD199" s="429" t="str">
        <f>$B192</f>
        <v>aggressive</v>
      </c>
      <c r="BE199" s="435" t="str">
        <f t="shared" ref="BE199:BJ199" si="225">F195</f>
        <v>-</v>
      </c>
      <c r="BF199" s="435" t="str">
        <f t="shared" si="225"/>
        <v>-</v>
      </c>
      <c r="BG199" s="435" t="str">
        <f t="shared" si="225"/>
        <v>-</v>
      </c>
      <c r="BH199" s="435" t="str">
        <f t="shared" si="225"/>
        <v>-</v>
      </c>
      <c r="BI199" s="435" t="str">
        <f t="shared" si="225"/>
        <v>-</v>
      </c>
      <c r="BJ199" s="435" t="str">
        <f t="shared" si="225"/>
        <v>-</v>
      </c>
      <c r="BK199" s="435" t="str">
        <f t="shared" ref="BK199:BL199" si="226">L195</f>
        <v>-</v>
      </c>
      <c r="BL199" s="435" t="str">
        <f t="shared" si="226"/>
        <v>-</v>
      </c>
    </row>
    <row r="200" spans="1:64" ht="15" customHeight="1" outlineLevel="1" x14ac:dyDescent="0.25">
      <c r="A200" s="404"/>
      <c r="B200" s="484"/>
      <c r="C200" s="487"/>
      <c r="D200" s="488"/>
      <c r="E200" s="486"/>
      <c r="F200" s="492"/>
      <c r="G200" s="492"/>
      <c r="H200" s="492"/>
      <c r="I200" s="492"/>
      <c r="J200" s="492"/>
      <c r="K200" s="490"/>
      <c r="L200" s="490"/>
      <c r="M200" s="490"/>
      <c r="N200" s="493"/>
      <c r="O200" s="672"/>
      <c r="P200" s="673"/>
      <c r="Q200" s="673"/>
      <c r="R200" s="674"/>
      <c r="S200" s="672"/>
      <c r="T200" s="673"/>
      <c r="U200" s="673"/>
      <c r="V200" s="674"/>
      <c r="W200" s="512"/>
      <c r="X200" s="512"/>
      <c r="Y200" s="678"/>
      <c r="Z200" s="678"/>
      <c r="AA200" s="678"/>
      <c r="AB200" s="678"/>
      <c r="AC200" s="678"/>
      <c r="AD200" s="678"/>
      <c r="AE200" s="678"/>
      <c r="AF200" s="678"/>
      <c r="AG200" s="678"/>
      <c r="AH200" s="678"/>
      <c r="BD200" s="429"/>
      <c r="BE200" s="435"/>
      <c r="BF200" s="435"/>
      <c r="BG200" s="435"/>
      <c r="BH200" s="435"/>
      <c r="BI200" s="435"/>
      <c r="BJ200" s="435"/>
      <c r="BK200" s="435"/>
      <c r="BL200" s="435"/>
    </row>
    <row r="201" spans="1:64" ht="15" customHeight="1" outlineLevel="1" x14ac:dyDescent="0.25">
      <c r="A201" s="404"/>
      <c r="B201" s="484"/>
      <c r="C201" s="487"/>
      <c r="D201" s="488"/>
      <c r="E201" s="486"/>
      <c r="F201" s="486"/>
      <c r="G201" s="486"/>
      <c r="H201" s="486"/>
      <c r="I201" s="486"/>
      <c r="J201" s="486"/>
      <c r="K201" s="490"/>
      <c r="L201" s="490"/>
      <c r="M201" s="490"/>
      <c r="N201" s="494"/>
      <c r="O201" s="672"/>
      <c r="P201" s="673"/>
      <c r="Q201" s="673"/>
      <c r="R201" s="674"/>
      <c r="S201" s="672"/>
      <c r="T201" s="673"/>
      <c r="U201" s="673"/>
      <c r="V201" s="674"/>
      <c r="W201" s="512"/>
      <c r="X201" s="512"/>
      <c r="Y201" s="678"/>
      <c r="Z201" s="678"/>
      <c r="AA201" s="678"/>
      <c r="AB201" s="678"/>
      <c r="AC201" s="678"/>
      <c r="AD201" s="678"/>
      <c r="AE201" s="678"/>
      <c r="AF201" s="678"/>
      <c r="AG201" s="678"/>
      <c r="AH201" s="678"/>
      <c r="BD201" s="429"/>
      <c r="BE201" s="435"/>
      <c r="BF201" s="435"/>
      <c r="BG201" s="435"/>
      <c r="BH201" s="435"/>
      <c r="BI201" s="435"/>
      <c r="BJ201" s="435"/>
      <c r="BK201" s="435"/>
      <c r="BL201" s="435"/>
    </row>
    <row r="202" spans="1:64" s="405" customFormat="1" ht="15" customHeight="1" outlineLevel="1" x14ac:dyDescent="0.25">
      <c r="A202" s="454"/>
      <c r="B202" s="484"/>
      <c r="C202" s="485"/>
      <c r="D202" s="485"/>
      <c r="E202" s="486"/>
      <c r="F202" s="463"/>
      <c r="G202" s="463"/>
      <c r="H202" s="463"/>
      <c r="I202" s="463"/>
      <c r="J202" s="463"/>
      <c r="K202" s="464"/>
      <c r="L202" s="464"/>
      <c r="M202" s="464"/>
      <c r="N202" s="465"/>
      <c r="O202" s="672"/>
      <c r="P202" s="673"/>
      <c r="Q202" s="673"/>
      <c r="R202" s="674"/>
      <c r="S202" s="672"/>
      <c r="T202" s="673"/>
      <c r="U202" s="673"/>
      <c r="V202" s="674"/>
      <c r="W202" s="443"/>
      <c r="X202" s="443"/>
      <c r="Y202" s="678"/>
      <c r="Z202" s="678"/>
      <c r="AA202" s="678"/>
      <c r="AB202" s="678"/>
      <c r="AC202" s="678"/>
      <c r="AD202" s="678"/>
      <c r="AE202" s="678"/>
      <c r="AF202" s="678"/>
      <c r="AG202" s="678"/>
      <c r="AH202" s="678"/>
      <c r="BD202" s="429"/>
      <c r="BE202" s="435"/>
      <c r="BF202" s="435"/>
      <c r="BG202" s="435"/>
      <c r="BH202" s="435"/>
      <c r="BI202" s="435"/>
      <c r="BJ202" s="435"/>
      <c r="BK202" s="435"/>
      <c r="BL202" s="435"/>
    </row>
    <row r="203" spans="1:64" ht="15" customHeight="1" outlineLevel="1" x14ac:dyDescent="0.25">
      <c r="A203" s="404"/>
      <c r="B203" s="484"/>
      <c r="C203" s="485"/>
      <c r="D203" s="485"/>
      <c r="E203" s="486"/>
      <c r="F203" s="463"/>
      <c r="G203" s="463"/>
      <c r="H203" s="463"/>
      <c r="I203" s="463"/>
      <c r="J203" s="463"/>
      <c r="K203" s="464"/>
      <c r="L203" s="464"/>
      <c r="M203" s="464"/>
      <c r="N203" s="465"/>
      <c r="O203" s="672"/>
      <c r="P203" s="673"/>
      <c r="Q203" s="673"/>
      <c r="R203" s="674"/>
      <c r="S203" s="672"/>
      <c r="T203" s="673"/>
      <c r="U203" s="673"/>
      <c r="V203" s="674"/>
      <c r="W203" s="512"/>
      <c r="X203" s="512"/>
      <c r="Y203" s="678"/>
      <c r="Z203" s="678"/>
      <c r="AA203" s="678"/>
      <c r="AB203" s="678"/>
      <c r="AC203" s="678"/>
      <c r="AD203" s="678"/>
      <c r="AE203" s="678"/>
      <c r="AF203" s="678"/>
      <c r="AG203" s="678"/>
      <c r="AH203" s="678"/>
      <c r="BD203" s="429"/>
      <c r="BE203" s="435"/>
      <c r="BF203" s="435"/>
      <c r="BG203" s="435"/>
      <c r="BH203" s="435"/>
      <c r="BI203" s="435"/>
      <c r="BJ203" s="435"/>
      <c r="BK203" s="435"/>
      <c r="BL203" s="435"/>
    </row>
    <row r="204" spans="1:64" ht="15" customHeight="1" outlineLevel="1" x14ac:dyDescent="0.25">
      <c r="A204" s="404"/>
      <c r="B204" s="484"/>
      <c r="C204" s="487"/>
      <c r="D204" s="488"/>
      <c r="E204" s="489"/>
      <c r="F204" s="489"/>
      <c r="G204" s="489"/>
      <c r="H204" s="489"/>
      <c r="I204" s="489"/>
      <c r="J204" s="489"/>
      <c r="K204" s="490"/>
      <c r="L204" s="490"/>
      <c r="M204" s="490"/>
      <c r="N204" s="491"/>
      <c r="O204" s="672"/>
      <c r="P204" s="673"/>
      <c r="Q204" s="673"/>
      <c r="R204" s="674"/>
      <c r="S204" s="672"/>
      <c r="T204" s="673"/>
      <c r="U204" s="673"/>
      <c r="V204" s="674"/>
      <c r="W204" s="512"/>
      <c r="X204" s="512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BD204" s="429" t="str">
        <f>"IEF " &amp;B187</f>
        <v>IEF normal</v>
      </c>
      <c r="BE204" s="435">
        <f t="shared" ref="BE204:BJ204" si="227">IF(OR($C189="-",$C189="CET",$C189=""),"-",$C189)</f>
        <v>2</v>
      </c>
      <c r="BF204" s="435">
        <f t="shared" si="227"/>
        <v>2</v>
      </c>
      <c r="BG204" s="435">
        <f t="shared" si="227"/>
        <v>2</v>
      </c>
      <c r="BH204" s="435">
        <f t="shared" si="227"/>
        <v>2</v>
      </c>
      <c r="BI204" s="435">
        <f t="shared" si="227"/>
        <v>2</v>
      </c>
      <c r="BJ204" s="435">
        <f t="shared" si="227"/>
        <v>2</v>
      </c>
      <c r="BK204" s="435">
        <f t="shared" ref="BK204:BL204" si="228">IF(OR($C189="-",$C189="CET",$C189=""),"-",$C189)</f>
        <v>2</v>
      </c>
      <c r="BL204" s="435">
        <f t="shared" si="228"/>
        <v>2</v>
      </c>
    </row>
    <row r="205" spans="1:64" ht="15" customHeight="1" outlineLevel="1" x14ac:dyDescent="0.25">
      <c r="A205" s="404"/>
      <c r="B205" s="484"/>
      <c r="C205" s="487"/>
      <c r="D205" s="488"/>
      <c r="E205" s="486"/>
      <c r="F205" s="492"/>
      <c r="G205" s="492"/>
      <c r="H205" s="492"/>
      <c r="I205" s="492"/>
      <c r="J205" s="492"/>
      <c r="K205" s="490"/>
      <c r="L205" s="490"/>
      <c r="M205" s="490"/>
      <c r="N205" s="493"/>
      <c r="O205" s="672"/>
      <c r="P205" s="673"/>
      <c r="Q205" s="673"/>
      <c r="R205" s="674"/>
      <c r="S205" s="672"/>
      <c r="T205" s="673"/>
      <c r="U205" s="673"/>
      <c r="V205" s="674"/>
      <c r="W205" s="512"/>
      <c r="X205" s="512"/>
      <c r="Y205" s="678"/>
      <c r="Z205" s="678"/>
      <c r="AA205" s="678"/>
      <c r="AB205" s="678"/>
      <c r="AC205" s="678"/>
      <c r="AD205" s="678"/>
      <c r="AE205" s="678"/>
      <c r="AF205" s="678"/>
      <c r="AG205" s="678"/>
      <c r="AH205" s="678"/>
      <c r="BD205" s="429" t="str">
        <f>"IEF " &amp; B192</f>
        <v>IEF aggressive</v>
      </c>
      <c r="BE205" s="435">
        <f t="shared" ref="BE205:BJ205" si="229">IF(OR($C194="-",$C194="CET",$C194=""),"-",$C194)</f>
        <v>4</v>
      </c>
      <c r="BF205" s="435">
        <f t="shared" si="229"/>
        <v>4</v>
      </c>
      <c r="BG205" s="435">
        <f t="shared" si="229"/>
        <v>4</v>
      </c>
      <c r="BH205" s="435">
        <f t="shared" si="229"/>
        <v>4</v>
      </c>
      <c r="BI205" s="435">
        <f t="shared" si="229"/>
        <v>4</v>
      </c>
      <c r="BJ205" s="435">
        <f t="shared" si="229"/>
        <v>4</v>
      </c>
      <c r="BK205" s="435">
        <f t="shared" ref="BK205:BL205" si="230">IF(OR($C194="-",$C194="CET",$C194=""),"-",$C194)</f>
        <v>4</v>
      </c>
      <c r="BL205" s="435">
        <f t="shared" si="230"/>
        <v>4</v>
      </c>
    </row>
    <row r="206" spans="1:64" ht="15" customHeight="1" outlineLevel="1" thickBot="1" x14ac:dyDescent="0.3">
      <c r="A206" s="404"/>
      <c r="B206" s="495"/>
      <c r="C206" s="496"/>
      <c r="D206" s="497"/>
      <c r="E206" s="498"/>
      <c r="F206" s="498"/>
      <c r="G206" s="498"/>
      <c r="H206" s="498"/>
      <c r="I206" s="498"/>
      <c r="J206" s="498"/>
      <c r="K206" s="499"/>
      <c r="L206" s="499"/>
      <c r="M206" s="499"/>
      <c r="N206" s="500"/>
      <c r="O206" s="675"/>
      <c r="P206" s="676"/>
      <c r="Q206" s="676"/>
      <c r="R206" s="677"/>
      <c r="S206" s="675"/>
      <c r="T206" s="676"/>
      <c r="U206" s="676"/>
      <c r="V206" s="677"/>
      <c r="W206" s="512"/>
      <c r="X206" s="512"/>
      <c r="Y206" s="678"/>
      <c r="Z206" s="678"/>
      <c r="AA206" s="678"/>
      <c r="AB206" s="678"/>
      <c r="AC206" s="678"/>
      <c r="AD206" s="678"/>
      <c r="AE206" s="678"/>
      <c r="AF206" s="678"/>
      <c r="AG206" s="678"/>
      <c r="AH206" s="678"/>
      <c r="BD206" s="459"/>
      <c r="BE206" s="459"/>
      <c r="BF206" s="459"/>
      <c r="BG206" s="459"/>
      <c r="BH206" s="459"/>
      <c r="BI206" s="459"/>
      <c r="BJ206" s="459"/>
      <c r="BK206" s="459"/>
      <c r="BL206" s="459"/>
    </row>
    <row r="207" spans="1:64" s="405" customFormat="1" ht="15" customHeight="1" x14ac:dyDescent="0.25">
      <c r="A207" s="454"/>
      <c r="B207" s="501"/>
      <c r="C207" s="485"/>
      <c r="D207" s="485"/>
      <c r="E207" s="486"/>
      <c r="F207" s="463"/>
      <c r="G207" s="463"/>
      <c r="H207" s="463"/>
      <c r="I207" s="463"/>
      <c r="J207" s="463"/>
      <c r="K207" s="464"/>
      <c r="L207" s="464"/>
      <c r="M207" s="464"/>
      <c r="N207" s="463"/>
      <c r="O207" s="403"/>
      <c r="P207" s="403"/>
      <c r="Q207" s="403"/>
      <c r="R207" s="403"/>
      <c r="S207" s="403"/>
      <c r="T207" s="403"/>
      <c r="U207" s="403"/>
      <c r="V207" s="403"/>
      <c r="W207" s="443"/>
      <c r="X207" s="443"/>
      <c r="Y207" s="678"/>
      <c r="Z207" s="678"/>
      <c r="AA207" s="678"/>
      <c r="AB207" s="678"/>
      <c r="AC207" s="678"/>
      <c r="AD207" s="678"/>
      <c r="AE207" s="678"/>
      <c r="AF207" s="678"/>
      <c r="AG207" s="678"/>
      <c r="AH207" s="678"/>
      <c r="BD207" s="459"/>
      <c r="BE207" s="459"/>
      <c r="BF207" s="459"/>
      <c r="BG207" s="459"/>
      <c r="BH207" s="459"/>
      <c r="BI207" s="459"/>
      <c r="BJ207" s="459"/>
      <c r="BK207" s="459"/>
      <c r="BL207" s="459"/>
    </row>
    <row r="208" spans="1:64" ht="15" customHeight="1" x14ac:dyDescent="0.25">
      <c r="A208" s="404"/>
      <c r="B208" s="501"/>
      <c r="C208" s="485"/>
      <c r="D208" s="485"/>
      <c r="E208" s="486"/>
      <c r="F208" s="463"/>
      <c r="G208" s="463"/>
      <c r="H208" s="463"/>
      <c r="I208" s="463"/>
      <c r="J208" s="463"/>
      <c r="K208" s="464"/>
      <c r="L208" s="464"/>
      <c r="M208" s="464"/>
      <c r="N208" s="463"/>
      <c r="O208" s="403"/>
      <c r="P208" s="403"/>
      <c r="Q208" s="403"/>
      <c r="R208" s="403"/>
      <c r="S208" s="403"/>
      <c r="T208" s="403"/>
      <c r="U208" s="403"/>
      <c r="V208" s="403"/>
      <c r="W208" s="512"/>
      <c r="X208" s="512"/>
      <c r="Y208" s="678"/>
      <c r="Z208" s="678"/>
      <c r="AA208" s="678"/>
      <c r="AB208" s="678"/>
      <c r="AC208" s="678"/>
      <c r="AD208" s="678"/>
      <c r="AE208" s="678"/>
      <c r="AF208" s="678"/>
      <c r="AG208" s="678"/>
      <c r="AH208" s="678"/>
      <c r="BD208" s="459"/>
      <c r="BE208" s="459"/>
      <c r="BF208" s="459"/>
      <c r="BG208" s="459"/>
      <c r="BH208" s="459"/>
      <c r="BI208" s="459"/>
      <c r="BJ208" s="459"/>
      <c r="BK208" s="459"/>
      <c r="BL208" s="459"/>
    </row>
    <row r="209" spans="1:64" ht="15" customHeight="1" thickBot="1" x14ac:dyDescent="0.3">
      <c r="A209" s="404"/>
      <c r="B209" s="501"/>
      <c r="C209" s="487"/>
      <c r="D209" s="488"/>
      <c r="E209" s="489"/>
      <c r="F209" s="489"/>
      <c r="G209" s="489"/>
      <c r="H209" s="489"/>
      <c r="I209" s="489"/>
      <c r="J209" s="489"/>
      <c r="K209" s="490"/>
      <c r="L209" s="490"/>
      <c r="M209" s="490"/>
      <c r="N209" s="489"/>
      <c r="O209" s="403"/>
      <c r="P209" s="403"/>
      <c r="Q209" s="403"/>
      <c r="R209" s="403"/>
      <c r="S209" s="403"/>
      <c r="T209" s="403"/>
      <c r="U209" s="403"/>
      <c r="V209" s="403"/>
      <c r="W209" s="512"/>
      <c r="X209" s="512"/>
      <c r="Y209" s="678"/>
      <c r="Z209" s="678"/>
      <c r="AA209" s="678"/>
      <c r="AB209" s="678"/>
      <c r="AC209" s="678"/>
      <c r="AD209" s="678"/>
      <c r="AE209" s="678"/>
      <c r="AF209" s="678"/>
      <c r="AG209" s="678"/>
      <c r="AH209" s="678"/>
      <c r="BD209" s="459"/>
      <c r="BE209" s="459"/>
      <c r="BF209" s="459"/>
      <c r="BG209" s="459"/>
      <c r="BH209" s="459"/>
      <c r="BI209" s="459"/>
      <c r="BJ209" s="459"/>
      <c r="BK209" s="459"/>
      <c r="BL209" s="459"/>
    </row>
    <row r="210" spans="1:64" ht="24.95" customHeight="1" thickBot="1" x14ac:dyDescent="0.3">
      <c r="A210" s="396"/>
      <c r="B210" s="415">
        <v>8</v>
      </c>
      <c r="C210" s="706" t="s">
        <v>52</v>
      </c>
      <c r="D210" s="707"/>
      <c r="E210" s="707"/>
      <c r="F210" s="707"/>
      <c r="G210" s="707"/>
      <c r="H210" s="707"/>
      <c r="I210" s="707"/>
      <c r="J210" s="707"/>
      <c r="K210" s="707"/>
      <c r="L210" s="707"/>
      <c r="M210" s="707"/>
      <c r="N210" s="708"/>
      <c r="O210" s="416" t="s">
        <v>79</v>
      </c>
      <c r="P210" s="398" t="str">
        <f>IF(COUNTIF(F218:M243,"refused")&gt;0,"refused",IF(COUNTIF(F218:M243,"failed")&gt;0,"failed",IF(COUNTIF(F218:M243,"passed")&gt;0,"passed","-")))</f>
        <v>-</v>
      </c>
      <c r="Q210" s="399" t="s">
        <v>80</v>
      </c>
      <c r="R210" s="399" t="str">
        <f>IF(COUNT(F214:M215,F219:M220,F224:M225,F229:M230,F234:M235,F239:M240)&gt;0,"listed","not listed")</f>
        <v>not listed</v>
      </c>
      <c r="S210" s="502">
        <f>MAX(D216,D221,D226,D231,D236,D241)</f>
        <v>0</v>
      </c>
      <c r="T210" s="418"/>
      <c r="U210" s="418"/>
      <c r="V210" s="419"/>
      <c r="W210" s="424"/>
      <c r="X210" s="424"/>
      <c r="Y210" s="698"/>
      <c r="Z210" s="698"/>
      <c r="AA210" s="698"/>
      <c r="AB210" s="698"/>
      <c r="AC210" s="698"/>
      <c r="AD210" s="698"/>
      <c r="AE210" s="698"/>
      <c r="AF210" s="698"/>
      <c r="AG210" s="698"/>
      <c r="AH210" s="698"/>
    </row>
    <row r="211" spans="1:64" ht="15" customHeight="1" outlineLevel="1" thickBot="1" x14ac:dyDescent="0.3">
      <c r="A211" s="396"/>
      <c r="B211" s="513"/>
      <c r="C211" s="514"/>
      <c r="D211" s="514"/>
      <c r="E211" s="514"/>
      <c r="F211" s="514"/>
      <c r="G211" s="514"/>
      <c r="H211" s="514"/>
      <c r="I211" s="514"/>
      <c r="J211" s="514"/>
      <c r="K211" s="421"/>
      <c r="L211" s="421"/>
      <c r="M211" s="421"/>
      <c r="N211" s="514"/>
      <c r="O211" s="514"/>
      <c r="P211" s="514"/>
      <c r="Q211" s="514"/>
      <c r="R211" s="514"/>
      <c r="S211" s="514"/>
      <c r="T211" s="422"/>
      <c r="U211" s="422"/>
      <c r="V211" s="423"/>
      <c r="W211" s="512"/>
      <c r="X211" s="512"/>
      <c r="Y211" s="678"/>
      <c r="Z211" s="678"/>
      <c r="AA211" s="678"/>
      <c r="AB211" s="678"/>
      <c r="AC211" s="678"/>
      <c r="AD211" s="678"/>
      <c r="AE211" s="678"/>
      <c r="AF211" s="678"/>
      <c r="AG211" s="678"/>
      <c r="AH211" s="678"/>
      <c r="BD211" s="429" t="s">
        <v>85</v>
      </c>
      <c r="BE211" s="430" t="s">
        <v>86</v>
      </c>
      <c r="BF211" s="430" t="s">
        <v>87</v>
      </c>
      <c r="BG211" s="430" t="s">
        <v>88</v>
      </c>
      <c r="BH211" s="430" t="s">
        <v>89</v>
      </c>
      <c r="BI211" s="430" t="s">
        <v>90</v>
      </c>
      <c r="BJ211" s="430" t="s">
        <v>91</v>
      </c>
      <c r="BK211" s="430" t="s">
        <v>91</v>
      </c>
      <c r="BL211" s="430" t="s">
        <v>91</v>
      </c>
    </row>
    <row r="212" spans="1:64" ht="15" customHeight="1" outlineLevel="1" thickBot="1" x14ac:dyDescent="0.3">
      <c r="A212" s="396"/>
      <c r="B212" s="695" t="s">
        <v>81</v>
      </c>
      <c r="C212" s="696"/>
      <c r="D212" s="696"/>
      <c r="E212" s="696"/>
      <c r="F212" s="696"/>
      <c r="G212" s="696"/>
      <c r="H212" s="696"/>
      <c r="I212" s="696"/>
      <c r="J212" s="696"/>
      <c r="K212" s="696"/>
      <c r="L212" s="696"/>
      <c r="M212" s="696"/>
      <c r="N212" s="697"/>
      <c r="O212" s="695" t="s">
        <v>82</v>
      </c>
      <c r="P212" s="696"/>
      <c r="Q212" s="696"/>
      <c r="R212" s="697"/>
      <c r="S212" s="695" t="s">
        <v>83</v>
      </c>
      <c r="T212" s="696"/>
      <c r="U212" s="696"/>
      <c r="V212" s="697"/>
      <c r="W212" s="512"/>
      <c r="X212" s="512"/>
      <c r="Y212" s="678"/>
      <c r="Z212" s="678"/>
      <c r="AA212" s="678"/>
      <c r="AB212" s="678"/>
      <c r="AC212" s="678"/>
      <c r="AD212" s="678"/>
      <c r="AE212" s="678"/>
      <c r="AF212" s="678"/>
      <c r="AG212" s="678"/>
      <c r="AH212" s="678"/>
      <c r="BD212" s="429" t="str">
        <f>$E$4</f>
        <v>US EPA Tier 2 Bin 11</v>
      </c>
      <c r="BE212" s="435">
        <v>1</v>
      </c>
      <c r="BF212" s="435">
        <v>1</v>
      </c>
      <c r="BG212" s="435">
        <v>1</v>
      </c>
      <c r="BH212" s="435">
        <v>1</v>
      </c>
      <c r="BI212" s="435">
        <v>1</v>
      </c>
      <c r="BJ212" s="435">
        <v>1</v>
      </c>
      <c r="BK212" s="435">
        <v>2</v>
      </c>
      <c r="BL212" s="435">
        <v>3</v>
      </c>
    </row>
    <row r="213" spans="1:64" ht="35.1" customHeight="1" outlineLevel="1" thickBot="1" x14ac:dyDescent="0.3">
      <c r="A213" s="396"/>
      <c r="B213" s="709" t="s">
        <v>84</v>
      </c>
      <c r="C213" s="682"/>
      <c r="D213" s="682"/>
      <c r="E213" s="683"/>
      <c r="F213" s="425" t="s">
        <v>72</v>
      </c>
      <c r="G213" s="517" t="s">
        <v>73</v>
      </c>
      <c r="H213" s="425" t="s">
        <v>74</v>
      </c>
      <c r="I213" s="425" t="s">
        <v>75</v>
      </c>
      <c r="J213" s="425" t="s">
        <v>76</v>
      </c>
      <c r="K213" s="534" t="s">
        <v>170</v>
      </c>
      <c r="L213" s="535" t="str">
        <f>$L$4</f>
        <v>Additional
component</v>
      </c>
      <c r="M213" s="535" t="str">
        <f>$M$4</f>
        <v>Additional
component 2</v>
      </c>
      <c r="N213" s="425" t="s">
        <v>77</v>
      </c>
      <c r="O213" s="669"/>
      <c r="P213" s="670"/>
      <c r="Q213" s="670"/>
      <c r="R213" s="670"/>
      <c r="S213" s="669"/>
      <c r="T213" s="670"/>
      <c r="U213" s="670"/>
      <c r="V213" s="671"/>
      <c r="W213" s="512"/>
      <c r="X213" s="512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BC213" s="536"/>
      <c r="BD213" s="429" t="str">
        <f>"1st " &amp;  B214</f>
        <v>1st City (unweighted)</v>
      </c>
      <c r="BE213" s="435" t="str">
        <f t="shared" ref="BE213:BJ213" si="231">IF((OR($C216="-",$C216="CET",$C216="")),"-",IF(AND(OR(F214="-",F214=""),OR(F215="-",F215="")),"-",IF(NOT(OR(F214="-",F214="")),F214/F$5,F215/F$5)))</f>
        <v>-</v>
      </c>
      <c r="BF213" s="435" t="str">
        <f t="shared" si="231"/>
        <v>-</v>
      </c>
      <c r="BG213" s="435" t="str">
        <f t="shared" si="231"/>
        <v>-</v>
      </c>
      <c r="BH213" s="435" t="str">
        <f t="shared" si="231"/>
        <v>-</v>
      </c>
      <c r="BI213" s="435" t="str">
        <f t="shared" si="231"/>
        <v>-</v>
      </c>
      <c r="BJ213" s="435" t="str">
        <f t="shared" si="231"/>
        <v>-</v>
      </c>
      <c r="BK213" s="435" t="str">
        <f t="shared" ref="BK213:BL213" si="232">IF((OR($C216="-",$C216="CET",$C216="")),"-",IF(AND(OR(L214="-",L214=""),OR(L215="-",L215="")),"-",IF(NOT(OR(L214="-",L214="")),L214/L$5,L215/L$5)))</f>
        <v>-</v>
      </c>
      <c r="BL213" s="435" t="str">
        <f t="shared" si="232"/>
        <v>-</v>
      </c>
    </row>
    <row r="214" spans="1:64" s="405" customFormat="1" ht="15" customHeight="1" outlineLevel="1" x14ac:dyDescent="0.25">
      <c r="A214" s="439"/>
      <c r="B214" s="724" t="s">
        <v>107</v>
      </c>
      <c r="C214" s="684" t="s">
        <v>114</v>
      </c>
      <c r="D214" s="684" t="s">
        <v>113</v>
      </c>
      <c r="E214" s="453" t="s">
        <v>94</v>
      </c>
      <c r="F214" s="473" t="s">
        <v>5</v>
      </c>
      <c r="G214" s="473" t="s">
        <v>5</v>
      </c>
      <c r="H214" s="473" t="s">
        <v>5</v>
      </c>
      <c r="I214" s="473" t="s">
        <v>5</v>
      </c>
      <c r="J214" s="473" t="s">
        <v>5</v>
      </c>
      <c r="K214" s="474" t="s">
        <v>5</v>
      </c>
      <c r="L214" s="474" t="s">
        <v>5</v>
      </c>
      <c r="M214" s="474" t="s">
        <v>5</v>
      </c>
      <c r="N214" s="473" t="s">
        <v>5</v>
      </c>
      <c r="O214" s="672"/>
      <c r="P214" s="673"/>
      <c r="Q214" s="673"/>
      <c r="R214" s="673"/>
      <c r="S214" s="672"/>
      <c r="T214" s="673"/>
      <c r="U214" s="673"/>
      <c r="V214" s="674"/>
      <c r="W214" s="443"/>
      <c r="X214" s="443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BC214" s="536"/>
      <c r="BD214" s="429" t="str">
        <f>"1st " &amp; B219</f>
        <v>1st City (EMROAD)</v>
      </c>
      <c r="BE214" s="435" t="str">
        <f t="shared" ref="BE214:BJ214" si="233">IF((OR($C221="-",$C221="CET",$C221="")),"-",IF(AND(OR(F219="-",F219=""),OR(F220="-",F220="")),"-",IF(NOT(OR(F219="-",F219="")),F219/F$5,F220/F$5)))</f>
        <v>-</v>
      </c>
      <c r="BF214" s="435" t="str">
        <f t="shared" si="233"/>
        <v>-</v>
      </c>
      <c r="BG214" s="435" t="str">
        <f t="shared" si="233"/>
        <v>-</v>
      </c>
      <c r="BH214" s="435" t="str">
        <f t="shared" si="233"/>
        <v>-</v>
      </c>
      <c r="BI214" s="435" t="str">
        <f t="shared" si="233"/>
        <v>-</v>
      </c>
      <c r="BJ214" s="435" t="str">
        <f t="shared" si="233"/>
        <v>-</v>
      </c>
      <c r="BK214" s="435" t="str">
        <f t="shared" ref="BK214:BL214" si="234">IF((OR($C221="-",$C221="CET",$C221="")),"-",IF(AND(OR(L219="-",L219=""),OR(L220="-",L220="")),"-",IF(NOT(OR(L219="-",L219="")),L219/L$5,L220/L$5)))</f>
        <v>-</v>
      </c>
      <c r="BL214" s="435" t="str">
        <f t="shared" si="234"/>
        <v>-</v>
      </c>
    </row>
    <row r="215" spans="1:64" ht="15" customHeight="1" outlineLevel="1" thickBot="1" x14ac:dyDescent="0.3">
      <c r="A215" s="396"/>
      <c r="B215" s="725"/>
      <c r="C215" s="702"/>
      <c r="D215" s="685"/>
      <c r="E215" s="440" t="s">
        <v>95</v>
      </c>
      <c r="F215" s="475" t="s">
        <v>5</v>
      </c>
      <c r="G215" s="475" t="s">
        <v>5</v>
      </c>
      <c r="H215" s="475" t="s">
        <v>5</v>
      </c>
      <c r="I215" s="475" t="s">
        <v>5</v>
      </c>
      <c r="J215" s="475" t="s">
        <v>5</v>
      </c>
      <c r="K215" s="476" t="s">
        <v>5</v>
      </c>
      <c r="L215" s="476" t="s">
        <v>5</v>
      </c>
      <c r="M215" s="476" t="s">
        <v>5</v>
      </c>
      <c r="N215" s="475" t="s">
        <v>5</v>
      </c>
      <c r="O215" s="672"/>
      <c r="P215" s="673"/>
      <c r="Q215" s="673"/>
      <c r="R215" s="673"/>
      <c r="S215" s="672"/>
      <c r="T215" s="673"/>
      <c r="U215" s="673"/>
      <c r="V215" s="674"/>
      <c r="W215" s="512"/>
      <c r="X215" s="512"/>
      <c r="Y215" s="678"/>
      <c r="Z215" s="678"/>
      <c r="AA215" s="678"/>
      <c r="AB215" s="678"/>
      <c r="AC215" s="678"/>
      <c r="AD215" s="678"/>
      <c r="AE215" s="678"/>
      <c r="AF215" s="678"/>
      <c r="AG215" s="678"/>
      <c r="AH215" s="678"/>
      <c r="BC215" s="536"/>
      <c r="BD215" s="429" t="str">
        <f>"1st " &amp; B224</f>
        <v>1st City
 (SPF)</v>
      </c>
      <c r="BE215" s="435" t="str">
        <f t="shared" ref="BE215:BJ215" si="235">IF((OR($C226="-",$C226="CET",$C226="")),"-",IF(AND(OR(F224="-",F224=""),OR(F225="-",F225="")),"-",IF(NOT(OR(F224="-",F224="")),F224/F$5,F225/F$5)))</f>
        <v>-</v>
      </c>
      <c r="BF215" s="435" t="str">
        <f t="shared" si="235"/>
        <v>-</v>
      </c>
      <c r="BG215" s="435" t="str">
        <f t="shared" si="235"/>
        <v>-</v>
      </c>
      <c r="BH215" s="435" t="str">
        <f t="shared" si="235"/>
        <v>-</v>
      </c>
      <c r="BI215" s="435" t="str">
        <f t="shared" si="235"/>
        <v>-</v>
      </c>
      <c r="BJ215" s="435" t="str">
        <f t="shared" si="235"/>
        <v>-</v>
      </c>
      <c r="BK215" s="435" t="str">
        <f t="shared" ref="BK215:BL215" si="236">IF((OR($C226="-",$C226="CET",$C226="")),"-",IF(AND(OR(L224="-",L224=""),OR(L225="-",L225="")),"-",IF(NOT(OR(L224="-",L224="")),L224/L$5,L225/L$5)))</f>
        <v>-</v>
      </c>
      <c r="BL215" s="435" t="str">
        <f t="shared" si="236"/>
        <v>-</v>
      </c>
    </row>
    <row r="216" spans="1:64" ht="15" customHeight="1" outlineLevel="1" thickBot="1" x14ac:dyDescent="0.3">
      <c r="A216" s="396"/>
      <c r="B216" s="725"/>
      <c r="C216" s="686">
        <v>4</v>
      </c>
      <c r="D216" s="689" t="str">
        <f>IF(AND(F216="-",G216="-",H216="-",I216="-",J216="-",K216="-",L216="-",M216="-"),"-",MAX(F216,G216,H216,I216,J216,K216,L216,M216))</f>
        <v>-</v>
      </c>
      <c r="E216" s="444" t="s">
        <v>177</v>
      </c>
      <c r="F216" s="445" t="str">
        <f t="shared" ref="F216:K216" si="237">IF(OR(F215="-",F215=""),IF(OR(F214="-",F214=""),"-",F214),IF(OR(F214="-",F214=""),F215,(F214+F215)/2))</f>
        <v>-</v>
      </c>
      <c r="G216" s="445" t="str">
        <f t="shared" si="237"/>
        <v>-</v>
      </c>
      <c r="H216" s="445" t="str">
        <f t="shared" si="237"/>
        <v>-</v>
      </c>
      <c r="I216" s="445" t="str">
        <f t="shared" si="237"/>
        <v>-</v>
      </c>
      <c r="J216" s="445" t="str">
        <f t="shared" si="237"/>
        <v>-</v>
      </c>
      <c r="K216" s="446" t="str">
        <f t="shared" si="237"/>
        <v>-</v>
      </c>
      <c r="L216" s="446" t="str">
        <f t="shared" ref="L216:M216" si="238">IF(OR(L215="-",L215=""),IF(OR(L214="-",L214=""),"-",L214),IF(OR(L214="-",L214=""),L215,(L214+L215)/2))</f>
        <v>-</v>
      </c>
      <c r="M216" s="446" t="str">
        <f t="shared" si="238"/>
        <v>-</v>
      </c>
      <c r="N216" s="828"/>
      <c r="O216" s="672"/>
      <c r="P216" s="673"/>
      <c r="Q216" s="673"/>
      <c r="R216" s="673"/>
      <c r="S216" s="672"/>
      <c r="T216" s="673"/>
      <c r="U216" s="673"/>
      <c r="V216" s="674"/>
      <c r="W216" s="512"/>
      <c r="X216" s="512"/>
      <c r="Y216" s="678"/>
      <c r="Z216" s="678"/>
      <c r="AA216" s="678"/>
      <c r="AB216" s="678"/>
      <c r="AC216" s="678"/>
      <c r="AD216" s="678"/>
      <c r="AE216" s="678"/>
      <c r="AF216" s="678"/>
      <c r="AG216" s="678"/>
      <c r="AH216" s="678"/>
      <c r="BC216" s="536"/>
      <c r="BD216" s="429" t="str">
        <f>"1st " &amp; B229</f>
        <v>1st Total (unweighted)</v>
      </c>
      <c r="BE216" s="435" t="str">
        <f t="shared" ref="BE216:BJ216" si="239">IF((OR($C231="-",$C231="CET",$C231="")),"-",IF(AND(OR(F229="-",F229=""),OR(F230="-",F230="")),"-",IF(NOT(OR(F229="-",F229="")),F229/F$5,F230/F$5)))</f>
        <v>-</v>
      </c>
      <c r="BF216" s="435" t="str">
        <f t="shared" si="239"/>
        <v>-</v>
      </c>
      <c r="BG216" s="435" t="str">
        <f t="shared" si="239"/>
        <v>-</v>
      </c>
      <c r="BH216" s="435" t="str">
        <f t="shared" si="239"/>
        <v>-</v>
      </c>
      <c r="BI216" s="435" t="str">
        <f t="shared" si="239"/>
        <v>-</v>
      </c>
      <c r="BJ216" s="435" t="str">
        <f t="shared" si="239"/>
        <v>-</v>
      </c>
      <c r="BK216" s="435" t="str">
        <f t="shared" ref="BK216:BL216" si="240">IF((OR($C231="-",$C231="CET",$C231="")),"-",IF(AND(OR(L229="-",L229=""),OR(L230="-",L230="")),"-",IF(NOT(OR(L229="-",L229="")),L229/L$5,L230/L$5)))</f>
        <v>-</v>
      </c>
      <c r="BL216" s="435" t="str">
        <f t="shared" si="240"/>
        <v>-</v>
      </c>
    </row>
    <row r="217" spans="1:64" ht="15" customHeight="1" outlineLevel="1" thickBot="1" x14ac:dyDescent="0.3">
      <c r="A217" s="396"/>
      <c r="B217" s="725"/>
      <c r="C217" s="687"/>
      <c r="D217" s="690"/>
      <c r="E217" s="447" t="s">
        <v>97</v>
      </c>
      <c r="F217" s="448" t="str">
        <f t="shared" ref="F217:K217" si="241">IF(OR($C216="-",$C216="CET",$C216=""),"-",IF(AND(NOT(F216="-"),NOT(F$5="-"),NOT(F$5="")),F216/F$5,"-"))</f>
        <v>-</v>
      </c>
      <c r="G217" s="448" t="str">
        <f t="shared" si="241"/>
        <v>-</v>
      </c>
      <c r="H217" s="448" t="str">
        <f t="shared" si="241"/>
        <v>-</v>
      </c>
      <c r="I217" s="448" t="str">
        <f t="shared" si="241"/>
        <v>-</v>
      </c>
      <c r="J217" s="448" t="str">
        <f t="shared" si="241"/>
        <v>-</v>
      </c>
      <c r="K217" s="449" t="str">
        <f t="shared" si="241"/>
        <v>-</v>
      </c>
      <c r="L217" s="449" t="str">
        <f t="shared" ref="L217:M217" si="242">IF(OR($C216="-",$C216="CET",$C216=""),"-",IF(AND(NOT(L216="-"),NOT(L$5="-"),NOT(L$5="")),L216/L$5,"-"))</f>
        <v>-</v>
      </c>
      <c r="M217" s="449" t="str">
        <f t="shared" si="242"/>
        <v>-</v>
      </c>
      <c r="N217" s="702"/>
      <c r="O217" s="672"/>
      <c r="P217" s="673"/>
      <c r="Q217" s="673"/>
      <c r="R217" s="673"/>
      <c r="S217" s="672"/>
      <c r="T217" s="673"/>
      <c r="U217" s="673"/>
      <c r="V217" s="674"/>
      <c r="W217" s="512"/>
      <c r="X217" s="512"/>
      <c r="Y217" s="678"/>
      <c r="Z217" s="678"/>
      <c r="AA217" s="678"/>
      <c r="AB217" s="678"/>
      <c r="AC217" s="678"/>
      <c r="AD217" s="678"/>
      <c r="AE217" s="678"/>
      <c r="AF217" s="678"/>
      <c r="AG217" s="678"/>
      <c r="AH217" s="678"/>
      <c r="BC217" s="536"/>
      <c r="BD217" s="429" t="str">
        <f>"1st " &amp; B234</f>
        <v>1st Total (EMROAD)</v>
      </c>
      <c r="BE217" s="435" t="str">
        <f t="shared" ref="BE217:BJ217" si="243">IF((OR($C236="-",$C236="CET",$C236="")),"-",IF(AND(OR(F234="-",F234=""),OR(F235="-",F235="")),"-",IF(NOT(OR(F234="-",F234="")),F234/F$5,F235/F$5)))</f>
        <v>-</v>
      </c>
      <c r="BF217" s="435" t="str">
        <f t="shared" si="243"/>
        <v>-</v>
      </c>
      <c r="BG217" s="435" t="str">
        <f t="shared" si="243"/>
        <v>-</v>
      </c>
      <c r="BH217" s="435" t="str">
        <f t="shared" si="243"/>
        <v>-</v>
      </c>
      <c r="BI217" s="435" t="str">
        <f t="shared" si="243"/>
        <v>-</v>
      </c>
      <c r="BJ217" s="435" t="str">
        <f t="shared" si="243"/>
        <v>-</v>
      </c>
      <c r="BK217" s="435" t="str">
        <f t="shared" ref="BK217:BL217" si="244">IF((OR($C236="-",$C236="CET",$C236="")),"-",IF(AND(OR(L234="-",L234=""),OR(L235="-",L235="")),"-",IF(NOT(OR(L234="-",L234="")),L234/L$5,L235/L$5)))</f>
        <v>-</v>
      </c>
      <c r="BL217" s="435" t="str">
        <f t="shared" si="244"/>
        <v>-</v>
      </c>
    </row>
    <row r="218" spans="1:64" ht="15" customHeight="1" outlineLevel="1" thickBot="1" x14ac:dyDescent="0.3">
      <c r="A218" s="396"/>
      <c r="B218" s="726"/>
      <c r="C218" s="688"/>
      <c r="D218" s="691"/>
      <c r="E218" s="450" t="s">
        <v>30</v>
      </c>
      <c r="F218" s="451" t="str">
        <f t="shared" ref="F218:M218" si="245">IF(AND(OR(F214="-",F214=""),OR(F215="-",F215="")),"-",IF(OR($C216="-",$C216="",$C216="CET"),"-",IF($R$210="not listed","-",IF(NOT(F$5="-"),IF(AND(AND(NOT(F214=0),NOT(F214="-"),NOT(F214="")),AND(NOT(F215="-"),NOT(F215=0),NOT(F215=""))),IF(AND((F214+F215)/2&lt;1*F$5*IF(OR($C216="CET",$C216="-",$C216=""),"-",$C216),F214&lt;1.1*F$5*IF(OR($C216="CET",$C216="-",$C216=""),"-",$C216),F215&lt;1.1*F$5*IF(OR($C216="CET",$C216="-",$C216=""),"-",$C216)),"passed","refused"),IF(IF(OR(F214="-",F214=""),F215,F214)&lt;0.7*F$5*IF(OR($C216="CET",$C216="-",$C216=""),"-",$C216),"passed",IF(IF(OR(F214="-",F214=""),F215,F214)&lt;1.1*IF(OR($C216="CET",$C216="-",$C216=""),"-",$C216)*F$5,"failed","refused"))),"-"))))</f>
        <v>-</v>
      </c>
      <c r="G218" s="451" t="str">
        <f t="shared" si="245"/>
        <v>-</v>
      </c>
      <c r="H218" s="451" t="str">
        <f t="shared" si="245"/>
        <v>-</v>
      </c>
      <c r="I218" s="451" t="str">
        <f t="shared" si="245"/>
        <v>-</v>
      </c>
      <c r="J218" s="451" t="str">
        <f t="shared" si="245"/>
        <v>-</v>
      </c>
      <c r="K218" s="452" t="str">
        <f t="shared" si="245"/>
        <v>-</v>
      </c>
      <c r="L218" s="452" t="str">
        <f t="shared" si="245"/>
        <v>-</v>
      </c>
      <c r="M218" s="452" t="str">
        <f t="shared" si="245"/>
        <v>-</v>
      </c>
      <c r="N218" s="685"/>
      <c r="O218" s="672"/>
      <c r="P218" s="673"/>
      <c r="Q218" s="673"/>
      <c r="R218" s="673"/>
      <c r="S218" s="672"/>
      <c r="T218" s="673"/>
      <c r="U218" s="673"/>
      <c r="V218" s="674"/>
      <c r="W218" s="512"/>
      <c r="X218" s="512"/>
      <c r="Y218" s="678"/>
      <c r="Z218" s="678"/>
      <c r="AA218" s="678"/>
      <c r="AB218" s="678"/>
      <c r="AC218" s="678"/>
      <c r="AD218" s="678"/>
      <c r="AE218" s="678"/>
      <c r="AF218" s="678"/>
      <c r="AG218" s="678"/>
      <c r="AH218" s="678"/>
      <c r="BC218" s="399" t="str">
        <f>IF(COUNTIF(F218:M218,"refused")&gt;0,"refused",IF(COUNTIF(F218:M218,"failed")&gt;0,"failed",IF(COUNTIF(F218:M218,"passed")&gt;0,"passed","-")))</f>
        <v>-</v>
      </c>
      <c r="BD218" s="429" t="str">
        <f>"1st " &amp; B239</f>
        <v>1st Total (SPF)</v>
      </c>
      <c r="BE218" s="435" t="str">
        <f t="shared" ref="BE218:BJ218" si="246">IF((OR($C241="-",$C241="CET",$C241="")),"-",IF(AND(OR(F239="-",F239=""),OR(F240="-",F240="")),"-",IF(NOT(OR(F239="-",F239="")),F239/F$5,F240/F$5)))</f>
        <v>-</v>
      </c>
      <c r="BF218" s="435" t="str">
        <f t="shared" si="246"/>
        <v>-</v>
      </c>
      <c r="BG218" s="435" t="str">
        <f t="shared" si="246"/>
        <v>-</v>
      </c>
      <c r="BH218" s="435" t="str">
        <f t="shared" si="246"/>
        <v>-</v>
      </c>
      <c r="BI218" s="435" t="str">
        <f t="shared" si="246"/>
        <v>-</v>
      </c>
      <c r="BJ218" s="435" t="str">
        <f t="shared" si="246"/>
        <v>-</v>
      </c>
      <c r="BK218" s="435" t="str">
        <f t="shared" ref="BK218:BL218" si="247">IF((OR($C241="-",$C241="CET",$C241="")),"-",IF(AND(OR(L239="-",L239=""),OR(L240="-",L240="")),"-",IF(NOT(OR(L239="-",L239="")),L239/L$5,L240/L$5)))</f>
        <v>-</v>
      </c>
      <c r="BL218" s="435" t="str">
        <f t="shared" si="247"/>
        <v>-</v>
      </c>
    </row>
    <row r="219" spans="1:64" s="405" customFormat="1" ht="15" customHeight="1" outlineLevel="1" x14ac:dyDescent="0.25">
      <c r="A219" s="439"/>
      <c r="B219" s="724" t="s">
        <v>106</v>
      </c>
      <c r="C219" s="684" t="s">
        <v>114</v>
      </c>
      <c r="D219" s="684" t="s">
        <v>113</v>
      </c>
      <c r="E219" s="453" t="s">
        <v>94</v>
      </c>
      <c r="F219" s="473" t="s">
        <v>5</v>
      </c>
      <c r="G219" s="473" t="s">
        <v>5</v>
      </c>
      <c r="H219" s="473" t="s">
        <v>5</v>
      </c>
      <c r="I219" s="473" t="s">
        <v>5</v>
      </c>
      <c r="J219" s="473" t="s">
        <v>5</v>
      </c>
      <c r="K219" s="474" t="s">
        <v>5</v>
      </c>
      <c r="L219" s="474" t="s">
        <v>5</v>
      </c>
      <c r="M219" s="474" t="s">
        <v>5</v>
      </c>
      <c r="N219" s="473" t="s">
        <v>5</v>
      </c>
      <c r="O219" s="672"/>
      <c r="P219" s="673"/>
      <c r="Q219" s="673"/>
      <c r="R219" s="673"/>
      <c r="S219" s="672"/>
      <c r="T219" s="673"/>
      <c r="U219" s="673"/>
      <c r="V219" s="674"/>
      <c r="W219" s="443"/>
      <c r="X219" s="443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BC219" s="536"/>
      <c r="BD219" s="429" t="str">
        <f>"0.7*IEF " &amp; (B214)</f>
        <v>0.7*IEF City (unweighted)</v>
      </c>
      <c r="BE219" s="435">
        <f t="shared" ref="BE219:BJ219" si="248">IF(OR($C216="-",$C216="CET",$C216=""),"-",0.7*$C216)</f>
        <v>2.8</v>
      </c>
      <c r="BF219" s="435">
        <f t="shared" si="248"/>
        <v>2.8</v>
      </c>
      <c r="BG219" s="435">
        <f t="shared" si="248"/>
        <v>2.8</v>
      </c>
      <c r="BH219" s="435">
        <f t="shared" si="248"/>
        <v>2.8</v>
      </c>
      <c r="BI219" s="435">
        <f t="shared" si="248"/>
        <v>2.8</v>
      </c>
      <c r="BJ219" s="435">
        <f t="shared" si="248"/>
        <v>2.8</v>
      </c>
      <c r="BK219" s="435">
        <f t="shared" ref="BK219:BL219" si="249">IF(OR($C216="-",$C216="CET",$C216=""),"-",0.7*$C216)</f>
        <v>2.8</v>
      </c>
      <c r="BL219" s="435">
        <f t="shared" si="249"/>
        <v>2.8</v>
      </c>
    </row>
    <row r="220" spans="1:64" ht="15" customHeight="1" outlineLevel="1" thickBot="1" x14ac:dyDescent="0.3">
      <c r="A220" s="396"/>
      <c r="B220" s="725"/>
      <c r="C220" s="702"/>
      <c r="D220" s="685"/>
      <c r="E220" s="440" t="s">
        <v>95</v>
      </c>
      <c r="F220" s="475" t="s">
        <v>5</v>
      </c>
      <c r="G220" s="475" t="s">
        <v>5</v>
      </c>
      <c r="H220" s="475" t="s">
        <v>5</v>
      </c>
      <c r="I220" s="475" t="s">
        <v>5</v>
      </c>
      <c r="J220" s="475" t="s">
        <v>5</v>
      </c>
      <c r="K220" s="476" t="s">
        <v>5</v>
      </c>
      <c r="L220" s="476" t="s">
        <v>5</v>
      </c>
      <c r="M220" s="476" t="s">
        <v>5</v>
      </c>
      <c r="N220" s="475" t="s">
        <v>5</v>
      </c>
      <c r="O220" s="672"/>
      <c r="P220" s="673"/>
      <c r="Q220" s="673"/>
      <c r="R220" s="673"/>
      <c r="S220" s="672"/>
      <c r="T220" s="673"/>
      <c r="U220" s="673"/>
      <c r="V220" s="674"/>
      <c r="W220" s="512"/>
      <c r="X220" s="512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BC220" s="536"/>
      <c r="BD220" s="429" t="str">
        <f>"0.7*IEF " &amp; B219</f>
        <v>0.7*IEF City (EMROAD)</v>
      </c>
      <c r="BE220" s="435">
        <f t="shared" ref="BE220:BL220" si="250">IF(OR($C221="-",$C221="CET",$C221=""),"-",0.7*$C221)</f>
        <v>2.8</v>
      </c>
      <c r="BF220" s="435">
        <f t="shared" si="250"/>
        <v>2.8</v>
      </c>
      <c r="BG220" s="435">
        <f t="shared" si="250"/>
        <v>2.8</v>
      </c>
      <c r="BH220" s="435">
        <f t="shared" si="250"/>
        <v>2.8</v>
      </c>
      <c r="BI220" s="435">
        <f t="shared" si="250"/>
        <v>2.8</v>
      </c>
      <c r="BJ220" s="435">
        <f t="shared" si="250"/>
        <v>2.8</v>
      </c>
      <c r="BK220" s="435">
        <f t="shared" si="250"/>
        <v>2.8</v>
      </c>
      <c r="BL220" s="435">
        <f t="shared" si="250"/>
        <v>2.8</v>
      </c>
    </row>
    <row r="221" spans="1:64" ht="15" customHeight="1" outlineLevel="1" thickBot="1" x14ac:dyDescent="0.3">
      <c r="A221" s="396"/>
      <c r="B221" s="725"/>
      <c r="C221" s="686">
        <v>4</v>
      </c>
      <c r="D221" s="689" t="str">
        <f>IF(AND(F221="-",G221="-",H221="-",I221="-",J221="-",K221="-",L221="-",M221="-"),"-",MAX(F221,G221,H221,I221,J221,K221,L221,M221))</f>
        <v>-</v>
      </c>
      <c r="E221" s="444" t="s">
        <v>177</v>
      </c>
      <c r="F221" s="445" t="str">
        <f t="shared" ref="F221:K221" si="251">IF(OR(F220="-",F220=""),IF(OR(F219="-",F219=""),"-",F219),IF(OR(F219="-",F219=""),F220,(F219+F220)/2))</f>
        <v>-</v>
      </c>
      <c r="G221" s="445" t="str">
        <f t="shared" si="251"/>
        <v>-</v>
      </c>
      <c r="H221" s="445" t="str">
        <f t="shared" si="251"/>
        <v>-</v>
      </c>
      <c r="I221" s="445" t="str">
        <f t="shared" si="251"/>
        <v>-</v>
      </c>
      <c r="J221" s="445" t="str">
        <f t="shared" si="251"/>
        <v>-</v>
      </c>
      <c r="K221" s="446" t="str">
        <f t="shared" si="251"/>
        <v>-</v>
      </c>
      <c r="L221" s="446" t="str">
        <f t="shared" ref="L221:M221" si="252">IF(OR(L220="-",L220=""),IF(OR(L219="-",L219=""),"-",L219),IF(OR(L219="-",L219=""),L220,(L219+L220)/2))</f>
        <v>-</v>
      </c>
      <c r="M221" s="446" t="str">
        <f t="shared" si="252"/>
        <v>-</v>
      </c>
      <c r="N221" s="828"/>
      <c r="O221" s="672"/>
      <c r="P221" s="673"/>
      <c r="Q221" s="673"/>
      <c r="R221" s="673"/>
      <c r="S221" s="672"/>
      <c r="T221" s="673"/>
      <c r="U221" s="673"/>
      <c r="V221" s="674"/>
      <c r="W221" s="512"/>
      <c r="X221" s="512"/>
      <c r="Y221" s="678"/>
      <c r="Z221" s="678"/>
      <c r="AA221" s="678"/>
      <c r="AB221" s="678"/>
      <c r="AC221" s="678"/>
      <c r="AD221" s="678"/>
      <c r="AE221" s="678"/>
      <c r="AF221" s="678"/>
      <c r="AG221" s="678"/>
      <c r="AH221" s="678"/>
      <c r="BC221" s="536"/>
      <c r="BD221" s="429" t="str">
        <f>"0.7*IEF " &amp; B224</f>
        <v>0.7*IEF City
 (SPF)</v>
      </c>
      <c r="BE221" s="435">
        <f t="shared" ref="BE221:BJ221" si="253">IF(OR($C226="-",$C226="CET",$C226=""),"-",0.7*$C226)</f>
        <v>2.8</v>
      </c>
      <c r="BF221" s="435">
        <f t="shared" si="253"/>
        <v>2.8</v>
      </c>
      <c r="BG221" s="435">
        <f t="shared" si="253"/>
        <v>2.8</v>
      </c>
      <c r="BH221" s="435">
        <f t="shared" si="253"/>
        <v>2.8</v>
      </c>
      <c r="BI221" s="435">
        <f t="shared" si="253"/>
        <v>2.8</v>
      </c>
      <c r="BJ221" s="435">
        <f t="shared" si="253"/>
        <v>2.8</v>
      </c>
      <c r="BK221" s="435">
        <f t="shared" ref="BK221:BL221" si="254">IF(OR($C226="-",$C226="CET",$C226=""),"-",0.7*$C226)</f>
        <v>2.8</v>
      </c>
      <c r="BL221" s="435">
        <f t="shared" si="254"/>
        <v>2.8</v>
      </c>
    </row>
    <row r="222" spans="1:64" ht="15" customHeight="1" outlineLevel="1" thickBot="1" x14ac:dyDescent="0.3">
      <c r="A222" s="404"/>
      <c r="B222" s="725"/>
      <c r="C222" s="687"/>
      <c r="D222" s="690"/>
      <c r="E222" s="447" t="s">
        <v>97</v>
      </c>
      <c r="F222" s="448" t="str">
        <f t="shared" ref="F222:K222" si="255">IF(OR($C221="-",$C221="CET",$C221=""),"-",IF(AND(NOT(F221="-"),NOT(F$5="-"),NOT(F$5="")),F221/F$5,"-"))</f>
        <v>-</v>
      </c>
      <c r="G222" s="448" t="str">
        <f t="shared" si="255"/>
        <v>-</v>
      </c>
      <c r="H222" s="448" t="str">
        <f>IF(OR($C221="-",$C221="CET",$C221=""),"-",IF(AND(NOT(H221="-"),NOT(H$5="-"),NOT(H$5="")),H221/H$5,"-"))</f>
        <v>-</v>
      </c>
      <c r="I222" s="448" t="str">
        <f t="shared" si="255"/>
        <v>-</v>
      </c>
      <c r="J222" s="448" t="str">
        <f t="shared" si="255"/>
        <v>-</v>
      </c>
      <c r="K222" s="449" t="str">
        <f t="shared" si="255"/>
        <v>-</v>
      </c>
      <c r="L222" s="449" t="str">
        <f t="shared" ref="L222:M222" si="256">IF(OR($C221="-",$C221="CET",$C221=""),"-",IF(AND(NOT(L221="-"),NOT(L$5="-"),NOT(L$5="")),L221/L$5,"-"))</f>
        <v>-</v>
      </c>
      <c r="M222" s="449" t="str">
        <f t="shared" si="256"/>
        <v>-</v>
      </c>
      <c r="N222" s="702"/>
      <c r="O222" s="672"/>
      <c r="P222" s="673"/>
      <c r="Q222" s="673"/>
      <c r="R222" s="673"/>
      <c r="S222" s="672"/>
      <c r="T222" s="673"/>
      <c r="U222" s="673"/>
      <c r="V222" s="674"/>
      <c r="W222" s="512"/>
      <c r="X222" s="512"/>
      <c r="Y222" s="678"/>
      <c r="Z222" s="678"/>
      <c r="AA222" s="678"/>
      <c r="AB222" s="678"/>
      <c r="AC222" s="678"/>
      <c r="AD222" s="678"/>
      <c r="AE222" s="678"/>
      <c r="AF222" s="678"/>
      <c r="AG222" s="678"/>
      <c r="AH222" s="678"/>
      <c r="BC222" s="536"/>
      <c r="BD222" s="429" t="str">
        <f>"0.7*IEF " &amp; B229</f>
        <v>0.7*IEF Total (unweighted)</v>
      </c>
      <c r="BE222" s="435">
        <f t="shared" ref="BE222:BJ222" si="257">IF(OR($C231="-",$C231="CET",$C231=""),"-",0.7*$C231)</f>
        <v>2.8</v>
      </c>
      <c r="BF222" s="435">
        <f t="shared" si="257"/>
        <v>2.8</v>
      </c>
      <c r="BG222" s="435">
        <f t="shared" si="257"/>
        <v>2.8</v>
      </c>
      <c r="BH222" s="435">
        <f t="shared" si="257"/>
        <v>2.8</v>
      </c>
      <c r="BI222" s="435">
        <f t="shared" si="257"/>
        <v>2.8</v>
      </c>
      <c r="BJ222" s="435">
        <f t="shared" si="257"/>
        <v>2.8</v>
      </c>
      <c r="BK222" s="435">
        <f t="shared" ref="BK222:BL222" si="258">IF(OR($C231="-",$C231="CET",$C231=""),"-",0.7*$C231)</f>
        <v>2.8</v>
      </c>
      <c r="BL222" s="435">
        <f t="shared" si="258"/>
        <v>2.8</v>
      </c>
    </row>
    <row r="223" spans="1:64" ht="15" customHeight="1" outlineLevel="1" thickBot="1" x14ac:dyDescent="0.3">
      <c r="A223" s="404"/>
      <c r="B223" s="726"/>
      <c r="C223" s="688"/>
      <c r="D223" s="691"/>
      <c r="E223" s="451" t="s">
        <v>30</v>
      </c>
      <c r="F223" s="451" t="str">
        <f t="shared" ref="F223:M223" si="259">IF(AND(OR(F219="-",F219=""),OR(F220="-",F220="")),"-",IF(OR($C221="-",$C221="",$C221="CET"),"-",IF($R$210="not listed","-",IF(NOT(F$5="-"),IF(AND(AND(NOT(F219=0),NOT(F219="-"),NOT(F219="")),AND(NOT(F220="-"),NOT(F220=0),NOT(F220=""))),IF(AND((F219+F220)/2&lt;1*F$5*IF(OR($C221="CET",$C221="-",$C221=""),"-",$C221),F219&lt;1.1*F$5*IF(OR($C221="CET",$C221="-",$C221=""),"-",$C221),F220&lt;1.1*F$5*IF(OR($C221="CET",$C221="-",$C221=""),"-",$C221)),"passed","refused"),IF(IF(OR(F219="-",F219=""),F220,F219)&lt;0.7*F$5*IF(OR($C221="CET",$C221="-",$C221=""),"-",$C221),"passed",IF(IF(OR(F219="-",F219=""),F220,F219)&lt;1.1*IF(OR($C221="CET",$C221="-",$C221=""),"-",$C221)*F$5,"failed","refused"))),"-"))))</f>
        <v>-</v>
      </c>
      <c r="G223" s="451" t="str">
        <f t="shared" si="259"/>
        <v>-</v>
      </c>
      <c r="H223" s="451" t="str">
        <f t="shared" si="259"/>
        <v>-</v>
      </c>
      <c r="I223" s="451" t="str">
        <f t="shared" si="259"/>
        <v>-</v>
      </c>
      <c r="J223" s="451" t="str">
        <f t="shared" si="259"/>
        <v>-</v>
      </c>
      <c r="K223" s="452" t="str">
        <f t="shared" si="259"/>
        <v>-</v>
      </c>
      <c r="L223" s="452" t="str">
        <f t="shared" si="259"/>
        <v>-</v>
      </c>
      <c r="M223" s="452" t="str">
        <f t="shared" si="259"/>
        <v>-</v>
      </c>
      <c r="N223" s="685"/>
      <c r="O223" s="672"/>
      <c r="P223" s="673"/>
      <c r="Q223" s="673"/>
      <c r="R223" s="673"/>
      <c r="S223" s="672"/>
      <c r="T223" s="673"/>
      <c r="U223" s="673"/>
      <c r="V223" s="674"/>
      <c r="W223" s="512"/>
      <c r="X223" s="512"/>
      <c r="Y223" s="678"/>
      <c r="Z223" s="678"/>
      <c r="AA223" s="678"/>
      <c r="AB223" s="678"/>
      <c r="AC223" s="678"/>
      <c r="AD223" s="678"/>
      <c r="AE223" s="678"/>
      <c r="AF223" s="678"/>
      <c r="AG223" s="678"/>
      <c r="AH223" s="678"/>
      <c r="BC223" s="399" t="str">
        <f>IF(COUNTIF(F223:M223,"refused")&gt;0,"refused",IF(COUNTIF(F223:M223,"failed")&gt;0,"failed",IF(COUNTIF(F223:M223,"passed")&gt;0,"passed","-")))</f>
        <v>-</v>
      </c>
      <c r="BD223" s="429" t="str">
        <f>"0.7*IEF " &amp; B234</f>
        <v>0.7*IEF Total (EMROAD)</v>
      </c>
      <c r="BE223" s="435">
        <f t="shared" ref="BE223:BJ223" si="260">IF(OR($C236="-",$C236="CET",$C236=""),"-",0.7*$C236)</f>
        <v>2.8</v>
      </c>
      <c r="BF223" s="435">
        <f t="shared" si="260"/>
        <v>2.8</v>
      </c>
      <c r="BG223" s="435">
        <f t="shared" si="260"/>
        <v>2.8</v>
      </c>
      <c r="BH223" s="435">
        <f t="shared" si="260"/>
        <v>2.8</v>
      </c>
      <c r="BI223" s="435">
        <f t="shared" si="260"/>
        <v>2.8</v>
      </c>
      <c r="BJ223" s="435">
        <f t="shared" si="260"/>
        <v>2.8</v>
      </c>
      <c r="BK223" s="435">
        <f t="shared" ref="BK223:BL223" si="261">IF(OR($C236="-",$C236="CET",$C236=""),"-",0.7*$C236)</f>
        <v>2.8</v>
      </c>
      <c r="BL223" s="435">
        <f t="shared" si="261"/>
        <v>2.8</v>
      </c>
    </row>
    <row r="224" spans="1:64" s="405" customFormat="1" ht="15" customHeight="1" outlineLevel="1" x14ac:dyDescent="0.25">
      <c r="A224" s="454"/>
      <c r="B224" s="718" t="s">
        <v>141</v>
      </c>
      <c r="C224" s="684" t="s">
        <v>114</v>
      </c>
      <c r="D224" s="684" t="s">
        <v>113</v>
      </c>
      <c r="E224" s="453" t="s">
        <v>94</v>
      </c>
      <c r="F224" s="473" t="s">
        <v>5</v>
      </c>
      <c r="G224" s="473" t="s">
        <v>5</v>
      </c>
      <c r="H224" s="473" t="s">
        <v>5</v>
      </c>
      <c r="I224" s="473" t="s">
        <v>5</v>
      </c>
      <c r="J224" s="473" t="s">
        <v>5</v>
      </c>
      <c r="K224" s="474" t="s">
        <v>5</v>
      </c>
      <c r="L224" s="474" t="s">
        <v>5</v>
      </c>
      <c r="M224" s="474" t="s">
        <v>5</v>
      </c>
      <c r="N224" s="473" t="s">
        <v>5</v>
      </c>
      <c r="O224" s="672"/>
      <c r="P224" s="673"/>
      <c r="Q224" s="673"/>
      <c r="R224" s="673"/>
      <c r="S224" s="672"/>
      <c r="T224" s="673"/>
      <c r="U224" s="673"/>
      <c r="V224" s="674"/>
      <c r="W224" s="443"/>
      <c r="X224" s="443"/>
      <c r="Y224" s="678"/>
      <c r="Z224" s="678"/>
      <c r="AA224" s="678"/>
      <c r="AB224" s="678"/>
      <c r="AC224" s="678"/>
      <c r="AD224" s="678"/>
      <c r="AE224" s="678"/>
      <c r="AF224" s="678"/>
      <c r="AG224" s="678"/>
      <c r="AH224" s="678"/>
      <c r="BC224" s="536"/>
      <c r="BD224" s="429" t="str">
        <f>"0.7*IEF " &amp; B239</f>
        <v>0.7*IEF Total (SPF)</v>
      </c>
      <c r="BE224" s="435">
        <f t="shared" ref="BE224:BJ224" si="262">IF(OR($C241="-",$C241="CET",$C241=""),"-",0.7*$C241)</f>
        <v>2.8</v>
      </c>
      <c r="BF224" s="435">
        <f t="shared" si="262"/>
        <v>2.8</v>
      </c>
      <c r="BG224" s="435">
        <f t="shared" si="262"/>
        <v>2.8</v>
      </c>
      <c r="BH224" s="435">
        <f t="shared" si="262"/>
        <v>2.8</v>
      </c>
      <c r="BI224" s="435">
        <f t="shared" si="262"/>
        <v>2.8</v>
      </c>
      <c r="BJ224" s="435">
        <f t="shared" si="262"/>
        <v>2.8</v>
      </c>
      <c r="BK224" s="435">
        <f t="shared" ref="BK224:BL224" si="263">IF(OR($C241="-",$C241="CET",$C241=""),"-",0.7*$C241)</f>
        <v>2.8</v>
      </c>
      <c r="BL224" s="435">
        <f t="shared" si="263"/>
        <v>2.8</v>
      </c>
    </row>
    <row r="225" spans="1:64" ht="15" customHeight="1" outlineLevel="1" thickBot="1" x14ac:dyDescent="0.3">
      <c r="A225" s="404"/>
      <c r="B225" s="719"/>
      <c r="C225" s="702"/>
      <c r="D225" s="685"/>
      <c r="E225" s="440" t="s">
        <v>95</v>
      </c>
      <c r="F225" s="475" t="s">
        <v>5</v>
      </c>
      <c r="G225" s="475" t="s">
        <v>5</v>
      </c>
      <c r="H225" s="475" t="s">
        <v>5</v>
      </c>
      <c r="I225" s="475" t="s">
        <v>5</v>
      </c>
      <c r="J225" s="475" t="s">
        <v>5</v>
      </c>
      <c r="K225" s="476" t="s">
        <v>5</v>
      </c>
      <c r="L225" s="476" t="s">
        <v>5</v>
      </c>
      <c r="M225" s="476" t="s">
        <v>5</v>
      </c>
      <c r="N225" s="475" t="s">
        <v>5</v>
      </c>
      <c r="O225" s="672"/>
      <c r="P225" s="673"/>
      <c r="Q225" s="673"/>
      <c r="R225" s="673"/>
      <c r="S225" s="672"/>
      <c r="T225" s="673"/>
      <c r="U225" s="673"/>
      <c r="V225" s="674"/>
      <c r="W225" s="512"/>
      <c r="X225" s="512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BC225" s="536"/>
      <c r="BD225" s="429" t="str">
        <f>$B214</f>
        <v>City (unweighted)</v>
      </c>
      <c r="BE225" s="435" t="str">
        <f t="shared" ref="BE225:BJ225" si="264">F217</f>
        <v>-</v>
      </c>
      <c r="BF225" s="435" t="str">
        <f t="shared" si="264"/>
        <v>-</v>
      </c>
      <c r="BG225" s="435" t="str">
        <f t="shared" si="264"/>
        <v>-</v>
      </c>
      <c r="BH225" s="435" t="str">
        <f t="shared" si="264"/>
        <v>-</v>
      </c>
      <c r="BI225" s="435" t="str">
        <f t="shared" si="264"/>
        <v>-</v>
      </c>
      <c r="BJ225" s="435" t="str">
        <f t="shared" si="264"/>
        <v>-</v>
      </c>
      <c r="BK225" s="435" t="str">
        <f t="shared" ref="BK225:BL225" si="265">L217</f>
        <v>-</v>
      </c>
      <c r="BL225" s="435" t="str">
        <f t="shared" si="265"/>
        <v>-</v>
      </c>
    </row>
    <row r="226" spans="1:64" ht="15" customHeight="1" outlineLevel="1" thickBot="1" x14ac:dyDescent="0.3">
      <c r="A226" s="404"/>
      <c r="B226" s="719"/>
      <c r="C226" s="686">
        <v>4</v>
      </c>
      <c r="D226" s="689" t="str">
        <f>IF(AND(F226="-",G226="-",H226="-",I226="-",J226="-",K226="-",L226="-",M226="-"),"-",MAX(F226,G226,H226,I226,J226,K226,L226,M226))</f>
        <v>-</v>
      </c>
      <c r="E226" s="444" t="s">
        <v>177</v>
      </c>
      <c r="F226" s="445" t="str">
        <f t="shared" ref="F226:K226" si="266">IF(OR(F225="-",F225=""),IF(OR(F224="-",F224=""),"-",F224),IF(OR(F224="-",F224=""),F225,(F224+F225)/2))</f>
        <v>-</v>
      </c>
      <c r="G226" s="445" t="str">
        <f t="shared" si="266"/>
        <v>-</v>
      </c>
      <c r="H226" s="445" t="str">
        <f t="shared" si="266"/>
        <v>-</v>
      </c>
      <c r="I226" s="445" t="str">
        <f t="shared" si="266"/>
        <v>-</v>
      </c>
      <c r="J226" s="445" t="str">
        <f t="shared" si="266"/>
        <v>-</v>
      </c>
      <c r="K226" s="446" t="str">
        <f t="shared" si="266"/>
        <v>-</v>
      </c>
      <c r="L226" s="446" t="str">
        <f t="shared" ref="L226:M226" si="267">IF(OR(L225="-",L225=""),IF(OR(L224="-",L224=""),"-",L224),IF(OR(L224="-",L224=""),L225,(L224+L225)/2))</f>
        <v>-</v>
      </c>
      <c r="M226" s="446" t="str">
        <f t="shared" si="267"/>
        <v>-</v>
      </c>
      <c r="N226" s="828"/>
      <c r="O226" s="672"/>
      <c r="P226" s="673"/>
      <c r="Q226" s="673"/>
      <c r="R226" s="673"/>
      <c r="S226" s="672"/>
      <c r="T226" s="673"/>
      <c r="U226" s="673"/>
      <c r="V226" s="674"/>
      <c r="W226" s="512"/>
      <c r="X226" s="512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BC226" s="536"/>
      <c r="BD226" s="429" t="str">
        <f>$B219</f>
        <v>City (EMROAD)</v>
      </c>
      <c r="BE226" s="435" t="str">
        <f t="shared" ref="BE226:BJ226" si="268">F222</f>
        <v>-</v>
      </c>
      <c r="BF226" s="435" t="str">
        <f t="shared" si="268"/>
        <v>-</v>
      </c>
      <c r="BG226" s="435" t="str">
        <f t="shared" si="268"/>
        <v>-</v>
      </c>
      <c r="BH226" s="435" t="str">
        <f t="shared" si="268"/>
        <v>-</v>
      </c>
      <c r="BI226" s="435" t="str">
        <f t="shared" si="268"/>
        <v>-</v>
      </c>
      <c r="BJ226" s="435" t="str">
        <f t="shared" si="268"/>
        <v>-</v>
      </c>
      <c r="BK226" s="435" t="str">
        <f t="shared" ref="BK226:BL226" si="269">L222</f>
        <v>-</v>
      </c>
      <c r="BL226" s="435" t="str">
        <f t="shared" si="269"/>
        <v>-</v>
      </c>
    </row>
    <row r="227" spans="1:64" ht="15" customHeight="1" outlineLevel="1" thickBot="1" x14ac:dyDescent="0.3">
      <c r="A227" s="404"/>
      <c r="B227" s="719"/>
      <c r="C227" s="687"/>
      <c r="D227" s="690"/>
      <c r="E227" s="447" t="s">
        <v>97</v>
      </c>
      <c r="F227" s="448" t="str">
        <f t="shared" ref="F227:K227" si="270">IF(OR($C226="-",$C226="CET",$C226=""),"-",IF(AND(NOT(F226="-"),NOT(F$5="-"),NOT(F$5="")),F226/F$5,"-"))</f>
        <v>-</v>
      </c>
      <c r="G227" s="448" t="str">
        <f t="shared" si="270"/>
        <v>-</v>
      </c>
      <c r="H227" s="448" t="str">
        <f t="shared" si="270"/>
        <v>-</v>
      </c>
      <c r="I227" s="448" t="str">
        <f t="shared" si="270"/>
        <v>-</v>
      </c>
      <c r="J227" s="448" t="str">
        <f t="shared" si="270"/>
        <v>-</v>
      </c>
      <c r="K227" s="449" t="str">
        <f t="shared" si="270"/>
        <v>-</v>
      </c>
      <c r="L227" s="449" t="str">
        <f t="shared" ref="L227:M227" si="271">IF(OR($C226="-",$C226="CET",$C226=""),"-",IF(AND(NOT(L226="-"),NOT(L$5="-"),NOT(L$5="")),L226/L$5,"-"))</f>
        <v>-</v>
      </c>
      <c r="M227" s="449" t="str">
        <f t="shared" si="271"/>
        <v>-</v>
      </c>
      <c r="N227" s="702"/>
      <c r="O227" s="672"/>
      <c r="P227" s="673"/>
      <c r="Q227" s="673"/>
      <c r="R227" s="673"/>
      <c r="S227" s="672"/>
      <c r="T227" s="673"/>
      <c r="U227" s="673"/>
      <c r="V227" s="674"/>
      <c r="W227" s="512"/>
      <c r="X227" s="512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BC227" s="536"/>
      <c r="BD227" s="429" t="str">
        <f>$B224</f>
        <v>City
 (SPF)</v>
      </c>
      <c r="BE227" s="435" t="str">
        <f t="shared" ref="BE227:BJ227" si="272">F227</f>
        <v>-</v>
      </c>
      <c r="BF227" s="435" t="str">
        <f t="shared" si="272"/>
        <v>-</v>
      </c>
      <c r="BG227" s="435" t="str">
        <f t="shared" si="272"/>
        <v>-</v>
      </c>
      <c r="BH227" s="435" t="str">
        <f t="shared" si="272"/>
        <v>-</v>
      </c>
      <c r="BI227" s="435" t="str">
        <f t="shared" si="272"/>
        <v>-</v>
      </c>
      <c r="BJ227" s="435" t="str">
        <f t="shared" si="272"/>
        <v>-</v>
      </c>
      <c r="BK227" s="435" t="str">
        <f t="shared" ref="BK227:BL227" si="273">L227</f>
        <v>-</v>
      </c>
      <c r="BL227" s="435" t="str">
        <f t="shared" si="273"/>
        <v>-</v>
      </c>
    </row>
    <row r="228" spans="1:64" ht="15" customHeight="1" outlineLevel="1" thickBot="1" x14ac:dyDescent="0.3">
      <c r="A228" s="404"/>
      <c r="B228" s="720"/>
      <c r="C228" s="688"/>
      <c r="D228" s="691"/>
      <c r="E228" s="451" t="s">
        <v>30</v>
      </c>
      <c r="F228" s="451" t="str">
        <f t="shared" ref="F228:M228" si="274">IF(AND(OR(F224="-",F224=""),OR(F225="-",F225="")),"-",IF(OR($C226="-",$C226="",$C226="CET"),"-",IF($R$210="not listed","-",IF(NOT(F$5="-"),IF(AND(AND(NOT(F224=0),NOT(F224="-"),NOT(F224="")),AND(NOT(F225="-"),NOT(F225=0),NOT(F225=""))),IF(AND((F224+F225)/2&lt;1*F$5*IF(OR($C226="CET",$C226="-",$C226=""),"-",$C226),F224&lt;1.1*F$5*IF(OR($C226="CET",$C226="-",$C226=""),"-",$C226),F225&lt;1.1*F$5*IF(OR($C226="CET",$C226="-",$C226=""),"-",$C226)),"passed","refused"),IF(IF(OR(F224="-",F224=""),F225,F224)&lt;0.7*F$5*IF(OR($C226="CET",$C226="-",$C226=""),"-",$C226),"passed",IF(IF(OR(F224="-",F224=""),F225,F224)&lt;1.1*IF(OR($C226="CET",$C226="-",$C226=""),"-",$C226)*F$5,"failed","refused"))),"-"))))</f>
        <v>-</v>
      </c>
      <c r="G228" s="451" t="str">
        <f t="shared" si="274"/>
        <v>-</v>
      </c>
      <c r="H228" s="451" t="str">
        <f t="shared" si="274"/>
        <v>-</v>
      </c>
      <c r="I228" s="451" t="str">
        <f t="shared" si="274"/>
        <v>-</v>
      </c>
      <c r="J228" s="451" t="str">
        <f t="shared" si="274"/>
        <v>-</v>
      </c>
      <c r="K228" s="452" t="str">
        <f t="shared" si="274"/>
        <v>-</v>
      </c>
      <c r="L228" s="452" t="str">
        <f t="shared" si="274"/>
        <v>-</v>
      </c>
      <c r="M228" s="452" t="str">
        <f t="shared" si="274"/>
        <v>-</v>
      </c>
      <c r="N228" s="685"/>
      <c r="O228" s="672"/>
      <c r="P228" s="673"/>
      <c r="Q228" s="673"/>
      <c r="R228" s="673"/>
      <c r="S228" s="672"/>
      <c r="T228" s="673"/>
      <c r="U228" s="673"/>
      <c r="V228" s="674"/>
      <c r="W228" s="512"/>
      <c r="X228" s="512"/>
      <c r="Y228" s="678"/>
      <c r="Z228" s="678"/>
      <c r="AA228" s="678"/>
      <c r="AB228" s="678"/>
      <c r="AC228" s="678"/>
      <c r="AD228" s="678"/>
      <c r="AE228" s="678"/>
      <c r="AF228" s="678"/>
      <c r="AG228" s="678"/>
      <c r="AH228" s="678"/>
      <c r="BC228" s="399" t="str">
        <f>IF(COUNTIF(F228:M228,"refused")&gt;0,"refused",IF(COUNTIF(F228:M228,"failed")&gt;0,"failed",IF(COUNTIF(F228:M228,"passed")&gt;0,"passed","-")))</f>
        <v>-</v>
      </c>
      <c r="BD228" s="429" t="str">
        <f>$B229</f>
        <v>Total (unweighted)</v>
      </c>
      <c r="BE228" s="435" t="str">
        <f t="shared" ref="BE228:BJ228" si="275">F232</f>
        <v>-</v>
      </c>
      <c r="BF228" s="435" t="str">
        <f t="shared" si="275"/>
        <v>-</v>
      </c>
      <c r="BG228" s="435" t="str">
        <f t="shared" si="275"/>
        <v>-</v>
      </c>
      <c r="BH228" s="435" t="str">
        <f t="shared" si="275"/>
        <v>-</v>
      </c>
      <c r="BI228" s="435" t="str">
        <f t="shared" si="275"/>
        <v>-</v>
      </c>
      <c r="BJ228" s="435" t="str">
        <f t="shared" si="275"/>
        <v>-</v>
      </c>
      <c r="BK228" s="435" t="str">
        <f t="shared" ref="BK228:BL228" si="276">L232</f>
        <v>-</v>
      </c>
      <c r="BL228" s="435" t="str">
        <f t="shared" si="276"/>
        <v>-</v>
      </c>
    </row>
    <row r="229" spans="1:64" s="405" customFormat="1" ht="15" customHeight="1" outlineLevel="1" x14ac:dyDescent="0.25">
      <c r="A229" s="454"/>
      <c r="B229" s="724" t="s">
        <v>105</v>
      </c>
      <c r="C229" s="684" t="s">
        <v>114</v>
      </c>
      <c r="D229" s="684" t="s">
        <v>113</v>
      </c>
      <c r="E229" s="453" t="s">
        <v>94</v>
      </c>
      <c r="F229" s="473" t="s">
        <v>5</v>
      </c>
      <c r="G229" s="473" t="s">
        <v>5</v>
      </c>
      <c r="H229" s="473" t="s">
        <v>5</v>
      </c>
      <c r="I229" s="473" t="s">
        <v>5</v>
      </c>
      <c r="J229" s="473" t="s">
        <v>5</v>
      </c>
      <c r="K229" s="474" t="s">
        <v>5</v>
      </c>
      <c r="L229" s="474" t="s">
        <v>5</v>
      </c>
      <c r="M229" s="474" t="s">
        <v>5</v>
      </c>
      <c r="N229" s="473" t="s">
        <v>5</v>
      </c>
      <c r="O229" s="672"/>
      <c r="P229" s="673"/>
      <c r="Q229" s="673"/>
      <c r="R229" s="673"/>
      <c r="S229" s="672"/>
      <c r="T229" s="673"/>
      <c r="U229" s="673"/>
      <c r="V229" s="674"/>
      <c r="W229" s="443"/>
      <c r="X229" s="443"/>
      <c r="Y229" s="678"/>
      <c r="Z229" s="678"/>
      <c r="AA229" s="678"/>
      <c r="AB229" s="678"/>
      <c r="AC229" s="678"/>
      <c r="AD229" s="678"/>
      <c r="AE229" s="678"/>
      <c r="AF229" s="678"/>
      <c r="AG229" s="678"/>
      <c r="AH229" s="678"/>
      <c r="BC229" s="536"/>
      <c r="BD229" s="429" t="str">
        <f>$B234</f>
        <v>Total (EMROAD)</v>
      </c>
      <c r="BE229" s="435" t="str">
        <f t="shared" ref="BE229:BJ229" si="277">F237</f>
        <v>-</v>
      </c>
      <c r="BF229" s="435" t="str">
        <f t="shared" si="277"/>
        <v>-</v>
      </c>
      <c r="BG229" s="435" t="str">
        <f t="shared" si="277"/>
        <v>-</v>
      </c>
      <c r="BH229" s="435" t="str">
        <f t="shared" si="277"/>
        <v>-</v>
      </c>
      <c r="BI229" s="435" t="str">
        <f t="shared" si="277"/>
        <v>-</v>
      </c>
      <c r="BJ229" s="435" t="str">
        <f t="shared" si="277"/>
        <v>-</v>
      </c>
      <c r="BK229" s="435" t="str">
        <f t="shared" ref="BK229:BL229" si="278">L237</f>
        <v>-</v>
      </c>
      <c r="BL229" s="435" t="str">
        <f t="shared" si="278"/>
        <v>-</v>
      </c>
    </row>
    <row r="230" spans="1:64" ht="15" customHeight="1" outlineLevel="1" thickBot="1" x14ac:dyDescent="0.3">
      <c r="A230" s="404"/>
      <c r="B230" s="725"/>
      <c r="C230" s="702"/>
      <c r="D230" s="685"/>
      <c r="E230" s="440" t="s">
        <v>95</v>
      </c>
      <c r="F230" s="475" t="s">
        <v>5</v>
      </c>
      <c r="G230" s="475" t="s">
        <v>5</v>
      </c>
      <c r="H230" s="475" t="s">
        <v>5</v>
      </c>
      <c r="I230" s="475" t="s">
        <v>5</v>
      </c>
      <c r="J230" s="475" t="s">
        <v>5</v>
      </c>
      <c r="K230" s="476" t="s">
        <v>5</v>
      </c>
      <c r="L230" s="476" t="s">
        <v>5</v>
      </c>
      <c r="M230" s="476" t="s">
        <v>5</v>
      </c>
      <c r="N230" s="475" t="s">
        <v>5</v>
      </c>
      <c r="O230" s="672"/>
      <c r="P230" s="673"/>
      <c r="Q230" s="673"/>
      <c r="R230" s="673"/>
      <c r="S230" s="672"/>
      <c r="T230" s="673"/>
      <c r="U230" s="673"/>
      <c r="V230" s="674"/>
      <c r="W230" s="512"/>
      <c r="X230" s="512"/>
      <c r="Y230" s="678"/>
      <c r="Z230" s="678"/>
      <c r="AA230" s="678"/>
      <c r="AB230" s="678"/>
      <c r="AC230" s="678"/>
      <c r="AD230" s="678"/>
      <c r="AE230" s="678"/>
      <c r="AF230" s="678"/>
      <c r="AG230" s="678"/>
      <c r="AH230" s="678"/>
      <c r="BC230" s="536"/>
      <c r="BD230" s="429" t="str">
        <f>$B239</f>
        <v>Total (SPF)</v>
      </c>
      <c r="BE230" s="435" t="str">
        <f t="shared" ref="BE230:BJ230" si="279">F242</f>
        <v>-</v>
      </c>
      <c r="BF230" s="435" t="str">
        <f t="shared" si="279"/>
        <v>-</v>
      </c>
      <c r="BG230" s="435" t="str">
        <f t="shared" si="279"/>
        <v>-</v>
      </c>
      <c r="BH230" s="435" t="str">
        <f t="shared" si="279"/>
        <v>-</v>
      </c>
      <c r="BI230" s="435" t="str">
        <f t="shared" si="279"/>
        <v>-</v>
      </c>
      <c r="BJ230" s="435" t="str">
        <f t="shared" si="279"/>
        <v>-</v>
      </c>
      <c r="BK230" s="435" t="str">
        <f t="shared" ref="BK230:BL230" si="280">L242</f>
        <v>-</v>
      </c>
      <c r="BL230" s="435" t="str">
        <f t="shared" si="280"/>
        <v>-</v>
      </c>
    </row>
    <row r="231" spans="1:64" ht="15" customHeight="1" outlineLevel="1" thickBot="1" x14ac:dyDescent="0.3">
      <c r="A231" s="404"/>
      <c r="B231" s="725"/>
      <c r="C231" s="686">
        <v>4</v>
      </c>
      <c r="D231" s="689" t="str">
        <f>IF(AND(F231="-",G231="-",H231="-",I231="-",J231="-",K231="-",L231="-",M231="-"),"-",MAX(F231,G231,H231,I231,J231,K231,L231,M231))</f>
        <v>-</v>
      </c>
      <c r="E231" s="444" t="s">
        <v>177</v>
      </c>
      <c r="F231" s="445" t="str">
        <f t="shared" ref="F231:K231" si="281">IF(OR(F230="-",F230=""),IF(OR(F229="-",F229=""),"-",F229),IF(OR(F229="-",F229=""),F230,(F229+F230)/2))</f>
        <v>-</v>
      </c>
      <c r="G231" s="445" t="str">
        <f t="shared" si="281"/>
        <v>-</v>
      </c>
      <c r="H231" s="445" t="str">
        <f t="shared" si="281"/>
        <v>-</v>
      </c>
      <c r="I231" s="445" t="str">
        <f t="shared" si="281"/>
        <v>-</v>
      </c>
      <c r="J231" s="445" t="str">
        <f t="shared" si="281"/>
        <v>-</v>
      </c>
      <c r="K231" s="446" t="str">
        <f t="shared" si="281"/>
        <v>-</v>
      </c>
      <c r="L231" s="446" t="str">
        <f t="shared" ref="L231:M231" si="282">IF(OR(L230="-",L230=""),IF(OR(L229="-",L229=""),"-",L229),IF(OR(L229="-",L229=""),L230,(L229+L230)/2))</f>
        <v>-</v>
      </c>
      <c r="M231" s="446" t="str">
        <f t="shared" si="282"/>
        <v>-</v>
      </c>
      <c r="N231" s="828"/>
      <c r="O231" s="672"/>
      <c r="P231" s="673"/>
      <c r="Q231" s="673"/>
      <c r="R231" s="673"/>
      <c r="S231" s="672"/>
      <c r="T231" s="673"/>
      <c r="U231" s="673"/>
      <c r="V231" s="674"/>
      <c r="W231" s="512"/>
      <c r="X231" s="512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BC231" s="536"/>
      <c r="BD231" s="429" t="str">
        <f>"IEF " &amp;B214</f>
        <v>IEF City (unweighted)</v>
      </c>
      <c r="BE231" s="435">
        <f t="shared" ref="BE231:BJ231" si="283">IF(OR($C216="-",$C216="CET",$C216=""),"-",$C216)</f>
        <v>4</v>
      </c>
      <c r="BF231" s="435">
        <f t="shared" si="283"/>
        <v>4</v>
      </c>
      <c r="BG231" s="435">
        <f t="shared" si="283"/>
        <v>4</v>
      </c>
      <c r="BH231" s="435">
        <f t="shared" si="283"/>
        <v>4</v>
      </c>
      <c r="BI231" s="435">
        <f t="shared" si="283"/>
        <v>4</v>
      </c>
      <c r="BJ231" s="435">
        <f t="shared" si="283"/>
        <v>4</v>
      </c>
      <c r="BK231" s="435">
        <f t="shared" ref="BK231:BL231" si="284">IF(OR($C216="-",$C216="CET",$C216=""),"-",$C216)</f>
        <v>4</v>
      </c>
      <c r="BL231" s="435">
        <f t="shared" si="284"/>
        <v>4</v>
      </c>
    </row>
    <row r="232" spans="1:64" ht="15" customHeight="1" outlineLevel="1" thickBot="1" x14ac:dyDescent="0.3">
      <c r="A232" s="404"/>
      <c r="B232" s="725"/>
      <c r="C232" s="687"/>
      <c r="D232" s="690"/>
      <c r="E232" s="447" t="s">
        <v>97</v>
      </c>
      <c r="F232" s="448" t="str">
        <f t="shared" ref="F232:K232" si="285">IF(OR($C231="-",$C231="CET",$C231=""),"-",IF(AND(NOT(F231="-"),NOT(F$5="-"),NOT(F$5="")),F231/F$5,"-"))</f>
        <v>-</v>
      </c>
      <c r="G232" s="448" t="str">
        <f t="shared" si="285"/>
        <v>-</v>
      </c>
      <c r="H232" s="448" t="str">
        <f t="shared" si="285"/>
        <v>-</v>
      </c>
      <c r="I232" s="448" t="str">
        <f t="shared" si="285"/>
        <v>-</v>
      </c>
      <c r="J232" s="448" t="str">
        <f t="shared" si="285"/>
        <v>-</v>
      </c>
      <c r="K232" s="449" t="str">
        <f t="shared" si="285"/>
        <v>-</v>
      </c>
      <c r="L232" s="449" t="str">
        <f t="shared" ref="L232:M232" si="286">IF(OR($C231="-",$C231="CET",$C231=""),"-",IF(AND(NOT(L231="-"),NOT(L$5="-"),NOT(L$5="")),L231/L$5,"-"))</f>
        <v>-</v>
      </c>
      <c r="M232" s="449" t="str">
        <f t="shared" si="286"/>
        <v>-</v>
      </c>
      <c r="N232" s="702"/>
      <c r="O232" s="672"/>
      <c r="P232" s="673"/>
      <c r="Q232" s="673"/>
      <c r="R232" s="673"/>
      <c r="S232" s="672"/>
      <c r="T232" s="673"/>
      <c r="U232" s="673"/>
      <c r="V232" s="674"/>
      <c r="W232" s="512"/>
      <c r="X232" s="512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BC232" s="536"/>
      <c r="BD232" s="429" t="str">
        <f>"IEF " &amp; B219</f>
        <v>IEF City (EMROAD)</v>
      </c>
      <c r="BE232" s="435">
        <f t="shared" ref="BE232:BJ232" si="287">IF(OR($C221="-",$C221="CET",$C221=""),"-",$C221)</f>
        <v>4</v>
      </c>
      <c r="BF232" s="435">
        <f t="shared" si="287"/>
        <v>4</v>
      </c>
      <c r="BG232" s="435">
        <f t="shared" si="287"/>
        <v>4</v>
      </c>
      <c r="BH232" s="435">
        <f t="shared" si="287"/>
        <v>4</v>
      </c>
      <c r="BI232" s="435">
        <f t="shared" si="287"/>
        <v>4</v>
      </c>
      <c r="BJ232" s="435">
        <f t="shared" si="287"/>
        <v>4</v>
      </c>
      <c r="BK232" s="435">
        <f t="shared" ref="BK232:BL232" si="288">IF(OR($C221="-",$C221="CET",$C221=""),"-",$C221)</f>
        <v>4</v>
      </c>
      <c r="BL232" s="435">
        <f t="shared" si="288"/>
        <v>4</v>
      </c>
    </row>
    <row r="233" spans="1:64" ht="15" customHeight="1" outlineLevel="1" thickBot="1" x14ac:dyDescent="0.3">
      <c r="A233" s="404"/>
      <c r="B233" s="726"/>
      <c r="C233" s="688"/>
      <c r="D233" s="691"/>
      <c r="E233" s="451" t="s">
        <v>30</v>
      </c>
      <c r="F233" s="451" t="str">
        <f t="shared" ref="F233:M233" si="289">IF(AND(OR(F229="-",F229=""),OR(F230="-",F230="")),"-",IF(OR($C231="-",$C231="",$C231="CET"),"-",IF($R$210="not listed","-",IF(NOT(F$5="-"),IF(AND(AND(NOT(F229=0),NOT(F229="-"),NOT(F229="")),AND(NOT(F230="-"),NOT(F230=0),NOT(F230=""))),IF(AND((F229+F230)/2&lt;1*F$5*IF(OR($C231="CET",$C231="-",$C231=""),"-",$C231),F229&lt;1.1*F$5*IF(OR($C231="CET",$C231="-",$C231=""),"-",$C231),F230&lt;1.1*F$5*IF(OR($C231="CET",$C231="-",$C231=""),"-",$C231)),"passed","refused"),IF(IF(OR(F229="-",F229=""),F230,F229)&lt;0.7*F$5*IF(OR($C231="CET",$C231="-",$C231=""),"-",$C231),"passed",IF(IF(OR(F229="-",F229=""),F230,F229)&lt;1.1*IF(OR($C231="CET",$C231="-",$C231=""),"-",$C231)*F$5,"failed","refused"))),"-"))))</f>
        <v>-</v>
      </c>
      <c r="G233" s="451" t="str">
        <f t="shared" si="289"/>
        <v>-</v>
      </c>
      <c r="H233" s="451" t="str">
        <f t="shared" si="289"/>
        <v>-</v>
      </c>
      <c r="I233" s="451" t="str">
        <f t="shared" si="289"/>
        <v>-</v>
      </c>
      <c r="J233" s="451" t="str">
        <f t="shared" si="289"/>
        <v>-</v>
      </c>
      <c r="K233" s="452" t="str">
        <f t="shared" si="289"/>
        <v>-</v>
      </c>
      <c r="L233" s="452" t="str">
        <f t="shared" si="289"/>
        <v>-</v>
      </c>
      <c r="M233" s="452" t="str">
        <f t="shared" si="289"/>
        <v>-</v>
      </c>
      <c r="N233" s="685"/>
      <c r="O233" s="672"/>
      <c r="P233" s="673"/>
      <c r="Q233" s="673"/>
      <c r="R233" s="673"/>
      <c r="S233" s="672"/>
      <c r="T233" s="673"/>
      <c r="U233" s="673"/>
      <c r="V233" s="674"/>
      <c r="W233" s="512"/>
      <c r="X233" s="512"/>
      <c r="Y233" s="678"/>
      <c r="Z233" s="678"/>
      <c r="AA233" s="678"/>
      <c r="AB233" s="678"/>
      <c r="AC233" s="678"/>
      <c r="AD233" s="678"/>
      <c r="AE233" s="678"/>
      <c r="AF233" s="678"/>
      <c r="AG233" s="678"/>
      <c r="AH233" s="678"/>
      <c r="BC233" s="399" t="str">
        <f>IF(COUNTIF(F233:M233,"refused")&gt;0,"refused",IF(COUNTIF(F233:M233,"failed")&gt;0,"failed",IF(COUNTIF(F233:M233,"passed")&gt;0,"passed","-")))</f>
        <v>-</v>
      </c>
      <c r="BD233" s="429" t="str">
        <f>"IEF " &amp; B224</f>
        <v>IEF City
 (SPF)</v>
      </c>
      <c r="BE233" s="435">
        <f t="shared" ref="BE233:BJ233" si="290">IF(OR($C226="-",$C226="CET",$C226=""),"-",$C226)</f>
        <v>4</v>
      </c>
      <c r="BF233" s="435">
        <f t="shared" si="290"/>
        <v>4</v>
      </c>
      <c r="BG233" s="435">
        <f t="shared" si="290"/>
        <v>4</v>
      </c>
      <c r="BH233" s="435">
        <f t="shared" si="290"/>
        <v>4</v>
      </c>
      <c r="BI233" s="435">
        <f t="shared" si="290"/>
        <v>4</v>
      </c>
      <c r="BJ233" s="435">
        <f t="shared" si="290"/>
        <v>4</v>
      </c>
      <c r="BK233" s="435">
        <f t="shared" ref="BK233:BL233" si="291">IF(OR($C226="-",$C226="CET",$C226=""),"-",$C226)</f>
        <v>4</v>
      </c>
      <c r="BL233" s="435">
        <f t="shared" si="291"/>
        <v>4</v>
      </c>
    </row>
    <row r="234" spans="1:64" s="405" customFormat="1" ht="15" customHeight="1" outlineLevel="1" x14ac:dyDescent="0.25">
      <c r="A234" s="454"/>
      <c r="B234" s="724" t="s">
        <v>104</v>
      </c>
      <c r="C234" s="684" t="s">
        <v>114</v>
      </c>
      <c r="D234" s="684" t="s">
        <v>113</v>
      </c>
      <c r="E234" s="453" t="s">
        <v>94</v>
      </c>
      <c r="F234" s="473" t="s">
        <v>5</v>
      </c>
      <c r="G234" s="473" t="s">
        <v>5</v>
      </c>
      <c r="H234" s="473" t="s">
        <v>5</v>
      </c>
      <c r="I234" s="473" t="s">
        <v>5</v>
      </c>
      <c r="J234" s="473" t="s">
        <v>5</v>
      </c>
      <c r="K234" s="474" t="s">
        <v>5</v>
      </c>
      <c r="L234" s="474" t="s">
        <v>5</v>
      </c>
      <c r="M234" s="474" t="s">
        <v>5</v>
      </c>
      <c r="N234" s="473" t="s">
        <v>5</v>
      </c>
      <c r="O234" s="672"/>
      <c r="P234" s="673"/>
      <c r="Q234" s="673"/>
      <c r="R234" s="673"/>
      <c r="S234" s="672"/>
      <c r="T234" s="673"/>
      <c r="U234" s="673"/>
      <c r="V234" s="674"/>
      <c r="W234" s="443"/>
      <c r="X234" s="443"/>
      <c r="Y234" s="678"/>
      <c r="Z234" s="678"/>
      <c r="AA234" s="678"/>
      <c r="AB234" s="678"/>
      <c r="AC234" s="678"/>
      <c r="AD234" s="678"/>
      <c r="AE234" s="678"/>
      <c r="AF234" s="678"/>
      <c r="AG234" s="678"/>
      <c r="AH234" s="678"/>
      <c r="BC234" s="536"/>
      <c r="BD234" s="429" t="str">
        <f>"IEF " &amp; B229</f>
        <v>IEF Total (unweighted)</v>
      </c>
      <c r="BE234" s="435">
        <f t="shared" ref="BE234:BJ234" si="292">IF(OR($C231="-",$C231="CET",$C231=""),"-",$C231)</f>
        <v>4</v>
      </c>
      <c r="BF234" s="435">
        <f t="shared" si="292"/>
        <v>4</v>
      </c>
      <c r="BG234" s="435">
        <f t="shared" si="292"/>
        <v>4</v>
      </c>
      <c r="BH234" s="435">
        <f t="shared" si="292"/>
        <v>4</v>
      </c>
      <c r="BI234" s="435">
        <f t="shared" si="292"/>
        <v>4</v>
      </c>
      <c r="BJ234" s="435">
        <f t="shared" si="292"/>
        <v>4</v>
      </c>
      <c r="BK234" s="435">
        <f t="shared" ref="BK234:BL234" si="293">IF(OR($C231="-",$C231="CET",$C231=""),"-",$C231)</f>
        <v>4</v>
      </c>
      <c r="BL234" s="435">
        <f t="shared" si="293"/>
        <v>4</v>
      </c>
    </row>
    <row r="235" spans="1:64" ht="15" customHeight="1" outlineLevel="1" thickBot="1" x14ac:dyDescent="0.3">
      <c r="A235" s="404"/>
      <c r="B235" s="725"/>
      <c r="C235" s="702"/>
      <c r="D235" s="685"/>
      <c r="E235" s="440" t="s">
        <v>95</v>
      </c>
      <c r="F235" s="475" t="s">
        <v>5</v>
      </c>
      <c r="G235" s="475" t="s">
        <v>5</v>
      </c>
      <c r="H235" s="475" t="s">
        <v>5</v>
      </c>
      <c r="I235" s="475" t="s">
        <v>5</v>
      </c>
      <c r="J235" s="475" t="s">
        <v>5</v>
      </c>
      <c r="K235" s="476" t="s">
        <v>5</v>
      </c>
      <c r="L235" s="476" t="s">
        <v>5</v>
      </c>
      <c r="M235" s="476" t="s">
        <v>5</v>
      </c>
      <c r="N235" s="475" t="s">
        <v>5</v>
      </c>
      <c r="O235" s="672"/>
      <c r="P235" s="673"/>
      <c r="Q235" s="673"/>
      <c r="R235" s="673"/>
      <c r="S235" s="672"/>
      <c r="T235" s="673"/>
      <c r="U235" s="673"/>
      <c r="V235" s="674"/>
      <c r="W235" s="512"/>
      <c r="X235" s="512"/>
      <c r="Y235" s="678"/>
      <c r="Z235" s="678"/>
      <c r="AA235" s="678"/>
      <c r="AB235" s="678"/>
      <c r="AC235" s="678"/>
      <c r="AD235" s="678"/>
      <c r="AE235" s="678"/>
      <c r="AF235" s="678"/>
      <c r="AG235" s="678"/>
      <c r="AH235" s="678"/>
      <c r="BC235" s="536"/>
      <c r="BD235" s="429" t="str">
        <f>"IEF " &amp; B234</f>
        <v>IEF Total (EMROAD)</v>
      </c>
      <c r="BE235" s="435">
        <f t="shared" ref="BE235:BL235" si="294">IF(OR($C236="-",$C236="CET",$C236=""),"-",$C236)</f>
        <v>4</v>
      </c>
      <c r="BF235" s="435">
        <f t="shared" si="294"/>
        <v>4</v>
      </c>
      <c r="BG235" s="435">
        <f t="shared" si="294"/>
        <v>4</v>
      </c>
      <c r="BH235" s="435">
        <f t="shared" si="294"/>
        <v>4</v>
      </c>
      <c r="BI235" s="435">
        <f t="shared" si="294"/>
        <v>4</v>
      </c>
      <c r="BJ235" s="435">
        <f t="shared" si="294"/>
        <v>4</v>
      </c>
      <c r="BK235" s="435">
        <f t="shared" si="294"/>
        <v>4</v>
      </c>
      <c r="BL235" s="435">
        <f t="shared" si="294"/>
        <v>4</v>
      </c>
    </row>
    <row r="236" spans="1:64" ht="15" customHeight="1" outlineLevel="1" thickBot="1" x14ac:dyDescent="0.3">
      <c r="A236" s="404"/>
      <c r="B236" s="725"/>
      <c r="C236" s="686">
        <v>4</v>
      </c>
      <c r="D236" s="689" t="str">
        <f>IF(AND(F236="-",G236="-",H236="-",I236="-",J236="-",K236="-",L236="-",M236="-"),"-",MAX(F236,G236,H236,I236,J236,K236,L236,M236))</f>
        <v>-</v>
      </c>
      <c r="E236" s="444" t="s">
        <v>177</v>
      </c>
      <c r="F236" s="445" t="str">
        <f t="shared" ref="F236:K236" si="295">IF(OR(F235="-",F235=""),IF(OR(F234="-",F234=""),"-",F234),IF(OR(F234="-",F234=""),F235,(F234+F235)/2))</f>
        <v>-</v>
      </c>
      <c r="G236" s="445" t="str">
        <f t="shared" si="295"/>
        <v>-</v>
      </c>
      <c r="H236" s="445" t="str">
        <f t="shared" si="295"/>
        <v>-</v>
      </c>
      <c r="I236" s="445" t="str">
        <f t="shared" si="295"/>
        <v>-</v>
      </c>
      <c r="J236" s="445" t="str">
        <f t="shared" si="295"/>
        <v>-</v>
      </c>
      <c r="K236" s="446" t="str">
        <f t="shared" si="295"/>
        <v>-</v>
      </c>
      <c r="L236" s="446" t="str">
        <f t="shared" ref="L236:M236" si="296">IF(OR(L235="-",L235=""),IF(OR(L234="-",L234=""),"-",L234),IF(OR(L234="-",L234=""),L235,(L234+L235)/2))</f>
        <v>-</v>
      </c>
      <c r="M236" s="446" t="str">
        <f t="shared" si="296"/>
        <v>-</v>
      </c>
      <c r="N236" s="828"/>
      <c r="O236" s="672"/>
      <c r="P236" s="673"/>
      <c r="Q236" s="673"/>
      <c r="R236" s="673"/>
      <c r="S236" s="672"/>
      <c r="T236" s="673"/>
      <c r="U236" s="673"/>
      <c r="V236" s="674"/>
      <c r="W236" s="512"/>
      <c r="X236" s="512"/>
      <c r="Y236" s="678"/>
      <c r="Z236" s="678"/>
      <c r="AA236" s="678"/>
      <c r="AB236" s="678"/>
      <c r="AC236" s="678"/>
      <c r="AD236" s="678"/>
      <c r="AE236" s="678"/>
      <c r="AF236" s="678"/>
      <c r="AG236" s="678"/>
      <c r="AH236" s="678"/>
      <c r="BC236" s="536"/>
      <c r="BD236" s="429" t="str">
        <f>"IEF " &amp; B239</f>
        <v>IEF Total (SPF)</v>
      </c>
      <c r="BE236" s="435">
        <f t="shared" ref="BE236:BJ236" si="297">IF(OR($C241="-",$C241="CET",$C241=""),"-",$C241)</f>
        <v>4</v>
      </c>
      <c r="BF236" s="435">
        <f t="shared" si="297"/>
        <v>4</v>
      </c>
      <c r="BG236" s="435">
        <f t="shared" si="297"/>
        <v>4</v>
      </c>
      <c r="BH236" s="435">
        <f t="shared" si="297"/>
        <v>4</v>
      </c>
      <c r="BI236" s="435">
        <f t="shared" si="297"/>
        <v>4</v>
      </c>
      <c r="BJ236" s="435">
        <f t="shared" si="297"/>
        <v>4</v>
      </c>
      <c r="BK236" s="435">
        <f t="shared" ref="BK236:BL236" si="298">IF(OR($C241="-",$C241="CET",$C241=""),"-",$C241)</f>
        <v>4</v>
      </c>
      <c r="BL236" s="435">
        <f t="shared" si="298"/>
        <v>4</v>
      </c>
    </row>
    <row r="237" spans="1:64" ht="15" customHeight="1" outlineLevel="1" thickBot="1" x14ac:dyDescent="0.3">
      <c r="A237" s="404"/>
      <c r="B237" s="725"/>
      <c r="C237" s="687"/>
      <c r="D237" s="690"/>
      <c r="E237" s="447" t="s">
        <v>97</v>
      </c>
      <c r="F237" s="448" t="str">
        <f t="shared" ref="F237:K237" si="299">IF(OR($C236="-",$C236="CET",$C236=""),"-",IF(AND(NOT(F236="-"),NOT(F$5="-"),NOT(F$5="")),F236/F$5,"-"))</f>
        <v>-</v>
      </c>
      <c r="G237" s="448" t="str">
        <f t="shared" si="299"/>
        <v>-</v>
      </c>
      <c r="H237" s="448" t="str">
        <f t="shared" si="299"/>
        <v>-</v>
      </c>
      <c r="I237" s="448" t="str">
        <f t="shared" si="299"/>
        <v>-</v>
      </c>
      <c r="J237" s="448" t="str">
        <f t="shared" si="299"/>
        <v>-</v>
      </c>
      <c r="K237" s="449" t="str">
        <f t="shared" si="299"/>
        <v>-</v>
      </c>
      <c r="L237" s="449" t="str">
        <f t="shared" ref="L237:M237" si="300">IF(OR($C236="-",$C236="CET",$C236=""),"-",IF(AND(NOT(L236="-"),NOT(L$5="-"),NOT(L$5="")),L236/L$5,"-"))</f>
        <v>-</v>
      </c>
      <c r="M237" s="449" t="str">
        <f t="shared" si="300"/>
        <v>-</v>
      </c>
      <c r="N237" s="702"/>
      <c r="O237" s="672"/>
      <c r="P237" s="673"/>
      <c r="Q237" s="673"/>
      <c r="R237" s="673"/>
      <c r="S237" s="672"/>
      <c r="T237" s="673"/>
      <c r="U237" s="673"/>
      <c r="V237" s="674"/>
      <c r="W237" s="512"/>
      <c r="X237" s="512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BC237" s="536"/>
    </row>
    <row r="238" spans="1:64" ht="15" customHeight="1" outlineLevel="1" thickBot="1" x14ac:dyDescent="0.3">
      <c r="A238" s="404"/>
      <c r="B238" s="726"/>
      <c r="C238" s="688"/>
      <c r="D238" s="691"/>
      <c r="E238" s="451" t="s">
        <v>30</v>
      </c>
      <c r="F238" s="451" t="str">
        <f t="shared" ref="F238:M238" si="301">IF(AND(OR(F234="-",F234=""),OR(F235="-",F235="")),"-",IF(OR($C236="-",$C236="",$C236="CET"),"-",IF($R$210="not listed","-",IF(NOT(F$5="-"),IF(AND(AND(NOT(F234=0),NOT(F234="-"),NOT(F234="")),AND(NOT(F235="-"),NOT(F235=0),NOT(F235=""))),IF(AND((F234+F235)/2&lt;1*F$5*IF(OR($C236="CET",$C236="-",$C236=""),"-",$C236),F234&lt;1.1*F$5*IF(OR($C236="CET",$C236="-",$C236=""),"-",$C236),F235&lt;1.1*F$5*IF(OR($C236="CET",$C236="-",$C236=""),"-",$C236)),"passed","refused"),IF(IF(OR(F234="-",F234=""),F235,F234)&lt;0.7*F$5*IF(OR($C236="CET",$C236="-",$C236=""),"-",$C236),"passed",IF(IF(OR(F234="-",F234=""),F235,F234)&lt;1.1*IF(OR($C236="CET",$C236="-",$C236=""),"-",$C236)*F$5,"failed","refused"))),"-"))))</f>
        <v>-</v>
      </c>
      <c r="G238" s="451" t="str">
        <f t="shared" si="301"/>
        <v>-</v>
      </c>
      <c r="H238" s="451" t="str">
        <f t="shared" si="301"/>
        <v>-</v>
      </c>
      <c r="I238" s="451" t="str">
        <f t="shared" si="301"/>
        <v>-</v>
      </c>
      <c r="J238" s="451" t="str">
        <f t="shared" si="301"/>
        <v>-</v>
      </c>
      <c r="K238" s="452" t="str">
        <f t="shared" si="301"/>
        <v>-</v>
      </c>
      <c r="L238" s="452" t="str">
        <f t="shared" si="301"/>
        <v>-</v>
      </c>
      <c r="M238" s="452" t="str">
        <f t="shared" si="301"/>
        <v>-</v>
      </c>
      <c r="N238" s="685"/>
      <c r="O238" s="672"/>
      <c r="P238" s="673"/>
      <c r="Q238" s="673"/>
      <c r="R238" s="673"/>
      <c r="S238" s="672"/>
      <c r="T238" s="673"/>
      <c r="U238" s="673"/>
      <c r="V238" s="674"/>
      <c r="W238" s="512"/>
      <c r="X238" s="512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BC238" s="399" t="str">
        <f>IF(COUNTIF(F238:M238,"refused")&gt;0,"refused",IF(COUNTIF(F238:M238,"failed")&gt;0,"failed",IF(COUNTIF(F238:M238,"passed")&gt;0,"passed","-")))</f>
        <v>-</v>
      </c>
      <c r="BD238" s="459"/>
      <c r="BE238" s="459"/>
      <c r="BF238" s="459"/>
      <c r="BG238" s="459"/>
      <c r="BH238" s="459"/>
      <c r="BI238" s="459"/>
      <c r="BJ238" s="459"/>
      <c r="BK238" s="459"/>
      <c r="BL238" s="459"/>
    </row>
    <row r="239" spans="1:64" s="405" customFormat="1" ht="15" customHeight="1" outlineLevel="1" x14ac:dyDescent="0.25">
      <c r="A239" s="454"/>
      <c r="B239" s="718" t="s">
        <v>140</v>
      </c>
      <c r="C239" s="684" t="s">
        <v>114</v>
      </c>
      <c r="D239" s="684" t="s">
        <v>113</v>
      </c>
      <c r="E239" s="453" t="s">
        <v>94</v>
      </c>
      <c r="F239" s="473" t="s">
        <v>5</v>
      </c>
      <c r="G239" s="473" t="s">
        <v>5</v>
      </c>
      <c r="H239" s="473" t="s">
        <v>5</v>
      </c>
      <c r="I239" s="473" t="s">
        <v>5</v>
      </c>
      <c r="J239" s="473" t="s">
        <v>5</v>
      </c>
      <c r="K239" s="474" t="s">
        <v>5</v>
      </c>
      <c r="L239" s="474" t="s">
        <v>5</v>
      </c>
      <c r="M239" s="474" t="s">
        <v>5</v>
      </c>
      <c r="N239" s="473" t="s">
        <v>5</v>
      </c>
      <c r="O239" s="672"/>
      <c r="P239" s="673"/>
      <c r="Q239" s="673"/>
      <c r="R239" s="673"/>
      <c r="S239" s="672"/>
      <c r="T239" s="673"/>
      <c r="U239" s="673"/>
      <c r="V239" s="674"/>
      <c r="W239" s="443"/>
      <c r="X239" s="443"/>
      <c r="Y239" s="678"/>
      <c r="Z239" s="678"/>
      <c r="AA239" s="678"/>
      <c r="AB239" s="678"/>
      <c r="AC239" s="678"/>
      <c r="AD239" s="678"/>
      <c r="AE239" s="678"/>
      <c r="AF239" s="678"/>
      <c r="AG239" s="678"/>
      <c r="AH239" s="678"/>
      <c r="BC239" s="536"/>
      <c r="BD239" s="459"/>
      <c r="BE239" s="459"/>
      <c r="BF239" s="459"/>
      <c r="BG239" s="459"/>
      <c r="BH239" s="459"/>
      <c r="BI239" s="459"/>
      <c r="BJ239" s="459"/>
      <c r="BK239" s="459"/>
      <c r="BL239" s="459"/>
    </row>
    <row r="240" spans="1:64" ht="15" customHeight="1" outlineLevel="1" thickBot="1" x14ac:dyDescent="0.3">
      <c r="A240" s="404"/>
      <c r="B240" s="719"/>
      <c r="C240" s="702"/>
      <c r="D240" s="685"/>
      <c r="E240" s="440" t="s">
        <v>95</v>
      </c>
      <c r="F240" s="475" t="s">
        <v>5</v>
      </c>
      <c r="G240" s="475" t="s">
        <v>5</v>
      </c>
      <c r="H240" s="475" t="s">
        <v>5</v>
      </c>
      <c r="I240" s="475" t="s">
        <v>5</v>
      </c>
      <c r="J240" s="475" t="s">
        <v>5</v>
      </c>
      <c r="K240" s="476" t="s">
        <v>5</v>
      </c>
      <c r="L240" s="476" t="s">
        <v>5</v>
      </c>
      <c r="M240" s="476" t="s">
        <v>5</v>
      </c>
      <c r="N240" s="475" t="s">
        <v>5</v>
      </c>
      <c r="O240" s="672"/>
      <c r="P240" s="673"/>
      <c r="Q240" s="673"/>
      <c r="R240" s="673"/>
      <c r="S240" s="672"/>
      <c r="T240" s="673"/>
      <c r="U240" s="673"/>
      <c r="V240" s="674"/>
      <c r="W240" s="512"/>
      <c r="X240" s="512"/>
      <c r="Y240" s="678"/>
      <c r="Z240" s="678"/>
      <c r="AA240" s="678"/>
      <c r="AB240" s="678"/>
      <c r="AC240" s="678"/>
      <c r="AD240" s="678"/>
      <c r="AE240" s="678"/>
      <c r="AF240" s="678"/>
      <c r="AG240" s="678"/>
      <c r="AH240" s="678"/>
      <c r="BC240" s="536"/>
      <c r="BD240" s="460"/>
      <c r="BE240" s="460"/>
      <c r="BF240" s="460"/>
      <c r="BG240" s="460"/>
      <c r="BH240" s="460"/>
      <c r="BI240" s="460"/>
      <c r="BJ240" s="460"/>
      <c r="BK240" s="460"/>
      <c r="BL240" s="460"/>
    </row>
    <row r="241" spans="1:64" ht="15" customHeight="1" outlineLevel="1" thickBot="1" x14ac:dyDescent="0.3">
      <c r="A241" s="404"/>
      <c r="B241" s="719"/>
      <c r="C241" s="686">
        <v>4</v>
      </c>
      <c r="D241" s="689" t="str">
        <f>IF(AND(F241="-",G241="-",H241="-",I241="-",J241="-",K241="-",L241="-",M241="-"),"-",MAX(F241,G241,H241,I241,J241,K241,L241,M241))</f>
        <v>-</v>
      </c>
      <c r="E241" s="444" t="s">
        <v>177</v>
      </c>
      <c r="F241" s="445" t="str">
        <f t="shared" ref="F241:K241" si="302">IF(OR(F240="-",F240=""),IF(OR(F239="-",F239=""),"-",F239),IF(OR(F239="-",F239=""),F240,(F239+F240)/2))</f>
        <v>-</v>
      </c>
      <c r="G241" s="445" t="str">
        <f t="shared" si="302"/>
        <v>-</v>
      </c>
      <c r="H241" s="445" t="str">
        <f t="shared" si="302"/>
        <v>-</v>
      </c>
      <c r="I241" s="445" t="str">
        <f t="shared" si="302"/>
        <v>-</v>
      </c>
      <c r="J241" s="445" t="str">
        <f t="shared" si="302"/>
        <v>-</v>
      </c>
      <c r="K241" s="446" t="str">
        <f t="shared" si="302"/>
        <v>-</v>
      </c>
      <c r="L241" s="446" t="str">
        <f t="shared" ref="L241:M241" si="303">IF(OR(L240="-",L240=""),IF(OR(L239="-",L239=""),"-",L239),IF(OR(L239="-",L239=""),L240,(L239+L240)/2))</f>
        <v>-</v>
      </c>
      <c r="M241" s="446" t="str">
        <f t="shared" si="303"/>
        <v>-</v>
      </c>
      <c r="N241" s="828"/>
      <c r="O241" s="672"/>
      <c r="P241" s="673"/>
      <c r="Q241" s="673"/>
      <c r="R241" s="673"/>
      <c r="S241" s="672"/>
      <c r="T241" s="673"/>
      <c r="U241" s="673"/>
      <c r="V241" s="674"/>
      <c r="W241" s="512"/>
      <c r="X241" s="512"/>
      <c r="Y241" s="678"/>
      <c r="Z241" s="678"/>
      <c r="AA241" s="678"/>
      <c r="AB241" s="678"/>
      <c r="AC241" s="678"/>
      <c r="AD241" s="678"/>
      <c r="AE241" s="678"/>
      <c r="AF241" s="678"/>
      <c r="AG241" s="678"/>
      <c r="AH241" s="678"/>
      <c r="BC241" s="536"/>
      <c r="BD241" s="460"/>
      <c r="BE241" s="460"/>
      <c r="BF241" s="460"/>
      <c r="BG241" s="460"/>
      <c r="BH241" s="460"/>
      <c r="BI241" s="460"/>
      <c r="BJ241" s="460"/>
      <c r="BK241" s="460"/>
      <c r="BL241" s="460"/>
    </row>
    <row r="242" spans="1:64" ht="15.75" outlineLevel="1" thickBot="1" x14ac:dyDescent="0.3">
      <c r="B242" s="719"/>
      <c r="C242" s="687"/>
      <c r="D242" s="690"/>
      <c r="E242" s="447" t="s">
        <v>97</v>
      </c>
      <c r="F242" s="448" t="str">
        <f t="shared" ref="F242:K242" si="304">IF(OR($C241="-",$C241="CET",$C241=""),"-",IF(AND(NOT(F241="-"),NOT(F$5="-"),NOT(F$5="")),F241/F$5,"-"))</f>
        <v>-</v>
      </c>
      <c r="G242" s="448" t="str">
        <f t="shared" si="304"/>
        <v>-</v>
      </c>
      <c r="H242" s="448" t="str">
        <f t="shared" si="304"/>
        <v>-</v>
      </c>
      <c r="I242" s="448" t="str">
        <f t="shared" si="304"/>
        <v>-</v>
      </c>
      <c r="J242" s="448" t="str">
        <f t="shared" si="304"/>
        <v>-</v>
      </c>
      <c r="K242" s="449" t="str">
        <f t="shared" si="304"/>
        <v>-</v>
      </c>
      <c r="L242" s="449" t="str">
        <f t="shared" ref="L242:M242" si="305">IF(OR($C241="-",$C241="CET",$C241=""),"-",IF(AND(NOT(L241="-"),NOT(L$5="-"),NOT(L$5="")),L241/L$5,"-"))</f>
        <v>-</v>
      </c>
      <c r="M242" s="449" t="str">
        <f t="shared" si="305"/>
        <v>-</v>
      </c>
      <c r="N242" s="702"/>
      <c r="O242" s="672"/>
      <c r="P242" s="673"/>
      <c r="Q242" s="673"/>
      <c r="R242" s="673"/>
      <c r="S242" s="672"/>
      <c r="T242" s="673"/>
      <c r="U242" s="673"/>
      <c r="V242" s="674"/>
      <c r="BC242" s="536"/>
    </row>
    <row r="243" spans="1:64" ht="15.75" outlineLevel="1" thickBot="1" x14ac:dyDescent="0.3">
      <c r="B243" s="720"/>
      <c r="C243" s="688"/>
      <c r="D243" s="691"/>
      <c r="E243" s="451" t="s">
        <v>30</v>
      </c>
      <c r="F243" s="451" t="str">
        <f t="shared" ref="F243:M243" si="306">IF(AND(OR(F239="-",F239=""),OR(F240="-",F240="")),"-",IF(OR($C241="-",$C241="",$C241="CET"),"-",IF($R$210="not listed","-",IF(NOT(F$5="-"),IF(AND(AND(NOT(F239=0),NOT(F239="-"),NOT(F239="")),AND(NOT(F240="-"),NOT(F240=0),NOT(F240=""))),IF(AND((F239+F240)/2&lt;1*F$5*IF(OR($C241="CET",$C241="-",$C241=""),"-",$C241),F239&lt;1.1*F$5*IF(OR($C241="CET",$C241="-",$C241=""),"-",$C241),F240&lt;1.1*F$5*IF(OR($C241="CET",$C241="-",$C241=""),"-",$C241)),"passed","refused"),IF(IF(OR(F239="-",F239=""),F240,F239)&lt;0.7*F$5*IF(OR($C241="CET",$C241="-",$C241=""),"-",$C241),"passed",IF(IF(OR(F239="-",F239=""),F240,F239)&lt;1.1*IF(OR($C241="CET",$C241="-",$C241=""),"-",$C241)*F$5,"failed","refused"))),"-"))))</f>
        <v>-</v>
      </c>
      <c r="G243" s="451" t="str">
        <f t="shared" si="306"/>
        <v>-</v>
      </c>
      <c r="H243" s="451" t="str">
        <f t="shared" si="306"/>
        <v>-</v>
      </c>
      <c r="I243" s="451" t="str">
        <f t="shared" si="306"/>
        <v>-</v>
      </c>
      <c r="J243" s="451" t="str">
        <f t="shared" si="306"/>
        <v>-</v>
      </c>
      <c r="K243" s="452" t="str">
        <f t="shared" si="306"/>
        <v>-</v>
      </c>
      <c r="L243" s="452" t="str">
        <f t="shared" si="306"/>
        <v>-</v>
      </c>
      <c r="M243" s="452" t="str">
        <f t="shared" si="306"/>
        <v>-</v>
      </c>
      <c r="N243" s="685"/>
      <c r="O243" s="675"/>
      <c r="P243" s="676"/>
      <c r="Q243" s="676"/>
      <c r="R243" s="676"/>
      <c r="S243" s="675"/>
      <c r="T243" s="676"/>
      <c r="U243" s="676"/>
      <c r="V243" s="677"/>
      <c r="BC243" s="399" t="str">
        <f>IF(COUNTIF(F243:M243,"refused")&gt;0,"refused",IF(COUNTIF(F243:M243,"failed")&gt;0,"failed",IF(COUNTIF(F243:M243,"passed")&gt;0,"passed","-")))</f>
        <v>-</v>
      </c>
    </row>
  </sheetData>
  <sheetProtection password="8952" sheet="1" objects="1" scenarios="1" selectLockedCells="1"/>
  <mergeCells count="249">
    <mergeCell ref="N216:N218"/>
    <mergeCell ref="N221:N223"/>
    <mergeCell ref="N226:N228"/>
    <mergeCell ref="N231:N233"/>
    <mergeCell ref="N236:N238"/>
    <mergeCell ref="N241:N243"/>
    <mergeCell ref="N85:N87"/>
    <mergeCell ref="N90:N92"/>
    <mergeCell ref="N95:N97"/>
    <mergeCell ref="N108:N110"/>
    <mergeCell ref="N114:N116"/>
    <mergeCell ref="N135:N137"/>
    <mergeCell ref="N162:N164"/>
    <mergeCell ref="N189:N191"/>
    <mergeCell ref="C210:N210"/>
    <mergeCell ref="C183:N183"/>
    <mergeCell ref="C148:C149"/>
    <mergeCell ref="C150:C152"/>
    <mergeCell ref="C114:C116"/>
    <mergeCell ref="C239:C240"/>
    <mergeCell ref="D239:D240"/>
    <mergeCell ref="C241:C243"/>
    <mergeCell ref="D241:D243"/>
    <mergeCell ref="K1:Q2"/>
    <mergeCell ref="N16:N18"/>
    <mergeCell ref="N21:N23"/>
    <mergeCell ref="N26:N28"/>
    <mergeCell ref="N31:N33"/>
    <mergeCell ref="N43:N45"/>
    <mergeCell ref="N70:N72"/>
    <mergeCell ref="N75:N77"/>
    <mergeCell ref="N80:N82"/>
    <mergeCell ref="C64:N64"/>
    <mergeCell ref="D31:D33"/>
    <mergeCell ref="C37:N37"/>
    <mergeCell ref="B12:E12"/>
    <mergeCell ref="O12:R33"/>
    <mergeCell ref="B6:E6"/>
    <mergeCell ref="B56:B60"/>
    <mergeCell ref="C56:C57"/>
    <mergeCell ref="C58:C60"/>
    <mergeCell ref="C19:C20"/>
    <mergeCell ref="D19:D20"/>
    <mergeCell ref="C21:C23"/>
    <mergeCell ref="D21:D23"/>
    <mergeCell ref="B24:B28"/>
    <mergeCell ref="C24:C25"/>
    <mergeCell ref="B229:B233"/>
    <mergeCell ref="C229:C230"/>
    <mergeCell ref="D229:D230"/>
    <mergeCell ref="C231:C233"/>
    <mergeCell ref="D231:D233"/>
    <mergeCell ref="B234:B238"/>
    <mergeCell ref="C234:C235"/>
    <mergeCell ref="D234:D235"/>
    <mergeCell ref="C236:C238"/>
    <mergeCell ref="D236:D238"/>
    <mergeCell ref="Y210:AH210"/>
    <mergeCell ref="Y211:AH241"/>
    <mergeCell ref="B212:N212"/>
    <mergeCell ref="O212:R212"/>
    <mergeCell ref="S212:V212"/>
    <mergeCell ref="B213:E213"/>
    <mergeCell ref="O213:R243"/>
    <mergeCell ref="S213:V243"/>
    <mergeCell ref="B214:B218"/>
    <mergeCell ref="C214:C215"/>
    <mergeCell ref="D214:D215"/>
    <mergeCell ref="C216:C218"/>
    <mergeCell ref="D216:D218"/>
    <mergeCell ref="B219:B223"/>
    <mergeCell ref="C219:C220"/>
    <mergeCell ref="D219:D220"/>
    <mergeCell ref="C221:C223"/>
    <mergeCell ref="D221:D223"/>
    <mergeCell ref="B224:B228"/>
    <mergeCell ref="C224:C225"/>
    <mergeCell ref="D224:D225"/>
    <mergeCell ref="C226:C228"/>
    <mergeCell ref="D226:D228"/>
    <mergeCell ref="B239:B243"/>
    <mergeCell ref="Y183:AH183"/>
    <mergeCell ref="Y184:AH209"/>
    <mergeCell ref="B185:N185"/>
    <mergeCell ref="O185:R185"/>
    <mergeCell ref="S185:V185"/>
    <mergeCell ref="B186:E186"/>
    <mergeCell ref="O186:R206"/>
    <mergeCell ref="S186:V206"/>
    <mergeCell ref="B187:B191"/>
    <mergeCell ref="C187:C188"/>
    <mergeCell ref="D187:D188"/>
    <mergeCell ref="C189:C191"/>
    <mergeCell ref="D189:D191"/>
    <mergeCell ref="B192:B196"/>
    <mergeCell ref="C192:C193"/>
    <mergeCell ref="D192:D193"/>
    <mergeCell ref="C194:C196"/>
    <mergeCell ref="D194:D196"/>
    <mergeCell ref="N194:N196"/>
    <mergeCell ref="B175:B179"/>
    <mergeCell ref="C175:C176"/>
    <mergeCell ref="C177:C179"/>
    <mergeCell ref="C156:N156"/>
    <mergeCell ref="Y156:AH156"/>
    <mergeCell ref="Y157:AH177"/>
    <mergeCell ref="B158:N158"/>
    <mergeCell ref="O158:R158"/>
    <mergeCell ref="S158:V158"/>
    <mergeCell ref="B159:E159"/>
    <mergeCell ref="O159:R179"/>
    <mergeCell ref="S159:V179"/>
    <mergeCell ref="B160:B164"/>
    <mergeCell ref="C160:C161"/>
    <mergeCell ref="D160:D161"/>
    <mergeCell ref="C162:C164"/>
    <mergeCell ref="D162:D164"/>
    <mergeCell ref="B165:B169"/>
    <mergeCell ref="C165:C166"/>
    <mergeCell ref="C167:C169"/>
    <mergeCell ref="B170:B174"/>
    <mergeCell ref="C170:C171"/>
    <mergeCell ref="C172:C174"/>
    <mergeCell ref="B143:B147"/>
    <mergeCell ref="C143:C144"/>
    <mergeCell ref="C145:C147"/>
    <mergeCell ref="D114:D116"/>
    <mergeCell ref="C128:N128"/>
    <mergeCell ref="Y129:AH129"/>
    <mergeCell ref="B130:N130"/>
    <mergeCell ref="O130:R130"/>
    <mergeCell ref="S130:V130"/>
    <mergeCell ref="Y130:AH150"/>
    <mergeCell ref="B131:E131"/>
    <mergeCell ref="O131:R152"/>
    <mergeCell ref="S131:V152"/>
    <mergeCell ref="B132:B137"/>
    <mergeCell ref="D132:E132"/>
    <mergeCell ref="C133:C134"/>
    <mergeCell ref="D133:D134"/>
    <mergeCell ref="C135:C137"/>
    <mergeCell ref="D135:D137"/>
    <mergeCell ref="B138:B142"/>
    <mergeCell ref="C138:C139"/>
    <mergeCell ref="C140:C142"/>
    <mergeCell ref="B148:B152"/>
    <mergeCell ref="B93:B97"/>
    <mergeCell ref="C93:C94"/>
    <mergeCell ref="D93:D94"/>
    <mergeCell ref="C95:C97"/>
    <mergeCell ref="D95:D97"/>
    <mergeCell ref="C101:N101"/>
    <mergeCell ref="Y102:AH102"/>
    <mergeCell ref="B103:N103"/>
    <mergeCell ref="O103:R103"/>
    <mergeCell ref="S103:V103"/>
    <mergeCell ref="Y103:AH123"/>
    <mergeCell ref="B104:E104"/>
    <mergeCell ref="O104:R124"/>
    <mergeCell ref="S104:V124"/>
    <mergeCell ref="B105:B110"/>
    <mergeCell ref="D105:E105"/>
    <mergeCell ref="C106:C107"/>
    <mergeCell ref="D106:D107"/>
    <mergeCell ref="C108:C110"/>
    <mergeCell ref="D108:D110"/>
    <mergeCell ref="B111:B116"/>
    <mergeCell ref="D111:E111"/>
    <mergeCell ref="C112:C113"/>
    <mergeCell ref="D112:D113"/>
    <mergeCell ref="C83:C84"/>
    <mergeCell ref="D83:D84"/>
    <mergeCell ref="C85:C87"/>
    <mergeCell ref="D85:D87"/>
    <mergeCell ref="B88:B92"/>
    <mergeCell ref="C88:C89"/>
    <mergeCell ref="D88:D89"/>
    <mergeCell ref="C90:C92"/>
    <mergeCell ref="D90:D92"/>
    <mergeCell ref="Y65:AH65"/>
    <mergeCell ref="B66:N66"/>
    <mergeCell ref="O66:R66"/>
    <mergeCell ref="S66:V66"/>
    <mergeCell ref="Y66:AH96"/>
    <mergeCell ref="B67:E67"/>
    <mergeCell ref="O67:R97"/>
    <mergeCell ref="S67:V97"/>
    <mergeCell ref="B68:B72"/>
    <mergeCell ref="C68:C69"/>
    <mergeCell ref="D68:D69"/>
    <mergeCell ref="C70:C72"/>
    <mergeCell ref="D70:D72"/>
    <mergeCell ref="B73:B77"/>
    <mergeCell ref="C73:C74"/>
    <mergeCell ref="D73:D74"/>
    <mergeCell ref="C75:C77"/>
    <mergeCell ref="D75:D77"/>
    <mergeCell ref="B78:B82"/>
    <mergeCell ref="C78:C79"/>
    <mergeCell ref="D78:D79"/>
    <mergeCell ref="C80:C82"/>
    <mergeCell ref="D80:D82"/>
    <mergeCell ref="B83:B87"/>
    <mergeCell ref="D14:D15"/>
    <mergeCell ref="C16:C18"/>
    <mergeCell ref="D16:D18"/>
    <mergeCell ref="Y38:AH38"/>
    <mergeCell ref="B39:N39"/>
    <mergeCell ref="O39:R39"/>
    <mergeCell ref="S39:V39"/>
    <mergeCell ref="Y39:AH59"/>
    <mergeCell ref="B40:E40"/>
    <mergeCell ref="O40:R60"/>
    <mergeCell ref="S40:V60"/>
    <mergeCell ref="B41:B45"/>
    <mergeCell ref="C41:C42"/>
    <mergeCell ref="D41:D42"/>
    <mergeCell ref="C43:C45"/>
    <mergeCell ref="D43:D45"/>
    <mergeCell ref="B46:B50"/>
    <mergeCell ref="C46:C47"/>
    <mergeCell ref="C48:C50"/>
    <mergeCell ref="B51:B55"/>
    <mergeCell ref="C51:C52"/>
    <mergeCell ref="C53:C55"/>
    <mergeCell ref="S11:V11"/>
    <mergeCell ref="Y11:AH11"/>
    <mergeCell ref="B29:B33"/>
    <mergeCell ref="C29:C30"/>
    <mergeCell ref="D29:D30"/>
    <mergeCell ref="C31:C33"/>
    <mergeCell ref="S12:V33"/>
    <mergeCell ref="B19:B23"/>
    <mergeCell ref="A1:J2"/>
    <mergeCell ref="B4:D4"/>
    <mergeCell ref="O4:P4"/>
    <mergeCell ref="B5:E5"/>
    <mergeCell ref="O5:P5"/>
    <mergeCell ref="B7:E7"/>
    <mergeCell ref="C9:N9"/>
    <mergeCell ref="B11:N11"/>
    <mergeCell ref="O11:R11"/>
    <mergeCell ref="D24:D25"/>
    <mergeCell ref="C26:C28"/>
    <mergeCell ref="D26:D28"/>
    <mergeCell ref="Y12:AH32"/>
    <mergeCell ref="B13:B18"/>
    <mergeCell ref="D13:E13"/>
    <mergeCell ref="C14:C15"/>
  </mergeCells>
  <conditionalFormatting sqref="A3 P9 F206:N206 F201:N201 P37 P64 P101 P128 P156 P183 P210 F18:M18 F23:M23 F28:M28 F33:M33 F45:M45 F72:M72 F77:M77 F82:M82 F87:M87 F92:M92 F97:M97 F137:M137 F164:M164 F191:M191 F196:M196 F218:M218 F223:M223 F228:M228 F233:M233 F238:M238 F243:M243">
    <cfRule type="containsText" dxfId="2301" priority="95" operator="containsText" text="passed">
      <formula>NOT(ISERROR(SEARCH("passed",A3)))</formula>
    </cfRule>
    <cfRule type="containsText" dxfId="2300" priority="96" operator="containsText" text="failed">
      <formula>NOT(ISERROR(SEARCH("failed",A3)))</formula>
    </cfRule>
    <cfRule type="containsText" dxfId="2299" priority="97" operator="containsText" text="refused">
      <formula>NOT(ISERROR(SEARCH("refused",A3)))</formula>
    </cfRule>
  </conditionalFormatting>
  <conditionalFormatting sqref="F110:M110">
    <cfRule type="containsText" dxfId="2298" priority="76" operator="containsText" text="passed">
      <formula>NOT(ISERROR(SEARCH("passed",F110)))</formula>
    </cfRule>
    <cfRule type="containsText" dxfId="2297" priority="77" operator="containsText" text="failed">
      <formula>NOT(ISERROR(SEARCH("failed",F110)))</formula>
    </cfRule>
    <cfRule type="containsText" dxfId="2296" priority="78" operator="containsText" text="refused">
      <formula>NOT(ISERROR(SEARCH("refused",F110)))</formula>
    </cfRule>
  </conditionalFormatting>
  <conditionalFormatting sqref="F116:M116">
    <cfRule type="containsText" dxfId="2295" priority="73" operator="containsText" text="passed">
      <formula>NOT(ISERROR(SEARCH("passed",F116)))</formula>
    </cfRule>
    <cfRule type="containsText" dxfId="2294" priority="74" operator="containsText" text="failed">
      <formula>NOT(ISERROR(SEARCH("failed",F116)))</formula>
    </cfRule>
    <cfRule type="containsText" dxfId="2293" priority="75" operator="containsText" text="refused">
      <formula>NOT(ISERROR(SEARCH("refused",F116)))</formula>
    </cfRule>
  </conditionalFormatting>
  <conditionalFormatting sqref="F14:M15">
    <cfRule type="expression" dxfId="2292" priority="438971">
      <formula>IF(AND(NOT(F14=""),NOT(F14="-")),F14&gt;=1.1*F$5*BE$26,"-")</formula>
    </cfRule>
  </conditionalFormatting>
  <conditionalFormatting sqref="F19:M20">
    <cfRule type="expression" dxfId="2291" priority="438972">
      <formula>IF(AND(NOT(F19=""),NOT(F19="-")),F19&gt;=1.1*F$5*BE$27,"-")</formula>
    </cfRule>
  </conditionalFormatting>
  <conditionalFormatting sqref="F24:M25">
    <cfRule type="expression" dxfId="2290" priority="438973">
      <formula>IF(AND(NOT(F24=""),NOT(F24="-")),F24&gt;=1.1*F$5*BE$28,"-")</formula>
    </cfRule>
  </conditionalFormatting>
  <conditionalFormatting sqref="F29:M30">
    <cfRule type="expression" dxfId="2289" priority="438974">
      <formula>IF(AND(NOT(F29=""),NOT(F29="-")),F29&gt;=1.1*F$5*BE$29,"-")</formula>
    </cfRule>
  </conditionalFormatting>
  <conditionalFormatting sqref="F68:M69">
    <cfRule type="expression" dxfId="2288" priority="438975">
      <formula>IF(AND(NOT(F68=""),NOT(F68="-")),F68&gt;=1.1*F$5*BE$86,"-")</formula>
    </cfRule>
  </conditionalFormatting>
  <conditionalFormatting sqref="F78:M79">
    <cfRule type="expression" dxfId="2287" priority="438976">
      <formula>IF(AND(NOT(F78=""),NOT(F78="-")),F78&gt;=1.1*F$5*BE$88,"-")</formula>
    </cfRule>
  </conditionalFormatting>
  <conditionalFormatting sqref="F83:M84">
    <cfRule type="expression" dxfId="2286" priority="438977">
      <formula>IF(AND(NOT(F83=""),NOT(F83="-")),F83&gt;=1.1*F$5*BE$89,"-")</formula>
    </cfRule>
  </conditionalFormatting>
  <conditionalFormatting sqref="F73:M74">
    <cfRule type="expression" dxfId="2285" priority="438978">
      <formula>IF(AND(NOT(F73=""),NOT(F73="-")),F73&gt;=1.1*F$5*BE$87,"-")</formula>
    </cfRule>
  </conditionalFormatting>
  <conditionalFormatting sqref="F88:M89">
    <cfRule type="expression" dxfId="2284" priority="438979">
      <formula>IF(AND(NOT(F88=""),NOT(F88="-")),F88&gt;=1.1*F$5*BE$90,"-")</formula>
    </cfRule>
  </conditionalFormatting>
  <conditionalFormatting sqref="F93:M94">
    <cfRule type="expression" dxfId="2283" priority="438980">
      <formula>IF(AND(NOT(F93=""),NOT(F93="-")),F93&gt;=1.1*F$5*BE$91,"-")</formula>
    </cfRule>
  </conditionalFormatting>
  <conditionalFormatting sqref="F187:M188">
    <cfRule type="expression" dxfId="2282" priority="438981">
      <formula>IF(AND(NOT(F187=""),NOT(F187="-")),F187&gt;=1.1*F$5*BE$204,"-")</formula>
    </cfRule>
  </conditionalFormatting>
  <conditionalFormatting sqref="F214:M215">
    <cfRule type="expression" dxfId="2281" priority="438982">
      <formula>IF(AND(NOT(F214=""),NOT(F214="-")),F214&gt;=1.1*F$5*BE$231,"-")</formula>
    </cfRule>
  </conditionalFormatting>
  <conditionalFormatting sqref="F219:M220">
    <cfRule type="expression" dxfId="2280" priority="438983">
      <formula>IF(AND(NOT(F219=""),NOT(F219="-")),F219&gt;=1.1*F$5*BE$232,"-")</formula>
    </cfRule>
  </conditionalFormatting>
  <conditionalFormatting sqref="F106:M107">
    <cfRule type="expression" dxfId="2279" priority="438990">
      <formula>IF(AND(NOT(F106=""),NOT(F106="-")),F106&gt;=1.1*F$5*BE$122,"-")</formula>
    </cfRule>
  </conditionalFormatting>
  <conditionalFormatting sqref="F112:M113">
    <cfRule type="expression" dxfId="2278" priority="438991">
      <formula>IF(AND(NOT(F112=""),NOT(F112="-")),F112&gt;=1.1*F$5*BE$123,"-")</formula>
    </cfRule>
  </conditionalFormatting>
  <conditionalFormatting sqref="N14:N15">
    <cfRule type="expression" dxfId="2277" priority="439135">
      <formula>IF(AND(NOT(N14=""),NOT(N14="-")),N14&gt;=1.1*N$5*#REF!,"-")</formula>
    </cfRule>
  </conditionalFormatting>
  <conditionalFormatting sqref="N19:N20">
    <cfRule type="expression" dxfId="2276" priority="439137">
      <formula>IF(AND(NOT(N19=""),NOT(N19="-")),N19&gt;=1.1*N$5*#REF!,"-")</formula>
    </cfRule>
  </conditionalFormatting>
  <conditionalFormatting sqref="N24:N25">
    <cfRule type="expression" dxfId="2275" priority="439139">
      <formula>IF(AND(NOT(N24=""),NOT(N24="-")),N24&gt;=1.1*N$5*#REF!,"-")</formula>
    </cfRule>
  </conditionalFormatting>
  <conditionalFormatting sqref="N29:N30">
    <cfRule type="expression" dxfId="2274" priority="439141">
      <formula>IF(AND(NOT(N29=""),NOT(N29="-")),N29&gt;=1.1*N$5*#REF!,"-")</formula>
    </cfRule>
  </conditionalFormatting>
  <conditionalFormatting sqref="N68:N69">
    <cfRule type="expression" dxfId="2273" priority="439143">
      <formula>IF(AND(NOT(N68=""),NOT(N68="-")),N68&gt;=1.1*N$5*#REF!,"-")</formula>
    </cfRule>
  </conditionalFormatting>
  <conditionalFormatting sqref="N160:N161">
    <cfRule type="expression" dxfId="2272" priority="439155">
      <formula>IF(AND(NOT(N160=""),NOT(N160="-")),N160&gt;=1.1*N$5*#REF!,"-")</formula>
    </cfRule>
  </conditionalFormatting>
  <conditionalFormatting sqref="N187:N188">
    <cfRule type="expression" dxfId="2271" priority="439157">
      <formula>IF(AND(NOT(N187=""),NOT(N187="-")),N187&gt;=1.1*N$5*#REF!,"-")</formula>
    </cfRule>
  </conditionalFormatting>
  <conditionalFormatting sqref="N192:N193">
    <cfRule type="expression" dxfId="2270" priority="439159">
      <formula>IF(AND(NOT(N192=""),NOT(N192="-")),N192&gt;=1.1*N$5*#REF!,"-")</formula>
    </cfRule>
  </conditionalFormatting>
  <conditionalFormatting sqref="N214:N215">
    <cfRule type="expression" dxfId="2269" priority="439171">
      <formula>IF(AND(NOT(N214=""),NOT(N214="-")),N214&gt;=1.1*N$5*#REF!,"-")</formula>
    </cfRule>
  </conditionalFormatting>
  <conditionalFormatting sqref="N112:N113">
    <cfRule type="expression" dxfId="2268" priority="439175">
      <formula>IF(AND(NOT(N112=""),NOT(N112="-")),N112&gt;=1.1*N$5*#REF!,"-")</formula>
    </cfRule>
  </conditionalFormatting>
  <conditionalFormatting sqref="N41:N42">
    <cfRule type="expression" dxfId="2267" priority="439176">
      <formula>IF(AND(NOT(N41=""),NOT(N41="-")),N41&gt;=1.1*N$5*BT$53,"-")</formula>
    </cfRule>
  </conditionalFormatting>
  <conditionalFormatting sqref="F41:K42">
    <cfRule type="expression" dxfId="2266" priority="439178">
      <formula>IF(AND(NOT(F41=""),NOT(F41="-")),F41&gt;=1.1*F$5*BM$53,"-")</formula>
    </cfRule>
  </conditionalFormatting>
  <conditionalFormatting sqref="L41:L42">
    <cfRule type="expression" dxfId="2265" priority="439181">
      <formula>IF(AND(NOT(L41=""),NOT(L41="-")),L41&gt;=1.1*L$5*BT$53,"-")</formula>
    </cfRule>
  </conditionalFormatting>
  <conditionalFormatting sqref="F133:F134">
    <cfRule type="expression" dxfId="2264" priority="439184">
      <formula>IF(AND(NOT(F133=""),NOT(F133="-")),F133&gt;=1.1*F$7*#REF!,"-")</formula>
    </cfRule>
  </conditionalFormatting>
  <conditionalFormatting sqref="M41:M42">
    <cfRule type="expression" dxfId="2263" priority="439187">
      <formula>IF(AND(NOT(M41=""),NOT(M41="-")),M41&gt;=1.1*M$5*#REF!,"-")</formula>
    </cfRule>
  </conditionalFormatting>
  <conditionalFormatting sqref="N133:N134">
    <cfRule type="expression" dxfId="2262" priority="439188">
      <formula>IF(AND(NOT(N133=""),NOT(N133="-")),N133&gt;=1.1*N$7*BZ$150,"-")</formula>
    </cfRule>
  </conditionalFormatting>
  <conditionalFormatting sqref="G133:M134">
    <cfRule type="expression" dxfId="2261" priority="439189">
      <formula>IF(AND(NOT(G133=""),NOT(G133="-")),G133&gt;=1.1*G$7*BU$150,"-")</formula>
    </cfRule>
  </conditionalFormatting>
  <conditionalFormatting sqref="N73:N74 N78:N79 N83:N84 N88:N89 N93:N94">
    <cfRule type="expression" dxfId="2260" priority="72">
      <formula>IF(AND(NOT(N73=""),NOT(N73="-")),N73&gt;=1.1*N$5*#REF!,"-")</formula>
    </cfRule>
  </conditionalFormatting>
  <conditionalFormatting sqref="N106:N107">
    <cfRule type="expression" dxfId="2259" priority="71">
      <formula>IF(AND(NOT(N106=""),NOT(N106="-")),N106&gt;=1.1*N$5*#REF!,"-")</formula>
    </cfRule>
  </conditionalFormatting>
  <conditionalFormatting sqref="N219:N220 N224:N225 N229:N230 N234:N235 N239:N240">
    <cfRule type="expression" dxfId="2258" priority="70">
      <formula>IF(AND(NOT(N219=""),NOT(N219="-")),N219&gt;=1.1*N$5*#REF!,"-")</formula>
    </cfRule>
  </conditionalFormatting>
  <conditionalFormatting sqref="F160:M161">
    <cfRule type="expression" dxfId="2257" priority="440599">
      <formula>IF(AND(NOT(F160=""),NOT(F160="-")),F160&gt;=1.1*F$5*BE$177,"-")</formula>
    </cfRule>
  </conditionalFormatting>
  <conditionalFormatting sqref="F192:M193">
    <cfRule type="expression" dxfId="2256" priority="440601">
      <formula>IF(AND(NOT(F192=""),NOT(F192="-")),F192&gt;=1.1*F$5*BE$205,"-")</formula>
    </cfRule>
  </conditionalFormatting>
  <conditionalFormatting sqref="F224:M225">
    <cfRule type="expression" dxfId="2255" priority="440603">
      <formula>IF(AND(NOT(F224=""),NOT(F224="-")),F224&gt;=1.1*F$5*BE$233,"-")</formula>
    </cfRule>
  </conditionalFormatting>
  <conditionalFormatting sqref="F229:M230">
    <cfRule type="expression" dxfId="2254" priority="440604">
      <formula>IF(AND(NOT(F229=""),NOT(F229="-")),F229&gt;=1.1*F$5*BE$234,"-")</formula>
    </cfRule>
  </conditionalFormatting>
  <conditionalFormatting sqref="F234:M235">
    <cfRule type="expression" dxfId="2253" priority="440605">
      <formula>IF(AND(NOT(F234=""),NOT(F234="-")),F234&gt;=1.1*F$5*BE$235,"-")</formula>
    </cfRule>
  </conditionalFormatting>
  <conditionalFormatting sqref="F239:M240">
    <cfRule type="expression" dxfId="2252" priority="440606">
      <formula>IF(AND(NOT(F239=""),NOT(F239="-")),F239&gt;=1.1*F$5*BE$236,"-")</formula>
    </cfRule>
  </conditionalFormatting>
  <conditionalFormatting sqref="BC18">
    <cfRule type="containsText" dxfId="2251" priority="67" operator="containsText" text="passed">
      <formula>NOT(ISERROR(SEARCH("passed",BC18)))</formula>
    </cfRule>
    <cfRule type="containsText" dxfId="2250" priority="68" operator="containsText" text="failed">
      <formula>NOT(ISERROR(SEARCH("failed",BC18)))</formula>
    </cfRule>
    <cfRule type="containsText" dxfId="2249" priority="69" operator="containsText" text="refused">
      <formula>NOT(ISERROR(SEARCH("refused",BC18)))</formula>
    </cfRule>
  </conditionalFormatting>
  <conditionalFormatting sqref="BC23">
    <cfRule type="containsText" dxfId="2248" priority="64" operator="containsText" text="passed">
      <formula>NOT(ISERROR(SEARCH("passed",BC23)))</formula>
    </cfRule>
    <cfRule type="containsText" dxfId="2247" priority="65" operator="containsText" text="failed">
      <formula>NOT(ISERROR(SEARCH("failed",BC23)))</formula>
    </cfRule>
    <cfRule type="containsText" dxfId="2246" priority="66" operator="containsText" text="refused">
      <formula>NOT(ISERROR(SEARCH("refused",BC23)))</formula>
    </cfRule>
  </conditionalFormatting>
  <conditionalFormatting sqref="BC28">
    <cfRule type="containsText" dxfId="2245" priority="61" operator="containsText" text="passed">
      <formula>NOT(ISERROR(SEARCH("passed",BC28)))</formula>
    </cfRule>
    <cfRule type="containsText" dxfId="2244" priority="62" operator="containsText" text="failed">
      <formula>NOT(ISERROR(SEARCH("failed",BC28)))</formula>
    </cfRule>
    <cfRule type="containsText" dxfId="2243" priority="63" operator="containsText" text="refused">
      <formula>NOT(ISERROR(SEARCH("refused",BC28)))</formula>
    </cfRule>
  </conditionalFormatting>
  <conditionalFormatting sqref="BC33">
    <cfRule type="containsText" dxfId="2242" priority="58" operator="containsText" text="passed">
      <formula>NOT(ISERROR(SEARCH("passed",BC33)))</formula>
    </cfRule>
    <cfRule type="containsText" dxfId="2241" priority="59" operator="containsText" text="failed">
      <formula>NOT(ISERROR(SEARCH("failed",BC33)))</formula>
    </cfRule>
    <cfRule type="containsText" dxfId="2240" priority="60" operator="containsText" text="refused">
      <formula>NOT(ISERROR(SEARCH("refused",BC33)))</formula>
    </cfRule>
  </conditionalFormatting>
  <conditionalFormatting sqref="BC45">
    <cfRule type="containsText" dxfId="2239" priority="55" operator="containsText" text="passed">
      <formula>NOT(ISERROR(SEARCH("passed",BC45)))</formula>
    </cfRule>
    <cfRule type="containsText" dxfId="2238" priority="56" operator="containsText" text="failed">
      <formula>NOT(ISERROR(SEARCH("failed",BC45)))</formula>
    </cfRule>
    <cfRule type="containsText" dxfId="2237" priority="57" operator="containsText" text="refused">
      <formula>NOT(ISERROR(SEARCH("refused",BC45)))</formula>
    </cfRule>
  </conditionalFormatting>
  <conditionalFormatting sqref="BC72">
    <cfRule type="containsText" dxfId="2236" priority="52" operator="containsText" text="passed">
      <formula>NOT(ISERROR(SEARCH("passed",BC72)))</formula>
    </cfRule>
    <cfRule type="containsText" dxfId="2235" priority="53" operator="containsText" text="failed">
      <formula>NOT(ISERROR(SEARCH("failed",BC72)))</formula>
    </cfRule>
    <cfRule type="containsText" dxfId="2234" priority="54" operator="containsText" text="refused">
      <formula>NOT(ISERROR(SEARCH("refused",BC72)))</formula>
    </cfRule>
  </conditionalFormatting>
  <conditionalFormatting sqref="BC77">
    <cfRule type="containsText" dxfId="2233" priority="49" operator="containsText" text="passed">
      <formula>NOT(ISERROR(SEARCH("passed",BC77)))</formula>
    </cfRule>
    <cfRule type="containsText" dxfId="2232" priority="50" operator="containsText" text="failed">
      <formula>NOT(ISERROR(SEARCH("failed",BC77)))</formula>
    </cfRule>
    <cfRule type="containsText" dxfId="2231" priority="51" operator="containsText" text="refused">
      <formula>NOT(ISERROR(SEARCH("refused",BC77)))</formula>
    </cfRule>
  </conditionalFormatting>
  <conditionalFormatting sqref="BC82">
    <cfRule type="containsText" dxfId="2230" priority="46" operator="containsText" text="passed">
      <formula>NOT(ISERROR(SEARCH("passed",BC82)))</formula>
    </cfRule>
    <cfRule type="containsText" dxfId="2229" priority="47" operator="containsText" text="failed">
      <formula>NOT(ISERROR(SEARCH("failed",BC82)))</formula>
    </cfRule>
    <cfRule type="containsText" dxfId="2228" priority="48" operator="containsText" text="refused">
      <formula>NOT(ISERROR(SEARCH("refused",BC82)))</formula>
    </cfRule>
  </conditionalFormatting>
  <conditionalFormatting sqref="BC87">
    <cfRule type="containsText" dxfId="2227" priority="43" operator="containsText" text="passed">
      <formula>NOT(ISERROR(SEARCH("passed",BC87)))</formula>
    </cfRule>
    <cfRule type="containsText" dxfId="2226" priority="44" operator="containsText" text="failed">
      <formula>NOT(ISERROR(SEARCH("failed",BC87)))</formula>
    </cfRule>
    <cfRule type="containsText" dxfId="2225" priority="45" operator="containsText" text="refused">
      <formula>NOT(ISERROR(SEARCH("refused",BC87)))</formula>
    </cfRule>
  </conditionalFormatting>
  <conditionalFormatting sqref="BC92">
    <cfRule type="containsText" dxfId="2224" priority="40" operator="containsText" text="passed">
      <formula>NOT(ISERROR(SEARCH("passed",BC92)))</formula>
    </cfRule>
    <cfRule type="containsText" dxfId="2223" priority="41" operator="containsText" text="failed">
      <formula>NOT(ISERROR(SEARCH("failed",BC92)))</formula>
    </cfRule>
    <cfRule type="containsText" dxfId="2222" priority="42" operator="containsText" text="refused">
      <formula>NOT(ISERROR(SEARCH("refused",BC92)))</formula>
    </cfRule>
  </conditionalFormatting>
  <conditionalFormatting sqref="BC97">
    <cfRule type="containsText" dxfId="2221" priority="37" operator="containsText" text="passed">
      <formula>NOT(ISERROR(SEARCH("passed",BC97)))</formula>
    </cfRule>
    <cfRule type="containsText" dxfId="2220" priority="38" operator="containsText" text="failed">
      <formula>NOT(ISERROR(SEARCH("failed",BC97)))</formula>
    </cfRule>
    <cfRule type="containsText" dxfId="2219" priority="39" operator="containsText" text="refused">
      <formula>NOT(ISERROR(SEARCH("refused",BC97)))</formula>
    </cfRule>
  </conditionalFormatting>
  <conditionalFormatting sqref="BC110">
    <cfRule type="containsText" dxfId="2218" priority="34" operator="containsText" text="passed">
      <formula>NOT(ISERROR(SEARCH("passed",BC110)))</formula>
    </cfRule>
    <cfRule type="containsText" dxfId="2217" priority="35" operator="containsText" text="failed">
      <formula>NOT(ISERROR(SEARCH("failed",BC110)))</formula>
    </cfRule>
    <cfRule type="containsText" dxfId="2216" priority="36" operator="containsText" text="refused">
      <formula>NOT(ISERROR(SEARCH("refused",BC110)))</formula>
    </cfRule>
  </conditionalFormatting>
  <conditionalFormatting sqref="BC116">
    <cfRule type="containsText" dxfId="2215" priority="31" operator="containsText" text="passed">
      <formula>NOT(ISERROR(SEARCH("passed",BC116)))</formula>
    </cfRule>
    <cfRule type="containsText" dxfId="2214" priority="32" operator="containsText" text="failed">
      <formula>NOT(ISERROR(SEARCH("failed",BC116)))</formula>
    </cfRule>
    <cfRule type="containsText" dxfId="2213" priority="33" operator="containsText" text="refused">
      <formula>NOT(ISERROR(SEARCH("refused",BC116)))</formula>
    </cfRule>
  </conditionalFormatting>
  <conditionalFormatting sqref="BC137">
    <cfRule type="containsText" dxfId="2212" priority="28" operator="containsText" text="passed">
      <formula>NOT(ISERROR(SEARCH("passed",BC137)))</formula>
    </cfRule>
    <cfRule type="containsText" dxfId="2211" priority="29" operator="containsText" text="failed">
      <formula>NOT(ISERROR(SEARCH("failed",BC137)))</formula>
    </cfRule>
    <cfRule type="containsText" dxfId="2210" priority="30" operator="containsText" text="refused">
      <formula>NOT(ISERROR(SEARCH("refused",BC137)))</formula>
    </cfRule>
  </conditionalFormatting>
  <conditionalFormatting sqref="BC164">
    <cfRule type="containsText" dxfId="2209" priority="25" operator="containsText" text="passed">
      <formula>NOT(ISERROR(SEARCH("passed",BC164)))</formula>
    </cfRule>
    <cfRule type="containsText" dxfId="2208" priority="26" operator="containsText" text="failed">
      <formula>NOT(ISERROR(SEARCH("failed",BC164)))</formula>
    </cfRule>
    <cfRule type="containsText" dxfId="2207" priority="27" operator="containsText" text="refused">
      <formula>NOT(ISERROR(SEARCH("refused",BC164)))</formula>
    </cfRule>
  </conditionalFormatting>
  <conditionalFormatting sqref="BC191">
    <cfRule type="containsText" dxfId="2206" priority="22" operator="containsText" text="passed">
      <formula>NOT(ISERROR(SEARCH("passed",BC191)))</formula>
    </cfRule>
    <cfRule type="containsText" dxfId="2205" priority="23" operator="containsText" text="failed">
      <formula>NOT(ISERROR(SEARCH("failed",BC191)))</formula>
    </cfRule>
    <cfRule type="containsText" dxfId="2204" priority="24" operator="containsText" text="refused">
      <formula>NOT(ISERROR(SEARCH("refused",BC191)))</formula>
    </cfRule>
  </conditionalFormatting>
  <conditionalFormatting sqref="BC196">
    <cfRule type="containsText" dxfId="2203" priority="19" operator="containsText" text="passed">
      <formula>NOT(ISERROR(SEARCH("passed",BC196)))</formula>
    </cfRule>
    <cfRule type="containsText" dxfId="2202" priority="20" operator="containsText" text="failed">
      <formula>NOT(ISERROR(SEARCH("failed",BC196)))</formula>
    </cfRule>
    <cfRule type="containsText" dxfId="2201" priority="21" operator="containsText" text="refused">
      <formula>NOT(ISERROR(SEARCH("refused",BC196)))</formula>
    </cfRule>
  </conditionalFormatting>
  <conditionalFormatting sqref="BC218">
    <cfRule type="containsText" dxfId="2200" priority="16" operator="containsText" text="passed">
      <formula>NOT(ISERROR(SEARCH("passed",BC218)))</formula>
    </cfRule>
    <cfRule type="containsText" dxfId="2199" priority="17" operator="containsText" text="failed">
      <formula>NOT(ISERROR(SEARCH("failed",BC218)))</formula>
    </cfRule>
    <cfRule type="containsText" dxfId="2198" priority="18" operator="containsText" text="refused">
      <formula>NOT(ISERROR(SEARCH("refused",BC218)))</formula>
    </cfRule>
  </conditionalFormatting>
  <conditionalFormatting sqref="BC223">
    <cfRule type="containsText" dxfId="2197" priority="13" operator="containsText" text="passed">
      <formula>NOT(ISERROR(SEARCH("passed",BC223)))</formula>
    </cfRule>
    <cfRule type="containsText" dxfId="2196" priority="14" operator="containsText" text="failed">
      <formula>NOT(ISERROR(SEARCH("failed",BC223)))</formula>
    </cfRule>
    <cfRule type="containsText" dxfId="2195" priority="15" operator="containsText" text="refused">
      <formula>NOT(ISERROR(SEARCH("refused",BC223)))</formula>
    </cfRule>
  </conditionalFormatting>
  <conditionalFormatting sqref="BC228">
    <cfRule type="containsText" dxfId="2194" priority="10" operator="containsText" text="passed">
      <formula>NOT(ISERROR(SEARCH("passed",BC228)))</formula>
    </cfRule>
    <cfRule type="containsText" dxfId="2193" priority="11" operator="containsText" text="failed">
      <formula>NOT(ISERROR(SEARCH("failed",BC228)))</formula>
    </cfRule>
    <cfRule type="containsText" dxfId="2192" priority="12" operator="containsText" text="refused">
      <formula>NOT(ISERROR(SEARCH("refused",BC228)))</formula>
    </cfRule>
  </conditionalFormatting>
  <conditionalFormatting sqref="BC233">
    <cfRule type="containsText" dxfId="2191" priority="7" operator="containsText" text="passed">
      <formula>NOT(ISERROR(SEARCH("passed",BC233)))</formula>
    </cfRule>
    <cfRule type="containsText" dxfId="2190" priority="8" operator="containsText" text="failed">
      <formula>NOT(ISERROR(SEARCH("failed",BC233)))</formula>
    </cfRule>
    <cfRule type="containsText" dxfId="2189" priority="9" operator="containsText" text="refused">
      <formula>NOT(ISERROR(SEARCH("refused",BC233)))</formula>
    </cfRule>
  </conditionalFormatting>
  <conditionalFormatting sqref="BC238">
    <cfRule type="containsText" dxfId="2188" priority="4" operator="containsText" text="passed">
      <formula>NOT(ISERROR(SEARCH("passed",BC238)))</formula>
    </cfRule>
    <cfRule type="containsText" dxfId="2187" priority="5" operator="containsText" text="failed">
      <formula>NOT(ISERROR(SEARCH("failed",BC238)))</formula>
    </cfRule>
    <cfRule type="containsText" dxfId="2186" priority="6" operator="containsText" text="refused">
      <formula>NOT(ISERROR(SEARCH("refused",BC238)))</formula>
    </cfRule>
  </conditionalFormatting>
  <conditionalFormatting sqref="BC243">
    <cfRule type="containsText" dxfId="2185" priority="1" operator="containsText" text="passed">
      <formula>NOT(ISERROR(SEARCH("passed",BC243)))</formula>
    </cfRule>
    <cfRule type="containsText" dxfId="2184" priority="2" operator="containsText" text="failed">
      <formula>NOT(ISERROR(SEARCH("failed",BC243)))</formula>
    </cfRule>
    <cfRule type="containsText" dxfId="2183" priority="3" operator="containsText" text="refused">
      <formula>NOT(ISERROR(SEARCH("refused",BC243)))</formula>
    </cfRule>
  </conditionalFormatting>
  <pageMargins left="0.7" right="0.7" top="0.75" bottom="0.75" header="0.3" footer="0.3"/>
  <pageSetup paperSize="9" scale="45" fitToHeight="0" orientation="landscape" r:id="rId1"/>
  <rowBreaks count="5" manualBreakCount="5">
    <brk id="60" max="19" man="1"/>
    <brk id="99" max="19" man="1"/>
    <brk id="153" max="19" man="1"/>
    <brk id="180" max="19" man="1"/>
    <brk id="207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Gasoline'!$AR$14:$AR$22</xm:f>
          </x14:formula1>
          <xm:sqref>E4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7">
    <pageSetUpPr fitToPage="1"/>
  </sheetPr>
  <dimension ref="A1:CB243"/>
  <sheetViews>
    <sheetView showGridLines="0" topLeftCell="A4" zoomScale="85" zoomScaleNormal="85" workbookViewId="0">
      <selection activeCell="C16" sqref="C16:C18"/>
    </sheetView>
  </sheetViews>
  <sheetFormatPr baseColWidth="10" defaultColWidth="9.140625" defaultRowHeight="15" outlineLevelRow="1" x14ac:dyDescent="0.25"/>
  <cols>
    <col min="1" max="1" width="2.85546875" style="41" customWidth="1"/>
    <col min="2" max="2" width="14.85546875" style="41" customWidth="1"/>
    <col min="3" max="4" width="10.7109375" style="41" customWidth="1"/>
    <col min="5" max="5" width="25.7109375" style="41" customWidth="1"/>
    <col min="6" max="10" width="9.7109375" style="41" customWidth="1"/>
    <col min="11" max="11" width="9.7109375" style="170" customWidth="1"/>
    <col min="12" max="13" width="11.28515625" style="170" customWidth="1"/>
    <col min="14" max="14" width="9.7109375" style="41" customWidth="1"/>
    <col min="15" max="16" width="17.7109375" style="41" customWidth="1"/>
    <col min="17" max="17" width="19.28515625" style="41" bestFit="1" customWidth="1"/>
    <col min="18" max="22" width="17.7109375" style="41" customWidth="1"/>
    <col min="23" max="24" width="7.7109375" style="41" customWidth="1"/>
    <col min="25" max="28" width="20.7109375" style="41" customWidth="1"/>
    <col min="29" max="34" width="7.7109375" style="41" customWidth="1"/>
    <col min="35" max="54" width="10.7109375" style="41" customWidth="1"/>
    <col min="55" max="55" width="13.140625" style="155" bestFit="1" customWidth="1"/>
    <col min="56" max="56" width="24.85546875" style="150" bestFit="1" customWidth="1"/>
    <col min="57" max="60" width="7.85546875" style="150" customWidth="1"/>
    <col min="61" max="61" width="8.7109375" style="150" hidden="1" customWidth="1"/>
    <col min="62" max="64" width="7.85546875" style="150" hidden="1" customWidth="1"/>
    <col min="65" max="65" width="6.5703125" style="150" hidden="1" customWidth="1"/>
    <col min="66" max="66" width="4.5703125" style="150" hidden="1" customWidth="1"/>
    <col min="67" max="67" width="4.140625" style="150" hidden="1" customWidth="1"/>
    <col min="68" max="68" width="4.85546875" style="150" hidden="1" customWidth="1"/>
    <col min="69" max="70" width="4.7109375" style="150" hidden="1" customWidth="1"/>
    <col min="71" max="71" width="4.85546875" style="150" hidden="1" customWidth="1"/>
    <col min="72" max="72" width="6" style="150" hidden="1" customWidth="1"/>
    <col min="73" max="73" width="4.5703125" style="155" hidden="1" customWidth="1"/>
    <col min="74" max="74" width="3.5703125" style="155" hidden="1" customWidth="1"/>
    <col min="75" max="75" width="4.85546875" style="155" hidden="1" customWidth="1"/>
    <col min="76" max="76" width="3.85546875" style="155" hidden="1" customWidth="1"/>
    <col min="77" max="79" width="3.5703125" style="155" hidden="1" customWidth="1"/>
    <col min="80" max="80" width="4.5703125" style="155" hidden="1" customWidth="1"/>
    <col min="81" max="82" width="9.140625" style="41" customWidth="1"/>
    <col min="83" max="16384" width="9.140625" style="41"/>
  </cols>
  <sheetData>
    <row r="1" spans="1:80" ht="24.95" customHeight="1" x14ac:dyDescent="0.25">
      <c r="A1" s="816" t="s">
        <v>126</v>
      </c>
      <c r="B1" s="817"/>
      <c r="C1" s="817"/>
      <c r="D1" s="817"/>
      <c r="E1" s="817"/>
      <c r="F1" s="817"/>
      <c r="G1" s="817"/>
      <c r="H1" s="817"/>
      <c r="I1" s="817"/>
      <c r="J1" s="818"/>
      <c r="K1" s="846" t="str">
        <f>'Variant 2 - FTP'!K1:O2</f>
        <v>[e.g. Ferrari F150 MEDC17] [Chassis name] [Engine description]</v>
      </c>
      <c r="L1" s="847"/>
      <c r="M1" s="847"/>
      <c r="N1" s="847"/>
      <c r="O1" s="847"/>
      <c r="P1" s="847"/>
      <c r="Q1" s="848"/>
      <c r="R1" s="362"/>
      <c r="S1" s="362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BC1" s="158" t="s">
        <v>206</v>
      </c>
    </row>
    <row r="2" spans="1:80" ht="24.95" customHeight="1" thickBot="1" x14ac:dyDescent="0.3">
      <c r="A2" s="819"/>
      <c r="B2" s="820"/>
      <c r="C2" s="820"/>
      <c r="D2" s="820"/>
      <c r="E2" s="820"/>
      <c r="F2" s="820"/>
      <c r="G2" s="820"/>
      <c r="H2" s="820"/>
      <c r="I2" s="820"/>
      <c r="J2" s="821"/>
      <c r="K2" s="849"/>
      <c r="L2" s="850"/>
      <c r="M2" s="850"/>
      <c r="N2" s="850"/>
      <c r="O2" s="850"/>
      <c r="P2" s="850"/>
      <c r="Q2" s="851"/>
      <c r="R2" s="362"/>
      <c r="S2" s="362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80" ht="24.95" customHeight="1" thickBot="1" x14ac:dyDescent="0.3">
      <c r="A3" s="362"/>
      <c r="B3" s="362"/>
      <c r="C3" s="362"/>
      <c r="D3" s="362"/>
      <c r="E3" s="362"/>
      <c r="F3" s="362"/>
      <c r="G3" s="362"/>
      <c r="H3" s="362"/>
      <c r="I3" s="362"/>
      <c r="J3" s="362"/>
      <c r="K3" s="160"/>
      <c r="L3" s="160"/>
      <c r="M3" s="160"/>
      <c r="N3" s="362"/>
      <c r="O3" s="362"/>
      <c r="P3" s="362"/>
      <c r="Q3" s="362"/>
      <c r="R3" s="362"/>
      <c r="S3" s="362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</row>
    <row r="4" spans="1:80" ht="39.950000000000003" customHeight="1" thickBot="1" x14ac:dyDescent="0.3">
      <c r="A4" s="362"/>
      <c r="B4" s="790" t="s">
        <v>71</v>
      </c>
      <c r="C4" s="791"/>
      <c r="D4" s="792"/>
      <c r="E4" s="395" t="str">
        <f>'Variant 2 - FTP'!E4</f>
        <v>US EPA Tier 2 Bin 11</v>
      </c>
      <c r="F4" s="391" t="s">
        <v>72</v>
      </c>
      <c r="G4" s="391" t="s">
        <v>73</v>
      </c>
      <c r="H4" s="391" t="s">
        <v>74</v>
      </c>
      <c r="I4" s="391" t="s">
        <v>75</v>
      </c>
      <c r="J4" s="391" t="s">
        <v>76</v>
      </c>
      <c r="K4" s="392" t="s">
        <v>170</v>
      </c>
      <c r="L4" s="393" t="s">
        <v>284</v>
      </c>
      <c r="M4" s="394" t="s">
        <v>285</v>
      </c>
      <c r="N4" s="391" t="s">
        <v>77</v>
      </c>
      <c r="O4" s="783"/>
      <c r="P4" s="783"/>
      <c r="Q4" s="362"/>
      <c r="R4" s="362"/>
      <c r="S4" s="362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</row>
    <row r="5" spans="1:80" ht="24.95" customHeight="1" thickBot="1" x14ac:dyDescent="0.3">
      <c r="A5" s="362"/>
      <c r="B5" s="793" t="s">
        <v>143</v>
      </c>
      <c r="C5" s="794"/>
      <c r="D5" s="794"/>
      <c r="E5" s="795"/>
      <c r="F5" s="381">
        <f>'Variant 2 - FTP'!F5</f>
        <v>0.19</v>
      </c>
      <c r="G5" s="381">
        <f>'Variant 2 - FTP'!G5</f>
        <v>0.20499999999999999</v>
      </c>
      <c r="H5" s="381">
        <f>'Variant 2 - FTP'!H5</f>
        <v>3.4</v>
      </c>
      <c r="I5" s="381">
        <f>'Variant 2 - FTP'!I5</f>
        <v>0.6</v>
      </c>
      <c r="J5" s="381" t="str">
        <f>'Variant 2 - FTP'!J5</f>
        <v>-</v>
      </c>
      <c r="K5" s="381" t="str">
        <f>'Variant 2 - FTP'!K5</f>
        <v>-</v>
      </c>
      <c r="L5" s="381" t="str">
        <f>'Variant 2 - FTP'!L5</f>
        <v>-</v>
      </c>
      <c r="M5" s="381" t="str">
        <f>'Variant 2 - FTP'!M5</f>
        <v>-</v>
      </c>
      <c r="N5" s="381" t="str">
        <f>'Variant 2 - FTP'!N5</f>
        <v>-</v>
      </c>
      <c r="O5" s="760"/>
      <c r="P5" s="760"/>
      <c r="Q5" s="362"/>
      <c r="R5" s="362"/>
      <c r="S5" s="362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80" ht="24.95" customHeight="1" thickBot="1" x14ac:dyDescent="0.3">
      <c r="A6" s="362"/>
      <c r="B6" s="793" t="s">
        <v>205</v>
      </c>
      <c r="C6" s="794"/>
      <c r="D6" s="794"/>
      <c r="E6" s="795"/>
      <c r="F6" s="381" t="str">
        <f>'Variant 2 - FTP'!F6</f>
        <v>-</v>
      </c>
      <c r="G6" s="381" t="str">
        <f>'Variant 2 - FTP'!G6</f>
        <v>-</v>
      </c>
      <c r="H6" s="381" t="str">
        <f>'Variant 2 - FTP'!H6</f>
        <v>-</v>
      </c>
      <c r="I6" s="381" t="str">
        <f>'Variant 2 - FTP'!I6</f>
        <v>-</v>
      </c>
      <c r="J6" s="381" t="str">
        <f>'Variant 2 - FTP'!J6</f>
        <v>-</v>
      </c>
      <c r="K6" s="381" t="str">
        <f>'Variant 2 - FTP'!K6</f>
        <v>-</v>
      </c>
      <c r="L6" s="381" t="str">
        <f>'Variant 2 - FTP'!L6</f>
        <v>-</v>
      </c>
      <c r="M6" s="381" t="str">
        <f>'Variant 2 - FTP'!M6</f>
        <v>-</v>
      </c>
      <c r="N6" s="381" t="str">
        <f>'Variant 2 - FTP'!N6</f>
        <v>-</v>
      </c>
      <c r="O6" s="375"/>
      <c r="P6" s="375"/>
      <c r="Q6" s="362"/>
      <c r="R6" s="362"/>
      <c r="S6" s="362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80" ht="24.95" customHeight="1" thickBot="1" x14ac:dyDescent="0.3">
      <c r="A7" s="362"/>
      <c r="B7" s="790" t="s">
        <v>142</v>
      </c>
      <c r="C7" s="791"/>
      <c r="D7" s="791"/>
      <c r="E7" s="792"/>
      <c r="F7" s="388" t="str">
        <f>'Variant 2 - FTP'!F7</f>
        <v>-</v>
      </c>
      <c r="G7" s="388" t="str">
        <f>'Variant 2 - FTP'!G7</f>
        <v>-</v>
      </c>
      <c r="H7" s="388" t="str">
        <f>'Variant 2 - FTP'!H7</f>
        <v>-</v>
      </c>
      <c r="I7" s="388" t="str">
        <f>'Variant 2 - FTP'!I7</f>
        <v>-</v>
      </c>
      <c r="J7" s="388" t="str">
        <f>'Variant 2 - FTP'!J7</f>
        <v>-</v>
      </c>
      <c r="K7" s="388" t="str">
        <f>'Variant 2 - FTP'!K7</f>
        <v>-</v>
      </c>
      <c r="L7" s="388" t="str">
        <f>'Variant 2 - FTP'!L7</f>
        <v>-</v>
      </c>
      <c r="M7" s="388" t="str">
        <f>'Variant 2 - FTP'!M7</f>
        <v>-</v>
      </c>
      <c r="N7" s="388" t="str">
        <f>'Variant 2 - FTP'!N7</f>
        <v>-</v>
      </c>
      <c r="O7" s="375"/>
      <c r="P7" s="375"/>
      <c r="Q7" s="362"/>
      <c r="R7" s="362"/>
      <c r="S7" s="362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80" ht="24.95" customHeight="1" thickBot="1" x14ac:dyDescent="0.3">
      <c r="A8" s="362"/>
      <c r="B8" s="362"/>
      <c r="C8" s="362"/>
      <c r="D8" s="362"/>
      <c r="E8" s="362"/>
      <c r="F8" s="277"/>
      <c r="G8" s="277"/>
      <c r="H8" s="277"/>
      <c r="I8" s="277"/>
      <c r="J8" s="277"/>
      <c r="K8" s="278"/>
      <c r="L8" s="278"/>
      <c r="M8" s="278"/>
      <c r="N8" s="277"/>
      <c r="O8" s="362"/>
      <c r="P8" s="362"/>
      <c r="Q8" s="362"/>
      <c r="R8" s="362"/>
      <c r="S8" s="362"/>
      <c r="T8" s="40"/>
      <c r="U8" s="40"/>
      <c r="V8" s="40"/>
      <c r="W8" s="42"/>
      <c r="X8" s="42"/>
      <c r="Y8" s="40"/>
      <c r="Z8" s="40"/>
      <c r="AA8" s="40"/>
      <c r="AB8" s="40"/>
      <c r="AC8" s="40"/>
      <c r="AD8" s="40"/>
      <c r="AE8" s="40"/>
      <c r="AF8" s="40"/>
      <c r="AG8" s="40"/>
      <c r="AH8" s="40"/>
    </row>
    <row r="9" spans="1:80" ht="24.95" customHeight="1" thickBot="1" x14ac:dyDescent="0.3">
      <c r="A9" s="362"/>
      <c r="B9" s="185">
        <v>1</v>
      </c>
      <c r="C9" s="843" t="s">
        <v>163</v>
      </c>
      <c r="D9" s="844"/>
      <c r="E9" s="844"/>
      <c r="F9" s="844"/>
      <c r="G9" s="844"/>
      <c r="H9" s="844"/>
      <c r="I9" s="844"/>
      <c r="J9" s="844"/>
      <c r="K9" s="844"/>
      <c r="L9" s="844"/>
      <c r="M9" s="844"/>
      <c r="N9" s="845"/>
      <c r="O9" s="49" t="s">
        <v>117</v>
      </c>
      <c r="P9" s="71" t="str">
        <f>IF(COUNTIF(F17:M33,"refused")&gt;0,"refused",IF(COUNTIF(F17:M33,"failed")&gt;0,"failed",IF(COUNTIF(F17:M33,"passed")&gt;0,"passed","-")))</f>
        <v>-</v>
      </c>
      <c r="Q9" s="70" t="s">
        <v>80</v>
      </c>
      <c r="R9" s="70" t="str">
        <f>IF(COUNT(F14:M15,F19:M20,F24:M25,F29:M30)&gt;0,"listed","not listed")</f>
        <v>not listed</v>
      </c>
      <c r="S9" s="371"/>
      <c r="T9" s="43"/>
      <c r="U9" s="43"/>
      <c r="V9" s="44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80" ht="15" customHeight="1" outlineLevel="1" thickBot="1" x14ac:dyDescent="0.3">
      <c r="A10" s="362"/>
      <c r="B10" s="373"/>
      <c r="C10" s="374"/>
      <c r="D10" s="374"/>
      <c r="E10" s="374"/>
      <c r="F10" s="374"/>
      <c r="G10" s="374"/>
      <c r="H10" s="374"/>
      <c r="I10" s="374"/>
      <c r="J10" s="374"/>
      <c r="K10" s="162"/>
      <c r="L10" s="162"/>
      <c r="M10" s="162"/>
      <c r="N10" s="374"/>
      <c r="O10" s="374"/>
      <c r="P10" s="374"/>
      <c r="Q10" s="374"/>
      <c r="R10" s="374"/>
      <c r="S10" s="374"/>
      <c r="T10" s="45"/>
      <c r="U10" s="45"/>
      <c r="V10" s="46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80" ht="15" customHeight="1" outlineLevel="1" thickBot="1" x14ac:dyDescent="0.3">
      <c r="A11" s="362"/>
      <c r="B11" s="744" t="s">
        <v>81</v>
      </c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745"/>
      <c r="N11" s="746"/>
      <c r="O11" s="744" t="s">
        <v>82</v>
      </c>
      <c r="P11" s="745"/>
      <c r="Q11" s="745"/>
      <c r="R11" s="746"/>
      <c r="S11" s="745" t="s">
        <v>83</v>
      </c>
      <c r="T11" s="745"/>
      <c r="U11" s="745"/>
      <c r="V11" s="746"/>
      <c r="W11" s="47"/>
      <c r="X11" s="47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</row>
    <row r="12" spans="1:80" ht="35.1" customHeight="1" outlineLevel="1" thickBot="1" x14ac:dyDescent="0.3">
      <c r="A12" s="362"/>
      <c r="B12" s="787" t="s">
        <v>84</v>
      </c>
      <c r="C12" s="788"/>
      <c r="D12" s="788"/>
      <c r="E12" s="789"/>
      <c r="F12" s="69" t="s">
        <v>72</v>
      </c>
      <c r="G12" s="377" t="s">
        <v>73</v>
      </c>
      <c r="H12" s="69" t="s">
        <v>74</v>
      </c>
      <c r="I12" s="69" t="s">
        <v>75</v>
      </c>
      <c r="J12" s="69" t="s">
        <v>76</v>
      </c>
      <c r="K12" s="163" t="s">
        <v>170</v>
      </c>
      <c r="L12" s="380" t="str">
        <f>$L$4</f>
        <v>Additional
component</v>
      </c>
      <c r="M12" s="380" t="str">
        <f>$M$4</f>
        <v>Additional
component 2</v>
      </c>
      <c r="N12" s="69" t="s">
        <v>77</v>
      </c>
      <c r="O12" s="747"/>
      <c r="P12" s="748"/>
      <c r="Q12" s="748"/>
      <c r="R12" s="753"/>
      <c r="S12" s="747"/>
      <c r="T12" s="748"/>
      <c r="U12" s="748"/>
      <c r="V12" s="753"/>
      <c r="W12" s="372"/>
      <c r="X12" s="372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BD12" s="151" t="s">
        <v>85</v>
      </c>
      <c r="BE12" s="152" t="str">
        <f>F$4</f>
        <v>NMHC 
[g/km]</v>
      </c>
      <c r="BF12" s="152" t="str">
        <f t="shared" ref="BF12:BL12" si="0">G4</f>
        <v>THC
[g/km]</v>
      </c>
      <c r="BG12" s="152" t="str">
        <f t="shared" si="0"/>
        <v>CO
[g/km]</v>
      </c>
      <c r="BH12" s="152" t="str">
        <f t="shared" si="0"/>
        <v>NOx
[g/km]</v>
      </c>
      <c r="BI12" s="152" t="str">
        <f t="shared" si="0"/>
        <v>PM
[mg/km]</v>
      </c>
      <c r="BJ12" s="152" t="str">
        <f t="shared" si="0"/>
        <v>PN
[#/km]</v>
      </c>
      <c r="BK12" s="152" t="str">
        <f t="shared" si="0"/>
        <v>Additional
component</v>
      </c>
      <c r="BL12" s="152" t="str">
        <f t="shared" si="0"/>
        <v>Additional
component 2</v>
      </c>
    </row>
    <row r="13" spans="1:80" ht="15" customHeight="1" outlineLevel="1" thickBot="1" x14ac:dyDescent="0.3">
      <c r="A13" s="362"/>
      <c r="B13" s="779" t="s">
        <v>93</v>
      </c>
      <c r="C13" s="48" t="s">
        <v>64</v>
      </c>
      <c r="D13" s="768" t="s">
        <v>119</v>
      </c>
      <c r="E13" s="769"/>
      <c r="F13" s="107" t="s">
        <v>64</v>
      </c>
      <c r="G13" s="107" t="s">
        <v>64</v>
      </c>
      <c r="H13" s="107" t="s">
        <v>64</v>
      </c>
      <c r="I13" s="107" t="s">
        <v>64</v>
      </c>
      <c r="J13" s="107" t="s">
        <v>64</v>
      </c>
      <c r="K13" s="164" t="s">
        <v>64</v>
      </c>
      <c r="L13" s="164" t="s">
        <v>64</v>
      </c>
      <c r="M13" s="164" t="s">
        <v>64</v>
      </c>
      <c r="N13" s="107" t="s">
        <v>64</v>
      </c>
      <c r="O13" s="749"/>
      <c r="P13" s="750"/>
      <c r="Q13" s="750"/>
      <c r="R13" s="754"/>
      <c r="S13" s="749"/>
      <c r="T13" s="750"/>
      <c r="U13" s="750"/>
      <c r="V13" s="754"/>
      <c r="W13" s="372"/>
      <c r="X13" s="372"/>
      <c r="Y13" s="743"/>
      <c r="Z13" s="743"/>
      <c r="AA13" s="743"/>
      <c r="AB13" s="743"/>
      <c r="AC13" s="743"/>
      <c r="AD13" s="743"/>
      <c r="AE13" s="743"/>
      <c r="AF13" s="743"/>
      <c r="AG13" s="743"/>
      <c r="AH13" s="743"/>
      <c r="BC13" s="159"/>
      <c r="BD13" s="151" t="str">
        <f>$E$4</f>
        <v>US EPA Tier 2 Bin 11</v>
      </c>
      <c r="BE13" s="153">
        <v>1</v>
      </c>
      <c r="BF13" s="153">
        <v>1</v>
      </c>
      <c r="BG13" s="153">
        <v>1</v>
      </c>
      <c r="BH13" s="153">
        <v>1</v>
      </c>
      <c r="BI13" s="153">
        <v>1</v>
      </c>
      <c r="BJ13" s="153">
        <v>1</v>
      </c>
      <c r="BK13" s="153">
        <v>1</v>
      </c>
      <c r="BL13" s="153">
        <v>1</v>
      </c>
    </row>
    <row r="14" spans="1:80" ht="15" customHeight="1" outlineLevel="1" x14ac:dyDescent="0.25">
      <c r="A14" s="362"/>
      <c r="B14" s="780"/>
      <c r="C14" s="770" t="s">
        <v>114</v>
      </c>
      <c r="D14" s="770" t="s">
        <v>113</v>
      </c>
      <c r="E14" s="110" t="s">
        <v>94</v>
      </c>
      <c r="F14" s="98" t="s">
        <v>5</v>
      </c>
      <c r="G14" s="98" t="s">
        <v>5</v>
      </c>
      <c r="H14" s="98" t="s">
        <v>5</v>
      </c>
      <c r="I14" s="98" t="s">
        <v>5</v>
      </c>
      <c r="J14" s="98" t="s">
        <v>5</v>
      </c>
      <c r="K14" s="165" t="s">
        <v>5</v>
      </c>
      <c r="L14" s="165" t="s">
        <v>5</v>
      </c>
      <c r="M14" s="165" t="s">
        <v>5</v>
      </c>
      <c r="N14" s="98" t="s">
        <v>5</v>
      </c>
      <c r="O14" s="749"/>
      <c r="P14" s="750"/>
      <c r="Q14" s="750"/>
      <c r="R14" s="754"/>
      <c r="S14" s="749"/>
      <c r="T14" s="750"/>
      <c r="U14" s="750"/>
      <c r="V14" s="754"/>
      <c r="W14" s="372"/>
      <c r="X14" s="372"/>
      <c r="Y14" s="743"/>
      <c r="Z14" s="743"/>
      <c r="AA14" s="743"/>
      <c r="AB14" s="743"/>
      <c r="AC14" s="743"/>
      <c r="AD14" s="743"/>
      <c r="AE14" s="743"/>
      <c r="AF14" s="743"/>
      <c r="AG14" s="743"/>
      <c r="AH14" s="743"/>
      <c r="BC14" s="159"/>
      <c r="BD14" s="151" t="str">
        <f>"1st " &amp;  B13</f>
        <v>1st Cold</v>
      </c>
      <c r="BE14" s="153" t="str">
        <f t="shared" ref="BE14:BL14" si="1">IF(AND(OR($C16="-",$C16="CET",$C16=""),OR(F13="-",F13="CET",F13="")),"-",IF(AND(OR(F14="-",F14=""),OR(F15="-",F15="")),"-",IF(NOT(OR(F14="-",F14="")),F14/F$5,F15/F$5)))</f>
        <v>-</v>
      </c>
      <c r="BF14" s="153" t="str">
        <f t="shared" si="1"/>
        <v>-</v>
      </c>
      <c r="BG14" s="153" t="str">
        <f t="shared" si="1"/>
        <v>-</v>
      </c>
      <c r="BH14" s="153" t="str">
        <f t="shared" si="1"/>
        <v>-</v>
      </c>
      <c r="BI14" s="153" t="str">
        <f t="shared" si="1"/>
        <v>-</v>
      </c>
      <c r="BJ14" s="153" t="str">
        <f t="shared" si="1"/>
        <v>-</v>
      </c>
      <c r="BK14" s="153" t="str">
        <f t="shared" si="1"/>
        <v>-</v>
      </c>
      <c r="BL14" s="153" t="str">
        <f t="shared" si="1"/>
        <v>-</v>
      </c>
    </row>
    <row r="15" spans="1:80" s="50" customFormat="1" ht="15" customHeight="1" outlineLevel="1" thickBot="1" x14ac:dyDescent="0.3">
      <c r="A15" s="53"/>
      <c r="B15" s="780"/>
      <c r="C15" s="742"/>
      <c r="D15" s="742"/>
      <c r="E15" s="104" t="s">
        <v>95</v>
      </c>
      <c r="F15" s="97" t="s">
        <v>5</v>
      </c>
      <c r="G15" s="97" t="s">
        <v>5</v>
      </c>
      <c r="H15" s="97" t="s">
        <v>5</v>
      </c>
      <c r="I15" s="97" t="s">
        <v>5</v>
      </c>
      <c r="J15" s="97" t="s">
        <v>5</v>
      </c>
      <c r="K15" s="166" t="s">
        <v>5</v>
      </c>
      <c r="L15" s="166" t="s">
        <v>5</v>
      </c>
      <c r="M15" s="166" t="s">
        <v>5</v>
      </c>
      <c r="N15" s="97" t="s">
        <v>5</v>
      </c>
      <c r="O15" s="749"/>
      <c r="P15" s="750"/>
      <c r="Q15" s="750"/>
      <c r="R15" s="754"/>
      <c r="S15" s="749"/>
      <c r="T15" s="750"/>
      <c r="U15" s="750"/>
      <c r="V15" s="754"/>
      <c r="W15" s="51"/>
      <c r="X15" s="51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BC15" s="159"/>
      <c r="BD15" s="151" t="str">
        <f>"1st " &amp; B19</f>
        <v>1st Warm</v>
      </c>
      <c r="BE15" s="153" t="str">
        <f t="shared" ref="BE15:BL15" si="2">IF((OR($C21="-",$C21="CET",$C21="")),"-",IF(AND(OR(F19="-",F19=""),OR(F20="-",F20="")),"-",IF(NOT(OR(F19="-",F19="")),F19/F$5,F20/F$5)))</f>
        <v>-</v>
      </c>
      <c r="BF15" s="153" t="str">
        <f t="shared" si="2"/>
        <v>-</v>
      </c>
      <c r="BG15" s="153" t="str">
        <f t="shared" si="2"/>
        <v>-</v>
      </c>
      <c r="BH15" s="153" t="str">
        <f t="shared" si="2"/>
        <v>-</v>
      </c>
      <c r="BI15" s="153" t="str">
        <f t="shared" si="2"/>
        <v>-</v>
      </c>
      <c r="BJ15" s="153" t="str">
        <f t="shared" si="2"/>
        <v>-</v>
      </c>
      <c r="BK15" s="153" t="str">
        <f t="shared" si="2"/>
        <v>-</v>
      </c>
      <c r="BL15" s="153" t="str">
        <f t="shared" si="2"/>
        <v>-</v>
      </c>
      <c r="BM15" s="150"/>
      <c r="BN15" s="150"/>
      <c r="BO15" s="150"/>
      <c r="BP15" s="150"/>
      <c r="BQ15" s="150"/>
      <c r="BR15" s="150"/>
      <c r="BS15" s="150"/>
      <c r="BT15" s="150"/>
      <c r="BU15" s="150"/>
      <c r="BV15" s="150"/>
      <c r="BW15" s="150"/>
      <c r="BX15" s="150"/>
      <c r="BY15" s="150"/>
      <c r="BZ15" s="150"/>
      <c r="CA15" s="150"/>
      <c r="CB15" s="150"/>
    </row>
    <row r="16" spans="1:80" ht="15" customHeight="1" outlineLevel="1" thickBot="1" x14ac:dyDescent="0.3">
      <c r="A16" s="362"/>
      <c r="B16" s="780"/>
      <c r="C16" s="764" t="s">
        <v>64</v>
      </c>
      <c r="D16" s="772" t="str">
        <f>IF(AND(F16="-",G16="-",H16="-",I16="-",J16="-",K16="-",L16="-",M16="-"),"-",MAX(F16,G16,H16,I16,J16,K16,L16,M16))</f>
        <v>-</v>
      </c>
      <c r="E16" s="66" t="s">
        <v>177</v>
      </c>
      <c r="F16" s="65" t="str">
        <f t="shared" ref="F16:M16" si="3">IF(OR(F15="-",F15=""),IF(OR(F14="-",F14=""),"-",F14),IF(OR(F14="-",F14=""),F15,(F14+F15)/2))</f>
        <v>-</v>
      </c>
      <c r="G16" s="65" t="str">
        <f t="shared" si="3"/>
        <v>-</v>
      </c>
      <c r="H16" s="65" t="str">
        <f t="shared" si="3"/>
        <v>-</v>
      </c>
      <c r="I16" s="65" t="str">
        <f t="shared" si="3"/>
        <v>-</v>
      </c>
      <c r="J16" s="65" t="str">
        <f t="shared" si="3"/>
        <v>-</v>
      </c>
      <c r="K16" s="167" t="str">
        <f t="shared" si="3"/>
        <v>-</v>
      </c>
      <c r="L16" s="167" t="str">
        <f t="shared" si="3"/>
        <v>-</v>
      </c>
      <c r="M16" s="167" t="str">
        <f t="shared" si="3"/>
        <v>-</v>
      </c>
      <c r="N16" s="740"/>
      <c r="O16" s="749"/>
      <c r="P16" s="750"/>
      <c r="Q16" s="750"/>
      <c r="R16" s="754"/>
      <c r="S16" s="749"/>
      <c r="T16" s="750"/>
      <c r="U16" s="750"/>
      <c r="V16" s="754"/>
      <c r="W16" s="372"/>
      <c r="X16" s="372"/>
      <c r="Y16" s="743"/>
      <c r="Z16" s="743"/>
      <c r="AA16" s="743"/>
      <c r="AB16" s="743"/>
      <c r="AC16" s="743"/>
      <c r="AD16" s="743"/>
      <c r="AE16" s="743"/>
      <c r="AF16" s="743"/>
      <c r="AG16" s="743"/>
      <c r="AH16" s="743"/>
      <c r="BC16" s="159"/>
      <c r="BD16" s="151" t="str">
        <f>"1st " &amp; B24</f>
        <v>1st Hot 1</v>
      </c>
      <c r="BE16" s="153" t="str">
        <f t="shared" ref="BE16:BL16" si="4">IF((OR($C26="-",$C26="CET",$C26="")),"-",IF(AND(OR(F24="-",F24=""),OR(F25="-",F25="")),"-",IF(NOT(OR(F24="-",F24="")),F24/F$5,F25/F$5)))</f>
        <v>-</v>
      </c>
      <c r="BF16" s="153" t="str">
        <f t="shared" si="4"/>
        <v>-</v>
      </c>
      <c r="BG16" s="153" t="str">
        <f t="shared" si="4"/>
        <v>-</v>
      </c>
      <c r="BH16" s="153" t="str">
        <f t="shared" si="4"/>
        <v>-</v>
      </c>
      <c r="BI16" s="153" t="str">
        <f t="shared" si="4"/>
        <v>-</v>
      </c>
      <c r="BJ16" s="153" t="str">
        <f t="shared" si="4"/>
        <v>-</v>
      </c>
      <c r="BK16" s="153" t="str">
        <f t="shared" si="4"/>
        <v>-</v>
      </c>
      <c r="BL16" s="153" t="str">
        <f t="shared" si="4"/>
        <v>-</v>
      </c>
    </row>
    <row r="17" spans="1:80" ht="15" customHeight="1" outlineLevel="1" thickBot="1" x14ac:dyDescent="0.3">
      <c r="A17" s="362"/>
      <c r="B17" s="780"/>
      <c r="C17" s="765"/>
      <c r="D17" s="773"/>
      <c r="E17" s="64" t="s">
        <v>97</v>
      </c>
      <c r="F17" s="63" t="str">
        <f t="shared" ref="F17:M17" si="5">IF(AND(OR($C16="-",$C16="CET",$C16=""),OR(F13="-",F13="CET",F13="")),"-",IF(AND(NOT(F16="-"),NOT(F$5="-"),NOT(F$5="")),F16/F$5,"-"))</f>
        <v>-</v>
      </c>
      <c r="G17" s="63" t="str">
        <f t="shared" si="5"/>
        <v>-</v>
      </c>
      <c r="H17" s="63" t="str">
        <f t="shared" si="5"/>
        <v>-</v>
      </c>
      <c r="I17" s="63" t="str">
        <f t="shared" si="5"/>
        <v>-</v>
      </c>
      <c r="J17" s="63" t="str">
        <f t="shared" si="5"/>
        <v>-</v>
      </c>
      <c r="K17" s="168" t="str">
        <f t="shared" si="5"/>
        <v>-</v>
      </c>
      <c r="L17" s="168" t="str">
        <f t="shared" si="5"/>
        <v>-</v>
      </c>
      <c r="M17" s="168" t="str">
        <f t="shared" si="5"/>
        <v>-</v>
      </c>
      <c r="N17" s="741"/>
      <c r="O17" s="749"/>
      <c r="P17" s="750"/>
      <c r="Q17" s="750"/>
      <c r="R17" s="754"/>
      <c r="S17" s="749"/>
      <c r="T17" s="750"/>
      <c r="U17" s="750"/>
      <c r="V17" s="754"/>
      <c r="W17" s="372"/>
      <c r="X17" s="372"/>
      <c r="Y17" s="743"/>
      <c r="Z17" s="743"/>
      <c r="AA17" s="743"/>
      <c r="AB17" s="743"/>
      <c r="AC17" s="743"/>
      <c r="AD17" s="743"/>
      <c r="AE17" s="743"/>
      <c r="AF17" s="743"/>
      <c r="AG17" s="743"/>
      <c r="AH17" s="743"/>
      <c r="BC17" s="159"/>
      <c r="BD17" s="151" t="str">
        <f>"1st " &amp; B29</f>
        <v>1st Hot 2</v>
      </c>
      <c r="BE17" s="153" t="str">
        <f t="shared" ref="BE17:BL17" si="6">IF((OR($C31="-",$C31="CET",$C31="")),"-",IF(AND(OR(F29="-",F29=""),OR(F30="-",F30="")),"-",IF(NOT(OR(F29="-",F29="")),F29/F$5,F30/F$5)))</f>
        <v>-</v>
      </c>
      <c r="BF17" s="153" t="str">
        <f t="shared" si="6"/>
        <v>-</v>
      </c>
      <c r="BG17" s="153" t="str">
        <f t="shared" si="6"/>
        <v>-</v>
      </c>
      <c r="BH17" s="153" t="str">
        <f t="shared" si="6"/>
        <v>-</v>
      </c>
      <c r="BI17" s="153" t="str">
        <f t="shared" si="6"/>
        <v>-</v>
      </c>
      <c r="BJ17" s="153" t="str">
        <f t="shared" si="6"/>
        <v>-</v>
      </c>
      <c r="BK17" s="153" t="str">
        <f t="shared" si="6"/>
        <v>-</v>
      </c>
      <c r="BL17" s="153" t="str">
        <f t="shared" si="6"/>
        <v>-</v>
      </c>
    </row>
    <row r="18" spans="1:80" ht="15" customHeight="1" outlineLevel="1" thickBot="1" x14ac:dyDescent="0.3">
      <c r="A18" s="362"/>
      <c r="B18" s="781"/>
      <c r="C18" s="771"/>
      <c r="D18" s="774"/>
      <c r="E18" s="68" t="s">
        <v>30</v>
      </c>
      <c r="F18" s="62" t="str">
        <f t="shared" ref="F18:M18" si="7">IF(AND(OR(F14="-",F14=""),OR(F15="-",F15="")),"-",IF(AND(OR(F13="CET",F13="-",F13=""),OR($C16="CET",$C16="-",$C16="")),"-",IF($R$9="not listed","-",IF(AND(NOT(F$5="-"),NOT(F$5="")),IF(AND(AND(NOT(F14=0),NOT(F14="-"),NOT(F14="")),AND(NOT(F15="-"),NOT(F15=0),NOT(F15=""))),IF(AND((F14+F15)/2&lt;1*F$5*IF(OR(F13="CET",F13="-",F13=""),IF(OR($C16="CET",$C16="-",$C16=""),"-",$C16),F13),F14&lt;1.1*F$5*IF(OR(F13="CET",F13="-",F13=""),IF(OR($C16="CET",$C16="-",$C16=""),"-",$C16),F13),F15&lt;1.1*F$5*IF(OR(F13="CET",F13="-",F13=""),IF($C16="CET","-",$C16),F13)),"passed","refused"),IF(IF(OR(F14="-",F14=""),F15,F14)&lt;0.7*F$5*IF(OR(F13="CET",F13="-",F13=""),IF($C16="CET","-",$C16),F13),"passed",IF(IF(OR(F14="-",F14=""),F15,F14)&lt;1.1*IF(OR(F13="CET",F13="-",F13=""),IF($C16="CET","-",$C16),F13)*F$5,"failed","refused"))),"-"))))</f>
        <v>-</v>
      </c>
      <c r="G18" s="62" t="str">
        <f t="shared" si="7"/>
        <v>-</v>
      </c>
      <c r="H18" s="62" t="str">
        <f t="shared" si="7"/>
        <v>-</v>
      </c>
      <c r="I18" s="62" t="str">
        <f t="shared" si="7"/>
        <v>-</v>
      </c>
      <c r="J18" s="62" t="str">
        <f t="shared" si="7"/>
        <v>-</v>
      </c>
      <c r="K18" s="169" t="str">
        <f t="shared" si="7"/>
        <v>-</v>
      </c>
      <c r="L18" s="169" t="str">
        <f t="shared" si="7"/>
        <v>-</v>
      </c>
      <c r="M18" s="169" t="str">
        <f t="shared" si="7"/>
        <v>-</v>
      </c>
      <c r="N18" s="742"/>
      <c r="O18" s="749"/>
      <c r="P18" s="750"/>
      <c r="Q18" s="750"/>
      <c r="R18" s="754"/>
      <c r="S18" s="749"/>
      <c r="T18" s="750"/>
      <c r="U18" s="750"/>
      <c r="V18" s="754"/>
      <c r="W18" s="372"/>
      <c r="X18" s="372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BC18" s="159" t="str">
        <f>IF(COUNTIF(F18:M18,"refused")&gt;0,"refused",IF(COUNTIF(F18:M18,"failed")&gt;0,"failed",IF(COUNTIF(F18:M18,"passed")&gt;0,"passed","-")))</f>
        <v>-</v>
      </c>
      <c r="BD18" s="151" t="str">
        <f>"0.7*IEF " &amp; (B13)</f>
        <v>0.7*IEF Cold</v>
      </c>
      <c r="BE18" s="153" t="str">
        <f t="shared" ref="BE18:BL18" si="8">IF(AND(OR($C16="-",$C16="CET",$C16=""),OR(F13="-",F13="CET",F13="")),"-",0.7*IF(OR(F13="CET",F13="-",F13=""),IF(OR($C16="CET",$C16="-",$C16=""),"-",$C16),F13))</f>
        <v>-</v>
      </c>
      <c r="BF18" s="153" t="str">
        <f t="shared" si="8"/>
        <v>-</v>
      </c>
      <c r="BG18" s="153" t="str">
        <f t="shared" si="8"/>
        <v>-</v>
      </c>
      <c r="BH18" s="153" t="str">
        <f t="shared" si="8"/>
        <v>-</v>
      </c>
      <c r="BI18" s="153" t="str">
        <f t="shared" si="8"/>
        <v>-</v>
      </c>
      <c r="BJ18" s="153" t="str">
        <f t="shared" si="8"/>
        <v>-</v>
      </c>
      <c r="BK18" s="153" t="str">
        <f t="shared" si="8"/>
        <v>-</v>
      </c>
      <c r="BL18" s="153" t="str">
        <f t="shared" si="8"/>
        <v>-</v>
      </c>
    </row>
    <row r="19" spans="1:80" ht="15" customHeight="1" outlineLevel="1" x14ac:dyDescent="0.25">
      <c r="A19" s="362"/>
      <c r="B19" s="779" t="s">
        <v>98</v>
      </c>
      <c r="C19" s="770" t="s">
        <v>114</v>
      </c>
      <c r="D19" s="770" t="s">
        <v>113</v>
      </c>
      <c r="E19" s="106" t="s">
        <v>94</v>
      </c>
      <c r="F19" s="98" t="s">
        <v>5</v>
      </c>
      <c r="G19" s="98" t="s">
        <v>5</v>
      </c>
      <c r="H19" s="98" t="s">
        <v>5</v>
      </c>
      <c r="I19" s="98" t="s">
        <v>5</v>
      </c>
      <c r="J19" s="98" t="s">
        <v>5</v>
      </c>
      <c r="K19" s="165" t="s">
        <v>5</v>
      </c>
      <c r="L19" s="165" t="s">
        <v>5</v>
      </c>
      <c r="M19" s="165" t="s">
        <v>5</v>
      </c>
      <c r="N19" s="98" t="s">
        <v>5</v>
      </c>
      <c r="O19" s="749"/>
      <c r="P19" s="750"/>
      <c r="Q19" s="750"/>
      <c r="R19" s="754"/>
      <c r="S19" s="749"/>
      <c r="T19" s="750"/>
      <c r="U19" s="750"/>
      <c r="V19" s="754"/>
      <c r="W19" s="372"/>
      <c r="X19" s="372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BC19" s="159" t="str">
        <f t="shared" ref="BC19:BC82" si="9">IF(COUNTIF(F19:M19,"refused")&gt;0,"refused",IF(COUNTIF(F19:M19,"failed")&gt;0,"failed",IF(COUNTIF(F19:M19,"passed")&gt;0,"passed","-")))</f>
        <v>-</v>
      </c>
      <c r="BD19" s="151" t="str">
        <f>"0.7*IEF" &amp; B19</f>
        <v>0.7*IEFWarm</v>
      </c>
      <c r="BE19" s="153">
        <f t="shared" ref="BE19:BL19" si="10">IF(OR($C21="-",$C21="CET",$C21=""),"-",0.7*$C21)</f>
        <v>0.7</v>
      </c>
      <c r="BF19" s="153">
        <f t="shared" si="10"/>
        <v>0.7</v>
      </c>
      <c r="BG19" s="153">
        <f t="shared" si="10"/>
        <v>0.7</v>
      </c>
      <c r="BH19" s="153">
        <f t="shared" si="10"/>
        <v>0.7</v>
      </c>
      <c r="BI19" s="153">
        <f t="shared" si="10"/>
        <v>0.7</v>
      </c>
      <c r="BJ19" s="153">
        <f t="shared" si="10"/>
        <v>0.7</v>
      </c>
      <c r="BK19" s="153">
        <f t="shared" si="10"/>
        <v>0.7</v>
      </c>
      <c r="BL19" s="153">
        <f t="shared" si="10"/>
        <v>0.7</v>
      </c>
    </row>
    <row r="20" spans="1:80" s="50" customFormat="1" ht="15" customHeight="1" outlineLevel="1" thickBot="1" x14ac:dyDescent="0.3">
      <c r="A20" s="53"/>
      <c r="B20" s="780"/>
      <c r="C20" s="741"/>
      <c r="D20" s="742"/>
      <c r="E20" s="104" t="s">
        <v>95</v>
      </c>
      <c r="F20" s="97" t="s">
        <v>5</v>
      </c>
      <c r="G20" s="97" t="s">
        <v>5</v>
      </c>
      <c r="H20" s="97" t="s">
        <v>5</v>
      </c>
      <c r="I20" s="97" t="s">
        <v>5</v>
      </c>
      <c r="J20" s="97" t="s">
        <v>5</v>
      </c>
      <c r="K20" s="166" t="s">
        <v>5</v>
      </c>
      <c r="L20" s="166" t="s">
        <v>5</v>
      </c>
      <c r="M20" s="166" t="s">
        <v>5</v>
      </c>
      <c r="N20" s="97" t="s">
        <v>5</v>
      </c>
      <c r="O20" s="749"/>
      <c r="P20" s="750"/>
      <c r="Q20" s="750"/>
      <c r="R20" s="754"/>
      <c r="S20" s="749"/>
      <c r="T20" s="750"/>
      <c r="U20" s="750"/>
      <c r="V20" s="754"/>
      <c r="W20" s="51"/>
      <c r="X20" s="51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BC20" s="159" t="str">
        <f t="shared" si="9"/>
        <v>-</v>
      </c>
      <c r="BD20" s="151" t="str">
        <f>"0.7*IEF " &amp; B24</f>
        <v>0.7*IEF Hot 1</v>
      </c>
      <c r="BE20" s="153">
        <f t="shared" ref="BE20:BL20" si="11">IF(OR($C26="-",$C26="CET",$C26=""),"-",0.7*$C26)</f>
        <v>0.7</v>
      </c>
      <c r="BF20" s="153">
        <f t="shared" si="11"/>
        <v>0.7</v>
      </c>
      <c r="BG20" s="153">
        <f t="shared" si="11"/>
        <v>0.7</v>
      </c>
      <c r="BH20" s="153">
        <f t="shared" si="11"/>
        <v>0.7</v>
      </c>
      <c r="BI20" s="153">
        <f t="shared" si="11"/>
        <v>0.7</v>
      </c>
      <c r="BJ20" s="153">
        <f t="shared" si="11"/>
        <v>0.7</v>
      </c>
      <c r="BK20" s="153">
        <f t="shared" si="11"/>
        <v>0.7</v>
      </c>
      <c r="BL20" s="153">
        <f t="shared" si="11"/>
        <v>0.7</v>
      </c>
      <c r="BM20" s="150"/>
      <c r="BN20" s="150"/>
      <c r="BO20" s="150"/>
      <c r="BP20" s="150"/>
      <c r="BQ20" s="150"/>
      <c r="BR20" s="150"/>
      <c r="BS20" s="150"/>
      <c r="BT20" s="150"/>
      <c r="BU20" s="150"/>
      <c r="BV20" s="150"/>
      <c r="BW20" s="150"/>
      <c r="BX20" s="150"/>
      <c r="BY20" s="150"/>
      <c r="BZ20" s="150"/>
      <c r="CA20" s="150"/>
      <c r="CB20" s="150"/>
    </row>
    <row r="21" spans="1:80" ht="15" customHeight="1" outlineLevel="1" thickBot="1" x14ac:dyDescent="0.3">
      <c r="A21" s="362"/>
      <c r="B21" s="780"/>
      <c r="C21" s="764">
        <v>1</v>
      </c>
      <c r="D21" s="772" t="str">
        <f>IF(AND(F21="-",G21="-",H21="-",I21="-",J21="-",K21="-",L21="-",M21="-"),"-",MAX(F21,G21,H21,I21,J21,K21,L21,M21))</f>
        <v>-</v>
      </c>
      <c r="E21" s="66" t="s">
        <v>177</v>
      </c>
      <c r="F21" s="65" t="str">
        <f t="shared" ref="F21:M21" si="12">IF(OR(F20="-",F20=""),IF(OR(F19="-",F19=""),"-",F19),IF(OR(F19="-",F19=""),F20,(F19+F20)/2))</f>
        <v>-</v>
      </c>
      <c r="G21" s="65" t="str">
        <f t="shared" si="12"/>
        <v>-</v>
      </c>
      <c r="H21" s="65" t="str">
        <f t="shared" si="12"/>
        <v>-</v>
      </c>
      <c r="I21" s="65" t="str">
        <f t="shared" si="12"/>
        <v>-</v>
      </c>
      <c r="J21" s="65" t="str">
        <f t="shared" si="12"/>
        <v>-</v>
      </c>
      <c r="K21" s="167" t="str">
        <f t="shared" si="12"/>
        <v>-</v>
      </c>
      <c r="L21" s="167" t="str">
        <f t="shared" si="12"/>
        <v>-</v>
      </c>
      <c r="M21" s="167" t="str">
        <f t="shared" si="12"/>
        <v>-</v>
      </c>
      <c r="N21" s="740"/>
      <c r="O21" s="749"/>
      <c r="P21" s="750"/>
      <c r="Q21" s="750"/>
      <c r="R21" s="754"/>
      <c r="S21" s="749"/>
      <c r="T21" s="750"/>
      <c r="U21" s="750"/>
      <c r="V21" s="754"/>
      <c r="W21" s="372"/>
      <c r="X21" s="372"/>
      <c r="Y21" s="743"/>
      <c r="Z21" s="743"/>
      <c r="AA21" s="743"/>
      <c r="AB21" s="743"/>
      <c r="AC21" s="743"/>
      <c r="AD21" s="743"/>
      <c r="AE21" s="743"/>
      <c r="AF21" s="743"/>
      <c r="AG21" s="743"/>
      <c r="AH21" s="743"/>
      <c r="BC21" s="159" t="str">
        <f t="shared" si="9"/>
        <v>-</v>
      </c>
      <c r="BD21" s="151" t="str">
        <f>"0.7*IEF " &amp; B29</f>
        <v>0.7*IEF Hot 2</v>
      </c>
      <c r="BE21" s="153">
        <f t="shared" ref="BE21:BL21" si="13">IF(OR($C31="-",$C31="CET",$C31=""),"-",0.7*$C31)</f>
        <v>0.7</v>
      </c>
      <c r="BF21" s="153">
        <f t="shared" si="13"/>
        <v>0.7</v>
      </c>
      <c r="BG21" s="153">
        <f t="shared" si="13"/>
        <v>0.7</v>
      </c>
      <c r="BH21" s="153">
        <f t="shared" si="13"/>
        <v>0.7</v>
      </c>
      <c r="BI21" s="153">
        <f t="shared" si="13"/>
        <v>0.7</v>
      </c>
      <c r="BJ21" s="153">
        <f t="shared" si="13"/>
        <v>0.7</v>
      </c>
      <c r="BK21" s="153">
        <f t="shared" si="13"/>
        <v>0.7</v>
      </c>
      <c r="BL21" s="153">
        <f t="shared" si="13"/>
        <v>0.7</v>
      </c>
    </row>
    <row r="22" spans="1:80" ht="15" customHeight="1" outlineLevel="1" thickBot="1" x14ac:dyDescent="0.3">
      <c r="A22" s="362"/>
      <c r="B22" s="780"/>
      <c r="C22" s="765"/>
      <c r="D22" s="773"/>
      <c r="E22" s="64" t="s">
        <v>97</v>
      </c>
      <c r="F22" s="63" t="str">
        <f t="shared" ref="F22:M22" si="14">IF(OR($C21="-",$C21="CET",$C21=""),"-",IF(AND(NOT(F21="-"),NOT(F$5="-"),NOT(F$5="")),F21/F$5,"-"))</f>
        <v>-</v>
      </c>
      <c r="G22" s="63" t="str">
        <f t="shared" si="14"/>
        <v>-</v>
      </c>
      <c r="H22" s="63" t="str">
        <f t="shared" si="14"/>
        <v>-</v>
      </c>
      <c r="I22" s="63" t="str">
        <f t="shared" si="14"/>
        <v>-</v>
      </c>
      <c r="J22" s="63" t="str">
        <f t="shared" si="14"/>
        <v>-</v>
      </c>
      <c r="K22" s="168" t="str">
        <f t="shared" si="14"/>
        <v>-</v>
      </c>
      <c r="L22" s="168" t="str">
        <f t="shared" si="14"/>
        <v>-</v>
      </c>
      <c r="M22" s="168" t="str">
        <f t="shared" si="14"/>
        <v>-</v>
      </c>
      <c r="N22" s="741"/>
      <c r="O22" s="749"/>
      <c r="P22" s="750"/>
      <c r="Q22" s="750"/>
      <c r="R22" s="754"/>
      <c r="S22" s="749"/>
      <c r="T22" s="750"/>
      <c r="U22" s="750"/>
      <c r="V22" s="754"/>
      <c r="W22" s="372"/>
      <c r="X22" s="372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BC22" s="159" t="str">
        <f t="shared" si="9"/>
        <v>-</v>
      </c>
      <c r="BD22" s="151" t="str">
        <f>B13</f>
        <v>Cold</v>
      </c>
      <c r="BE22" s="153" t="str">
        <f t="shared" ref="BE22:BL22" si="15">F17</f>
        <v>-</v>
      </c>
      <c r="BF22" s="153" t="str">
        <f t="shared" si="15"/>
        <v>-</v>
      </c>
      <c r="BG22" s="153" t="str">
        <f t="shared" si="15"/>
        <v>-</v>
      </c>
      <c r="BH22" s="153" t="str">
        <f t="shared" si="15"/>
        <v>-</v>
      </c>
      <c r="BI22" s="153" t="str">
        <f t="shared" si="15"/>
        <v>-</v>
      </c>
      <c r="BJ22" s="153" t="str">
        <f t="shared" si="15"/>
        <v>-</v>
      </c>
      <c r="BK22" s="153" t="str">
        <f t="shared" si="15"/>
        <v>-</v>
      </c>
      <c r="BL22" s="153" t="str">
        <f t="shared" si="15"/>
        <v>-</v>
      </c>
    </row>
    <row r="23" spans="1:80" ht="15" customHeight="1" outlineLevel="1" thickBot="1" x14ac:dyDescent="0.3">
      <c r="A23" s="40"/>
      <c r="B23" s="781"/>
      <c r="C23" s="771"/>
      <c r="D23" s="774"/>
      <c r="E23" s="68" t="s">
        <v>30</v>
      </c>
      <c r="F23" s="62" t="str">
        <f t="shared" ref="F23:M23" si="16">IF(AND(OR(F19="-",F19=""),OR(F20="-",F20="")),"-",IF(OR($C21="-",$C21="",$C21="CET"),"-",IF($R$9="not listed","-",IF(NOT(F$5="-"),IF(AND(AND(NOT(F19=0),NOT(F19="-"),NOT(F19="")),AND(NOT(F20="-"),NOT(F20=0),NOT(F20=""))),IF(AND((F19+F20)/2&lt;1*F$5*IF(OR($C21="CET",$C21="-",$C21=""),"-",$C21),F19&lt;1.1*F$5*IF(OR($C21="CET",$C21="-",$C21=""),"-",$C21),F20&lt;1.1*F$5*IF(OR($C21="CET",$C21="-",$C21=""),"-",$C21)),"passed","refused"),IF(IF(OR(F19="-",F19=""),F20,F19)&lt;0.7*F$5*IF(OR($C21="CET",$C21="-",$C21=""),"-",$C21),"passed",IF(IF(OR(F19="-",F19=""),F20,F19)&lt;1.1*IF(OR($C21="CET",$C21="-",$C21=""),"-",$C21)*F$5,"failed","refused"))),"-"))))</f>
        <v>-</v>
      </c>
      <c r="G23" s="62" t="str">
        <f t="shared" si="16"/>
        <v>-</v>
      </c>
      <c r="H23" s="62" t="str">
        <f t="shared" si="16"/>
        <v>-</v>
      </c>
      <c r="I23" s="62" t="str">
        <f t="shared" si="16"/>
        <v>-</v>
      </c>
      <c r="J23" s="62" t="str">
        <f t="shared" si="16"/>
        <v>-</v>
      </c>
      <c r="K23" s="169" t="str">
        <f t="shared" si="16"/>
        <v>-</v>
      </c>
      <c r="L23" s="169" t="str">
        <f t="shared" si="16"/>
        <v>-</v>
      </c>
      <c r="M23" s="169" t="str">
        <f t="shared" si="16"/>
        <v>-</v>
      </c>
      <c r="N23" s="742"/>
      <c r="O23" s="749"/>
      <c r="P23" s="750"/>
      <c r="Q23" s="750"/>
      <c r="R23" s="754"/>
      <c r="S23" s="749"/>
      <c r="T23" s="750"/>
      <c r="U23" s="750"/>
      <c r="V23" s="754"/>
      <c r="W23" s="372"/>
      <c r="X23" s="372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BC23" s="159" t="str">
        <f t="shared" si="9"/>
        <v>-</v>
      </c>
      <c r="BD23" s="151" t="str">
        <f>B19</f>
        <v>Warm</v>
      </c>
      <c r="BE23" s="153" t="str">
        <f t="shared" ref="BE23:BL23" si="17">F22</f>
        <v>-</v>
      </c>
      <c r="BF23" s="153" t="str">
        <f t="shared" si="17"/>
        <v>-</v>
      </c>
      <c r="BG23" s="153" t="str">
        <f t="shared" si="17"/>
        <v>-</v>
      </c>
      <c r="BH23" s="153" t="str">
        <f t="shared" si="17"/>
        <v>-</v>
      </c>
      <c r="BI23" s="153" t="str">
        <f t="shared" si="17"/>
        <v>-</v>
      </c>
      <c r="BJ23" s="153" t="str">
        <f t="shared" si="17"/>
        <v>-</v>
      </c>
      <c r="BK23" s="153" t="str">
        <f t="shared" si="17"/>
        <v>-</v>
      </c>
      <c r="BL23" s="153" t="str">
        <f t="shared" si="17"/>
        <v>-</v>
      </c>
    </row>
    <row r="24" spans="1:80" ht="15" customHeight="1" outlineLevel="1" thickBot="1" x14ac:dyDescent="0.3">
      <c r="A24" s="40"/>
      <c r="B24" s="779" t="s">
        <v>99</v>
      </c>
      <c r="C24" s="770" t="s">
        <v>114</v>
      </c>
      <c r="D24" s="770" t="s">
        <v>113</v>
      </c>
      <c r="E24" s="106" t="s">
        <v>94</v>
      </c>
      <c r="F24" s="98" t="s">
        <v>5</v>
      </c>
      <c r="G24" s="98" t="s">
        <v>5</v>
      </c>
      <c r="H24" s="98" t="s">
        <v>5</v>
      </c>
      <c r="I24" s="98" t="s">
        <v>5</v>
      </c>
      <c r="J24" s="98" t="s">
        <v>5</v>
      </c>
      <c r="K24" s="165" t="s">
        <v>5</v>
      </c>
      <c r="L24" s="165" t="s">
        <v>5</v>
      </c>
      <c r="M24" s="165" t="s">
        <v>5</v>
      </c>
      <c r="N24" s="98" t="s">
        <v>5</v>
      </c>
      <c r="O24" s="749"/>
      <c r="P24" s="750"/>
      <c r="Q24" s="750"/>
      <c r="R24" s="754"/>
      <c r="S24" s="749"/>
      <c r="T24" s="750"/>
      <c r="U24" s="750"/>
      <c r="V24" s="754"/>
      <c r="W24" s="372"/>
      <c r="X24" s="372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BC24" s="159" t="str">
        <f t="shared" si="9"/>
        <v>-</v>
      </c>
      <c r="BD24" s="151" t="str">
        <f>B24</f>
        <v>Hot 1</v>
      </c>
      <c r="BE24" s="153" t="str">
        <f t="shared" ref="BE24:BL24" si="18">F27</f>
        <v>-</v>
      </c>
      <c r="BF24" s="153" t="str">
        <f t="shared" si="18"/>
        <v>-</v>
      </c>
      <c r="BG24" s="153" t="str">
        <f t="shared" si="18"/>
        <v>-</v>
      </c>
      <c r="BH24" s="153" t="str">
        <f t="shared" si="18"/>
        <v>-</v>
      </c>
      <c r="BI24" s="153" t="str">
        <f t="shared" si="18"/>
        <v>-</v>
      </c>
      <c r="BJ24" s="153" t="str">
        <f t="shared" si="18"/>
        <v>-</v>
      </c>
      <c r="BK24" s="153" t="str">
        <f t="shared" si="18"/>
        <v>-</v>
      </c>
      <c r="BL24" s="153" t="str">
        <f t="shared" si="18"/>
        <v>-</v>
      </c>
    </row>
    <row r="25" spans="1:80" s="50" customFormat="1" ht="15" customHeight="1" outlineLevel="1" thickBot="1" x14ac:dyDescent="0.3">
      <c r="A25" s="52"/>
      <c r="B25" s="780"/>
      <c r="C25" s="741"/>
      <c r="D25" s="742"/>
      <c r="E25" s="109" t="s">
        <v>95</v>
      </c>
      <c r="F25" s="97" t="s">
        <v>5</v>
      </c>
      <c r="G25" s="97" t="s">
        <v>5</v>
      </c>
      <c r="H25" s="97" t="s">
        <v>5</v>
      </c>
      <c r="I25" s="97" t="s">
        <v>5</v>
      </c>
      <c r="J25" s="97" t="s">
        <v>5</v>
      </c>
      <c r="K25" s="166" t="s">
        <v>5</v>
      </c>
      <c r="L25" s="166" t="s">
        <v>5</v>
      </c>
      <c r="M25" s="166" t="s">
        <v>5</v>
      </c>
      <c r="N25" s="97" t="s">
        <v>5</v>
      </c>
      <c r="O25" s="749"/>
      <c r="P25" s="750"/>
      <c r="Q25" s="750"/>
      <c r="R25" s="754"/>
      <c r="S25" s="749"/>
      <c r="T25" s="750"/>
      <c r="U25" s="750"/>
      <c r="V25" s="754"/>
      <c r="W25" s="51"/>
      <c r="X25" s="51"/>
      <c r="Y25" s="743"/>
      <c r="Z25" s="743"/>
      <c r="AA25" s="743"/>
      <c r="AB25" s="743"/>
      <c r="AC25" s="743"/>
      <c r="AD25" s="743"/>
      <c r="AE25" s="743"/>
      <c r="AF25" s="743"/>
      <c r="AG25" s="743"/>
      <c r="AH25" s="743"/>
      <c r="BC25" s="159" t="str">
        <f t="shared" si="9"/>
        <v>-</v>
      </c>
      <c r="BD25" s="151" t="str">
        <f>B29</f>
        <v>Hot 2</v>
      </c>
      <c r="BE25" s="153" t="str">
        <f t="shared" ref="BE25:BL25" si="19">F32</f>
        <v>-</v>
      </c>
      <c r="BF25" s="153" t="str">
        <f t="shared" si="19"/>
        <v>-</v>
      </c>
      <c r="BG25" s="153" t="str">
        <f t="shared" si="19"/>
        <v>-</v>
      </c>
      <c r="BH25" s="153" t="str">
        <f t="shared" si="19"/>
        <v>-</v>
      </c>
      <c r="BI25" s="153" t="str">
        <f t="shared" si="19"/>
        <v>-</v>
      </c>
      <c r="BJ25" s="153" t="str">
        <f t="shared" si="19"/>
        <v>-</v>
      </c>
      <c r="BK25" s="153" t="str">
        <f t="shared" si="19"/>
        <v>-</v>
      </c>
      <c r="BL25" s="153" t="str">
        <f t="shared" si="19"/>
        <v>-</v>
      </c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</row>
    <row r="26" spans="1:80" ht="15" customHeight="1" outlineLevel="1" thickBot="1" x14ac:dyDescent="0.3">
      <c r="A26" s="40"/>
      <c r="B26" s="780"/>
      <c r="C26" s="764">
        <v>1</v>
      </c>
      <c r="D26" s="772" t="str">
        <f>IF(AND(F26="-",G26="-",H26="-",I26="-",J26="-",K26="-",L26="-",M26="-"),"-",MAX(F26,G26,H26,I26,J26,K26,L26,M26))</f>
        <v>-</v>
      </c>
      <c r="E26" s="66" t="s">
        <v>177</v>
      </c>
      <c r="F26" s="65" t="str">
        <f t="shared" ref="F26:M26" si="20">IF(OR(F25="-",F25=""),IF(OR(F24="-",F24=""),"-",F24),IF(OR(F24="-",F24=""),F25,(F24+F25)/2))</f>
        <v>-</v>
      </c>
      <c r="G26" s="65" t="str">
        <f t="shared" si="20"/>
        <v>-</v>
      </c>
      <c r="H26" s="65" t="str">
        <f t="shared" si="20"/>
        <v>-</v>
      </c>
      <c r="I26" s="65" t="str">
        <f t="shared" si="20"/>
        <v>-</v>
      </c>
      <c r="J26" s="65" t="str">
        <f t="shared" si="20"/>
        <v>-</v>
      </c>
      <c r="K26" s="167" t="str">
        <f t="shared" si="20"/>
        <v>-</v>
      </c>
      <c r="L26" s="167" t="str">
        <f t="shared" si="20"/>
        <v>-</v>
      </c>
      <c r="M26" s="167" t="str">
        <f t="shared" si="20"/>
        <v>-</v>
      </c>
      <c r="N26" s="740"/>
      <c r="O26" s="749"/>
      <c r="P26" s="750"/>
      <c r="Q26" s="750"/>
      <c r="R26" s="754"/>
      <c r="S26" s="749"/>
      <c r="T26" s="750"/>
      <c r="U26" s="750"/>
      <c r="V26" s="754"/>
      <c r="W26" s="372"/>
      <c r="X26" s="372"/>
      <c r="Y26" s="743"/>
      <c r="Z26" s="743"/>
      <c r="AA26" s="743"/>
      <c r="AB26" s="743"/>
      <c r="AC26" s="743"/>
      <c r="AD26" s="743"/>
      <c r="AE26" s="743"/>
      <c r="AF26" s="743"/>
      <c r="AG26" s="743"/>
      <c r="AH26" s="743"/>
      <c r="BC26" s="159" t="str">
        <f t="shared" si="9"/>
        <v>-</v>
      </c>
      <c r="BD26" s="151" t="str">
        <f>"IEF " &amp;B13</f>
        <v>IEF Cold</v>
      </c>
      <c r="BE26" s="153" t="str">
        <f t="shared" ref="BE26:BL26" si="21">IF(AND(OR($C16="-",$C16="CET",$C16=""),OR(F13="-",F13="CET",F13="")),"-",IF(OR(F13="CET",F13="-",F13=""),IF(OR($C16="CET",$C16="-",$C16=""),"-",$C16),F13))</f>
        <v>-</v>
      </c>
      <c r="BF26" s="153" t="str">
        <f t="shared" si="21"/>
        <v>-</v>
      </c>
      <c r="BG26" s="153" t="str">
        <f t="shared" si="21"/>
        <v>-</v>
      </c>
      <c r="BH26" s="153" t="str">
        <f t="shared" si="21"/>
        <v>-</v>
      </c>
      <c r="BI26" s="153" t="str">
        <f t="shared" si="21"/>
        <v>-</v>
      </c>
      <c r="BJ26" s="153" t="str">
        <f t="shared" si="21"/>
        <v>-</v>
      </c>
      <c r="BK26" s="153" t="str">
        <f t="shared" si="21"/>
        <v>-</v>
      </c>
      <c r="BL26" s="153" t="str">
        <f t="shared" si="21"/>
        <v>-</v>
      </c>
    </row>
    <row r="27" spans="1:80" ht="15" customHeight="1" outlineLevel="1" thickBot="1" x14ac:dyDescent="0.3">
      <c r="A27" s="40"/>
      <c r="B27" s="780"/>
      <c r="C27" s="765"/>
      <c r="D27" s="773"/>
      <c r="E27" s="64" t="s">
        <v>97</v>
      </c>
      <c r="F27" s="63" t="str">
        <f t="shared" ref="F27:M27" si="22">IF(OR($C26="-",$C26="CET",$C26=""),"-",IF(AND(NOT(F26="-"),NOT(F$5="-"),NOT(F$5="")),F26/F$5,"-"))</f>
        <v>-</v>
      </c>
      <c r="G27" s="63" t="str">
        <f t="shared" si="22"/>
        <v>-</v>
      </c>
      <c r="H27" s="63" t="str">
        <f t="shared" si="22"/>
        <v>-</v>
      </c>
      <c r="I27" s="63" t="str">
        <f t="shared" si="22"/>
        <v>-</v>
      </c>
      <c r="J27" s="63" t="str">
        <f t="shared" si="22"/>
        <v>-</v>
      </c>
      <c r="K27" s="168" t="str">
        <f t="shared" si="22"/>
        <v>-</v>
      </c>
      <c r="L27" s="168" t="str">
        <f t="shared" si="22"/>
        <v>-</v>
      </c>
      <c r="M27" s="168" t="str">
        <f t="shared" si="22"/>
        <v>-</v>
      </c>
      <c r="N27" s="741"/>
      <c r="O27" s="749"/>
      <c r="P27" s="750"/>
      <c r="Q27" s="750"/>
      <c r="R27" s="754"/>
      <c r="S27" s="749"/>
      <c r="T27" s="750"/>
      <c r="U27" s="750"/>
      <c r="V27" s="754"/>
      <c r="W27" s="372"/>
      <c r="X27" s="372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BC27" s="159" t="str">
        <f t="shared" si="9"/>
        <v>-</v>
      </c>
      <c r="BD27" s="151" t="str">
        <f>"IEF " &amp; B19</f>
        <v>IEF Warm</v>
      </c>
      <c r="BE27" s="153">
        <f t="shared" ref="BE27:BL27" si="23">IF(OR($C21="CET",$C21="-",$C21=""),"-",$C21)</f>
        <v>1</v>
      </c>
      <c r="BF27" s="153">
        <f t="shared" si="23"/>
        <v>1</v>
      </c>
      <c r="BG27" s="153">
        <f t="shared" si="23"/>
        <v>1</v>
      </c>
      <c r="BH27" s="153">
        <f t="shared" si="23"/>
        <v>1</v>
      </c>
      <c r="BI27" s="153">
        <f t="shared" si="23"/>
        <v>1</v>
      </c>
      <c r="BJ27" s="153">
        <f t="shared" si="23"/>
        <v>1</v>
      </c>
      <c r="BK27" s="153">
        <f t="shared" si="23"/>
        <v>1</v>
      </c>
      <c r="BL27" s="153">
        <f t="shared" si="23"/>
        <v>1</v>
      </c>
    </row>
    <row r="28" spans="1:80" ht="15" customHeight="1" outlineLevel="1" thickBot="1" x14ac:dyDescent="0.3">
      <c r="A28" s="40"/>
      <c r="B28" s="781"/>
      <c r="C28" s="771"/>
      <c r="D28" s="774"/>
      <c r="E28" s="68" t="s">
        <v>30</v>
      </c>
      <c r="F28" s="62" t="str">
        <f t="shared" ref="F28:M28" si="24">IF(AND(OR(F24="-",F24=""),OR(F25="-",F25="")),"-",IF(OR($C26="-",$C26="",$C26="CET"),"-",IF($R$9="not listed","-",IF(NOT(F$5="-"),IF(AND(AND(NOT(F24=0),NOT(F24="-"),NOT(F24="")),AND(NOT(F25="-"),NOT(F25=0),NOT(F25=""))),IF(AND((F24+F25)/2&lt;1*F$5*IF(OR($C26="CET",$C26="-",$C26=""),"-",$C26),F24&lt;1.1*F$5*IF(OR($C26="CET",$C26="-",$C26=""),"-",$C26),F25&lt;1.1*F$5*IF(OR($C26="CET",$C26="-",$C26=""),"-",$C26)),"passed","refused"),IF(IF(OR(F24="-",F24=""),F25,F24)&lt;0.7*F$5*IF(OR($C26="CET",$C26="-",$C26=""),"-",$C26),"passed",IF(IF(OR(F24="-",F24=""),F25,F24)&lt;1.1*IF(OR($C26="CET",$C26="-",$C26=""),"-",$C26)*F$5,"failed","refused"))),"-"))))</f>
        <v>-</v>
      </c>
      <c r="G28" s="62" t="str">
        <f t="shared" si="24"/>
        <v>-</v>
      </c>
      <c r="H28" s="62" t="str">
        <f t="shared" si="24"/>
        <v>-</v>
      </c>
      <c r="I28" s="62" t="str">
        <f t="shared" si="24"/>
        <v>-</v>
      </c>
      <c r="J28" s="62" t="str">
        <f t="shared" si="24"/>
        <v>-</v>
      </c>
      <c r="K28" s="169" t="str">
        <f t="shared" si="24"/>
        <v>-</v>
      </c>
      <c r="L28" s="169" t="str">
        <f t="shared" si="24"/>
        <v>-</v>
      </c>
      <c r="M28" s="169" t="str">
        <f t="shared" si="24"/>
        <v>-</v>
      </c>
      <c r="N28" s="742"/>
      <c r="O28" s="749"/>
      <c r="P28" s="750"/>
      <c r="Q28" s="750"/>
      <c r="R28" s="754"/>
      <c r="S28" s="749"/>
      <c r="T28" s="750"/>
      <c r="U28" s="750"/>
      <c r="V28" s="754"/>
      <c r="W28" s="372"/>
      <c r="X28" s="372"/>
      <c r="Y28" s="743"/>
      <c r="Z28" s="743"/>
      <c r="AA28" s="743"/>
      <c r="AB28" s="743"/>
      <c r="AC28" s="743"/>
      <c r="AD28" s="743"/>
      <c r="AE28" s="743"/>
      <c r="AF28" s="743"/>
      <c r="AG28" s="743"/>
      <c r="AH28" s="743"/>
      <c r="BC28" s="159" t="str">
        <f t="shared" si="9"/>
        <v>-</v>
      </c>
      <c r="BD28" s="151" t="str">
        <f>"IEF " &amp; B24</f>
        <v>IEF Hot 1</v>
      </c>
      <c r="BE28" s="153">
        <f t="shared" ref="BE28:BL28" si="25">IF(OR($C26="CET",$C26="-",$C26=""),"-",$C26)</f>
        <v>1</v>
      </c>
      <c r="BF28" s="153">
        <f t="shared" si="25"/>
        <v>1</v>
      </c>
      <c r="BG28" s="153">
        <f t="shared" si="25"/>
        <v>1</v>
      </c>
      <c r="BH28" s="153">
        <f t="shared" si="25"/>
        <v>1</v>
      </c>
      <c r="BI28" s="153">
        <f t="shared" si="25"/>
        <v>1</v>
      </c>
      <c r="BJ28" s="153">
        <f t="shared" si="25"/>
        <v>1</v>
      </c>
      <c r="BK28" s="153">
        <f t="shared" si="25"/>
        <v>1</v>
      </c>
      <c r="BL28" s="153">
        <f t="shared" si="25"/>
        <v>1</v>
      </c>
    </row>
    <row r="29" spans="1:80" ht="15" customHeight="1" outlineLevel="1" x14ac:dyDescent="0.25">
      <c r="A29" s="40"/>
      <c r="B29" s="779" t="s">
        <v>100</v>
      </c>
      <c r="C29" s="770" t="s">
        <v>114</v>
      </c>
      <c r="D29" s="770" t="s">
        <v>113</v>
      </c>
      <c r="E29" s="106" t="s">
        <v>94</v>
      </c>
      <c r="F29" s="98" t="s">
        <v>5</v>
      </c>
      <c r="G29" s="98" t="s">
        <v>5</v>
      </c>
      <c r="H29" s="98" t="s">
        <v>5</v>
      </c>
      <c r="I29" s="98" t="s">
        <v>5</v>
      </c>
      <c r="J29" s="98" t="s">
        <v>5</v>
      </c>
      <c r="K29" s="165" t="s">
        <v>5</v>
      </c>
      <c r="L29" s="165" t="s">
        <v>5</v>
      </c>
      <c r="M29" s="165" t="s">
        <v>5</v>
      </c>
      <c r="N29" s="98" t="s">
        <v>5</v>
      </c>
      <c r="O29" s="749"/>
      <c r="P29" s="750"/>
      <c r="Q29" s="750"/>
      <c r="R29" s="754"/>
      <c r="S29" s="749"/>
      <c r="T29" s="750"/>
      <c r="U29" s="750"/>
      <c r="V29" s="754"/>
      <c r="W29" s="372"/>
      <c r="X29" s="372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BC29" s="159" t="str">
        <f t="shared" si="9"/>
        <v>-</v>
      </c>
      <c r="BD29" s="151" t="str">
        <f>"IEF " &amp; B29</f>
        <v>IEF Hot 2</v>
      </c>
      <c r="BE29" s="153">
        <f t="shared" ref="BE29:BL29" si="26">IF(OR($C31="CET",$C31="-",$C31=""),"-",$C31)</f>
        <v>1</v>
      </c>
      <c r="BF29" s="153">
        <f t="shared" si="26"/>
        <v>1</v>
      </c>
      <c r="BG29" s="153">
        <f t="shared" si="26"/>
        <v>1</v>
      </c>
      <c r="BH29" s="153">
        <f t="shared" si="26"/>
        <v>1</v>
      </c>
      <c r="BI29" s="153">
        <f t="shared" si="26"/>
        <v>1</v>
      </c>
      <c r="BJ29" s="153">
        <f t="shared" si="26"/>
        <v>1</v>
      </c>
      <c r="BK29" s="153">
        <f t="shared" si="26"/>
        <v>1</v>
      </c>
      <c r="BL29" s="153">
        <f t="shared" si="26"/>
        <v>1</v>
      </c>
    </row>
    <row r="30" spans="1:80" s="50" customFormat="1" ht="15" customHeight="1" outlineLevel="1" thickBot="1" x14ac:dyDescent="0.3">
      <c r="A30" s="52"/>
      <c r="B30" s="780"/>
      <c r="C30" s="741"/>
      <c r="D30" s="742"/>
      <c r="E30" s="104" t="s">
        <v>95</v>
      </c>
      <c r="F30" s="97" t="s">
        <v>5</v>
      </c>
      <c r="G30" s="97" t="s">
        <v>5</v>
      </c>
      <c r="H30" s="97" t="s">
        <v>5</v>
      </c>
      <c r="I30" s="97" t="s">
        <v>5</v>
      </c>
      <c r="J30" s="97" t="s">
        <v>5</v>
      </c>
      <c r="K30" s="166" t="s">
        <v>5</v>
      </c>
      <c r="L30" s="166" t="s">
        <v>5</v>
      </c>
      <c r="M30" s="166" t="s">
        <v>5</v>
      </c>
      <c r="N30" s="97" t="s">
        <v>5</v>
      </c>
      <c r="O30" s="749"/>
      <c r="P30" s="750"/>
      <c r="Q30" s="750"/>
      <c r="R30" s="754"/>
      <c r="S30" s="749"/>
      <c r="T30" s="750"/>
      <c r="U30" s="750"/>
      <c r="V30" s="754"/>
      <c r="W30" s="51"/>
      <c r="X30" s="51"/>
      <c r="Y30" s="743"/>
      <c r="Z30" s="743"/>
      <c r="AA30" s="743"/>
      <c r="AB30" s="743"/>
      <c r="AC30" s="743"/>
      <c r="AD30" s="743"/>
      <c r="AE30" s="743"/>
      <c r="AF30" s="743"/>
      <c r="AG30" s="743"/>
      <c r="AH30" s="743"/>
      <c r="BC30" s="159" t="str">
        <f t="shared" si="9"/>
        <v>-</v>
      </c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  <c r="BN30" s="150"/>
      <c r="BO30" s="150"/>
      <c r="BP30" s="150"/>
      <c r="BQ30" s="150"/>
      <c r="BR30" s="150"/>
      <c r="BS30" s="150"/>
      <c r="BT30" s="150"/>
      <c r="BU30" s="150"/>
      <c r="BV30" s="150"/>
      <c r="BW30" s="150"/>
      <c r="BX30" s="150"/>
      <c r="BY30" s="150"/>
      <c r="BZ30" s="150"/>
      <c r="CA30" s="150"/>
      <c r="CB30" s="150"/>
    </row>
    <row r="31" spans="1:80" ht="15" customHeight="1" outlineLevel="1" thickBot="1" x14ac:dyDescent="0.3">
      <c r="A31" s="40"/>
      <c r="B31" s="780"/>
      <c r="C31" s="764">
        <v>1</v>
      </c>
      <c r="D31" s="772" t="str">
        <f>IF(AND(F31="-",G31="-",H31="-",I31="-",J31="-",K31="-",L31="-",M31="-"),"-",MAX(F31,G31,H31,I31,J31,K31,L31,M31))</f>
        <v>-</v>
      </c>
      <c r="E31" s="66" t="s">
        <v>177</v>
      </c>
      <c r="F31" s="65" t="str">
        <f t="shared" ref="F31:M31" si="27">IF(OR(F30="-",F30=""),IF(OR(F29="-",F29=""),"-",F29),IF(OR(F29="-",F29=""),F30,(F29+F30)/2))</f>
        <v>-</v>
      </c>
      <c r="G31" s="65" t="str">
        <f t="shared" si="27"/>
        <v>-</v>
      </c>
      <c r="H31" s="65" t="str">
        <f t="shared" si="27"/>
        <v>-</v>
      </c>
      <c r="I31" s="65" t="str">
        <f t="shared" si="27"/>
        <v>-</v>
      </c>
      <c r="J31" s="65" t="str">
        <f t="shared" si="27"/>
        <v>-</v>
      </c>
      <c r="K31" s="167" t="str">
        <f t="shared" si="27"/>
        <v>-</v>
      </c>
      <c r="L31" s="167" t="str">
        <f t="shared" si="27"/>
        <v>-</v>
      </c>
      <c r="M31" s="167" t="str">
        <f t="shared" si="27"/>
        <v>-</v>
      </c>
      <c r="N31" s="740"/>
      <c r="O31" s="749"/>
      <c r="P31" s="750"/>
      <c r="Q31" s="750"/>
      <c r="R31" s="754"/>
      <c r="S31" s="749"/>
      <c r="T31" s="750"/>
      <c r="U31" s="750"/>
      <c r="V31" s="754"/>
      <c r="W31" s="372"/>
      <c r="X31" s="372"/>
      <c r="Y31" s="743"/>
      <c r="Z31" s="743"/>
      <c r="AA31" s="743"/>
      <c r="AB31" s="743"/>
      <c r="AC31" s="743"/>
      <c r="AD31" s="743"/>
      <c r="AE31" s="743"/>
      <c r="AF31" s="743"/>
      <c r="AG31" s="743"/>
      <c r="AH31" s="743"/>
      <c r="BC31" s="159" t="str">
        <f t="shared" si="9"/>
        <v>-</v>
      </c>
    </row>
    <row r="32" spans="1:80" ht="15" customHeight="1" outlineLevel="1" thickBot="1" x14ac:dyDescent="0.3">
      <c r="A32" s="40"/>
      <c r="B32" s="780"/>
      <c r="C32" s="765"/>
      <c r="D32" s="773"/>
      <c r="E32" s="64" t="s">
        <v>97</v>
      </c>
      <c r="F32" s="63" t="str">
        <f t="shared" ref="F32:M32" si="28">IF(OR($C31="-",$C31="CET",$C31=""),"-",IF(AND(NOT(F31="-"),NOT(F$5="-"),NOT(F$5="")),F31/F$5,"-"))</f>
        <v>-</v>
      </c>
      <c r="G32" s="63" t="str">
        <f t="shared" si="28"/>
        <v>-</v>
      </c>
      <c r="H32" s="63" t="str">
        <f t="shared" si="28"/>
        <v>-</v>
      </c>
      <c r="I32" s="63" t="str">
        <f t="shared" si="28"/>
        <v>-</v>
      </c>
      <c r="J32" s="63" t="str">
        <f t="shared" si="28"/>
        <v>-</v>
      </c>
      <c r="K32" s="168" t="str">
        <f t="shared" si="28"/>
        <v>-</v>
      </c>
      <c r="L32" s="168" t="str">
        <f t="shared" si="28"/>
        <v>-</v>
      </c>
      <c r="M32" s="168" t="str">
        <f t="shared" si="28"/>
        <v>-</v>
      </c>
      <c r="N32" s="741"/>
      <c r="O32" s="749"/>
      <c r="P32" s="750"/>
      <c r="Q32" s="750"/>
      <c r="R32" s="754"/>
      <c r="S32" s="749"/>
      <c r="T32" s="750"/>
      <c r="U32" s="750"/>
      <c r="V32" s="754"/>
      <c r="W32" s="372"/>
      <c r="X32" s="372"/>
      <c r="Y32" s="743"/>
      <c r="Z32" s="743"/>
      <c r="AA32" s="743"/>
      <c r="AB32" s="743"/>
      <c r="AC32" s="743"/>
      <c r="AD32" s="743"/>
      <c r="AE32" s="743"/>
      <c r="AF32" s="743"/>
      <c r="AG32" s="743"/>
      <c r="AH32" s="743"/>
      <c r="BC32" s="159" t="str">
        <f t="shared" si="9"/>
        <v>-</v>
      </c>
    </row>
    <row r="33" spans="1:80" ht="15" customHeight="1" outlineLevel="1" thickBot="1" x14ac:dyDescent="0.3">
      <c r="B33" s="781"/>
      <c r="C33" s="771"/>
      <c r="D33" s="774"/>
      <c r="E33" s="62" t="s">
        <v>30</v>
      </c>
      <c r="F33" s="62" t="str">
        <f t="shared" ref="F33:M33" si="29">IF(AND(OR(F29="-",F29=""),OR(F30="-",F30="")),"-",IF(OR($C31="-",$C31="",$C31="CET"),"-",IF($R$9="not listed","-",IF(NOT(F$5="-"),IF(AND(AND(NOT(F29=0),NOT(F29="-"),NOT(F29="")),AND(NOT(F30="-"),NOT(F30=0),NOT(F30=""))),IF(AND((F29+F30)/2&lt;1*F$5*IF(OR($C31="CET",$C31="-",$C31=""),"-",$C31),F29&lt;1.1*F$5*IF(OR($C31="CET",$C31="-",$C31=""),"-",$C31),F30&lt;1.1*F$5*IF(OR($C31="CET",$C31="-",$C31=""),"-",$C31)),"passed","refused"),IF(IF(OR(F29="-",F29=""),F30,F29)&lt;0.7*F$5*IF(OR($C31="CET",$C31="-",$C31=""),"-",$C31),"passed",IF(IF(OR(F29="-",F29=""),F30,F29)&lt;1.1*IF(OR($C31="CET",$C31="-",$C31=""),"-",$C31)*F$5,"failed","refused"))),"-"))))</f>
        <v>-</v>
      </c>
      <c r="G33" s="62" t="str">
        <f t="shared" si="29"/>
        <v>-</v>
      </c>
      <c r="H33" s="62" t="str">
        <f t="shared" si="29"/>
        <v>-</v>
      </c>
      <c r="I33" s="62" t="str">
        <f t="shared" si="29"/>
        <v>-</v>
      </c>
      <c r="J33" s="62" t="str">
        <f t="shared" si="29"/>
        <v>-</v>
      </c>
      <c r="K33" s="169" t="str">
        <f t="shared" si="29"/>
        <v>-</v>
      </c>
      <c r="L33" s="169" t="str">
        <f t="shared" si="29"/>
        <v>-</v>
      </c>
      <c r="M33" s="169" t="str">
        <f t="shared" si="29"/>
        <v>-</v>
      </c>
      <c r="N33" s="742"/>
      <c r="O33" s="751"/>
      <c r="P33" s="752"/>
      <c r="Q33" s="752"/>
      <c r="R33" s="755"/>
      <c r="S33" s="751"/>
      <c r="T33" s="752"/>
      <c r="U33" s="752"/>
      <c r="V33" s="755"/>
      <c r="BC33" s="159" t="str">
        <f t="shared" si="9"/>
        <v>-</v>
      </c>
    </row>
    <row r="34" spans="1:80" ht="15" customHeight="1" x14ac:dyDescent="0.25">
      <c r="BC34" s="159" t="str">
        <f t="shared" si="9"/>
        <v>-</v>
      </c>
    </row>
    <row r="35" spans="1:80" ht="15" customHeight="1" x14ac:dyDescent="0.25">
      <c r="BC35" s="159" t="str">
        <f t="shared" si="9"/>
        <v>-</v>
      </c>
    </row>
    <row r="36" spans="1:80" ht="15" customHeight="1" thickBot="1" x14ac:dyDescent="0.3">
      <c r="A36" s="36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BC36" s="159" t="str">
        <f t="shared" si="9"/>
        <v>-</v>
      </c>
    </row>
    <row r="37" spans="1:80" ht="24.95" customHeight="1" thickBot="1" x14ac:dyDescent="0.3">
      <c r="A37" s="362"/>
      <c r="B37" s="185">
        <v>2</v>
      </c>
      <c r="C37" s="843" t="s">
        <v>164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5"/>
      <c r="O37" s="49" t="s">
        <v>117</v>
      </c>
      <c r="P37" s="71" t="str">
        <f>IF(COUNTIF(F45:M60,"refused")&gt;0,"refused",IF(COUNTIF(F45:M60,"failed")&gt;0,"failed",IF(COUNTIF(F45:M60,"passed")&gt;0,"passed","-")))</f>
        <v>-</v>
      </c>
      <c r="Q37" s="70" t="s">
        <v>80</v>
      </c>
      <c r="R37" s="70" t="str">
        <f>IF(COUNT(F41:M42)&gt;0,"listed","not listed")</f>
        <v>not listed</v>
      </c>
      <c r="S37" s="371"/>
      <c r="T37" s="43"/>
      <c r="U37" s="43"/>
      <c r="V37" s="44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BC37" s="159" t="str">
        <f t="shared" si="9"/>
        <v>-</v>
      </c>
    </row>
    <row r="38" spans="1:80" ht="15" customHeight="1" outlineLevel="1" thickBot="1" x14ac:dyDescent="0.3">
      <c r="A38" s="362"/>
      <c r="B38" s="373"/>
      <c r="C38" s="374"/>
      <c r="D38" s="374"/>
      <c r="E38" s="374"/>
      <c r="F38" s="374"/>
      <c r="G38" s="374"/>
      <c r="H38" s="374"/>
      <c r="I38" s="374"/>
      <c r="J38" s="374"/>
      <c r="K38" s="162"/>
      <c r="L38" s="162"/>
      <c r="M38" s="162"/>
      <c r="N38" s="374"/>
      <c r="O38" s="374"/>
      <c r="P38" s="374"/>
      <c r="Q38" s="374"/>
      <c r="R38" s="374"/>
      <c r="S38" s="374"/>
      <c r="T38" s="45"/>
      <c r="U38" s="45"/>
      <c r="V38" s="46"/>
      <c r="W38" s="47"/>
      <c r="X38" s="47"/>
      <c r="Y38" s="756"/>
      <c r="Z38" s="756"/>
      <c r="AA38" s="756"/>
      <c r="AB38" s="756"/>
      <c r="AC38" s="756"/>
      <c r="AD38" s="756"/>
      <c r="AE38" s="756"/>
      <c r="AF38" s="756"/>
      <c r="AG38" s="756"/>
      <c r="AH38" s="756"/>
      <c r="BC38" s="159" t="str">
        <f t="shared" si="9"/>
        <v>-</v>
      </c>
    </row>
    <row r="39" spans="1:80" ht="15" customHeight="1" outlineLevel="1" thickBot="1" x14ac:dyDescent="0.3">
      <c r="A39" s="362"/>
      <c r="B39" s="744" t="s">
        <v>81</v>
      </c>
      <c r="C39" s="745"/>
      <c r="D39" s="745"/>
      <c r="E39" s="745"/>
      <c r="F39" s="745"/>
      <c r="G39" s="745"/>
      <c r="H39" s="745"/>
      <c r="I39" s="745"/>
      <c r="J39" s="745"/>
      <c r="K39" s="745"/>
      <c r="L39" s="745"/>
      <c r="M39" s="745"/>
      <c r="N39" s="746"/>
      <c r="O39" s="744" t="s">
        <v>82</v>
      </c>
      <c r="P39" s="745"/>
      <c r="Q39" s="745"/>
      <c r="R39" s="746"/>
      <c r="S39" s="744" t="s">
        <v>83</v>
      </c>
      <c r="T39" s="745"/>
      <c r="U39" s="745"/>
      <c r="V39" s="746"/>
      <c r="W39" s="372"/>
      <c r="X39" s="372"/>
      <c r="Y39" s="743"/>
      <c r="Z39" s="743"/>
      <c r="AA39" s="743"/>
      <c r="AB39" s="743"/>
      <c r="AC39" s="743"/>
      <c r="AD39" s="743"/>
      <c r="AE39" s="743"/>
      <c r="AF39" s="743"/>
      <c r="AG39" s="743"/>
      <c r="AH39" s="743"/>
      <c r="BC39" s="159" t="str">
        <f t="shared" si="9"/>
        <v>-</v>
      </c>
      <c r="BM39" s="152" t="str">
        <f>F4</f>
        <v>NMHC 
[g/km]</v>
      </c>
      <c r="BN39" s="152" t="str">
        <f t="shared" ref="BN39:BT39" si="30">G4</f>
        <v>THC
[g/km]</v>
      </c>
      <c r="BO39" s="152" t="str">
        <f t="shared" si="30"/>
        <v>CO
[g/km]</v>
      </c>
      <c r="BP39" s="152" t="str">
        <f t="shared" si="30"/>
        <v>NOx
[g/km]</v>
      </c>
      <c r="BQ39" s="152" t="str">
        <f t="shared" si="30"/>
        <v>PM
[mg/km]</v>
      </c>
      <c r="BR39" s="152" t="str">
        <f t="shared" si="30"/>
        <v>PN
[#/km]</v>
      </c>
      <c r="BS39" s="152" t="str">
        <f t="shared" si="30"/>
        <v>Additional
component</v>
      </c>
      <c r="BT39" s="152" t="str">
        <f t="shared" si="30"/>
        <v>Additional
component 2</v>
      </c>
    </row>
    <row r="40" spans="1:80" ht="35.1" customHeight="1" outlineLevel="1" thickBot="1" x14ac:dyDescent="0.3">
      <c r="A40" s="362"/>
      <c r="B40" s="767" t="s">
        <v>84</v>
      </c>
      <c r="C40" s="768"/>
      <c r="D40" s="768"/>
      <c r="E40" s="769"/>
      <c r="F40" s="69" t="s">
        <v>72</v>
      </c>
      <c r="G40" s="377" t="s">
        <v>73</v>
      </c>
      <c r="H40" s="69" t="s">
        <v>74</v>
      </c>
      <c r="I40" s="69" t="s">
        <v>75</v>
      </c>
      <c r="J40" s="69" t="s">
        <v>76</v>
      </c>
      <c r="K40" s="163" t="s">
        <v>170</v>
      </c>
      <c r="L40" s="380" t="str">
        <f>$L$4</f>
        <v>Additional
component</v>
      </c>
      <c r="M40" s="380" t="str">
        <f>$M$4</f>
        <v>Additional
component 2</v>
      </c>
      <c r="N40" s="69" t="s">
        <v>77</v>
      </c>
      <c r="O40" s="747"/>
      <c r="P40" s="748"/>
      <c r="Q40" s="748"/>
      <c r="R40" s="753"/>
      <c r="S40" s="747"/>
      <c r="T40" s="748"/>
      <c r="U40" s="748"/>
      <c r="V40" s="753"/>
      <c r="W40" s="372"/>
      <c r="X40" s="372"/>
      <c r="Y40" s="743"/>
      <c r="Z40" s="743"/>
      <c r="AA40" s="743"/>
      <c r="AB40" s="743"/>
      <c r="AC40" s="743"/>
      <c r="AD40" s="743"/>
      <c r="AE40" s="743"/>
      <c r="AF40" s="743"/>
      <c r="AG40" s="743"/>
      <c r="AH40" s="743"/>
      <c r="BC40" s="159" t="str">
        <f t="shared" si="9"/>
        <v>-</v>
      </c>
      <c r="BM40" s="153">
        <v>1</v>
      </c>
      <c r="BN40" s="153">
        <v>1</v>
      </c>
      <c r="BO40" s="153">
        <v>1</v>
      </c>
      <c r="BP40" s="153">
        <v>1</v>
      </c>
      <c r="BQ40" s="153">
        <v>1</v>
      </c>
      <c r="BR40" s="153">
        <v>1</v>
      </c>
      <c r="BS40" s="153">
        <v>1</v>
      </c>
      <c r="BT40" s="153">
        <v>1</v>
      </c>
    </row>
    <row r="41" spans="1:80" ht="15" customHeight="1" outlineLevel="1" x14ac:dyDescent="0.25">
      <c r="A41" s="362"/>
      <c r="B41" s="779" t="s">
        <v>165</v>
      </c>
      <c r="C41" s="770" t="s">
        <v>114</v>
      </c>
      <c r="D41" s="770" t="s">
        <v>113</v>
      </c>
      <c r="E41" s="106" t="s">
        <v>94</v>
      </c>
      <c r="F41" s="98" t="s">
        <v>5</v>
      </c>
      <c r="G41" s="98" t="s">
        <v>5</v>
      </c>
      <c r="H41" s="98" t="s">
        <v>5</v>
      </c>
      <c r="I41" s="98" t="s">
        <v>5</v>
      </c>
      <c r="J41" s="98" t="s">
        <v>5</v>
      </c>
      <c r="K41" s="165" t="s">
        <v>5</v>
      </c>
      <c r="L41" s="165" t="s">
        <v>5</v>
      </c>
      <c r="M41" s="165" t="s">
        <v>5</v>
      </c>
      <c r="N41" s="98" t="s">
        <v>5</v>
      </c>
      <c r="O41" s="749"/>
      <c r="P41" s="750"/>
      <c r="Q41" s="750"/>
      <c r="R41" s="754"/>
      <c r="S41" s="749"/>
      <c r="T41" s="750"/>
      <c r="U41" s="750"/>
      <c r="V41" s="754"/>
      <c r="W41" s="372"/>
      <c r="X41" s="372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BC41" s="159" t="str">
        <f t="shared" si="9"/>
        <v>-</v>
      </c>
      <c r="BM41" s="153" t="str">
        <f t="shared" ref="BM41:BT41" si="31">IF((OR($C43="-",$C43="CET",$C43="")),"-",IF(AND(OR(F41="-",F41=""),OR(F42="-",F42="")),"-",IF(NOT(OR(F41="-",F41="")),F41/F$5,F42/F$5)))</f>
        <v>-</v>
      </c>
      <c r="BN41" s="153" t="str">
        <f t="shared" si="31"/>
        <v>-</v>
      </c>
      <c r="BO41" s="153" t="str">
        <f t="shared" si="31"/>
        <v>-</v>
      </c>
      <c r="BP41" s="153" t="str">
        <f t="shared" si="31"/>
        <v>-</v>
      </c>
      <c r="BQ41" s="153" t="str">
        <f t="shared" si="31"/>
        <v>-</v>
      </c>
      <c r="BR41" s="153" t="str">
        <f t="shared" si="31"/>
        <v>-</v>
      </c>
      <c r="BS41" s="153" t="str">
        <f t="shared" si="31"/>
        <v>-</v>
      </c>
      <c r="BT41" s="153" t="str">
        <f t="shared" si="31"/>
        <v>-</v>
      </c>
    </row>
    <row r="42" spans="1:80" s="50" customFormat="1" ht="15" customHeight="1" outlineLevel="1" thickBot="1" x14ac:dyDescent="0.3">
      <c r="A42" s="53"/>
      <c r="B42" s="780"/>
      <c r="C42" s="741"/>
      <c r="D42" s="742"/>
      <c r="E42" s="104" t="s">
        <v>95</v>
      </c>
      <c r="F42" s="97" t="s">
        <v>5</v>
      </c>
      <c r="G42" s="97" t="s">
        <v>5</v>
      </c>
      <c r="H42" s="97" t="s">
        <v>5</v>
      </c>
      <c r="I42" s="97" t="s">
        <v>5</v>
      </c>
      <c r="J42" s="97" t="s">
        <v>5</v>
      </c>
      <c r="K42" s="166" t="s">
        <v>5</v>
      </c>
      <c r="L42" s="166" t="s">
        <v>5</v>
      </c>
      <c r="M42" s="166" t="s">
        <v>5</v>
      </c>
      <c r="N42" s="97" t="s">
        <v>5</v>
      </c>
      <c r="O42" s="749"/>
      <c r="P42" s="750"/>
      <c r="Q42" s="750"/>
      <c r="R42" s="754"/>
      <c r="S42" s="749"/>
      <c r="T42" s="750"/>
      <c r="U42" s="750"/>
      <c r="V42" s="754"/>
      <c r="W42" s="51"/>
      <c r="X42" s="51"/>
      <c r="Y42" s="743"/>
      <c r="Z42" s="743"/>
      <c r="AA42" s="743"/>
      <c r="AB42" s="743"/>
      <c r="AC42" s="743"/>
      <c r="AD42" s="743"/>
      <c r="AE42" s="743"/>
      <c r="AF42" s="743"/>
      <c r="AG42" s="743"/>
      <c r="AH42" s="743"/>
      <c r="BC42" s="159" t="str">
        <f t="shared" si="9"/>
        <v>-</v>
      </c>
      <c r="BD42" s="150"/>
      <c r="BE42" s="150"/>
      <c r="BF42" s="150"/>
      <c r="BG42" s="150"/>
      <c r="BH42" s="150"/>
      <c r="BI42" s="150"/>
      <c r="BJ42" s="150"/>
      <c r="BK42" s="150"/>
      <c r="BL42" s="150"/>
      <c r="BM42" s="153"/>
      <c r="BN42" s="153"/>
      <c r="BO42" s="153"/>
      <c r="BP42" s="153"/>
      <c r="BQ42" s="153"/>
      <c r="BR42" s="153"/>
      <c r="BS42" s="153"/>
      <c r="BT42" s="153"/>
      <c r="BU42" s="150"/>
      <c r="BV42" s="150"/>
      <c r="BW42" s="150"/>
      <c r="BX42" s="150"/>
      <c r="BY42" s="150"/>
      <c r="BZ42" s="150"/>
      <c r="CA42" s="150"/>
      <c r="CB42" s="150"/>
    </row>
    <row r="43" spans="1:80" ht="15" customHeight="1" outlineLevel="1" thickBot="1" x14ac:dyDescent="0.3">
      <c r="A43" s="362"/>
      <c r="B43" s="780"/>
      <c r="C43" s="764">
        <v>1</v>
      </c>
      <c r="D43" s="772" t="str">
        <f>IF(AND(F43="-",G43="-",H43="-",I43="-",J43="-",K43="-",L43="-",M43="-"),"-",MAX(F43,G43,H43,I43,J43,K43,L43,M43))</f>
        <v>-</v>
      </c>
      <c r="E43" s="66" t="s">
        <v>177</v>
      </c>
      <c r="F43" s="65" t="str">
        <f t="shared" ref="F43:M43" si="32">IF(OR(F42="-",F42=""),IF(OR(F41="-",F41=""),"-",F41),IF(OR(F41="-",F41=""),F42,(F41+F42)/2))</f>
        <v>-</v>
      </c>
      <c r="G43" s="65" t="str">
        <f t="shared" si="32"/>
        <v>-</v>
      </c>
      <c r="H43" s="65" t="str">
        <f t="shared" si="32"/>
        <v>-</v>
      </c>
      <c r="I43" s="65" t="str">
        <f t="shared" si="32"/>
        <v>-</v>
      </c>
      <c r="J43" s="65" t="str">
        <f t="shared" si="32"/>
        <v>-</v>
      </c>
      <c r="K43" s="167" t="str">
        <f t="shared" si="32"/>
        <v>-</v>
      </c>
      <c r="L43" s="167" t="str">
        <f t="shared" si="32"/>
        <v>-</v>
      </c>
      <c r="M43" s="167" t="str">
        <f t="shared" si="32"/>
        <v>-</v>
      </c>
      <c r="N43" s="740"/>
      <c r="O43" s="749"/>
      <c r="P43" s="750"/>
      <c r="Q43" s="750"/>
      <c r="R43" s="754"/>
      <c r="S43" s="749"/>
      <c r="T43" s="750"/>
      <c r="U43" s="750"/>
      <c r="V43" s="754"/>
      <c r="W43" s="372"/>
      <c r="X43" s="372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BC43" s="159" t="str">
        <f t="shared" si="9"/>
        <v>-</v>
      </c>
      <c r="BM43" s="153"/>
      <c r="BN43" s="153"/>
      <c r="BO43" s="153"/>
      <c r="BP43" s="153"/>
      <c r="BQ43" s="153"/>
      <c r="BR43" s="153"/>
      <c r="BS43" s="153"/>
      <c r="BT43" s="153"/>
    </row>
    <row r="44" spans="1:80" ht="15" customHeight="1" outlineLevel="1" thickBot="1" x14ac:dyDescent="0.3">
      <c r="A44" s="362"/>
      <c r="B44" s="780"/>
      <c r="C44" s="765"/>
      <c r="D44" s="773"/>
      <c r="E44" s="96" t="s">
        <v>97</v>
      </c>
      <c r="F44" s="63" t="str">
        <f t="shared" ref="F44:M44" si="33">IF(OR($C43="-",$C43="CET",$C43=""),"-",IF(AND(NOT(F43="-"),NOT(F$5="-"),NOT(F$5="")),F43/F$5,"-"))</f>
        <v>-</v>
      </c>
      <c r="G44" s="63" t="str">
        <f t="shared" si="33"/>
        <v>-</v>
      </c>
      <c r="H44" s="63" t="str">
        <f t="shared" si="33"/>
        <v>-</v>
      </c>
      <c r="I44" s="63" t="str">
        <f t="shared" si="33"/>
        <v>-</v>
      </c>
      <c r="J44" s="63" t="str">
        <f t="shared" si="33"/>
        <v>-</v>
      </c>
      <c r="K44" s="168" t="str">
        <f t="shared" si="33"/>
        <v>-</v>
      </c>
      <c r="L44" s="168" t="str">
        <f t="shared" si="33"/>
        <v>-</v>
      </c>
      <c r="M44" s="168" t="str">
        <f t="shared" si="33"/>
        <v>-</v>
      </c>
      <c r="N44" s="741"/>
      <c r="O44" s="749"/>
      <c r="P44" s="750"/>
      <c r="Q44" s="750"/>
      <c r="R44" s="754"/>
      <c r="S44" s="749"/>
      <c r="T44" s="750"/>
      <c r="U44" s="750"/>
      <c r="V44" s="754"/>
      <c r="W44" s="372"/>
      <c r="X44" s="372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BC44" s="159" t="str">
        <f t="shared" si="9"/>
        <v>-</v>
      </c>
      <c r="BM44" s="153"/>
      <c r="BN44" s="153"/>
      <c r="BO44" s="153"/>
      <c r="BP44" s="153"/>
      <c r="BQ44" s="153"/>
      <c r="BR44" s="153"/>
      <c r="BS44" s="153"/>
      <c r="BT44" s="153"/>
    </row>
    <row r="45" spans="1:80" ht="15" customHeight="1" outlineLevel="1" thickBot="1" x14ac:dyDescent="0.3">
      <c r="A45" s="362"/>
      <c r="B45" s="781"/>
      <c r="C45" s="771"/>
      <c r="D45" s="774"/>
      <c r="E45" s="62" t="s">
        <v>30</v>
      </c>
      <c r="F45" s="62" t="str">
        <f t="shared" ref="F45:M45" si="34">IF(AND(OR(F41="-",F41=""),OR(F42="-",F42="")),"-",IF(OR($C43="-",$C43="",$C43="CET"),"-",IF($R$37="not listed","-",IF(NOT(F$5="-"),IF(AND(AND(NOT(F41=0),NOT(F41="-"),NOT(F41="")),AND(NOT(F42="-"),NOT(F42=0),NOT(F42=""))),IF(AND((F41+F42)/2&lt;1*F$5*IF(OR($C43="CET",$C43="-",$C43=""),"-",$C43),F41&lt;1.1*F$5*IF(OR($C43="CET",$C43="-",$C43=""),"-",$C43),F42&lt;1.1*F$5*IF(OR($C43="CET",$C43="-",$C43=""),"-",$C43)),"passed","refused"),IF(IF(OR(F41="-",F41=""),F42,F41)&lt;0.7*F$5*IF(OR($C43="CET",$C43="-",$C43=""),"-",$C43),"passed",IF(IF(OR(F41="-",F41=""),F42,F41)&lt;1.1*IF(OR($C43="CET",$C43="-",$C43=""),"-",$C43)*F$5,"failed","refused"))),"-"))))</f>
        <v>-</v>
      </c>
      <c r="G45" s="62" t="str">
        <f t="shared" si="34"/>
        <v>-</v>
      </c>
      <c r="H45" s="62" t="str">
        <f t="shared" si="34"/>
        <v>-</v>
      </c>
      <c r="I45" s="62" t="str">
        <f t="shared" si="34"/>
        <v>-</v>
      </c>
      <c r="J45" s="62" t="str">
        <f t="shared" si="34"/>
        <v>-</v>
      </c>
      <c r="K45" s="169" t="str">
        <f t="shared" si="34"/>
        <v>-</v>
      </c>
      <c r="L45" s="169" t="str">
        <f t="shared" si="34"/>
        <v>-</v>
      </c>
      <c r="M45" s="169" t="str">
        <f t="shared" si="34"/>
        <v>-</v>
      </c>
      <c r="N45" s="742"/>
      <c r="O45" s="749"/>
      <c r="P45" s="750"/>
      <c r="Q45" s="750"/>
      <c r="R45" s="754"/>
      <c r="S45" s="749"/>
      <c r="T45" s="750"/>
      <c r="U45" s="750"/>
      <c r="V45" s="754"/>
      <c r="W45" s="372"/>
      <c r="X45" s="372"/>
      <c r="Y45" s="743"/>
      <c r="Z45" s="743"/>
      <c r="AA45" s="743"/>
      <c r="AB45" s="743"/>
      <c r="AC45" s="743"/>
      <c r="AD45" s="743"/>
      <c r="AE45" s="743"/>
      <c r="AF45" s="743"/>
      <c r="AG45" s="743"/>
      <c r="AH45" s="743"/>
      <c r="BC45" s="159" t="str">
        <f t="shared" si="9"/>
        <v>-</v>
      </c>
      <c r="BM45" s="153">
        <f t="shared" ref="BM45:BT45" si="35">IF(OR($C43="-",$C43="CET",$C43=""),"-",0.7*$C43)</f>
        <v>0.7</v>
      </c>
      <c r="BN45" s="153">
        <f t="shared" si="35"/>
        <v>0.7</v>
      </c>
      <c r="BO45" s="153">
        <f t="shared" si="35"/>
        <v>0.7</v>
      </c>
      <c r="BP45" s="153">
        <f t="shared" si="35"/>
        <v>0.7</v>
      </c>
      <c r="BQ45" s="153">
        <f t="shared" si="35"/>
        <v>0.7</v>
      </c>
      <c r="BR45" s="153">
        <f t="shared" si="35"/>
        <v>0.7</v>
      </c>
      <c r="BS45" s="153">
        <f t="shared" si="35"/>
        <v>0.7</v>
      </c>
      <c r="BT45" s="153">
        <f t="shared" si="35"/>
        <v>0.7</v>
      </c>
    </row>
    <row r="46" spans="1:80" ht="15" customHeight="1" outlineLevel="1" x14ac:dyDescent="0.25">
      <c r="A46" s="362"/>
      <c r="B46" s="761"/>
      <c r="C46" s="760"/>
      <c r="D46" s="375"/>
      <c r="E46" s="375"/>
      <c r="F46" s="379"/>
      <c r="G46" s="379"/>
      <c r="H46" s="379"/>
      <c r="I46" s="379"/>
      <c r="J46" s="379"/>
      <c r="K46" s="171"/>
      <c r="L46" s="171"/>
      <c r="M46" s="171"/>
      <c r="N46" s="57"/>
      <c r="O46" s="749"/>
      <c r="P46" s="750"/>
      <c r="Q46" s="750"/>
      <c r="R46" s="754"/>
      <c r="S46" s="749"/>
      <c r="T46" s="750"/>
      <c r="U46" s="750"/>
      <c r="V46" s="754"/>
      <c r="W46" s="372"/>
      <c r="X46" s="372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BC46" s="159" t="str">
        <f t="shared" si="9"/>
        <v>-</v>
      </c>
      <c r="BM46" s="153"/>
      <c r="BN46" s="153"/>
      <c r="BO46" s="153"/>
      <c r="BP46" s="153"/>
      <c r="BQ46" s="153"/>
      <c r="BR46" s="153"/>
      <c r="BS46" s="153"/>
      <c r="BT46" s="153"/>
    </row>
    <row r="47" spans="1:80" ht="15" customHeight="1" outlineLevel="1" x14ac:dyDescent="0.25">
      <c r="A47" s="362"/>
      <c r="B47" s="761"/>
      <c r="C47" s="760"/>
      <c r="D47" s="375"/>
      <c r="E47" s="375"/>
      <c r="F47" s="379"/>
      <c r="G47" s="379"/>
      <c r="H47" s="379"/>
      <c r="I47" s="379"/>
      <c r="J47" s="379"/>
      <c r="K47" s="171"/>
      <c r="L47" s="171"/>
      <c r="M47" s="171"/>
      <c r="N47" s="57"/>
      <c r="O47" s="749"/>
      <c r="P47" s="750"/>
      <c r="Q47" s="750"/>
      <c r="R47" s="754"/>
      <c r="S47" s="749"/>
      <c r="T47" s="750"/>
      <c r="U47" s="750"/>
      <c r="V47" s="754"/>
      <c r="W47" s="372"/>
      <c r="X47" s="372"/>
      <c r="Y47" s="743"/>
      <c r="Z47" s="743"/>
      <c r="AA47" s="743"/>
      <c r="AB47" s="743"/>
      <c r="AC47" s="743"/>
      <c r="AD47" s="743"/>
      <c r="AE47" s="743"/>
      <c r="AF47" s="743"/>
      <c r="AG47" s="743"/>
      <c r="AH47" s="743"/>
      <c r="BC47" s="159" t="str">
        <f t="shared" si="9"/>
        <v>-</v>
      </c>
      <c r="BM47" s="153"/>
      <c r="BN47" s="153"/>
      <c r="BO47" s="153"/>
      <c r="BP47" s="153"/>
      <c r="BQ47" s="153"/>
      <c r="BR47" s="153"/>
      <c r="BS47" s="153"/>
      <c r="BT47" s="153"/>
    </row>
    <row r="48" spans="1:80" ht="15" customHeight="1" outlineLevel="1" x14ac:dyDescent="0.25">
      <c r="A48" s="362"/>
      <c r="B48" s="761"/>
      <c r="C48" s="760"/>
      <c r="D48" s="375"/>
      <c r="E48" s="375"/>
      <c r="F48" s="56"/>
      <c r="G48" s="56"/>
      <c r="H48" s="56"/>
      <c r="I48" s="56"/>
      <c r="J48" s="56"/>
      <c r="K48" s="171"/>
      <c r="L48" s="171"/>
      <c r="M48" s="171"/>
      <c r="N48" s="55"/>
      <c r="O48" s="749"/>
      <c r="P48" s="750"/>
      <c r="Q48" s="750"/>
      <c r="R48" s="754"/>
      <c r="S48" s="749"/>
      <c r="T48" s="750"/>
      <c r="U48" s="750"/>
      <c r="V48" s="754"/>
      <c r="W48" s="372"/>
      <c r="X48" s="372"/>
      <c r="Y48" s="743"/>
      <c r="Z48" s="743"/>
      <c r="AA48" s="743"/>
      <c r="AB48" s="743"/>
      <c r="AC48" s="743"/>
      <c r="AD48" s="743"/>
      <c r="AE48" s="743"/>
      <c r="AF48" s="743"/>
      <c r="AG48" s="743"/>
      <c r="AH48" s="743"/>
      <c r="BC48" s="159" t="str">
        <f t="shared" si="9"/>
        <v>-</v>
      </c>
      <c r="BM48" s="153"/>
      <c r="BN48" s="153"/>
      <c r="BO48" s="153"/>
      <c r="BP48" s="153"/>
      <c r="BQ48" s="153"/>
      <c r="BR48" s="153"/>
      <c r="BS48" s="153"/>
      <c r="BT48" s="153"/>
    </row>
    <row r="49" spans="1:72" ht="15" customHeight="1" outlineLevel="1" x14ac:dyDescent="0.25">
      <c r="A49" s="362"/>
      <c r="B49" s="761"/>
      <c r="C49" s="760"/>
      <c r="D49" s="375"/>
      <c r="E49" s="375"/>
      <c r="F49" s="56"/>
      <c r="G49" s="56"/>
      <c r="H49" s="56"/>
      <c r="I49" s="56"/>
      <c r="J49" s="56"/>
      <c r="K49" s="171"/>
      <c r="L49" s="171"/>
      <c r="M49" s="171"/>
      <c r="N49" s="55"/>
      <c r="O49" s="749"/>
      <c r="P49" s="750"/>
      <c r="Q49" s="750"/>
      <c r="R49" s="754"/>
      <c r="S49" s="749"/>
      <c r="T49" s="750"/>
      <c r="U49" s="750"/>
      <c r="V49" s="754"/>
      <c r="W49" s="372"/>
      <c r="X49" s="372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BC49" s="159" t="str">
        <f t="shared" si="9"/>
        <v>-</v>
      </c>
      <c r="BM49" s="153" t="str">
        <f t="shared" ref="BM49:BT49" si="36">IF(OR($C43="-",$C43="CET"),"-",F44)</f>
        <v>-</v>
      </c>
      <c r="BN49" s="153" t="str">
        <f t="shared" si="36"/>
        <v>-</v>
      </c>
      <c r="BO49" s="153" t="str">
        <f t="shared" si="36"/>
        <v>-</v>
      </c>
      <c r="BP49" s="153" t="str">
        <f t="shared" si="36"/>
        <v>-</v>
      </c>
      <c r="BQ49" s="153" t="str">
        <f t="shared" si="36"/>
        <v>-</v>
      </c>
      <c r="BR49" s="153" t="str">
        <f t="shared" si="36"/>
        <v>-</v>
      </c>
      <c r="BS49" s="153" t="str">
        <f t="shared" si="36"/>
        <v>-</v>
      </c>
      <c r="BT49" s="153" t="str">
        <f t="shared" si="36"/>
        <v>-</v>
      </c>
    </row>
    <row r="50" spans="1:72" ht="15" customHeight="1" outlineLevel="1" x14ac:dyDescent="0.25">
      <c r="A50" s="40"/>
      <c r="B50" s="761"/>
      <c r="C50" s="760"/>
      <c r="D50" s="375"/>
      <c r="E50" s="375"/>
      <c r="F50" s="375"/>
      <c r="G50" s="375"/>
      <c r="H50" s="375"/>
      <c r="I50" s="375"/>
      <c r="J50" s="375"/>
      <c r="K50" s="171"/>
      <c r="L50" s="171"/>
      <c r="M50" s="171"/>
      <c r="N50" s="59"/>
      <c r="O50" s="749"/>
      <c r="P50" s="750"/>
      <c r="Q50" s="750"/>
      <c r="R50" s="754"/>
      <c r="S50" s="749"/>
      <c r="T50" s="750"/>
      <c r="U50" s="750"/>
      <c r="V50" s="754"/>
      <c r="W50" s="372"/>
      <c r="X50" s="372"/>
      <c r="Y50" s="743"/>
      <c r="Z50" s="743"/>
      <c r="AA50" s="743"/>
      <c r="AB50" s="743"/>
      <c r="AC50" s="743"/>
      <c r="AD50" s="743"/>
      <c r="AE50" s="743"/>
      <c r="AF50" s="743"/>
      <c r="AG50" s="743"/>
      <c r="AH50" s="743"/>
      <c r="BC50" s="159" t="str">
        <f t="shared" si="9"/>
        <v>-</v>
      </c>
      <c r="BM50" s="153"/>
      <c r="BN50" s="153"/>
      <c r="BO50" s="153"/>
      <c r="BP50" s="153"/>
      <c r="BQ50" s="153"/>
      <c r="BR50" s="153"/>
      <c r="BS50" s="153"/>
      <c r="BT50" s="153"/>
    </row>
    <row r="51" spans="1:72" ht="15" customHeight="1" outlineLevel="1" x14ac:dyDescent="0.25">
      <c r="A51" s="40"/>
      <c r="B51" s="761"/>
      <c r="C51" s="760"/>
      <c r="D51" s="375"/>
      <c r="E51" s="375"/>
      <c r="F51" s="379"/>
      <c r="G51" s="379"/>
      <c r="H51" s="379"/>
      <c r="I51" s="379"/>
      <c r="J51" s="379"/>
      <c r="K51" s="171"/>
      <c r="L51" s="171"/>
      <c r="M51" s="171"/>
      <c r="N51" s="57"/>
      <c r="O51" s="749"/>
      <c r="P51" s="750"/>
      <c r="Q51" s="750"/>
      <c r="R51" s="754"/>
      <c r="S51" s="749"/>
      <c r="T51" s="750"/>
      <c r="U51" s="750"/>
      <c r="V51" s="754"/>
      <c r="W51" s="372"/>
      <c r="X51" s="372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BC51" s="159" t="str">
        <f t="shared" si="9"/>
        <v>-</v>
      </c>
      <c r="BM51" s="153"/>
      <c r="BN51" s="153"/>
      <c r="BO51" s="153"/>
      <c r="BP51" s="153"/>
      <c r="BQ51" s="153"/>
      <c r="BR51" s="153"/>
      <c r="BS51" s="153"/>
      <c r="BT51" s="153"/>
    </row>
    <row r="52" spans="1:72" ht="15" customHeight="1" outlineLevel="1" x14ac:dyDescent="0.25">
      <c r="A52" s="40"/>
      <c r="B52" s="761"/>
      <c r="C52" s="760"/>
      <c r="D52" s="375"/>
      <c r="E52" s="375"/>
      <c r="F52" s="379"/>
      <c r="G52" s="379"/>
      <c r="H52" s="379"/>
      <c r="I52" s="379"/>
      <c r="J52" s="379"/>
      <c r="K52" s="171"/>
      <c r="L52" s="171"/>
      <c r="M52" s="171"/>
      <c r="N52" s="57"/>
      <c r="O52" s="749"/>
      <c r="P52" s="750"/>
      <c r="Q52" s="750"/>
      <c r="R52" s="754"/>
      <c r="S52" s="749"/>
      <c r="T52" s="750"/>
      <c r="U52" s="750"/>
      <c r="V52" s="754"/>
      <c r="W52" s="372"/>
      <c r="X52" s="372"/>
      <c r="Y52" s="743"/>
      <c r="Z52" s="743"/>
      <c r="AA52" s="743"/>
      <c r="AB52" s="743"/>
      <c r="AC52" s="743"/>
      <c r="AD52" s="743"/>
      <c r="AE52" s="743"/>
      <c r="AF52" s="743"/>
      <c r="AG52" s="743"/>
      <c r="AH52" s="743"/>
      <c r="BC52" s="159" t="str">
        <f t="shared" si="9"/>
        <v>-</v>
      </c>
      <c r="BM52" s="153"/>
      <c r="BN52" s="153"/>
      <c r="BO52" s="153"/>
      <c r="BP52" s="153"/>
      <c r="BQ52" s="153"/>
      <c r="BR52" s="153"/>
      <c r="BS52" s="153"/>
      <c r="BT52" s="153"/>
    </row>
    <row r="53" spans="1:72" ht="15" customHeight="1" outlineLevel="1" x14ac:dyDescent="0.25">
      <c r="A53" s="40"/>
      <c r="B53" s="761"/>
      <c r="C53" s="760"/>
      <c r="D53" s="375"/>
      <c r="E53" s="375"/>
      <c r="F53" s="56"/>
      <c r="G53" s="56"/>
      <c r="H53" s="56"/>
      <c r="I53" s="108"/>
      <c r="J53" s="56"/>
      <c r="K53" s="171"/>
      <c r="L53" s="171"/>
      <c r="M53" s="171"/>
      <c r="N53" s="55"/>
      <c r="O53" s="749"/>
      <c r="P53" s="750"/>
      <c r="Q53" s="750"/>
      <c r="R53" s="754"/>
      <c r="S53" s="749"/>
      <c r="T53" s="750"/>
      <c r="U53" s="750"/>
      <c r="V53" s="754"/>
      <c r="W53" s="372"/>
      <c r="X53" s="372"/>
      <c r="Y53" s="743"/>
      <c r="Z53" s="743"/>
      <c r="AA53" s="743"/>
      <c r="AB53" s="743"/>
      <c r="AC53" s="743"/>
      <c r="AD53" s="743"/>
      <c r="AE53" s="743"/>
      <c r="AF53" s="743"/>
      <c r="AG53" s="743"/>
      <c r="AH53" s="743"/>
      <c r="BC53" s="159" t="str">
        <f t="shared" si="9"/>
        <v>-</v>
      </c>
      <c r="BM53" s="153">
        <f t="shared" ref="BM53:BT53" si="37">IF(OR($C43="CET",$C43="-",$C43=""),"-",$C43)</f>
        <v>1</v>
      </c>
      <c r="BN53" s="153">
        <f t="shared" si="37"/>
        <v>1</v>
      </c>
      <c r="BO53" s="153">
        <f t="shared" si="37"/>
        <v>1</v>
      </c>
      <c r="BP53" s="153">
        <f t="shared" si="37"/>
        <v>1</v>
      </c>
      <c r="BQ53" s="153">
        <f t="shared" si="37"/>
        <v>1</v>
      </c>
      <c r="BR53" s="153">
        <f t="shared" si="37"/>
        <v>1</v>
      </c>
      <c r="BS53" s="153">
        <f t="shared" si="37"/>
        <v>1</v>
      </c>
      <c r="BT53" s="153">
        <f t="shared" si="37"/>
        <v>1</v>
      </c>
    </row>
    <row r="54" spans="1:72" ht="15" customHeight="1" outlineLevel="1" x14ac:dyDescent="0.25">
      <c r="A54" s="40"/>
      <c r="B54" s="761"/>
      <c r="C54" s="760"/>
      <c r="D54" s="375"/>
      <c r="E54" s="375"/>
      <c r="F54" s="56"/>
      <c r="G54" s="56"/>
      <c r="H54" s="56"/>
      <c r="I54" s="56"/>
      <c r="J54" s="56"/>
      <c r="K54" s="171"/>
      <c r="L54" s="171"/>
      <c r="M54" s="171"/>
      <c r="N54" s="55"/>
      <c r="O54" s="749"/>
      <c r="P54" s="750"/>
      <c r="Q54" s="750"/>
      <c r="R54" s="754"/>
      <c r="S54" s="749"/>
      <c r="T54" s="750"/>
      <c r="U54" s="750"/>
      <c r="V54" s="754"/>
      <c r="W54" s="372"/>
      <c r="X54" s="372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BC54" s="159" t="str">
        <f t="shared" si="9"/>
        <v>-</v>
      </c>
      <c r="BD54" s="156"/>
      <c r="BE54" s="156"/>
      <c r="BF54" s="156"/>
      <c r="BG54" s="156"/>
      <c r="BH54" s="156"/>
      <c r="BI54" s="156"/>
      <c r="BJ54" s="156"/>
      <c r="BK54" s="156"/>
      <c r="BL54" s="156"/>
    </row>
    <row r="55" spans="1:72" ht="15" customHeight="1" outlineLevel="1" x14ac:dyDescent="0.25">
      <c r="A55" s="40"/>
      <c r="B55" s="761"/>
      <c r="C55" s="760"/>
      <c r="D55" s="375"/>
      <c r="E55" s="375"/>
      <c r="F55" s="375"/>
      <c r="G55" s="375"/>
      <c r="H55" s="375"/>
      <c r="I55" s="375"/>
      <c r="J55" s="375"/>
      <c r="K55" s="171"/>
      <c r="L55" s="171"/>
      <c r="M55" s="171"/>
      <c r="N55" s="59"/>
      <c r="O55" s="749"/>
      <c r="P55" s="750"/>
      <c r="Q55" s="750"/>
      <c r="R55" s="754"/>
      <c r="S55" s="749"/>
      <c r="T55" s="750"/>
      <c r="U55" s="750"/>
      <c r="V55" s="754"/>
      <c r="W55" s="372"/>
      <c r="X55" s="372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BC55" s="159" t="str">
        <f t="shared" si="9"/>
        <v>-</v>
      </c>
      <c r="BD55" s="156"/>
      <c r="BE55" s="156"/>
      <c r="BF55" s="156"/>
      <c r="BG55" s="156"/>
      <c r="BH55" s="156"/>
      <c r="BI55" s="156"/>
      <c r="BJ55" s="156"/>
      <c r="BK55" s="156"/>
      <c r="BL55" s="156"/>
    </row>
    <row r="56" spans="1:72" ht="15" customHeight="1" outlineLevel="1" x14ac:dyDescent="0.25">
      <c r="A56" s="40"/>
      <c r="B56" s="761"/>
      <c r="C56" s="760"/>
      <c r="D56" s="375"/>
      <c r="E56" s="375"/>
      <c r="F56" s="379"/>
      <c r="G56" s="379"/>
      <c r="H56" s="379"/>
      <c r="I56" s="379"/>
      <c r="J56" s="379"/>
      <c r="K56" s="171"/>
      <c r="L56" s="171"/>
      <c r="M56" s="171"/>
      <c r="N56" s="57"/>
      <c r="O56" s="749"/>
      <c r="P56" s="750"/>
      <c r="Q56" s="750"/>
      <c r="R56" s="754"/>
      <c r="S56" s="749"/>
      <c r="T56" s="750"/>
      <c r="U56" s="750"/>
      <c r="V56" s="754"/>
      <c r="W56" s="372"/>
      <c r="X56" s="372"/>
      <c r="Y56" s="743"/>
      <c r="Z56" s="743"/>
      <c r="AA56" s="743"/>
      <c r="AB56" s="743"/>
      <c r="AC56" s="743"/>
      <c r="AD56" s="743"/>
      <c r="AE56" s="743"/>
      <c r="AF56" s="743"/>
      <c r="AG56" s="743"/>
      <c r="AH56" s="743"/>
      <c r="BC56" s="159" t="str">
        <f t="shared" si="9"/>
        <v>-</v>
      </c>
      <c r="BD56" s="156"/>
      <c r="BE56" s="156"/>
      <c r="BF56" s="156"/>
      <c r="BG56" s="156"/>
      <c r="BH56" s="156"/>
      <c r="BI56" s="156"/>
      <c r="BJ56" s="156"/>
      <c r="BK56" s="156"/>
      <c r="BL56" s="156"/>
    </row>
    <row r="57" spans="1:72" ht="15" customHeight="1" outlineLevel="1" x14ac:dyDescent="0.25">
      <c r="A57" s="40"/>
      <c r="B57" s="761"/>
      <c r="C57" s="760"/>
      <c r="D57" s="375"/>
      <c r="E57" s="375"/>
      <c r="F57" s="379"/>
      <c r="G57" s="379"/>
      <c r="H57" s="379"/>
      <c r="I57" s="379"/>
      <c r="J57" s="379"/>
      <c r="K57" s="171"/>
      <c r="L57" s="171"/>
      <c r="M57" s="171"/>
      <c r="N57" s="57"/>
      <c r="O57" s="749"/>
      <c r="P57" s="750"/>
      <c r="Q57" s="750"/>
      <c r="R57" s="754"/>
      <c r="S57" s="749"/>
      <c r="T57" s="750"/>
      <c r="U57" s="750"/>
      <c r="V57" s="754"/>
      <c r="W57" s="372"/>
      <c r="X57" s="372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BC57" s="159" t="str">
        <f t="shared" si="9"/>
        <v>-</v>
      </c>
    </row>
    <row r="58" spans="1:72" ht="15" customHeight="1" outlineLevel="1" x14ac:dyDescent="0.25">
      <c r="A58" s="40"/>
      <c r="B58" s="761"/>
      <c r="C58" s="760"/>
      <c r="D58" s="375"/>
      <c r="E58" s="375"/>
      <c r="F58" s="56"/>
      <c r="G58" s="56"/>
      <c r="H58" s="56"/>
      <c r="I58" s="56"/>
      <c r="J58" s="56"/>
      <c r="K58" s="171"/>
      <c r="L58" s="171"/>
      <c r="M58" s="171"/>
      <c r="N58" s="55"/>
      <c r="O58" s="749"/>
      <c r="P58" s="750"/>
      <c r="Q58" s="750"/>
      <c r="R58" s="754"/>
      <c r="S58" s="749"/>
      <c r="T58" s="750"/>
      <c r="U58" s="750"/>
      <c r="V58" s="754"/>
      <c r="W58" s="372"/>
      <c r="X58" s="372"/>
      <c r="Y58" s="743"/>
      <c r="Z58" s="743"/>
      <c r="AA58" s="743"/>
      <c r="AB58" s="743"/>
      <c r="AC58" s="743"/>
      <c r="AD58" s="743"/>
      <c r="AE58" s="743"/>
      <c r="AF58" s="743"/>
      <c r="AG58" s="743"/>
      <c r="AH58" s="743"/>
      <c r="BC58" s="159" t="str">
        <f t="shared" si="9"/>
        <v>-</v>
      </c>
    </row>
    <row r="59" spans="1:72" ht="15" customHeight="1" outlineLevel="1" x14ac:dyDescent="0.25">
      <c r="A59" s="40"/>
      <c r="B59" s="761"/>
      <c r="C59" s="760"/>
      <c r="D59" s="375"/>
      <c r="E59" s="375"/>
      <c r="F59" s="56"/>
      <c r="G59" s="56"/>
      <c r="H59" s="56"/>
      <c r="I59" s="56"/>
      <c r="J59" s="56"/>
      <c r="K59" s="171"/>
      <c r="L59" s="171"/>
      <c r="M59" s="171"/>
      <c r="N59" s="55"/>
      <c r="O59" s="749"/>
      <c r="P59" s="750"/>
      <c r="Q59" s="750"/>
      <c r="R59" s="754"/>
      <c r="S59" s="749"/>
      <c r="T59" s="750"/>
      <c r="U59" s="750"/>
      <c r="V59" s="754"/>
      <c r="W59" s="372"/>
      <c r="X59" s="372"/>
      <c r="Y59" s="743"/>
      <c r="Z59" s="743"/>
      <c r="AA59" s="743"/>
      <c r="AB59" s="743"/>
      <c r="AC59" s="743"/>
      <c r="AD59" s="743"/>
      <c r="AE59" s="743"/>
      <c r="AF59" s="743"/>
      <c r="AG59" s="743"/>
      <c r="AH59" s="743"/>
      <c r="BC59" s="159" t="str">
        <f t="shared" si="9"/>
        <v>-</v>
      </c>
    </row>
    <row r="60" spans="1:72" ht="15.75" outlineLevel="1" thickBot="1" x14ac:dyDescent="0.3">
      <c r="B60" s="796"/>
      <c r="C60" s="778"/>
      <c r="D60" s="376"/>
      <c r="E60" s="376"/>
      <c r="F60" s="376"/>
      <c r="G60" s="376"/>
      <c r="H60" s="376"/>
      <c r="I60" s="376"/>
      <c r="J60" s="376"/>
      <c r="K60" s="172"/>
      <c r="L60" s="172"/>
      <c r="M60" s="172"/>
      <c r="N60" s="54"/>
      <c r="O60" s="751"/>
      <c r="P60" s="752"/>
      <c r="Q60" s="752"/>
      <c r="R60" s="755"/>
      <c r="S60" s="751"/>
      <c r="T60" s="752"/>
      <c r="U60" s="752"/>
      <c r="V60" s="755"/>
      <c r="BC60" s="159" t="str">
        <f t="shared" si="9"/>
        <v>-</v>
      </c>
    </row>
    <row r="61" spans="1:72" ht="15" customHeight="1" x14ac:dyDescent="0.25">
      <c r="BC61" s="159" t="str">
        <f t="shared" si="9"/>
        <v>-</v>
      </c>
    </row>
    <row r="62" spans="1:72" ht="15" customHeight="1" x14ac:dyDescent="0.25">
      <c r="BC62" s="159" t="str">
        <f t="shared" si="9"/>
        <v>-</v>
      </c>
    </row>
    <row r="63" spans="1:72" ht="15" customHeight="1" thickBot="1" x14ac:dyDescent="0.3">
      <c r="A63" s="36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BC63" s="159" t="str">
        <f t="shared" si="9"/>
        <v>-</v>
      </c>
    </row>
    <row r="64" spans="1:72" ht="24.95" customHeight="1" thickBot="1" x14ac:dyDescent="0.3">
      <c r="A64" s="362"/>
      <c r="B64" s="185">
        <v>3</v>
      </c>
      <c r="C64" s="852" t="s">
        <v>166</v>
      </c>
      <c r="D64" s="852"/>
      <c r="E64" s="852"/>
      <c r="F64" s="852"/>
      <c r="G64" s="852"/>
      <c r="H64" s="852"/>
      <c r="I64" s="852"/>
      <c r="J64" s="852"/>
      <c r="K64" s="852"/>
      <c r="L64" s="852"/>
      <c r="M64" s="852"/>
      <c r="N64" s="852"/>
      <c r="O64" s="49" t="s">
        <v>117</v>
      </c>
      <c r="P64" s="71" t="str">
        <f>IF(COUNTIF(F72:M97,"refused")&gt;0,"refused",IF(COUNTIF(F72:M97,"failed")&gt;0,"failed",IF(COUNTIF(F72:M97,"passed")&gt;0,"passed","-")))</f>
        <v>-</v>
      </c>
      <c r="Q64" s="70" t="s">
        <v>80</v>
      </c>
      <c r="R64" s="70" t="str">
        <f>IF(COUNT(F68:M69,F73:M74,F78:M79,F83:M84,F88:M89,F93:M94)&gt;0,"listed","not listed")</f>
        <v>not listed</v>
      </c>
      <c r="S64" s="371"/>
      <c r="T64" s="43"/>
      <c r="U64" s="43"/>
      <c r="V64" s="44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BC64" s="159" t="str">
        <f t="shared" si="9"/>
        <v>-</v>
      </c>
    </row>
    <row r="65" spans="1:80" ht="15" customHeight="1" outlineLevel="1" thickBot="1" x14ac:dyDescent="0.3">
      <c r="A65" s="362"/>
      <c r="B65" s="373"/>
      <c r="C65" s="374"/>
      <c r="D65" s="374"/>
      <c r="E65" s="374"/>
      <c r="F65" s="374"/>
      <c r="G65" s="374"/>
      <c r="H65" s="374"/>
      <c r="I65" s="374"/>
      <c r="J65" s="374"/>
      <c r="K65" s="162"/>
      <c r="L65" s="162"/>
      <c r="M65" s="162"/>
      <c r="N65" s="374"/>
      <c r="O65" s="374"/>
      <c r="P65" s="374"/>
      <c r="Q65" s="374"/>
      <c r="R65" s="374"/>
      <c r="S65" s="374"/>
      <c r="T65" s="45"/>
      <c r="U65" s="45"/>
      <c r="V65" s="46"/>
      <c r="W65" s="47"/>
      <c r="X65" s="47"/>
      <c r="Y65" s="756"/>
      <c r="Z65" s="756"/>
      <c r="AA65" s="756"/>
      <c r="AB65" s="756"/>
      <c r="AC65" s="756"/>
      <c r="AD65" s="756"/>
      <c r="AE65" s="756"/>
      <c r="AF65" s="756"/>
      <c r="AG65" s="756"/>
      <c r="AH65" s="756"/>
      <c r="BC65" s="159" t="str">
        <f t="shared" si="9"/>
        <v>-</v>
      </c>
    </row>
    <row r="66" spans="1:80" ht="15" customHeight="1" outlineLevel="1" thickBot="1" x14ac:dyDescent="0.3">
      <c r="A66" s="362"/>
      <c r="B66" s="744" t="s">
        <v>81</v>
      </c>
      <c r="C66" s="745"/>
      <c r="D66" s="745"/>
      <c r="E66" s="745"/>
      <c r="F66" s="745"/>
      <c r="G66" s="745"/>
      <c r="H66" s="745"/>
      <c r="I66" s="745"/>
      <c r="J66" s="745"/>
      <c r="K66" s="745"/>
      <c r="L66" s="745"/>
      <c r="M66" s="745"/>
      <c r="N66" s="746"/>
      <c r="O66" s="744" t="s">
        <v>82</v>
      </c>
      <c r="P66" s="745"/>
      <c r="Q66" s="745"/>
      <c r="R66" s="746"/>
      <c r="S66" s="744" t="s">
        <v>83</v>
      </c>
      <c r="T66" s="745"/>
      <c r="U66" s="745"/>
      <c r="V66" s="746"/>
      <c r="W66" s="372"/>
      <c r="X66" s="372"/>
      <c r="Y66" s="743"/>
      <c r="Z66" s="743"/>
      <c r="AA66" s="743"/>
      <c r="AB66" s="743"/>
      <c r="AC66" s="743"/>
      <c r="AD66" s="743"/>
      <c r="AE66" s="743"/>
      <c r="AF66" s="743"/>
      <c r="AG66" s="743"/>
      <c r="AH66" s="743"/>
      <c r="BC66" s="159" t="str">
        <f t="shared" si="9"/>
        <v>-</v>
      </c>
      <c r="BD66" s="151" t="s">
        <v>85</v>
      </c>
      <c r="BE66" s="152" t="str">
        <f>F$4</f>
        <v>NMHC 
[g/km]</v>
      </c>
      <c r="BF66" s="152" t="str">
        <f t="shared" ref="BF66:BL66" si="38">G$4</f>
        <v>THC
[g/km]</v>
      </c>
      <c r="BG66" s="152" t="str">
        <f t="shared" si="38"/>
        <v>CO
[g/km]</v>
      </c>
      <c r="BH66" s="152" t="str">
        <f t="shared" si="38"/>
        <v>NOx
[g/km]</v>
      </c>
      <c r="BI66" s="152" t="str">
        <f t="shared" si="38"/>
        <v>PM
[mg/km]</v>
      </c>
      <c r="BJ66" s="152" t="str">
        <f t="shared" si="38"/>
        <v>PN
[#/km]</v>
      </c>
      <c r="BK66" s="152" t="str">
        <f t="shared" si="38"/>
        <v>Additional
component</v>
      </c>
      <c r="BL66" s="152" t="str">
        <f t="shared" si="38"/>
        <v>Additional
component 2</v>
      </c>
    </row>
    <row r="67" spans="1:80" ht="35.1" customHeight="1" outlineLevel="1" thickBot="1" x14ac:dyDescent="0.3">
      <c r="A67" s="362"/>
      <c r="B67" s="767" t="s">
        <v>84</v>
      </c>
      <c r="C67" s="768"/>
      <c r="D67" s="768"/>
      <c r="E67" s="769"/>
      <c r="F67" s="69" t="s">
        <v>72</v>
      </c>
      <c r="G67" s="377" t="s">
        <v>73</v>
      </c>
      <c r="H67" s="69" t="s">
        <v>74</v>
      </c>
      <c r="I67" s="69" t="s">
        <v>75</v>
      </c>
      <c r="J67" s="69" t="s">
        <v>76</v>
      </c>
      <c r="K67" s="163" t="s">
        <v>170</v>
      </c>
      <c r="L67" s="380" t="str">
        <f>$L$4</f>
        <v>Additional
component</v>
      </c>
      <c r="M67" s="380" t="str">
        <f>$M$4</f>
        <v>Additional
component 2</v>
      </c>
      <c r="N67" s="69" t="s">
        <v>77</v>
      </c>
      <c r="O67" s="747"/>
      <c r="P67" s="748"/>
      <c r="Q67" s="748"/>
      <c r="R67" s="748"/>
      <c r="S67" s="747"/>
      <c r="T67" s="748"/>
      <c r="U67" s="748"/>
      <c r="V67" s="753"/>
      <c r="W67" s="372"/>
      <c r="X67" s="372"/>
      <c r="Y67" s="743"/>
      <c r="Z67" s="743"/>
      <c r="AA67" s="743"/>
      <c r="AB67" s="743"/>
      <c r="AC67" s="743"/>
      <c r="AD67" s="743"/>
      <c r="AE67" s="743"/>
      <c r="AF67" s="743"/>
      <c r="AG67" s="743"/>
      <c r="AH67" s="743"/>
      <c r="BC67" s="159" t="str">
        <f t="shared" si="9"/>
        <v>-</v>
      </c>
      <c r="BD67" s="151" t="str">
        <f>$E$4</f>
        <v>US EPA Tier 2 Bin 11</v>
      </c>
      <c r="BE67" s="153">
        <v>1</v>
      </c>
      <c r="BF67" s="153">
        <v>1</v>
      </c>
      <c r="BG67" s="153">
        <v>1</v>
      </c>
      <c r="BH67" s="153">
        <v>1</v>
      </c>
      <c r="BI67" s="153">
        <v>1</v>
      </c>
      <c r="BJ67" s="153">
        <v>1</v>
      </c>
      <c r="BK67" s="153">
        <v>2</v>
      </c>
      <c r="BL67" s="153">
        <v>3</v>
      </c>
    </row>
    <row r="68" spans="1:80" ht="15" customHeight="1" outlineLevel="1" x14ac:dyDescent="0.25">
      <c r="A68" s="362"/>
      <c r="B68" s="679" t="str">
        <f>'Variant 2 - FTP'!B68:B72</f>
        <v>Drive Mode 1</v>
      </c>
      <c r="C68" s="770" t="s">
        <v>114</v>
      </c>
      <c r="D68" s="770" t="s">
        <v>113</v>
      </c>
      <c r="E68" s="106" t="s">
        <v>94</v>
      </c>
      <c r="F68" s="98" t="s">
        <v>5</v>
      </c>
      <c r="G68" s="98" t="s">
        <v>5</v>
      </c>
      <c r="H68" s="98" t="s">
        <v>5</v>
      </c>
      <c r="I68" s="98" t="s">
        <v>5</v>
      </c>
      <c r="J68" s="98" t="s">
        <v>5</v>
      </c>
      <c r="K68" s="165" t="s">
        <v>5</v>
      </c>
      <c r="L68" s="165" t="s">
        <v>5</v>
      </c>
      <c r="M68" s="165" t="s">
        <v>5</v>
      </c>
      <c r="N68" s="98" t="s">
        <v>5</v>
      </c>
      <c r="O68" s="749"/>
      <c r="P68" s="750"/>
      <c r="Q68" s="750"/>
      <c r="R68" s="750"/>
      <c r="S68" s="749"/>
      <c r="T68" s="750"/>
      <c r="U68" s="750"/>
      <c r="V68" s="754"/>
      <c r="W68" s="372"/>
      <c r="X68" s="372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BC68" s="159" t="str">
        <f t="shared" si="9"/>
        <v>-</v>
      </c>
      <c r="BD68" s="151" t="str">
        <f>"1st " &amp;  B68</f>
        <v>1st Drive Mode 1</v>
      </c>
      <c r="BE68" s="153" t="str">
        <f t="shared" ref="BE68:BL68" si="39">IF((OR($C70="-",$C70="CET",$C70="")),"-",IF(AND(OR(F68="-",F68=""),OR(F69="-",F69="")),"-",IF(NOT(OR(F68="-",F68="")),F68/F$5,F69/F$5)))</f>
        <v>-</v>
      </c>
      <c r="BF68" s="153" t="str">
        <f t="shared" si="39"/>
        <v>-</v>
      </c>
      <c r="BG68" s="153" t="str">
        <f t="shared" si="39"/>
        <v>-</v>
      </c>
      <c r="BH68" s="153" t="str">
        <f t="shared" si="39"/>
        <v>-</v>
      </c>
      <c r="BI68" s="153" t="str">
        <f t="shared" si="39"/>
        <v>-</v>
      </c>
      <c r="BJ68" s="153" t="str">
        <f t="shared" si="39"/>
        <v>-</v>
      </c>
      <c r="BK68" s="153" t="str">
        <f t="shared" si="39"/>
        <v>-</v>
      </c>
      <c r="BL68" s="153" t="str">
        <f t="shared" si="39"/>
        <v>-</v>
      </c>
    </row>
    <row r="69" spans="1:80" s="50" customFormat="1" ht="15" customHeight="1" outlineLevel="1" thickBot="1" x14ac:dyDescent="0.3">
      <c r="A69" s="53"/>
      <c r="B69" s="680"/>
      <c r="C69" s="741"/>
      <c r="D69" s="742"/>
      <c r="E69" s="104" t="s">
        <v>95</v>
      </c>
      <c r="F69" s="97" t="s">
        <v>5</v>
      </c>
      <c r="G69" s="97" t="s">
        <v>5</v>
      </c>
      <c r="H69" s="97" t="s">
        <v>5</v>
      </c>
      <c r="I69" s="97" t="s">
        <v>5</v>
      </c>
      <c r="J69" s="97" t="s">
        <v>5</v>
      </c>
      <c r="K69" s="166" t="s">
        <v>5</v>
      </c>
      <c r="L69" s="166" t="s">
        <v>5</v>
      </c>
      <c r="M69" s="166" t="s">
        <v>5</v>
      </c>
      <c r="N69" s="97" t="s">
        <v>5</v>
      </c>
      <c r="O69" s="749"/>
      <c r="P69" s="750"/>
      <c r="Q69" s="750"/>
      <c r="R69" s="750"/>
      <c r="S69" s="749"/>
      <c r="T69" s="750"/>
      <c r="U69" s="750"/>
      <c r="V69" s="754"/>
      <c r="W69" s="51"/>
      <c r="X69" s="51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BC69" s="159" t="str">
        <f t="shared" si="9"/>
        <v>-</v>
      </c>
      <c r="BD69" s="151" t="str">
        <f>"1st " &amp; B73</f>
        <v>1st Drive Mode 2</v>
      </c>
      <c r="BE69" s="153" t="str">
        <f t="shared" ref="BE69:BL69" si="40">IF((OR($C75="-",$C75="CET",$C75="")),"-",IF(AND(OR(F73="-",F73=""),OR(F74="-",F74="")),"-",IF(NOT(OR(F73="-",F73="")),F73/F$5,F74/F$5)))</f>
        <v>-</v>
      </c>
      <c r="BF69" s="153" t="str">
        <f t="shared" si="40"/>
        <v>-</v>
      </c>
      <c r="BG69" s="153" t="str">
        <f t="shared" si="40"/>
        <v>-</v>
      </c>
      <c r="BH69" s="153" t="str">
        <f t="shared" si="40"/>
        <v>-</v>
      </c>
      <c r="BI69" s="153" t="str">
        <f t="shared" si="40"/>
        <v>-</v>
      </c>
      <c r="BJ69" s="153" t="str">
        <f t="shared" si="40"/>
        <v>-</v>
      </c>
      <c r="BK69" s="153" t="str">
        <f t="shared" si="40"/>
        <v>-</v>
      </c>
      <c r="BL69" s="153" t="str">
        <f t="shared" si="40"/>
        <v>-</v>
      </c>
      <c r="BM69" s="150"/>
      <c r="BN69" s="150"/>
      <c r="BO69" s="150"/>
      <c r="BP69" s="150"/>
      <c r="BQ69" s="150"/>
      <c r="BR69" s="150"/>
      <c r="BS69" s="150"/>
      <c r="BT69" s="150"/>
      <c r="BU69" s="150"/>
      <c r="BV69" s="150"/>
      <c r="BW69" s="150"/>
      <c r="BX69" s="150"/>
      <c r="BY69" s="150"/>
      <c r="BZ69" s="150"/>
      <c r="CA69" s="150"/>
      <c r="CB69" s="150"/>
    </row>
    <row r="70" spans="1:80" ht="15" customHeight="1" outlineLevel="1" thickBot="1" x14ac:dyDescent="0.3">
      <c r="A70" s="362"/>
      <c r="B70" s="680"/>
      <c r="C70" s="764">
        <v>1</v>
      </c>
      <c r="D70" s="772" t="str">
        <f>IF(AND(F70="-",G70="-",H70="-",I70="-",J70="-",K70="-",L70="-",M70="-"),"-",MAX(F70,G70,H70,I70,J70,K70,L70,M70))</f>
        <v>-</v>
      </c>
      <c r="E70" s="66" t="s">
        <v>177</v>
      </c>
      <c r="F70" s="65" t="str">
        <f t="shared" ref="F70:M70" si="41">IF(OR(F69="-",F69=""),IF(OR(F68="-",F68=""),"-",F68),IF(OR(F68="-",F68=""),F69,(F68+F69)/2))</f>
        <v>-</v>
      </c>
      <c r="G70" s="65" t="str">
        <f t="shared" si="41"/>
        <v>-</v>
      </c>
      <c r="H70" s="65" t="str">
        <f t="shared" si="41"/>
        <v>-</v>
      </c>
      <c r="I70" s="65" t="str">
        <f t="shared" si="41"/>
        <v>-</v>
      </c>
      <c r="J70" s="65" t="str">
        <f t="shared" si="41"/>
        <v>-</v>
      </c>
      <c r="K70" s="167" t="str">
        <f t="shared" si="41"/>
        <v>-</v>
      </c>
      <c r="L70" s="167" t="str">
        <f t="shared" si="41"/>
        <v>-</v>
      </c>
      <c r="M70" s="167" t="str">
        <f t="shared" si="41"/>
        <v>-</v>
      </c>
      <c r="N70" s="740"/>
      <c r="O70" s="749"/>
      <c r="P70" s="750"/>
      <c r="Q70" s="750"/>
      <c r="R70" s="750"/>
      <c r="S70" s="749"/>
      <c r="T70" s="750"/>
      <c r="U70" s="750"/>
      <c r="V70" s="754"/>
      <c r="W70" s="372"/>
      <c r="X70" s="372"/>
      <c r="Y70" s="743"/>
      <c r="Z70" s="743"/>
      <c r="AA70" s="743"/>
      <c r="AB70" s="743"/>
      <c r="AC70" s="743"/>
      <c r="AD70" s="743"/>
      <c r="AE70" s="743"/>
      <c r="AF70" s="743"/>
      <c r="AG70" s="743"/>
      <c r="AH70" s="743"/>
      <c r="BC70" s="159" t="str">
        <f t="shared" si="9"/>
        <v>-</v>
      </c>
      <c r="BD70" s="151" t="str">
        <f>"1st " &amp; B78</f>
        <v>1st Drive Mode 3</v>
      </c>
      <c r="BE70" s="153" t="str">
        <f t="shared" ref="BE70:BL70" si="42">IF((OR($C80="-",$C80="CET",$C80="")),"-",IF(AND(OR(F78="-",F78=""),OR(F79="-",F79="")),"-",IF(NOT(OR(F78="-",F78="")),F78/F$5,F79/F$5)))</f>
        <v>-</v>
      </c>
      <c r="BF70" s="153" t="str">
        <f t="shared" si="42"/>
        <v>-</v>
      </c>
      <c r="BG70" s="153" t="str">
        <f t="shared" si="42"/>
        <v>-</v>
      </c>
      <c r="BH70" s="153" t="str">
        <f t="shared" si="42"/>
        <v>-</v>
      </c>
      <c r="BI70" s="153" t="str">
        <f t="shared" si="42"/>
        <v>-</v>
      </c>
      <c r="BJ70" s="153" t="str">
        <f t="shared" si="42"/>
        <v>-</v>
      </c>
      <c r="BK70" s="153" t="str">
        <f t="shared" si="42"/>
        <v>-</v>
      </c>
      <c r="BL70" s="153" t="str">
        <f t="shared" si="42"/>
        <v>-</v>
      </c>
    </row>
    <row r="71" spans="1:80" ht="15" customHeight="1" outlineLevel="1" thickBot="1" x14ac:dyDescent="0.3">
      <c r="A71" s="362"/>
      <c r="B71" s="680"/>
      <c r="C71" s="765"/>
      <c r="D71" s="773"/>
      <c r="E71" s="64" t="s">
        <v>97</v>
      </c>
      <c r="F71" s="63" t="str">
        <f t="shared" ref="F71:M71" si="43">IF(OR($C70="-",$C70="CET",$C70=""),"-",IF(AND(NOT(F70="-"),NOT(F$5="-"),NOT(F$5="")),F70/F$5,"-"))</f>
        <v>-</v>
      </c>
      <c r="G71" s="63" t="str">
        <f t="shared" si="43"/>
        <v>-</v>
      </c>
      <c r="H71" s="63" t="str">
        <f t="shared" si="43"/>
        <v>-</v>
      </c>
      <c r="I71" s="63" t="str">
        <f t="shared" si="43"/>
        <v>-</v>
      </c>
      <c r="J71" s="63" t="str">
        <f t="shared" si="43"/>
        <v>-</v>
      </c>
      <c r="K71" s="168" t="str">
        <f t="shared" si="43"/>
        <v>-</v>
      </c>
      <c r="L71" s="168" t="str">
        <f t="shared" si="43"/>
        <v>-</v>
      </c>
      <c r="M71" s="168" t="str">
        <f t="shared" si="43"/>
        <v>-</v>
      </c>
      <c r="N71" s="741"/>
      <c r="O71" s="749"/>
      <c r="P71" s="750"/>
      <c r="Q71" s="750"/>
      <c r="R71" s="750"/>
      <c r="S71" s="749"/>
      <c r="T71" s="750"/>
      <c r="U71" s="750"/>
      <c r="V71" s="754"/>
      <c r="W71" s="372"/>
      <c r="X71" s="372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BC71" s="159" t="str">
        <f t="shared" si="9"/>
        <v>-</v>
      </c>
      <c r="BD71" s="151" t="str">
        <f>"1st " &amp; B83</f>
        <v>1st Drive Mode 4</v>
      </c>
      <c r="BE71" s="153" t="str">
        <f t="shared" ref="BE71:BL71" si="44">IF((OR($C85="-",$C85="CET",$C85="")),"-",IF(AND(OR(F83="-",F83=""),OR(F84="-",F84="")),"-",IF(NOT(OR(F83="-",F83="")),F83/F$5,F84/F$5)))</f>
        <v>-</v>
      </c>
      <c r="BF71" s="153" t="str">
        <f t="shared" si="44"/>
        <v>-</v>
      </c>
      <c r="BG71" s="153" t="str">
        <f t="shared" si="44"/>
        <v>-</v>
      </c>
      <c r="BH71" s="153" t="str">
        <f t="shared" si="44"/>
        <v>-</v>
      </c>
      <c r="BI71" s="153" t="str">
        <f t="shared" si="44"/>
        <v>-</v>
      </c>
      <c r="BJ71" s="153" t="str">
        <f t="shared" si="44"/>
        <v>-</v>
      </c>
      <c r="BK71" s="153" t="str">
        <f t="shared" si="44"/>
        <v>-</v>
      </c>
      <c r="BL71" s="153" t="str">
        <f t="shared" si="44"/>
        <v>-</v>
      </c>
    </row>
    <row r="72" spans="1:80" ht="15" customHeight="1" outlineLevel="1" thickBot="1" x14ac:dyDescent="0.3">
      <c r="A72" s="362"/>
      <c r="B72" s="681"/>
      <c r="C72" s="771"/>
      <c r="D72" s="774"/>
      <c r="E72" s="68" t="s">
        <v>30</v>
      </c>
      <c r="F72" s="62" t="str">
        <f t="shared" ref="F72:M72" si="45">IF(AND(OR(F68="-",F68=""),OR(F69="-",F69="")),"-",IF(OR($C70="-",$C70="",$C70="CET"),"-",IF($R$64="not listed","-",IF(NOT(F$5="-"),IF(AND(AND(NOT(F68=0),NOT(F68="-"),NOT(F68="")),AND(NOT(F69="-"),NOT(F69=0),NOT(F69=""))),IF(AND((F68+F69)/2&lt;1*F$5*IF(OR($C70="CET",$C70="-",$C70=""),"-",$C70),F68&lt;1.1*F$5*IF(OR($C70="CET",$C70="-",$C70=""),"-",$C70),F69&lt;1.1*F$5*IF(OR($C70="CET",$C70="-",$C70=""),"-",$C70)),"passed","refused"),IF(IF(OR(F68="-",F68=""),F69,F68)&lt;0.7*F$5*IF(OR($C70="CET",$C70="-",$C70=""),"-",$C70),"passed",IF(IF(OR(F68="-",F68=""),F69,F68)&lt;1.1*IF(OR($C70="CET",$C70="-",$C70=""),"-",$C70)*F$5,"failed","refused"))),"-"))))</f>
        <v>-</v>
      </c>
      <c r="G72" s="62" t="str">
        <f t="shared" si="45"/>
        <v>-</v>
      </c>
      <c r="H72" s="62" t="str">
        <f t="shared" si="45"/>
        <v>-</v>
      </c>
      <c r="I72" s="62" t="str">
        <f t="shared" si="45"/>
        <v>-</v>
      </c>
      <c r="J72" s="62" t="str">
        <f t="shared" si="45"/>
        <v>-</v>
      </c>
      <c r="K72" s="169" t="str">
        <f t="shared" si="45"/>
        <v>-</v>
      </c>
      <c r="L72" s="169" t="str">
        <f t="shared" si="45"/>
        <v>-</v>
      </c>
      <c r="M72" s="169" t="str">
        <f t="shared" si="45"/>
        <v>-</v>
      </c>
      <c r="N72" s="742"/>
      <c r="O72" s="749"/>
      <c r="P72" s="750"/>
      <c r="Q72" s="750"/>
      <c r="R72" s="750"/>
      <c r="S72" s="749"/>
      <c r="T72" s="750"/>
      <c r="U72" s="750"/>
      <c r="V72" s="754"/>
      <c r="W72" s="372"/>
      <c r="X72" s="372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BC72" s="159" t="str">
        <f t="shared" si="9"/>
        <v>-</v>
      </c>
      <c r="BD72" s="151" t="str">
        <f>"1st " &amp; B88</f>
        <v>1st Drive Mode 5</v>
      </c>
      <c r="BE72" s="153" t="str">
        <f t="shared" ref="BE72:BL72" si="46">IF((OR($C90="-",$C90="CET",$C90="")),"-",IF(AND(OR(F88="-",F88=""),OR(F89="-",F89="")),"-",IF(NOT(OR(F88="-",F88="")),F88/F$5,F89/F$5)))</f>
        <v>-</v>
      </c>
      <c r="BF72" s="153" t="str">
        <f t="shared" si="46"/>
        <v>-</v>
      </c>
      <c r="BG72" s="153" t="str">
        <f t="shared" si="46"/>
        <v>-</v>
      </c>
      <c r="BH72" s="153" t="str">
        <f t="shared" si="46"/>
        <v>-</v>
      </c>
      <c r="BI72" s="153" t="str">
        <f t="shared" si="46"/>
        <v>-</v>
      </c>
      <c r="BJ72" s="153" t="str">
        <f t="shared" si="46"/>
        <v>-</v>
      </c>
      <c r="BK72" s="153" t="str">
        <f t="shared" si="46"/>
        <v>-</v>
      </c>
      <c r="BL72" s="153" t="str">
        <f t="shared" si="46"/>
        <v>-</v>
      </c>
    </row>
    <row r="73" spans="1:80" ht="15" customHeight="1" outlineLevel="1" x14ac:dyDescent="0.25">
      <c r="A73" s="362"/>
      <c r="B73" s="679" t="str">
        <f>'Variant 2 - FTP'!B73:B77</f>
        <v>Drive Mode 2</v>
      </c>
      <c r="C73" s="770" t="s">
        <v>114</v>
      </c>
      <c r="D73" s="770" t="s">
        <v>113</v>
      </c>
      <c r="E73" s="106" t="s">
        <v>94</v>
      </c>
      <c r="F73" s="98" t="s">
        <v>5</v>
      </c>
      <c r="G73" s="98" t="s">
        <v>5</v>
      </c>
      <c r="H73" s="98" t="s">
        <v>5</v>
      </c>
      <c r="I73" s="98" t="s">
        <v>5</v>
      </c>
      <c r="J73" s="98" t="s">
        <v>5</v>
      </c>
      <c r="K73" s="165" t="s">
        <v>5</v>
      </c>
      <c r="L73" s="165" t="s">
        <v>5</v>
      </c>
      <c r="M73" s="165" t="s">
        <v>5</v>
      </c>
      <c r="N73" s="98" t="s">
        <v>5</v>
      </c>
      <c r="O73" s="749"/>
      <c r="P73" s="750"/>
      <c r="Q73" s="750"/>
      <c r="R73" s="750"/>
      <c r="S73" s="749"/>
      <c r="T73" s="750"/>
      <c r="U73" s="750"/>
      <c r="V73" s="754"/>
      <c r="W73" s="372"/>
      <c r="X73" s="372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BC73" s="159" t="str">
        <f t="shared" si="9"/>
        <v>-</v>
      </c>
      <c r="BD73" s="151" t="str">
        <f>"1st " &amp; B93</f>
        <v>1st Drive Mode 6</v>
      </c>
      <c r="BE73" s="153" t="str">
        <f t="shared" ref="BE73:BL73" si="47">IF((OR($C95="-",$C95="CET",$C95="")),"-",IF(AND(OR(F93="-",F93=""),OR(F94="-",F94="")),"-",IF(NOT(OR(F93="-",F93="")),F93/F$5,F94/F$5)))</f>
        <v>-</v>
      </c>
      <c r="BF73" s="153" t="str">
        <f t="shared" si="47"/>
        <v>-</v>
      </c>
      <c r="BG73" s="153" t="str">
        <f t="shared" si="47"/>
        <v>-</v>
      </c>
      <c r="BH73" s="153" t="str">
        <f t="shared" si="47"/>
        <v>-</v>
      </c>
      <c r="BI73" s="153" t="str">
        <f t="shared" si="47"/>
        <v>-</v>
      </c>
      <c r="BJ73" s="153" t="str">
        <f t="shared" si="47"/>
        <v>-</v>
      </c>
      <c r="BK73" s="153" t="str">
        <f t="shared" si="47"/>
        <v>-</v>
      </c>
      <c r="BL73" s="153" t="str">
        <f t="shared" si="47"/>
        <v>-</v>
      </c>
    </row>
    <row r="74" spans="1:80" s="50" customFormat="1" ht="15" customHeight="1" outlineLevel="1" thickBot="1" x14ac:dyDescent="0.3">
      <c r="A74" s="53"/>
      <c r="B74" s="680"/>
      <c r="C74" s="741"/>
      <c r="D74" s="742"/>
      <c r="E74" s="104" t="s">
        <v>95</v>
      </c>
      <c r="F74" s="97" t="s">
        <v>5</v>
      </c>
      <c r="G74" s="97" t="s">
        <v>5</v>
      </c>
      <c r="H74" s="97" t="s">
        <v>5</v>
      </c>
      <c r="I74" s="97" t="s">
        <v>5</v>
      </c>
      <c r="J74" s="97" t="s">
        <v>5</v>
      </c>
      <c r="K74" s="166" t="s">
        <v>5</v>
      </c>
      <c r="L74" s="166" t="s">
        <v>5</v>
      </c>
      <c r="M74" s="166" t="s">
        <v>5</v>
      </c>
      <c r="N74" s="97" t="s">
        <v>5</v>
      </c>
      <c r="O74" s="749"/>
      <c r="P74" s="750"/>
      <c r="Q74" s="750"/>
      <c r="R74" s="750"/>
      <c r="S74" s="749"/>
      <c r="T74" s="750"/>
      <c r="U74" s="750"/>
      <c r="V74" s="754"/>
      <c r="W74" s="51"/>
      <c r="X74" s="51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BC74" s="159" t="str">
        <f t="shared" si="9"/>
        <v>-</v>
      </c>
      <c r="BD74" s="151" t="str">
        <f>"0.7*IEF " &amp; (B68)</f>
        <v>0.7*IEF Drive Mode 1</v>
      </c>
      <c r="BE74" s="153">
        <f t="shared" ref="BE74:BL74" si="48">IF(OR($C70="-",$C70="CET",$C70=""),"-",0.7*$C70)</f>
        <v>0.7</v>
      </c>
      <c r="BF74" s="153">
        <f t="shared" si="48"/>
        <v>0.7</v>
      </c>
      <c r="BG74" s="153">
        <f t="shared" si="48"/>
        <v>0.7</v>
      </c>
      <c r="BH74" s="153">
        <f t="shared" si="48"/>
        <v>0.7</v>
      </c>
      <c r="BI74" s="153">
        <f t="shared" si="48"/>
        <v>0.7</v>
      </c>
      <c r="BJ74" s="153">
        <f t="shared" si="48"/>
        <v>0.7</v>
      </c>
      <c r="BK74" s="153">
        <f t="shared" si="48"/>
        <v>0.7</v>
      </c>
      <c r="BL74" s="153">
        <f t="shared" si="48"/>
        <v>0.7</v>
      </c>
      <c r="BM74" s="150"/>
      <c r="BN74" s="150"/>
      <c r="BO74" s="150"/>
      <c r="BP74" s="150"/>
      <c r="BQ74" s="150"/>
      <c r="BR74" s="150"/>
      <c r="BS74" s="150"/>
      <c r="BT74" s="150"/>
      <c r="BU74" s="150"/>
      <c r="BV74" s="150"/>
      <c r="BW74" s="150"/>
      <c r="BX74" s="150"/>
      <c r="BY74" s="150"/>
      <c r="BZ74" s="150"/>
      <c r="CA74" s="150"/>
      <c r="CB74" s="150"/>
    </row>
    <row r="75" spans="1:80" ht="15" customHeight="1" outlineLevel="1" thickBot="1" x14ac:dyDescent="0.3">
      <c r="A75" s="362"/>
      <c r="B75" s="680"/>
      <c r="C75" s="764">
        <v>1</v>
      </c>
      <c r="D75" s="772" t="str">
        <f>IF(AND(F75="-",G75="-",H75="-",I75="-",J75="-",K75="-",L75="-",M75="-"),"-",MAX(F75,G75,H75,I75,J75,K75,L75,M75))</f>
        <v>-</v>
      </c>
      <c r="E75" s="66" t="s">
        <v>177</v>
      </c>
      <c r="F75" s="65" t="str">
        <f t="shared" ref="F75:M75" si="49">IF(OR(F74="-",F74=""),IF(OR(F73="-",F73=""),"-",F73),IF(OR(F73="-",F73=""),F74,(F73+F74)/2))</f>
        <v>-</v>
      </c>
      <c r="G75" s="65" t="str">
        <f t="shared" si="49"/>
        <v>-</v>
      </c>
      <c r="H75" s="65" t="str">
        <f t="shared" si="49"/>
        <v>-</v>
      </c>
      <c r="I75" s="65" t="str">
        <f t="shared" si="49"/>
        <v>-</v>
      </c>
      <c r="J75" s="65" t="str">
        <f t="shared" si="49"/>
        <v>-</v>
      </c>
      <c r="K75" s="167" t="str">
        <f t="shared" si="49"/>
        <v>-</v>
      </c>
      <c r="L75" s="167" t="str">
        <f t="shared" si="49"/>
        <v>-</v>
      </c>
      <c r="M75" s="167" t="str">
        <f t="shared" si="49"/>
        <v>-</v>
      </c>
      <c r="N75" s="740"/>
      <c r="O75" s="749"/>
      <c r="P75" s="750"/>
      <c r="Q75" s="750"/>
      <c r="R75" s="750"/>
      <c r="S75" s="749"/>
      <c r="T75" s="750"/>
      <c r="U75" s="750"/>
      <c r="V75" s="754"/>
      <c r="W75" s="372"/>
      <c r="X75" s="372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BC75" s="159" t="str">
        <f t="shared" si="9"/>
        <v>-</v>
      </c>
      <c r="BD75" s="151" t="str">
        <f>"0.7*IEF " &amp; B73</f>
        <v>0.7*IEF Drive Mode 2</v>
      </c>
      <c r="BE75" s="153">
        <f t="shared" ref="BE75:BL75" si="50">IF(OR($C75="-",$C75="CET",$C75=""),"-",0.7*$C75)</f>
        <v>0.7</v>
      </c>
      <c r="BF75" s="153">
        <f t="shared" si="50"/>
        <v>0.7</v>
      </c>
      <c r="BG75" s="153">
        <f t="shared" si="50"/>
        <v>0.7</v>
      </c>
      <c r="BH75" s="153">
        <f t="shared" si="50"/>
        <v>0.7</v>
      </c>
      <c r="BI75" s="153">
        <f t="shared" si="50"/>
        <v>0.7</v>
      </c>
      <c r="BJ75" s="153">
        <f t="shared" si="50"/>
        <v>0.7</v>
      </c>
      <c r="BK75" s="153">
        <f t="shared" si="50"/>
        <v>0.7</v>
      </c>
      <c r="BL75" s="153">
        <f t="shared" si="50"/>
        <v>0.7</v>
      </c>
    </row>
    <row r="76" spans="1:80" ht="15" customHeight="1" outlineLevel="1" thickBot="1" x14ac:dyDescent="0.3">
      <c r="A76" s="362"/>
      <c r="B76" s="680"/>
      <c r="C76" s="765"/>
      <c r="D76" s="773"/>
      <c r="E76" s="64" t="s">
        <v>97</v>
      </c>
      <c r="F76" s="63" t="str">
        <f t="shared" ref="F76:M76" si="51">IF(OR($C75="-",$C75="CET",$C75=""),"-",IF(AND(NOT(F75="-"),NOT(F$5="-"),NOT(F$5="")),F75/F$5,"-"))</f>
        <v>-</v>
      </c>
      <c r="G76" s="63" t="str">
        <f t="shared" si="51"/>
        <v>-</v>
      </c>
      <c r="H76" s="63" t="str">
        <f t="shared" si="51"/>
        <v>-</v>
      </c>
      <c r="I76" s="63" t="str">
        <f t="shared" si="51"/>
        <v>-</v>
      </c>
      <c r="J76" s="63" t="str">
        <f t="shared" si="51"/>
        <v>-</v>
      </c>
      <c r="K76" s="168" t="str">
        <f t="shared" si="51"/>
        <v>-</v>
      </c>
      <c r="L76" s="168" t="str">
        <f t="shared" si="51"/>
        <v>-</v>
      </c>
      <c r="M76" s="168" t="str">
        <f t="shared" si="51"/>
        <v>-</v>
      </c>
      <c r="N76" s="741"/>
      <c r="O76" s="749"/>
      <c r="P76" s="750"/>
      <c r="Q76" s="750"/>
      <c r="R76" s="750"/>
      <c r="S76" s="749"/>
      <c r="T76" s="750"/>
      <c r="U76" s="750"/>
      <c r="V76" s="754"/>
      <c r="W76" s="372"/>
      <c r="X76" s="372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BC76" s="159" t="str">
        <f t="shared" si="9"/>
        <v>-</v>
      </c>
      <c r="BD76" s="151" t="str">
        <f>"0.7*IEF " &amp; B78</f>
        <v>0.7*IEF Drive Mode 3</v>
      </c>
      <c r="BE76" s="153">
        <f t="shared" ref="BE76:BL76" si="52">IF(OR($C80="-",$C80="CET",$C80=""),"-",0.7*$C80)</f>
        <v>0.7</v>
      </c>
      <c r="BF76" s="153">
        <f t="shared" si="52"/>
        <v>0.7</v>
      </c>
      <c r="BG76" s="153">
        <f t="shared" si="52"/>
        <v>0.7</v>
      </c>
      <c r="BH76" s="153">
        <f t="shared" si="52"/>
        <v>0.7</v>
      </c>
      <c r="BI76" s="153">
        <f t="shared" si="52"/>
        <v>0.7</v>
      </c>
      <c r="BJ76" s="153">
        <f t="shared" si="52"/>
        <v>0.7</v>
      </c>
      <c r="BK76" s="153">
        <f t="shared" si="52"/>
        <v>0.7</v>
      </c>
      <c r="BL76" s="153">
        <f t="shared" si="52"/>
        <v>0.7</v>
      </c>
    </row>
    <row r="77" spans="1:80" ht="15" customHeight="1" outlineLevel="1" thickBot="1" x14ac:dyDescent="0.3">
      <c r="A77" s="40"/>
      <c r="B77" s="681"/>
      <c r="C77" s="771"/>
      <c r="D77" s="774"/>
      <c r="E77" s="62" t="s">
        <v>30</v>
      </c>
      <c r="F77" s="62" t="str">
        <f t="shared" ref="F77:M77" si="53">IF(AND(OR(F73="-",F73=""),OR(F74="-",F74="")),"-",IF(OR($C75="-",$C75="",$C75="CET"),"-",IF($R$64="not listed","-",IF(NOT(F$5="-"),IF(AND(AND(NOT(F73=0),NOT(F73="-"),NOT(F73="")),AND(NOT(F74="-"),NOT(F74=0),NOT(F74=""))),IF(AND((F73+F74)/2&lt;1*F$5*IF(OR($C75="CET",$C75="-",$C75=""),"-",$C75),F73&lt;1.1*F$5*IF(OR($C75="CET",$C75="-",$C75=""),"-",$C75),F74&lt;1.1*F$5*IF(OR($C75="CET",$C75="-",$C75=""),"-",$C75)),"passed","refused"),IF(IF(OR(F73="-",F73=""),F74,F73)&lt;0.7*F$5*IF(OR($C75="CET",$C75="-",$C75=""),"-",$C75),"passed",IF(IF(OR(F73="-",F73=""),F74,F73)&lt;1.1*IF(OR($C75="CET",$C75="-",$C75=""),"-",$C75)*F$5,"failed","refused"))),"-"))))</f>
        <v>-</v>
      </c>
      <c r="G77" s="62" t="str">
        <f t="shared" si="53"/>
        <v>-</v>
      </c>
      <c r="H77" s="62" t="str">
        <f t="shared" si="53"/>
        <v>-</v>
      </c>
      <c r="I77" s="62" t="str">
        <f t="shared" si="53"/>
        <v>-</v>
      </c>
      <c r="J77" s="62" t="str">
        <f t="shared" si="53"/>
        <v>-</v>
      </c>
      <c r="K77" s="169" t="str">
        <f t="shared" si="53"/>
        <v>-</v>
      </c>
      <c r="L77" s="169" t="str">
        <f t="shared" si="53"/>
        <v>-</v>
      </c>
      <c r="M77" s="169" t="str">
        <f t="shared" si="53"/>
        <v>-</v>
      </c>
      <c r="N77" s="742"/>
      <c r="O77" s="749"/>
      <c r="P77" s="750"/>
      <c r="Q77" s="750"/>
      <c r="R77" s="750"/>
      <c r="S77" s="749"/>
      <c r="T77" s="750"/>
      <c r="U77" s="750"/>
      <c r="V77" s="754"/>
      <c r="W77" s="372"/>
      <c r="X77" s="372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BC77" s="159" t="str">
        <f t="shared" si="9"/>
        <v>-</v>
      </c>
      <c r="BD77" s="151" t="str">
        <f>"0.7*IEF " &amp; B83</f>
        <v>0.7*IEF Drive Mode 4</v>
      </c>
      <c r="BE77" s="153">
        <f t="shared" ref="BE77:BL77" si="54">IF(OR($C85="-",$C85="CET",$C85=""),"-",0.7*$C85)</f>
        <v>0.7</v>
      </c>
      <c r="BF77" s="153">
        <f t="shared" si="54"/>
        <v>0.7</v>
      </c>
      <c r="BG77" s="153">
        <f t="shared" si="54"/>
        <v>0.7</v>
      </c>
      <c r="BH77" s="153">
        <f t="shared" si="54"/>
        <v>0.7</v>
      </c>
      <c r="BI77" s="153">
        <f t="shared" si="54"/>
        <v>0.7</v>
      </c>
      <c r="BJ77" s="153">
        <f t="shared" si="54"/>
        <v>0.7</v>
      </c>
      <c r="BK77" s="153">
        <f t="shared" si="54"/>
        <v>0.7</v>
      </c>
      <c r="BL77" s="153">
        <f t="shared" si="54"/>
        <v>0.7</v>
      </c>
    </row>
    <row r="78" spans="1:80" ht="15" customHeight="1" outlineLevel="1" x14ac:dyDescent="0.25">
      <c r="A78" s="40"/>
      <c r="B78" s="679" t="str">
        <f>'Variant 2 - FTP'!B78:B82</f>
        <v>Drive Mode 3</v>
      </c>
      <c r="C78" s="770" t="s">
        <v>114</v>
      </c>
      <c r="D78" s="770" t="s">
        <v>113</v>
      </c>
      <c r="E78" s="106" t="s">
        <v>94</v>
      </c>
      <c r="F78" s="98" t="s">
        <v>5</v>
      </c>
      <c r="G78" s="98" t="s">
        <v>5</v>
      </c>
      <c r="H78" s="98" t="s">
        <v>5</v>
      </c>
      <c r="I78" s="98" t="s">
        <v>5</v>
      </c>
      <c r="J78" s="98" t="s">
        <v>5</v>
      </c>
      <c r="K78" s="165" t="s">
        <v>5</v>
      </c>
      <c r="L78" s="165" t="s">
        <v>5</v>
      </c>
      <c r="M78" s="165" t="s">
        <v>5</v>
      </c>
      <c r="N78" s="98" t="s">
        <v>5</v>
      </c>
      <c r="O78" s="749"/>
      <c r="P78" s="750"/>
      <c r="Q78" s="750"/>
      <c r="R78" s="750"/>
      <c r="S78" s="749"/>
      <c r="T78" s="750"/>
      <c r="U78" s="750"/>
      <c r="V78" s="754"/>
      <c r="W78" s="372"/>
      <c r="X78" s="372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BC78" s="159" t="str">
        <f t="shared" si="9"/>
        <v>-</v>
      </c>
      <c r="BD78" s="151" t="str">
        <f>"0.7*IEF " &amp; B88</f>
        <v>0.7*IEF Drive Mode 5</v>
      </c>
      <c r="BE78" s="153">
        <f t="shared" ref="BE78:BL78" si="55">IF(OR($C90="-",$C90="CET",$C90=""),"-",0.7*$C90)</f>
        <v>0.7</v>
      </c>
      <c r="BF78" s="153">
        <f t="shared" si="55"/>
        <v>0.7</v>
      </c>
      <c r="BG78" s="153">
        <f t="shared" si="55"/>
        <v>0.7</v>
      </c>
      <c r="BH78" s="153">
        <f t="shared" si="55"/>
        <v>0.7</v>
      </c>
      <c r="BI78" s="153">
        <f t="shared" si="55"/>
        <v>0.7</v>
      </c>
      <c r="BJ78" s="153">
        <f t="shared" si="55"/>
        <v>0.7</v>
      </c>
      <c r="BK78" s="153">
        <f t="shared" si="55"/>
        <v>0.7</v>
      </c>
      <c r="BL78" s="153">
        <f t="shared" si="55"/>
        <v>0.7</v>
      </c>
    </row>
    <row r="79" spans="1:80" s="50" customFormat="1" ht="15" customHeight="1" outlineLevel="1" thickBot="1" x14ac:dyDescent="0.3">
      <c r="A79" s="52"/>
      <c r="B79" s="680"/>
      <c r="C79" s="741"/>
      <c r="D79" s="742"/>
      <c r="E79" s="104" t="s">
        <v>95</v>
      </c>
      <c r="F79" s="97" t="s">
        <v>5</v>
      </c>
      <c r="G79" s="97" t="s">
        <v>5</v>
      </c>
      <c r="H79" s="97" t="s">
        <v>5</v>
      </c>
      <c r="I79" s="97" t="s">
        <v>5</v>
      </c>
      <c r="J79" s="97" t="s">
        <v>5</v>
      </c>
      <c r="K79" s="166" t="s">
        <v>5</v>
      </c>
      <c r="L79" s="166" t="s">
        <v>5</v>
      </c>
      <c r="M79" s="166" t="s">
        <v>5</v>
      </c>
      <c r="N79" s="97" t="s">
        <v>5</v>
      </c>
      <c r="O79" s="749"/>
      <c r="P79" s="750"/>
      <c r="Q79" s="750"/>
      <c r="R79" s="750"/>
      <c r="S79" s="749"/>
      <c r="T79" s="750"/>
      <c r="U79" s="750"/>
      <c r="V79" s="754"/>
      <c r="W79" s="51"/>
      <c r="X79" s="51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BC79" s="159" t="str">
        <f t="shared" si="9"/>
        <v>-</v>
      </c>
      <c r="BD79" s="151" t="str">
        <f>"0.7*IEF " &amp; B93</f>
        <v>0.7*IEF Drive Mode 6</v>
      </c>
      <c r="BE79" s="153">
        <f t="shared" ref="BE79:BL79" si="56">IF(OR($C95="-",$C95="CET",$C95=""),"-",0.7*$C95)</f>
        <v>0.7</v>
      </c>
      <c r="BF79" s="153">
        <f t="shared" si="56"/>
        <v>0.7</v>
      </c>
      <c r="BG79" s="153">
        <f t="shared" si="56"/>
        <v>0.7</v>
      </c>
      <c r="BH79" s="153">
        <f t="shared" si="56"/>
        <v>0.7</v>
      </c>
      <c r="BI79" s="153">
        <f t="shared" si="56"/>
        <v>0.7</v>
      </c>
      <c r="BJ79" s="153">
        <f t="shared" si="56"/>
        <v>0.7</v>
      </c>
      <c r="BK79" s="153">
        <f t="shared" si="56"/>
        <v>0.7</v>
      </c>
      <c r="BL79" s="153">
        <f t="shared" si="56"/>
        <v>0.7</v>
      </c>
      <c r="BM79" s="150"/>
      <c r="BN79" s="150"/>
      <c r="BO79" s="150"/>
      <c r="BP79" s="150"/>
      <c r="BQ79" s="150"/>
      <c r="BR79" s="150"/>
      <c r="BS79" s="150"/>
      <c r="BT79" s="150"/>
      <c r="BU79" s="150"/>
      <c r="BV79" s="150"/>
      <c r="BW79" s="150"/>
      <c r="BX79" s="150"/>
      <c r="BY79" s="150"/>
      <c r="BZ79" s="150"/>
      <c r="CA79" s="150"/>
      <c r="CB79" s="150"/>
    </row>
    <row r="80" spans="1:80" ht="15" customHeight="1" outlineLevel="1" thickBot="1" x14ac:dyDescent="0.3">
      <c r="A80" s="40"/>
      <c r="B80" s="680"/>
      <c r="C80" s="764">
        <v>1</v>
      </c>
      <c r="D80" s="772" t="str">
        <f>IF(AND(F80="-",G80="-",H80="-",I80="-",J80="-",K80="-",L80="-",M80="-"),"-",MAX(F80,G80,H80,I80,J80,K80,L80,M80))</f>
        <v>-</v>
      </c>
      <c r="E80" s="66" t="s">
        <v>177</v>
      </c>
      <c r="F80" s="65" t="str">
        <f t="shared" ref="F80:M80" si="57">IF(OR(F79="-",F79=""),IF(OR(F78="-",F78=""),"-",F78),IF(OR(F78="-",F78=""),F79,(F78+F79)/2))</f>
        <v>-</v>
      </c>
      <c r="G80" s="65" t="str">
        <f t="shared" si="57"/>
        <v>-</v>
      </c>
      <c r="H80" s="65" t="str">
        <f t="shared" si="57"/>
        <v>-</v>
      </c>
      <c r="I80" s="65" t="str">
        <f t="shared" si="57"/>
        <v>-</v>
      </c>
      <c r="J80" s="65" t="str">
        <f t="shared" si="57"/>
        <v>-</v>
      </c>
      <c r="K80" s="167" t="str">
        <f t="shared" si="57"/>
        <v>-</v>
      </c>
      <c r="L80" s="167" t="str">
        <f t="shared" si="57"/>
        <v>-</v>
      </c>
      <c r="M80" s="167" t="str">
        <f t="shared" si="57"/>
        <v>-</v>
      </c>
      <c r="N80" s="740"/>
      <c r="O80" s="749"/>
      <c r="P80" s="750"/>
      <c r="Q80" s="750"/>
      <c r="R80" s="750"/>
      <c r="S80" s="749"/>
      <c r="T80" s="750"/>
      <c r="U80" s="750"/>
      <c r="V80" s="754"/>
      <c r="W80" s="372"/>
      <c r="X80" s="372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BC80" s="159" t="str">
        <f t="shared" si="9"/>
        <v>-</v>
      </c>
      <c r="BD80" s="151" t="str">
        <f>$B68</f>
        <v>Drive Mode 1</v>
      </c>
      <c r="BE80" s="153" t="str">
        <f t="shared" ref="BE80:BL80" si="58">F71</f>
        <v>-</v>
      </c>
      <c r="BF80" s="153" t="str">
        <f t="shared" si="58"/>
        <v>-</v>
      </c>
      <c r="BG80" s="153" t="str">
        <f t="shared" si="58"/>
        <v>-</v>
      </c>
      <c r="BH80" s="153" t="str">
        <f t="shared" si="58"/>
        <v>-</v>
      </c>
      <c r="BI80" s="153" t="str">
        <f t="shared" si="58"/>
        <v>-</v>
      </c>
      <c r="BJ80" s="153" t="str">
        <f t="shared" si="58"/>
        <v>-</v>
      </c>
      <c r="BK80" s="153" t="str">
        <f t="shared" si="58"/>
        <v>-</v>
      </c>
      <c r="BL80" s="153" t="str">
        <f t="shared" si="58"/>
        <v>-</v>
      </c>
    </row>
    <row r="81" spans="1:80" ht="15" customHeight="1" outlineLevel="1" thickBot="1" x14ac:dyDescent="0.3">
      <c r="A81" s="40"/>
      <c r="B81" s="680"/>
      <c r="C81" s="765"/>
      <c r="D81" s="773"/>
      <c r="E81" s="64" t="s">
        <v>97</v>
      </c>
      <c r="F81" s="63" t="str">
        <f t="shared" ref="F81:M81" si="59">IF(OR($C80="-",$C80="CET",$C80=""),"-",IF(AND(NOT(F80="-"),NOT(F$5="-"),NOT(F$5="")),F80/F$5,"-"))</f>
        <v>-</v>
      </c>
      <c r="G81" s="63" t="str">
        <f t="shared" si="59"/>
        <v>-</v>
      </c>
      <c r="H81" s="63" t="str">
        <f t="shared" si="59"/>
        <v>-</v>
      </c>
      <c r="I81" s="63" t="str">
        <f t="shared" si="59"/>
        <v>-</v>
      </c>
      <c r="J81" s="63" t="str">
        <f t="shared" si="59"/>
        <v>-</v>
      </c>
      <c r="K81" s="168" t="str">
        <f t="shared" si="59"/>
        <v>-</v>
      </c>
      <c r="L81" s="168" t="str">
        <f t="shared" si="59"/>
        <v>-</v>
      </c>
      <c r="M81" s="168" t="str">
        <f t="shared" si="59"/>
        <v>-</v>
      </c>
      <c r="N81" s="741"/>
      <c r="O81" s="749"/>
      <c r="P81" s="750"/>
      <c r="Q81" s="750"/>
      <c r="R81" s="750"/>
      <c r="S81" s="749"/>
      <c r="T81" s="750"/>
      <c r="U81" s="750"/>
      <c r="V81" s="754"/>
      <c r="W81" s="372"/>
      <c r="X81" s="372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BC81" s="159" t="str">
        <f t="shared" si="9"/>
        <v>-</v>
      </c>
      <c r="BD81" s="151" t="str">
        <f>$B73</f>
        <v>Drive Mode 2</v>
      </c>
      <c r="BE81" s="153" t="str">
        <f t="shared" ref="BE81:BL81" si="60">F76</f>
        <v>-</v>
      </c>
      <c r="BF81" s="153" t="str">
        <f t="shared" si="60"/>
        <v>-</v>
      </c>
      <c r="BG81" s="153" t="str">
        <f t="shared" si="60"/>
        <v>-</v>
      </c>
      <c r="BH81" s="153" t="str">
        <f t="shared" si="60"/>
        <v>-</v>
      </c>
      <c r="BI81" s="153" t="str">
        <f t="shared" si="60"/>
        <v>-</v>
      </c>
      <c r="BJ81" s="153" t="str">
        <f t="shared" si="60"/>
        <v>-</v>
      </c>
      <c r="BK81" s="153" t="str">
        <f t="shared" si="60"/>
        <v>-</v>
      </c>
      <c r="BL81" s="153" t="str">
        <f t="shared" si="60"/>
        <v>-</v>
      </c>
    </row>
    <row r="82" spans="1:80" ht="15" customHeight="1" outlineLevel="1" thickBot="1" x14ac:dyDescent="0.3">
      <c r="A82" s="40"/>
      <c r="B82" s="681"/>
      <c r="C82" s="771"/>
      <c r="D82" s="774"/>
      <c r="E82" s="62" t="s">
        <v>30</v>
      </c>
      <c r="F82" s="62" t="str">
        <f t="shared" ref="F82:M82" si="61">IF(AND(OR(F78="-",F78=""),OR(F79="-",F79="")),"-",IF(OR($C80="-",$C80="",$C80="CET"),"-",IF($R$64="not listed","-",IF(NOT(F$5="-"),IF(AND(AND(NOT(F78=0),NOT(F78="-"),NOT(F78="")),AND(NOT(F79="-"),NOT(F79=0),NOT(F79=""))),IF(AND((F78+F79)/2&lt;1*F$5*IF(OR($C80="CET",$C80="-",$C80=""),"-",$C80),F78&lt;1.1*F$5*IF(OR($C80="CET",$C80="-",$C80=""),"-",$C80),F79&lt;1.1*F$5*IF(OR($C80="CET",$C80="-",$C80=""),"-",$C80)),"passed","refused"),IF(IF(OR(F78="-",F78=""),F79,F78)&lt;0.7*F$5*IF(OR($C80="CET",$C80="-",$C80=""),"-",$C80),"passed",IF(IF(OR(F78="-",F78=""),F79,F78)&lt;1.1*IF(OR($C80="CET",$C80="-",$C80=""),"-",$C80)*F$5,"failed","refused"))),"-"))))</f>
        <v>-</v>
      </c>
      <c r="G82" s="62" t="str">
        <f t="shared" si="61"/>
        <v>-</v>
      </c>
      <c r="H82" s="62" t="str">
        <f t="shared" si="61"/>
        <v>-</v>
      </c>
      <c r="I82" s="62" t="str">
        <f t="shared" si="61"/>
        <v>-</v>
      </c>
      <c r="J82" s="62" t="str">
        <f t="shared" si="61"/>
        <v>-</v>
      </c>
      <c r="K82" s="169" t="str">
        <f t="shared" si="61"/>
        <v>-</v>
      </c>
      <c r="L82" s="169" t="str">
        <f t="shared" si="61"/>
        <v>-</v>
      </c>
      <c r="M82" s="169" t="str">
        <f t="shared" si="61"/>
        <v>-</v>
      </c>
      <c r="N82" s="742"/>
      <c r="O82" s="749"/>
      <c r="P82" s="750"/>
      <c r="Q82" s="750"/>
      <c r="R82" s="750"/>
      <c r="S82" s="749"/>
      <c r="T82" s="750"/>
      <c r="U82" s="750"/>
      <c r="V82" s="754"/>
      <c r="W82" s="372"/>
      <c r="X82" s="372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BC82" s="159" t="str">
        <f t="shared" si="9"/>
        <v>-</v>
      </c>
      <c r="BD82" s="151" t="str">
        <f>$B78</f>
        <v>Drive Mode 3</v>
      </c>
      <c r="BE82" s="153" t="str">
        <f t="shared" ref="BE82:BL82" si="62">F81</f>
        <v>-</v>
      </c>
      <c r="BF82" s="153" t="str">
        <f t="shared" si="62"/>
        <v>-</v>
      </c>
      <c r="BG82" s="153" t="str">
        <f t="shared" si="62"/>
        <v>-</v>
      </c>
      <c r="BH82" s="153" t="str">
        <f t="shared" si="62"/>
        <v>-</v>
      </c>
      <c r="BI82" s="153" t="str">
        <f t="shared" si="62"/>
        <v>-</v>
      </c>
      <c r="BJ82" s="153" t="str">
        <f t="shared" si="62"/>
        <v>-</v>
      </c>
      <c r="BK82" s="153" t="str">
        <f t="shared" si="62"/>
        <v>-</v>
      </c>
      <c r="BL82" s="153" t="str">
        <f t="shared" si="62"/>
        <v>-</v>
      </c>
    </row>
    <row r="83" spans="1:80" ht="15" customHeight="1" outlineLevel="1" x14ac:dyDescent="0.25">
      <c r="A83" s="40"/>
      <c r="B83" s="679" t="str">
        <f>'Variant 2 - FTP'!B83:B87</f>
        <v>Drive Mode 4</v>
      </c>
      <c r="C83" s="770" t="s">
        <v>114</v>
      </c>
      <c r="D83" s="770" t="s">
        <v>113</v>
      </c>
      <c r="E83" s="106" t="s">
        <v>94</v>
      </c>
      <c r="F83" s="98" t="s">
        <v>5</v>
      </c>
      <c r="G83" s="98" t="s">
        <v>5</v>
      </c>
      <c r="H83" s="98" t="s">
        <v>5</v>
      </c>
      <c r="I83" s="98" t="s">
        <v>5</v>
      </c>
      <c r="J83" s="98" t="s">
        <v>5</v>
      </c>
      <c r="K83" s="165" t="s">
        <v>5</v>
      </c>
      <c r="L83" s="165" t="s">
        <v>5</v>
      </c>
      <c r="M83" s="165" t="s">
        <v>5</v>
      </c>
      <c r="N83" s="98" t="s">
        <v>5</v>
      </c>
      <c r="O83" s="749"/>
      <c r="P83" s="750"/>
      <c r="Q83" s="750"/>
      <c r="R83" s="750"/>
      <c r="S83" s="749"/>
      <c r="T83" s="750"/>
      <c r="U83" s="750"/>
      <c r="V83" s="754"/>
      <c r="W83" s="372"/>
      <c r="X83" s="372"/>
      <c r="Y83" s="743"/>
      <c r="Z83" s="743"/>
      <c r="AA83" s="743"/>
      <c r="AB83" s="743"/>
      <c r="AC83" s="743"/>
      <c r="AD83" s="743"/>
      <c r="AE83" s="743"/>
      <c r="AF83" s="743"/>
      <c r="AG83" s="743"/>
      <c r="AH83" s="743"/>
      <c r="BC83" s="159" t="str">
        <f t="shared" ref="BC83:BC146" si="63">IF(COUNTIF(F83:M83,"refused")&gt;0,"refused",IF(COUNTIF(F83:M83,"failed")&gt;0,"failed",IF(COUNTIF(F83:M83,"passed")&gt;0,"passed","-")))</f>
        <v>-</v>
      </c>
      <c r="BD83" s="151" t="str">
        <f>$B83</f>
        <v>Drive Mode 4</v>
      </c>
      <c r="BE83" s="153" t="str">
        <f t="shared" ref="BE83:BL83" si="64">F86</f>
        <v>-</v>
      </c>
      <c r="BF83" s="153" t="str">
        <f t="shared" si="64"/>
        <v>-</v>
      </c>
      <c r="BG83" s="153" t="str">
        <f t="shared" si="64"/>
        <v>-</v>
      </c>
      <c r="BH83" s="153" t="str">
        <f t="shared" si="64"/>
        <v>-</v>
      </c>
      <c r="BI83" s="153" t="str">
        <f t="shared" si="64"/>
        <v>-</v>
      </c>
      <c r="BJ83" s="153" t="str">
        <f t="shared" si="64"/>
        <v>-</v>
      </c>
      <c r="BK83" s="153" t="str">
        <f t="shared" si="64"/>
        <v>-</v>
      </c>
      <c r="BL83" s="153" t="str">
        <f t="shared" si="64"/>
        <v>-</v>
      </c>
    </row>
    <row r="84" spans="1:80" s="50" customFormat="1" ht="15" customHeight="1" outlineLevel="1" thickBot="1" x14ac:dyDescent="0.3">
      <c r="A84" s="52"/>
      <c r="B84" s="680"/>
      <c r="C84" s="741"/>
      <c r="D84" s="742"/>
      <c r="E84" s="104" t="s">
        <v>95</v>
      </c>
      <c r="F84" s="97" t="s">
        <v>5</v>
      </c>
      <c r="G84" s="97" t="s">
        <v>5</v>
      </c>
      <c r="H84" s="97" t="s">
        <v>5</v>
      </c>
      <c r="I84" s="97" t="s">
        <v>5</v>
      </c>
      <c r="J84" s="97" t="s">
        <v>5</v>
      </c>
      <c r="K84" s="166" t="s">
        <v>5</v>
      </c>
      <c r="L84" s="166" t="s">
        <v>5</v>
      </c>
      <c r="M84" s="166" t="s">
        <v>5</v>
      </c>
      <c r="N84" s="97" t="s">
        <v>5</v>
      </c>
      <c r="O84" s="749"/>
      <c r="P84" s="750"/>
      <c r="Q84" s="750"/>
      <c r="R84" s="750"/>
      <c r="S84" s="749"/>
      <c r="T84" s="750"/>
      <c r="U84" s="750"/>
      <c r="V84" s="754"/>
      <c r="W84" s="51"/>
      <c r="X84" s="51"/>
      <c r="Y84" s="743"/>
      <c r="Z84" s="743"/>
      <c r="AA84" s="743"/>
      <c r="AB84" s="743"/>
      <c r="AC84" s="743"/>
      <c r="AD84" s="743"/>
      <c r="AE84" s="743"/>
      <c r="AF84" s="743"/>
      <c r="AG84" s="743"/>
      <c r="AH84" s="743"/>
      <c r="BC84" s="159" t="str">
        <f t="shared" si="63"/>
        <v>-</v>
      </c>
      <c r="BD84" s="151" t="str">
        <f>$B88</f>
        <v>Drive Mode 5</v>
      </c>
      <c r="BE84" s="153" t="str">
        <f t="shared" ref="BE84:BL84" si="65">F91</f>
        <v>-</v>
      </c>
      <c r="BF84" s="153" t="str">
        <f t="shared" si="65"/>
        <v>-</v>
      </c>
      <c r="BG84" s="153" t="str">
        <f t="shared" si="65"/>
        <v>-</v>
      </c>
      <c r="BH84" s="153" t="str">
        <f t="shared" si="65"/>
        <v>-</v>
      </c>
      <c r="BI84" s="153" t="str">
        <f t="shared" si="65"/>
        <v>-</v>
      </c>
      <c r="BJ84" s="153" t="str">
        <f t="shared" si="65"/>
        <v>-</v>
      </c>
      <c r="BK84" s="153" t="str">
        <f t="shared" si="65"/>
        <v>-</v>
      </c>
      <c r="BL84" s="153" t="str">
        <f t="shared" si="65"/>
        <v>-</v>
      </c>
      <c r="BM84" s="150"/>
      <c r="BN84" s="150"/>
      <c r="BO84" s="150"/>
      <c r="BP84" s="150"/>
      <c r="BQ84" s="150"/>
      <c r="BR84" s="150"/>
      <c r="BS84" s="150"/>
      <c r="BT84" s="150"/>
      <c r="BU84" s="150"/>
      <c r="BV84" s="150"/>
      <c r="BW84" s="150"/>
      <c r="BX84" s="150"/>
      <c r="BY84" s="150"/>
      <c r="BZ84" s="150"/>
      <c r="CA84" s="150"/>
      <c r="CB84" s="150"/>
    </row>
    <row r="85" spans="1:80" ht="15" customHeight="1" outlineLevel="1" thickBot="1" x14ac:dyDescent="0.3">
      <c r="A85" s="40"/>
      <c r="B85" s="680"/>
      <c r="C85" s="764">
        <v>1</v>
      </c>
      <c r="D85" s="772" t="str">
        <f>IF(AND(F85="-",G85="-",H85="-",I85="-",J85="-",K85="-",L85="-",M85="-"),"-",MAX(F85,G85,H85,I85,J85,K85,L85,M85))</f>
        <v>-</v>
      </c>
      <c r="E85" s="66" t="s">
        <v>177</v>
      </c>
      <c r="F85" s="65" t="str">
        <f t="shared" ref="F85:M85" si="66">IF(OR(F84="-",F84=""),IF(OR(F83="-",F83=""),"-",F83),IF(OR(F83="-",F83=""),F84,(F83+F84)/2))</f>
        <v>-</v>
      </c>
      <c r="G85" s="65" t="str">
        <f t="shared" si="66"/>
        <v>-</v>
      </c>
      <c r="H85" s="65" t="str">
        <f t="shared" si="66"/>
        <v>-</v>
      </c>
      <c r="I85" s="65" t="str">
        <f t="shared" si="66"/>
        <v>-</v>
      </c>
      <c r="J85" s="65" t="str">
        <f t="shared" si="66"/>
        <v>-</v>
      </c>
      <c r="K85" s="167" t="str">
        <f t="shared" si="66"/>
        <v>-</v>
      </c>
      <c r="L85" s="167" t="str">
        <f t="shared" si="66"/>
        <v>-</v>
      </c>
      <c r="M85" s="167" t="str">
        <f t="shared" si="66"/>
        <v>-</v>
      </c>
      <c r="N85" s="740"/>
      <c r="O85" s="749"/>
      <c r="P85" s="750"/>
      <c r="Q85" s="750"/>
      <c r="R85" s="750"/>
      <c r="S85" s="749"/>
      <c r="T85" s="750"/>
      <c r="U85" s="750"/>
      <c r="V85" s="754"/>
      <c r="W85" s="372"/>
      <c r="X85" s="372"/>
      <c r="Y85" s="743"/>
      <c r="Z85" s="743"/>
      <c r="AA85" s="743"/>
      <c r="AB85" s="743"/>
      <c r="AC85" s="743"/>
      <c r="AD85" s="743"/>
      <c r="AE85" s="743"/>
      <c r="AF85" s="743"/>
      <c r="AG85" s="743"/>
      <c r="AH85" s="743"/>
      <c r="BC85" s="159" t="str">
        <f t="shared" si="63"/>
        <v>-</v>
      </c>
      <c r="BD85" s="151" t="str">
        <f>$B93</f>
        <v>Drive Mode 6</v>
      </c>
      <c r="BE85" s="153" t="str">
        <f t="shared" ref="BE85:BL85" si="67">F96</f>
        <v>-</v>
      </c>
      <c r="BF85" s="153" t="str">
        <f t="shared" si="67"/>
        <v>-</v>
      </c>
      <c r="BG85" s="153" t="str">
        <f t="shared" si="67"/>
        <v>-</v>
      </c>
      <c r="BH85" s="153" t="str">
        <f t="shared" si="67"/>
        <v>-</v>
      </c>
      <c r="BI85" s="153" t="str">
        <f t="shared" si="67"/>
        <v>-</v>
      </c>
      <c r="BJ85" s="153" t="str">
        <f t="shared" si="67"/>
        <v>-</v>
      </c>
      <c r="BK85" s="153" t="str">
        <f t="shared" si="67"/>
        <v>-</v>
      </c>
      <c r="BL85" s="153" t="str">
        <f t="shared" si="67"/>
        <v>-</v>
      </c>
    </row>
    <row r="86" spans="1:80" ht="15" customHeight="1" outlineLevel="1" thickBot="1" x14ac:dyDescent="0.3">
      <c r="A86" s="40"/>
      <c r="B86" s="680"/>
      <c r="C86" s="765"/>
      <c r="D86" s="773"/>
      <c r="E86" s="64" t="s">
        <v>97</v>
      </c>
      <c r="F86" s="63" t="str">
        <f t="shared" ref="F86:M86" si="68">IF(OR($C85="-",$C85="CET",$C85=""),"-",IF(AND(NOT(F85="-"),NOT(F$5="-"),NOT(F$5="")),F85/F$5,"-"))</f>
        <v>-</v>
      </c>
      <c r="G86" s="63" t="str">
        <f t="shared" si="68"/>
        <v>-</v>
      </c>
      <c r="H86" s="63" t="str">
        <f t="shared" si="68"/>
        <v>-</v>
      </c>
      <c r="I86" s="63" t="str">
        <f t="shared" si="68"/>
        <v>-</v>
      </c>
      <c r="J86" s="63" t="str">
        <f t="shared" si="68"/>
        <v>-</v>
      </c>
      <c r="K86" s="168" t="str">
        <f t="shared" si="68"/>
        <v>-</v>
      </c>
      <c r="L86" s="168" t="str">
        <f t="shared" si="68"/>
        <v>-</v>
      </c>
      <c r="M86" s="168" t="str">
        <f t="shared" si="68"/>
        <v>-</v>
      </c>
      <c r="N86" s="741"/>
      <c r="O86" s="749"/>
      <c r="P86" s="750"/>
      <c r="Q86" s="750"/>
      <c r="R86" s="750"/>
      <c r="S86" s="749"/>
      <c r="T86" s="750"/>
      <c r="U86" s="750"/>
      <c r="V86" s="754"/>
      <c r="W86" s="372"/>
      <c r="X86" s="372"/>
      <c r="Y86" s="743"/>
      <c r="Z86" s="743"/>
      <c r="AA86" s="743"/>
      <c r="AB86" s="743"/>
      <c r="AC86" s="743"/>
      <c r="AD86" s="743"/>
      <c r="AE86" s="743"/>
      <c r="AF86" s="743"/>
      <c r="AG86" s="743"/>
      <c r="AH86" s="743"/>
      <c r="BC86" s="159" t="str">
        <f t="shared" si="63"/>
        <v>-</v>
      </c>
      <c r="BD86" s="151" t="str">
        <f>"IEF " &amp;B68</f>
        <v>IEF Drive Mode 1</v>
      </c>
      <c r="BE86" s="153">
        <f t="shared" ref="BE86:BL86" si="69">IF(OR($C70="CET",$C70="-",$C70=""),"-",$C70)</f>
        <v>1</v>
      </c>
      <c r="BF86" s="153">
        <f t="shared" si="69"/>
        <v>1</v>
      </c>
      <c r="BG86" s="153">
        <f t="shared" si="69"/>
        <v>1</v>
      </c>
      <c r="BH86" s="153">
        <f t="shared" si="69"/>
        <v>1</v>
      </c>
      <c r="BI86" s="153">
        <f t="shared" si="69"/>
        <v>1</v>
      </c>
      <c r="BJ86" s="153">
        <f t="shared" si="69"/>
        <v>1</v>
      </c>
      <c r="BK86" s="153">
        <f t="shared" si="69"/>
        <v>1</v>
      </c>
      <c r="BL86" s="153">
        <f t="shared" si="69"/>
        <v>1</v>
      </c>
    </row>
    <row r="87" spans="1:80" ht="15" customHeight="1" outlineLevel="1" thickBot="1" x14ac:dyDescent="0.3">
      <c r="A87" s="40"/>
      <c r="B87" s="681"/>
      <c r="C87" s="771"/>
      <c r="D87" s="774"/>
      <c r="E87" s="62" t="s">
        <v>30</v>
      </c>
      <c r="F87" s="62" t="str">
        <f t="shared" ref="F87:M87" si="70">IF(AND(OR(F83="-",F83=""),OR(F84="-",F84="")),"-",IF(OR($C85="-",$C85="",$C85="CET"),"-",IF($R$64="not listed","-",IF(NOT(F$5="-"),IF(AND(AND(NOT(F83=0),NOT(F83="-"),NOT(F83="")),AND(NOT(F84="-"),NOT(F84=0),NOT(F84=""))),IF(AND((F83+F84)/2&lt;1*F$5*IF(OR($C85="CET",$C85="-",$C85=""),"-",$C85),F83&lt;1.1*F$5*IF(OR($C85="CET",$C85="-",$C85=""),"-",$C85),F84&lt;1.1*F$5*IF(OR($C85="CET",$C85="-",$C85=""),"-",$C85)),"passed","refused"),IF(IF(OR(F83="-",F83=""),F84,F83)&lt;0.7*F$5*IF(OR($C85="CET",$C85="-",$C85=""),"-",$C85),"passed",IF(IF(OR(F83="-",F83=""),F84,F83)&lt;1.1*IF(OR($C85="CET",$C85="-",$C85=""),"-",$C85)*F$5,"failed","refused"))),"-"))))</f>
        <v>-</v>
      </c>
      <c r="G87" s="62" t="str">
        <f t="shared" si="70"/>
        <v>-</v>
      </c>
      <c r="H87" s="62" t="str">
        <f t="shared" si="70"/>
        <v>-</v>
      </c>
      <c r="I87" s="62" t="str">
        <f t="shared" si="70"/>
        <v>-</v>
      </c>
      <c r="J87" s="62" t="str">
        <f t="shared" si="70"/>
        <v>-</v>
      </c>
      <c r="K87" s="169" t="str">
        <f t="shared" si="70"/>
        <v>-</v>
      </c>
      <c r="L87" s="169" t="str">
        <f t="shared" si="70"/>
        <v>-</v>
      </c>
      <c r="M87" s="169" t="str">
        <f t="shared" si="70"/>
        <v>-</v>
      </c>
      <c r="N87" s="742"/>
      <c r="O87" s="749"/>
      <c r="P87" s="750"/>
      <c r="Q87" s="750"/>
      <c r="R87" s="750"/>
      <c r="S87" s="749"/>
      <c r="T87" s="750"/>
      <c r="U87" s="750"/>
      <c r="V87" s="754"/>
      <c r="W87" s="372"/>
      <c r="X87" s="372"/>
      <c r="Y87" s="743"/>
      <c r="Z87" s="743"/>
      <c r="AA87" s="743"/>
      <c r="AB87" s="743"/>
      <c r="AC87" s="743"/>
      <c r="AD87" s="743"/>
      <c r="AE87" s="743"/>
      <c r="AF87" s="743"/>
      <c r="AG87" s="743"/>
      <c r="AH87" s="743"/>
      <c r="BC87" s="159" t="str">
        <f t="shared" si="63"/>
        <v>-</v>
      </c>
      <c r="BD87" s="151" t="str">
        <f>"IEF " &amp; B73</f>
        <v>IEF Drive Mode 2</v>
      </c>
      <c r="BE87" s="153">
        <f t="shared" ref="BE87:BL87" si="71">IF(OR($C75="CET",$C75="-",$C75=""),"-",$C75)</f>
        <v>1</v>
      </c>
      <c r="BF87" s="153">
        <f t="shared" si="71"/>
        <v>1</v>
      </c>
      <c r="BG87" s="153">
        <f t="shared" si="71"/>
        <v>1</v>
      </c>
      <c r="BH87" s="153">
        <f t="shared" si="71"/>
        <v>1</v>
      </c>
      <c r="BI87" s="153">
        <f t="shared" si="71"/>
        <v>1</v>
      </c>
      <c r="BJ87" s="153">
        <f t="shared" si="71"/>
        <v>1</v>
      </c>
      <c r="BK87" s="153">
        <f t="shared" si="71"/>
        <v>1</v>
      </c>
      <c r="BL87" s="153">
        <f t="shared" si="71"/>
        <v>1</v>
      </c>
    </row>
    <row r="88" spans="1:80" ht="15" customHeight="1" outlineLevel="1" x14ac:dyDescent="0.25">
      <c r="A88" s="40"/>
      <c r="B88" s="679" t="str">
        <f>'Variant 2 - FTP'!B88:B92</f>
        <v>Drive Mode 5</v>
      </c>
      <c r="C88" s="770" t="s">
        <v>114</v>
      </c>
      <c r="D88" s="770" t="s">
        <v>113</v>
      </c>
      <c r="E88" s="106" t="s">
        <v>94</v>
      </c>
      <c r="F88" s="98" t="s">
        <v>5</v>
      </c>
      <c r="G88" s="98" t="s">
        <v>5</v>
      </c>
      <c r="H88" s="98" t="s">
        <v>5</v>
      </c>
      <c r="I88" s="98" t="s">
        <v>5</v>
      </c>
      <c r="J88" s="98" t="s">
        <v>5</v>
      </c>
      <c r="K88" s="165" t="s">
        <v>5</v>
      </c>
      <c r="L88" s="165" t="s">
        <v>5</v>
      </c>
      <c r="M88" s="165" t="s">
        <v>5</v>
      </c>
      <c r="N88" s="98" t="s">
        <v>5</v>
      </c>
      <c r="O88" s="749"/>
      <c r="P88" s="750"/>
      <c r="Q88" s="750"/>
      <c r="R88" s="750"/>
      <c r="S88" s="749"/>
      <c r="T88" s="750"/>
      <c r="U88" s="750"/>
      <c r="V88" s="754"/>
      <c r="W88" s="372"/>
      <c r="X88" s="372"/>
      <c r="Y88" s="743"/>
      <c r="Z88" s="743"/>
      <c r="AA88" s="743"/>
      <c r="AB88" s="743"/>
      <c r="AC88" s="743"/>
      <c r="AD88" s="743"/>
      <c r="AE88" s="743"/>
      <c r="AF88" s="743"/>
      <c r="AG88" s="743"/>
      <c r="AH88" s="743"/>
      <c r="BC88" s="159" t="str">
        <f t="shared" si="63"/>
        <v>-</v>
      </c>
      <c r="BD88" s="151" t="str">
        <f>"IEF " &amp; B78</f>
        <v>IEF Drive Mode 3</v>
      </c>
      <c r="BE88" s="153">
        <f t="shared" ref="BE88:BL88" si="72">IF(OR($C80="CET",$C80="-",$C80=""),"-",$C80)</f>
        <v>1</v>
      </c>
      <c r="BF88" s="153">
        <f t="shared" si="72"/>
        <v>1</v>
      </c>
      <c r="BG88" s="153">
        <f t="shared" si="72"/>
        <v>1</v>
      </c>
      <c r="BH88" s="153">
        <f t="shared" si="72"/>
        <v>1</v>
      </c>
      <c r="BI88" s="153">
        <f t="shared" si="72"/>
        <v>1</v>
      </c>
      <c r="BJ88" s="153">
        <f t="shared" si="72"/>
        <v>1</v>
      </c>
      <c r="BK88" s="153">
        <f t="shared" si="72"/>
        <v>1</v>
      </c>
      <c r="BL88" s="153">
        <f t="shared" si="72"/>
        <v>1</v>
      </c>
    </row>
    <row r="89" spans="1:80" s="50" customFormat="1" ht="15" customHeight="1" outlineLevel="1" thickBot="1" x14ac:dyDescent="0.3">
      <c r="A89" s="52"/>
      <c r="B89" s="680"/>
      <c r="C89" s="741"/>
      <c r="D89" s="742"/>
      <c r="E89" s="104" t="s">
        <v>95</v>
      </c>
      <c r="F89" s="97" t="s">
        <v>5</v>
      </c>
      <c r="G89" s="97" t="s">
        <v>5</v>
      </c>
      <c r="H89" s="97" t="s">
        <v>5</v>
      </c>
      <c r="I89" s="97" t="s">
        <v>5</v>
      </c>
      <c r="J89" s="97" t="s">
        <v>5</v>
      </c>
      <c r="K89" s="166" t="s">
        <v>5</v>
      </c>
      <c r="L89" s="166" t="s">
        <v>5</v>
      </c>
      <c r="M89" s="166" t="s">
        <v>5</v>
      </c>
      <c r="N89" s="97" t="s">
        <v>5</v>
      </c>
      <c r="O89" s="749"/>
      <c r="P89" s="750"/>
      <c r="Q89" s="750"/>
      <c r="R89" s="750"/>
      <c r="S89" s="749"/>
      <c r="T89" s="750"/>
      <c r="U89" s="750"/>
      <c r="V89" s="754"/>
      <c r="W89" s="51"/>
      <c r="X89" s="51"/>
      <c r="Y89" s="743"/>
      <c r="Z89" s="743"/>
      <c r="AA89" s="743"/>
      <c r="AB89" s="743"/>
      <c r="AC89" s="743"/>
      <c r="AD89" s="743"/>
      <c r="AE89" s="743"/>
      <c r="AF89" s="743"/>
      <c r="AG89" s="743"/>
      <c r="AH89" s="743"/>
      <c r="BC89" s="159" t="str">
        <f t="shared" si="63"/>
        <v>-</v>
      </c>
      <c r="BD89" s="151" t="str">
        <f>"IEF " &amp; B83</f>
        <v>IEF Drive Mode 4</v>
      </c>
      <c r="BE89" s="153">
        <f t="shared" ref="BE89:BL89" si="73">IF(OR($C85="CET",$C85="-",$C85=""),"-",$C85)</f>
        <v>1</v>
      </c>
      <c r="BF89" s="153">
        <f t="shared" si="73"/>
        <v>1</v>
      </c>
      <c r="BG89" s="153">
        <f t="shared" si="73"/>
        <v>1</v>
      </c>
      <c r="BH89" s="153">
        <f t="shared" si="73"/>
        <v>1</v>
      </c>
      <c r="BI89" s="153">
        <f t="shared" si="73"/>
        <v>1</v>
      </c>
      <c r="BJ89" s="153">
        <f t="shared" si="73"/>
        <v>1</v>
      </c>
      <c r="BK89" s="153">
        <f t="shared" si="73"/>
        <v>1</v>
      </c>
      <c r="BL89" s="153">
        <f t="shared" si="73"/>
        <v>1</v>
      </c>
      <c r="BM89" s="150"/>
      <c r="BN89" s="150"/>
      <c r="BO89" s="150"/>
      <c r="BP89" s="150"/>
      <c r="BQ89" s="150"/>
      <c r="BR89" s="150"/>
      <c r="BS89" s="150"/>
      <c r="BT89" s="150"/>
      <c r="BU89" s="150"/>
      <c r="BV89" s="150"/>
      <c r="BW89" s="150"/>
      <c r="BX89" s="150"/>
      <c r="BY89" s="150"/>
      <c r="BZ89" s="150"/>
      <c r="CA89" s="150"/>
      <c r="CB89" s="150"/>
    </row>
    <row r="90" spans="1:80" ht="15" customHeight="1" outlineLevel="1" thickBot="1" x14ac:dyDescent="0.3">
      <c r="A90" s="40"/>
      <c r="B90" s="680"/>
      <c r="C90" s="764">
        <v>1</v>
      </c>
      <c r="D90" s="772" t="str">
        <f>IF(AND(F90="-",G90="-",H90="-",I90="-",J90="-",K90="-",L90="-",M90="-"),"-",MAX(F90,G90,H90,I90,J90,K90,L90,M90))</f>
        <v>-</v>
      </c>
      <c r="E90" s="66" t="s">
        <v>177</v>
      </c>
      <c r="F90" s="65" t="str">
        <f t="shared" ref="F90:M90" si="74">IF(OR(F89="-",F89=""),IF(OR(F88="-",F88=""),"-",F88),IF(OR(F88="-",F88=""),F89,(F88+F89)/2))</f>
        <v>-</v>
      </c>
      <c r="G90" s="65" t="str">
        <f t="shared" si="74"/>
        <v>-</v>
      </c>
      <c r="H90" s="65" t="str">
        <f t="shared" si="74"/>
        <v>-</v>
      </c>
      <c r="I90" s="65" t="str">
        <f t="shared" si="74"/>
        <v>-</v>
      </c>
      <c r="J90" s="65" t="str">
        <f t="shared" si="74"/>
        <v>-</v>
      </c>
      <c r="K90" s="167" t="str">
        <f t="shared" si="74"/>
        <v>-</v>
      </c>
      <c r="L90" s="167" t="str">
        <f t="shared" si="74"/>
        <v>-</v>
      </c>
      <c r="M90" s="167" t="str">
        <f t="shared" si="74"/>
        <v>-</v>
      </c>
      <c r="N90" s="740"/>
      <c r="O90" s="749"/>
      <c r="P90" s="750"/>
      <c r="Q90" s="750"/>
      <c r="R90" s="750"/>
      <c r="S90" s="749"/>
      <c r="T90" s="750"/>
      <c r="U90" s="750"/>
      <c r="V90" s="754"/>
      <c r="W90" s="372"/>
      <c r="X90" s="372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BC90" s="159" t="str">
        <f t="shared" si="63"/>
        <v>-</v>
      </c>
      <c r="BD90" s="151" t="str">
        <f>"IEF " &amp; B88</f>
        <v>IEF Drive Mode 5</v>
      </c>
      <c r="BE90" s="153">
        <f t="shared" ref="BE90:BL90" si="75">IF(OR($C90="CET",$C90="-",$C90=""),"-",$C90)</f>
        <v>1</v>
      </c>
      <c r="BF90" s="153">
        <f t="shared" si="75"/>
        <v>1</v>
      </c>
      <c r="BG90" s="153">
        <f t="shared" si="75"/>
        <v>1</v>
      </c>
      <c r="BH90" s="153">
        <f t="shared" si="75"/>
        <v>1</v>
      </c>
      <c r="BI90" s="153">
        <f t="shared" si="75"/>
        <v>1</v>
      </c>
      <c r="BJ90" s="153">
        <f t="shared" si="75"/>
        <v>1</v>
      </c>
      <c r="BK90" s="153">
        <f t="shared" si="75"/>
        <v>1</v>
      </c>
      <c r="BL90" s="153">
        <f t="shared" si="75"/>
        <v>1</v>
      </c>
    </row>
    <row r="91" spans="1:80" ht="15" customHeight="1" outlineLevel="1" thickBot="1" x14ac:dyDescent="0.3">
      <c r="A91" s="40"/>
      <c r="B91" s="680"/>
      <c r="C91" s="765"/>
      <c r="D91" s="773"/>
      <c r="E91" s="64" t="s">
        <v>97</v>
      </c>
      <c r="F91" s="63" t="str">
        <f t="shared" ref="F91:M91" si="76">IF(OR($C90="-",$C90="CET",$C90=""),"-",IF(AND(NOT(F90="-"),NOT(F$5="-"),NOT(F$5="")),F90/F$5,"-"))</f>
        <v>-</v>
      </c>
      <c r="G91" s="63" t="str">
        <f t="shared" si="76"/>
        <v>-</v>
      </c>
      <c r="H91" s="63" t="str">
        <f t="shared" si="76"/>
        <v>-</v>
      </c>
      <c r="I91" s="63" t="str">
        <f t="shared" si="76"/>
        <v>-</v>
      </c>
      <c r="J91" s="63" t="str">
        <f t="shared" si="76"/>
        <v>-</v>
      </c>
      <c r="K91" s="168" t="str">
        <f t="shared" si="76"/>
        <v>-</v>
      </c>
      <c r="L91" s="168" t="str">
        <f t="shared" si="76"/>
        <v>-</v>
      </c>
      <c r="M91" s="168" t="str">
        <f t="shared" si="76"/>
        <v>-</v>
      </c>
      <c r="N91" s="741"/>
      <c r="O91" s="749"/>
      <c r="P91" s="750"/>
      <c r="Q91" s="750"/>
      <c r="R91" s="750"/>
      <c r="S91" s="749"/>
      <c r="T91" s="750"/>
      <c r="U91" s="750"/>
      <c r="V91" s="754"/>
      <c r="W91" s="372"/>
      <c r="X91" s="372"/>
      <c r="Y91" s="743"/>
      <c r="Z91" s="743"/>
      <c r="AA91" s="743"/>
      <c r="AB91" s="743"/>
      <c r="AC91" s="743"/>
      <c r="AD91" s="743"/>
      <c r="AE91" s="743"/>
      <c r="AF91" s="743"/>
      <c r="AG91" s="743"/>
      <c r="AH91" s="743"/>
      <c r="BC91" s="159" t="str">
        <f t="shared" si="63"/>
        <v>-</v>
      </c>
      <c r="BD91" s="151" t="str">
        <f>"IEF " &amp; B93</f>
        <v>IEF Drive Mode 6</v>
      </c>
      <c r="BE91" s="153">
        <f t="shared" ref="BE91:BL91" si="77">IF(OR($C95="CET",$C95="-",$C95=""),"-",$C95)</f>
        <v>1</v>
      </c>
      <c r="BF91" s="153">
        <f t="shared" si="77"/>
        <v>1</v>
      </c>
      <c r="BG91" s="153">
        <f t="shared" si="77"/>
        <v>1</v>
      </c>
      <c r="BH91" s="153">
        <f t="shared" si="77"/>
        <v>1</v>
      </c>
      <c r="BI91" s="153">
        <f t="shared" si="77"/>
        <v>1</v>
      </c>
      <c r="BJ91" s="153">
        <f t="shared" si="77"/>
        <v>1</v>
      </c>
      <c r="BK91" s="153">
        <f t="shared" si="77"/>
        <v>1</v>
      </c>
      <c r="BL91" s="153">
        <f t="shared" si="77"/>
        <v>1</v>
      </c>
    </row>
    <row r="92" spans="1:80" ht="15" customHeight="1" outlineLevel="1" thickBot="1" x14ac:dyDescent="0.3">
      <c r="A92" s="40"/>
      <c r="B92" s="681"/>
      <c r="C92" s="771"/>
      <c r="D92" s="774"/>
      <c r="E92" s="62" t="s">
        <v>30</v>
      </c>
      <c r="F92" s="62" t="str">
        <f t="shared" ref="F92:M92" si="78">IF(AND(OR(F88="-",F88=""),OR(F89="-",F89="")),"-",IF(OR($C90="-",$C90="",$C90="CET"),"-",IF($R$64="not listed","-",IF(NOT(F$5="-"),IF(AND(AND(NOT(F88=0),NOT(F88="-"),NOT(F88="")),AND(NOT(F89="-"),NOT(F89=0),NOT(F89=""))),IF(AND((F88+F89)/2&lt;1*F$5*IF(OR($C90="CET",$C90="-",$C90=""),"-",$C90),F88&lt;1.1*F$5*IF(OR($C90="CET",$C90="-",$C90=""),"-",$C90),F89&lt;1.1*F$5*IF(OR($C90="CET",$C90="-",$C90=""),"-",$C90)),"passed","refused"),IF(IF(OR(F88="-",F88=""),F89,F88)&lt;0.7*F$5*IF(OR($C90="CET",$C90="-",$C90=""),"-",$C90),"passed",IF(IF(OR(F88="-",F88=""),F89,F88)&lt;1.1*IF(OR($C90="CET",$C90="-",$C90=""),"-",$C90)*F$5,"failed","refused"))),"-"))))</f>
        <v>-</v>
      </c>
      <c r="G92" s="62" t="str">
        <f t="shared" si="78"/>
        <v>-</v>
      </c>
      <c r="H92" s="62" t="str">
        <f t="shared" si="78"/>
        <v>-</v>
      </c>
      <c r="I92" s="62" t="str">
        <f t="shared" si="78"/>
        <v>-</v>
      </c>
      <c r="J92" s="62" t="str">
        <f t="shared" si="78"/>
        <v>-</v>
      </c>
      <c r="K92" s="169" t="str">
        <f t="shared" si="78"/>
        <v>-</v>
      </c>
      <c r="L92" s="169" t="str">
        <f t="shared" si="78"/>
        <v>-</v>
      </c>
      <c r="M92" s="169" t="str">
        <f t="shared" si="78"/>
        <v>-</v>
      </c>
      <c r="N92" s="742"/>
      <c r="O92" s="749"/>
      <c r="P92" s="750"/>
      <c r="Q92" s="750"/>
      <c r="R92" s="750"/>
      <c r="S92" s="749"/>
      <c r="T92" s="750"/>
      <c r="U92" s="750"/>
      <c r="V92" s="754"/>
      <c r="W92" s="372"/>
      <c r="X92" s="372"/>
      <c r="Y92" s="743"/>
      <c r="Z92" s="743"/>
      <c r="AA92" s="743"/>
      <c r="AB92" s="743"/>
      <c r="AC92" s="743"/>
      <c r="AD92" s="743"/>
      <c r="AE92" s="743"/>
      <c r="AF92" s="743"/>
      <c r="AG92" s="743"/>
      <c r="AH92" s="743"/>
      <c r="BC92" s="159" t="str">
        <f t="shared" si="63"/>
        <v>-</v>
      </c>
    </row>
    <row r="93" spans="1:80" ht="15" customHeight="1" outlineLevel="1" x14ac:dyDescent="0.25">
      <c r="A93" s="40"/>
      <c r="B93" s="679" t="str">
        <f>'Variant 2 - FTP'!B93:B97</f>
        <v>Drive Mode 6</v>
      </c>
      <c r="C93" s="814" t="s">
        <v>114</v>
      </c>
      <c r="D93" s="770" t="s">
        <v>113</v>
      </c>
      <c r="E93" s="106" t="s">
        <v>94</v>
      </c>
      <c r="F93" s="98" t="s">
        <v>5</v>
      </c>
      <c r="G93" s="98" t="s">
        <v>5</v>
      </c>
      <c r="H93" s="98" t="s">
        <v>5</v>
      </c>
      <c r="I93" s="98" t="s">
        <v>5</v>
      </c>
      <c r="J93" s="98" t="s">
        <v>5</v>
      </c>
      <c r="K93" s="165" t="s">
        <v>5</v>
      </c>
      <c r="L93" s="165" t="s">
        <v>5</v>
      </c>
      <c r="M93" s="165" t="s">
        <v>5</v>
      </c>
      <c r="N93" s="98" t="s">
        <v>5</v>
      </c>
      <c r="O93" s="749"/>
      <c r="P93" s="750"/>
      <c r="Q93" s="750"/>
      <c r="R93" s="750"/>
      <c r="S93" s="749"/>
      <c r="T93" s="750"/>
      <c r="U93" s="750"/>
      <c r="V93" s="754"/>
      <c r="W93" s="372"/>
      <c r="X93" s="372"/>
      <c r="Y93" s="743"/>
      <c r="Z93" s="743"/>
      <c r="AA93" s="743"/>
      <c r="AB93" s="743"/>
      <c r="AC93" s="743"/>
      <c r="AD93" s="743"/>
      <c r="AE93" s="743"/>
      <c r="AF93" s="743"/>
      <c r="AG93" s="743"/>
      <c r="AH93" s="743"/>
      <c r="BC93" s="159" t="str">
        <f t="shared" si="63"/>
        <v>-</v>
      </c>
      <c r="BD93" s="156"/>
      <c r="BE93" s="156"/>
      <c r="BF93" s="156"/>
      <c r="BG93" s="156"/>
      <c r="BH93" s="156"/>
      <c r="BI93" s="156"/>
      <c r="BJ93" s="156"/>
      <c r="BK93" s="156"/>
      <c r="BL93" s="156"/>
    </row>
    <row r="94" spans="1:80" s="50" customFormat="1" ht="15" customHeight="1" outlineLevel="1" thickBot="1" x14ac:dyDescent="0.3">
      <c r="A94" s="52"/>
      <c r="B94" s="680"/>
      <c r="C94" s="815"/>
      <c r="D94" s="742"/>
      <c r="E94" s="104" t="s">
        <v>95</v>
      </c>
      <c r="F94" s="97" t="s">
        <v>5</v>
      </c>
      <c r="G94" s="97" t="s">
        <v>5</v>
      </c>
      <c r="H94" s="97" t="s">
        <v>5</v>
      </c>
      <c r="I94" s="97" t="s">
        <v>5</v>
      </c>
      <c r="J94" s="97" t="s">
        <v>5</v>
      </c>
      <c r="K94" s="166" t="s">
        <v>5</v>
      </c>
      <c r="L94" s="166" t="s">
        <v>5</v>
      </c>
      <c r="M94" s="166" t="s">
        <v>5</v>
      </c>
      <c r="N94" s="97" t="s">
        <v>5</v>
      </c>
      <c r="O94" s="749"/>
      <c r="P94" s="750"/>
      <c r="Q94" s="750"/>
      <c r="R94" s="750"/>
      <c r="S94" s="749"/>
      <c r="T94" s="750"/>
      <c r="U94" s="750"/>
      <c r="V94" s="754"/>
      <c r="W94" s="51"/>
      <c r="X94" s="51"/>
      <c r="Y94" s="743"/>
      <c r="Z94" s="743"/>
      <c r="AA94" s="743"/>
      <c r="AB94" s="743"/>
      <c r="AC94" s="743"/>
      <c r="AD94" s="743"/>
      <c r="AE94" s="743"/>
      <c r="AF94" s="743"/>
      <c r="AG94" s="743"/>
      <c r="AH94" s="743"/>
      <c r="BC94" s="159" t="str">
        <f t="shared" si="63"/>
        <v>-</v>
      </c>
      <c r="BD94" s="156"/>
      <c r="BE94" s="156"/>
      <c r="BF94" s="156"/>
      <c r="BG94" s="156"/>
      <c r="BH94" s="156"/>
      <c r="BI94" s="156"/>
      <c r="BJ94" s="156"/>
      <c r="BK94" s="156"/>
      <c r="BL94" s="156"/>
      <c r="BM94" s="150"/>
      <c r="BN94" s="150"/>
      <c r="BO94" s="150"/>
      <c r="BP94" s="150"/>
      <c r="BQ94" s="150"/>
      <c r="BR94" s="150"/>
      <c r="BS94" s="150"/>
      <c r="BT94" s="150"/>
      <c r="BU94" s="150"/>
      <c r="BV94" s="150"/>
      <c r="BW94" s="150"/>
      <c r="BX94" s="150"/>
      <c r="BY94" s="150"/>
      <c r="BZ94" s="150"/>
      <c r="CA94" s="150"/>
      <c r="CB94" s="150"/>
    </row>
    <row r="95" spans="1:80" ht="15" customHeight="1" outlineLevel="1" thickBot="1" x14ac:dyDescent="0.3">
      <c r="A95" s="40"/>
      <c r="B95" s="680"/>
      <c r="C95" s="808">
        <v>1</v>
      </c>
      <c r="D95" s="772" t="str">
        <f>IF(AND(F95="-",G95="-",H95="-",I95="-",J95="-",K95="-",L95="-",M95="-"),"-",MAX(F95,G95,H95,I95,J95,K95,L95,M95))</f>
        <v>-</v>
      </c>
      <c r="E95" s="66" t="s">
        <v>177</v>
      </c>
      <c r="F95" s="65" t="str">
        <f t="shared" ref="F95:M95" si="79">IF(OR(F94="-",F94=""),IF(OR(F93="-",F93=""),"-",F93),IF(OR(F93="-",F93=""),F94,(F93+F94)/2))</f>
        <v>-</v>
      </c>
      <c r="G95" s="65" t="str">
        <f t="shared" si="79"/>
        <v>-</v>
      </c>
      <c r="H95" s="65" t="str">
        <f t="shared" si="79"/>
        <v>-</v>
      </c>
      <c r="I95" s="65" t="str">
        <f t="shared" si="79"/>
        <v>-</v>
      </c>
      <c r="J95" s="65" t="str">
        <f t="shared" si="79"/>
        <v>-</v>
      </c>
      <c r="K95" s="167" t="str">
        <f t="shared" si="79"/>
        <v>-</v>
      </c>
      <c r="L95" s="167" t="str">
        <f t="shared" si="79"/>
        <v>-</v>
      </c>
      <c r="M95" s="167" t="str">
        <f t="shared" si="79"/>
        <v>-</v>
      </c>
      <c r="N95" s="740"/>
      <c r="O95" s="749"/>
      <c r="P95" s="750"/>
      <c r="Q95" s="750"/>
      <c r="R95" s="750"/>
      <c r="S95" s="749"/>
      <c r="T95" s="750"/>
      <c r="U95" s="750"/>
      <c r="V95" s="754"/>
      <c r="W95" s="372"/>
      <c r="X95" s="372"/>
      <c r="Y95" s="743"/>
      <c r="Z95" s="743"/>
      <c r="AA95" s="743"/>
      <c r="AB95" s="743"/>
      <c r="AC95" s="743"/>
      <c r="AD95" s="743"/>
      <c r="AE95" s="743"/>
      <c r="AF95" s="743"/>
      <c r="AG95" s="743"/>
      <c r="AH95" s="743"/>
      <c r="BC95" s="159" t="str">
        <f t="shared" si="63"/>
        <v>-</v>
      </c>
      <c r="BD95" s="157"/>
      <c r="BE95" s="157"/>
      <c r="BF95" s="157"/>
      <c r="BG95" s="157"/>
      <c r="BH95" s="157"/>
      <c r="BI95" s="157"/>
      <c r="BJ95" s="157"/>
      <c r="BK95" s="157"/>
      <c r="BL95" s="157"/>
    </row>
    <row r="96" spans="1:80" ht="15" customHeight="1" outlineLevel="1" thickBot="1" x14ac:dyDescent="0.3">
      <c r="A96" s="40"/>
      <c r="B96" s="680"/>
      <c r="C96" s="809"/>
      <c r="D96" s="773"/>
      <c r="E96" s="64" t="s">
        <v>97</v>
      </c>
      <c r="F96" s="63" t="str">
        <f t="shared" ref="F96:M96" si="80">IF(OR($C95="-",$C95="CET",$C95=""),"-",IF(AND(NOT(F95="-"),NOT(F$5="-"),NOT(F$5="")),F95/F$5,"-"))</f>
        <v>-</v>
      </c>
      <c r="G96" s="63" t="str">
        <f t="shared" si="80"/>
        <v>-</v>
      </c>
      <c r="H96" s="63" t="str">
        <f t="shared" si="80"/>
        <v>-</v>
      </c>
      <c r="I96" s="63" t="str">
        <f t="shared" si="80"/>
        <v>-</v>
      </c>
      <c r="J96" s="63" t="str">
        <f t="shared" si="80"/>
        <v>-</v>
      </c>
      <c r="K96" s="168" t="str">
        <f t="shared" si="80"/>
        <v>-</v>
      </c>
      <c r="L96" s="168" t="str">
        <f t="shared" si="80"/>
        <v>-</v>
      </c>
      <c r="M96" s="168" t="str">
        <f t="shared" si="80"/>
        <v>-</v>
      </c>
      <c r="N96" s="741"/>
      <c r="O96" s="749"/>
      <c r="P96" s="750"/>
      <c r="Q96" s="750"/>
      <c r="R96" s="750"/>
      <c r="S96" s="749"/>
      <c r="T96" s="750"/>
      <c r="U96" s="750"/>
      <c r="V96" s="754"/>
      <c r="W96" s="372"/>
      <c r="X96" s="372"/>
      <c r="Y96" s="743"/>
      <c r="Z96" s="743"/>
      <c r="AA96" s="743"/>
      <c r="AB96" s="743"/>
      <c r="AC96" s="743"/>
      <c r="AD96" s="743"/>
      <c r="AE96" s="743"/>
      <c r="AF96" s="743"/>
      <c r="AG96" s="743"/>
      <c r="AH96" s="743"/>
      <c r="BC96" s="159" t="str">
        <f t="shared" si="63"/>
        <v>-</v>
      </c>
      <c r="BD96" s="157"/>
      <c r="BE96" s="157"/>
      <c r="BF96" s="157"/>
      <c r="BG96" s="157"/>
      <c r="BH96" s="157"/>
      <c r="BI96" s="157"/>
      <c r="BJ96" s="157"/>
      <c r="BK96" s="157"/>
      <c r="BL96" s="157"/>
    </row>
    <row r="97" spans="1:80" ht="15.75" outlineLevel="1" thickBot="1" x14ac:dyDescent="0.3">
      <c r="B97" s="681"/>
      <c r="C97" s="810"/>
      <c r="D97" s="774"/>
      <c r="E97" s="62" t="s">
        <v>30</v>
      </c>
      <c r="F97" s="62" t="str">
        <f t="shared" ref="F97:M97" si="81">IF(AND(OR(F93="-",F93=""),OR(F94="-",F94="")),"-",IF(OR($C95="-",$C95="",$C95="CET"),"-",IF($R$64="not listed","-",IF(NOT(F$5="-"),IF(AND(AND(NOT(F93=0),NOT(F93="-"),NOT(F93="")),AND(NOT(F94="-"),NOT(F94=0),NOT(F94=""))),IF(AND((F93+F94)/2&lt;1*F$5*IF(OR($C95="CET",$C95="-",$C95=""),"-",$C95),F93&lt;1.1*F$5*IF(OR($C95="CET",$C95="-",$C95=""),"-",$C95),F94&lt;1.1*F$5*IF(OR($C95="CET",$C95="-",$C95=""),"-",$C95)),"passed","refused"),IF(IF(OR(F93="-",F93=""),F94,F93)&lt;0.7*F$5*IF(OR($C95="CET",$C95="-",$C95=""),"-",$C95),"passed",IF(IF(OR(F93="-",F93=""),F94,F93)&lt;1.1*IF(OR($C95="CET",$C95="-",$C95=""),"-",$C95)*F$5,"failed","refused"))),"-"))))</f>
        <v>-</v>
      </c>
      <c r="G97" s="62" t="str">
        <f t="shared" si="81"/>
        <v>-</v>
      </c>
      <c r="H97" s="62" t="str">
        <f t="shared" si="81"/>
        <v>-</v>
      </c>
      <c r="I97" s="62" t="str">
        <f t="shared" si="81"/>
        <v>-</v>
      </c>
      <c r="J97" s="62" t="str">
        <f t="shared" si="81"/>
        <v>-</v>
      </c>
      <c r="K97" s="169" t="str">
        <f t="shared" si="81"/>
        <v>-</v>
      </c>
      <c r="L97" s="169" t="str">
        <f t="shared" si="81"/>
        <v>-</v>
      </c>
      <c r="M97" s="169" t="str">
        <f t="shared" si="81"/>
        <v>-</v>
      </c>
      <c r="N97" s="742"/>
      <c r="O97" s="751"/>
      <c r="P97" s="752"/>
      <c r="Q97" s="752"/>
      <c r="R97" s="752"/>
      <c r="S97" s="751"/>
      <c r="T97" s="752"/>
      <c r="U97" s="752"/>
      <c r="V97" s="755"/>
      <c r="BC97" s="159" t="str">
        <f t="shared" si="63"/>
        <v>-</v>
      </c>
      <c r="BD97" s="157"/>
      <c r="BE97" s="157"/>
      <c r="BF97" s="157"/>
      <c r="BG97" s="157"/>
      <c r="BH97" s="157"/>
      <c r="BI97" s="157"/>
      <c r="BJ97" s="157"/>
      <c r="BK97" s="157"/>
      <c r="BL97" s="157"/>
    </row>
    <row r="98" spans="1:80" ht="15" customHeight="1" x14ac:dyDescent="0.25">
      <c r="BC98" s="159" t="str">
        <f t="shared" si="63"/>
        <v>-</v>
      </c>
      <c r="BD98" s="156"/>
      <c r="BE98" s="156"/>
      <c r="BF98" s="156"/>
      <c r="BG98" s="156"/>
      <c r="BH98" s="156"/>
      <c r="BI98" s="156"/>
      <c r="BJ98" s="156"/>
      <c r="BK98" s="156"/>
      <c r="BL98" s="156"/>
    </row>
    <row r="99" spans="1:80" ht="15" customHeight="1" x14ac:dyDescent="0.25">
      <c r="BC99" s="159" t="str">
        <f t="shared" si="63"/>
        <v>-</v>
      </c>
      <c r="BD99" s="156"/>
      <c r="BE99" s="156"/>
      <c r="BF99" s="156"/>
      <c r="BG99" s="156"/>
      <c r="BH99" s="156"/>
      <c r="BI99" s="156"/>
      <c r="BJ99" s="156"/>
      <c r="BK99" s="156"/>
      <c r="BL99" s="156"/>
    </row>
    <row r="100" spans="1:80" ht="15" customHeight="1" thickBot="1" x14ac:dyDescent="0.3">
      <c r="A100" s="36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BC100" s="159" t="str">
        <f t="shared" si="63"/>
        <v>-</v>
      </c>
      <c r="BD100" s="156"/>
      <c r="BE100" s="156"/>
      <c r="BF100" s="156"/>
      <c r="BG100" s="156"/>
      <c r="BH100" s="156"/>
      <c r="BI100" s="156"/>
      <c r="BJ100" s="156"/>
      <c r="BK100" s="156"/>
      <c r="BL100" s="156"/>
    </row>
    <row r="101" spans="1:80" ht="24.95" customHeight="1" thickBot="1" x14ac:dyDescent="0.3">
      <c r="A101" s="362"/>
      <c r="B101" s="185">
        <v>4</v>
      </c>
      <c r="C101" s="757" t="s">
        <v>167</v>
      </c>
      <c r="D101" s="758"/>
      <c r="E101" s="758"/>
      <c r="F101" s="758"/>
      <c r="G101" s="758"/>
      <c r="H101" s="758"/>
      <c r="I101" s="758"/>
      <c r="J101" s="758"/>
      <c r="K101" s="758"/>
      <c r="L101" s="758"/>
      <c r="M101" s="758"/>
      <c r="N101" s="759"/>
      <c r="O101" s="49" t="s">
        <v>117</v>
      </c>
      <c r="P101" s="71" t="str">
        <f>IF(COUNTIF(F109:M116,"refused")&gt;0,"refused",IF(COUNTIF(F109:M116,"failed")&gt;0,"failed",IF(COUNTIF(F109:M116,"passed")&gt;0,"passed","-")))</f>
        <v>-</v>
      </c>
      <c r="Q101" s="70" t="s">
        <v>80</v>
      </c>
      <c r="R101" s="70" t="str">
        <f>IF(COUNT(F106:M107,F112:M113)&gt;0,"listed","not listed")</f>
        <v>not listed</v>
      </c>
      <c r="S101" s="371"/>
      <c r="T101" s="43"/>
      <c r="U101" s="43"/>
      <c r="V101" s="44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BC101" s="159" t="str">
        <f t="shared" si="63"/>
        <v>-</v>
      </c>
    </row>
    <row r="102" spans="1:80" ht="15" customHeight="1" outlineLevel="1" thickBot="1" x14ac:dyDescent="0.3">
      <c r="A102" s="362"/>
      <c r="B102" s="373"/>
      <c r="C102" s="374"/>
      <c r="D102" s="374"/>
      <c r="E102" s="374"/>
      <c r="F102" s="374"/>
      <c r="G102" s="374"/>
      <c r="H102" s="374"/>
      <c r="I102" s="374"/>
      <c r="J102" s="374"/>
      <c r="K102" s="162"/>
      <c r="L102" s="162"/>
      <c r="M102" s="162"/>
      <c r="N102" s="374"/>
      <c r="O102" s="374"/>
      <c r="P102" s="374"/>
      <c r="Q102" s="374"/>
      <c r="R102" s="374"/>
      <c r="S102" s="374"/>
      <c r="T102" s="45"/>
      <c r="U102" s="45"/>
      <c r="V102" s="46"/>
      <c r="W102" s="47"/>
      <c r="X102" s="47"/>
      <c r="Y102" s="756"/>
      <c r="Z102" s="756"/>
      <c r="AA102" s="756"/>
      <c r="AB102" s="756"/>
      <c r="AC102" s="756"/>
      <c r="AD102" s="756"/>
      <c r="AE102" s="756"/>
      <c r="AF102" s="756"/>
      <c r="AG102" s="756"/>
      <c r="AH102" s="756"/>
      <c r="BC102" s="159" t="str">
        <f t="shared" si="63"/>
        <v>-</v>
      </c>
    </row>
    <row r="103" spans="1:80" ht="15" customHeight="1" outlineLevel="1" thickBot="1" x14ac:dyDescent="0.3">
      <c r="A103" s="362"/>
      <c r="B103" s="744" t="s">
        <v>81</v>
      </c>
      <c r="C103" s="745"/>
      <c r="D103" s="745"/>
      <c r="E103" s="745"/>
      <c r="F103" s="745"/>
      <c r="G103" s="745"/>
      <c r="H103" s="745"/>
      <c r="I103" s="745"/>
      <c r="J103" s="745"/>
      <c r="K103" s="745"/>
      <c r="L103" s="745"/>
      <c r="M103" s="745"/>
      <c r="N103" s="746"/>
      <c r="O103" s="744" t="s">
        <v>82</v>
      </c>
      <c r="P103" s="745"/>
      <c r="Q103" s="745"/>
      <c r="R103" s="746"/>
      <c r="S103" s="744" t="s">
        <v>83</v>
      </c>
      <c r="T103" s="745"/>
      <c r="U103" s="745"/>
      <c r="V103" s="746"/>
      <c r="W103" s="372"/>
      <c r="X103" s="372"/>
      <c r="Y103" s="743"/>
      <c r="Z103" s="743"/>
      <c r="AA103" s="743"/>
      <c r="AB103" s="743"/>
      <c r="AC103" s="743"/>
      <c r="AD103" s="743"/>
      <c r="AE103" s="743"/>
      <c r="AF103" s="743"/>
      <c r="AG103" s="743"/>
      <c r="AH103" s="743"/>
      <c r="BC103" s="159" t="str">
        <f t="shared" si="63"/>
        <v>-</v>
      </c>
    </row>
    <row r="104" spans="1:80" ht="35.1" customHeight="1" outlineLevel="1" thickBot="1" x14ac:dyDescent="0.3">
      <c r="A104" s="362"/>
      <c r="B104" s="811" t="s">
        <v>84</v>
      </c>
      <c r="C104" s="812"/>
      <c r="D104" s="812"/>
      <c r="E104" s="813"/>
      <c r="F104" s="69" t="s">
        <v>72</v>
      </c>
      <c r="G104" s="377" t="s">
        <v>73</v>
      </c>
      <c r="H104" s="69" t="s">
        <v>74</v>
      </c>
      <c r="I104" s="69" t="s">
        <v>75</v>
      </c>
      <c r="J104" s="69" t="s">
        <v>76</v>
      </c>
      <c r="K104" s="163" t="s">
        <v>170</v>
      </c>
      <c r="L104" s="380" t="str">
        <f>$L$4</f>
        <v>Additional
component</v>
      </c>
      <c r="M104" s="380" t="str">
        <f>$M$4</f>
        <v>Additional
component 2</v>
      </c>
      <c r="N104" s="69" t="s">
        <v>77</v>
      </c>
      <c r="O104" s="747"/>
      <c r="P104" s="748"/>
      <c r="Q104" s="748"/>
      <c r="R104" s="753"/>
      <c r="S104" s="747"/>
      <c r="T104" s="748"/>
      <c r="U104" s="748"/>
      <c r="V104" s="753"/>
      <c r="W104" s="372"/>
      <c r="X104" s="372"/>
      <c r="Y104" s="743"/>
      <c r="Z104" s="743"/>
      <c r="AA104" s="743"/>
      <c r="AB104" s="743"/>
      <c r="AC104" s="743"/>
      <c r="AD104" s="743"/>
      <c r="AE104" s="743"/>
      <c r="AF104" s="743"/>
      <c r="AG104" s="743"/>
      <c r="AH104" s="743"/>
      <c r="BC104" s="159" t="str">
        <f t="shared" si="63"/>
        <v>-</v>
      </c>
    </row>
    <row r="105" spans="1:80" ht="15" customHeight="1" outlineLevel="1" thickBot="1" x14ac:dyDescent="0.3">
      <c r="A105" s="362"/>
      <c r="B105" s="806" t="s">
        <v>168</v>
      </c>
      <c r="C105" s="370" t="s">
        <v>64</v>
      </c>
      <c r="D105" s="767" t="s">
        <v>119</v>
      </c>
      <c r="E105" s="769"/>
      <c r="F105" s="107" t="s">
        <v>64</v>
      </c>
      <c r="G105" s="107" t="s">
        <v>64</v>
      </c>
      <c r="H105" s="107" t="s">
        <v>64</v>
      </c>
      <c r="I105" s="107" t="s">
        <v>64</v>
      </c>
      <c r="J105" s="107" t="s">
        <v>64</v>
      </c>
      <c r="K105" s="164" t="s">
        <v>64</v>
      </c>
      <c r="L105" s="164" t="s">
        <v>64</v>
      </c>
      <c r="M105" s="164" t="s">
        <v>64</v>
      </c>
      <c r="N105" s="107" t="s">
        <v>64</v>
      </c>
      <c r="O105" s="749"/>
      <c r="P105" s="750"/>
      <c r="Q105" s="750"/>
      <c r="R105" s="754"/>
      <c r="S105" s="749"/>
      <c r="T105" s="750"/>
      <c r="U105" s="750"/>
      <c r="V105" s="754"/>
      <c r="W105" s="372"/>
      <c r="X105" s="372"/>
      <c r="Y105" s="743"/>
      <c r="Z105" s="743"/>
      <c r="AA105" s="743"/>
      <c r="AB105" s="743"/>
      <c r="AC105" s="743"/>
      <c r="AD105" s="743"/>
      <c r="AE105" s="743"/>
      <c r="AF105" s="743"/>
      <c r="AG105" s="743"/>
      <c r="AH105" s="743"/>
      <c r="BC105" s="159" t="str">
        <f t="shared" si="63"/>
        <v>-</v>
      </c>
    </row>
    <row r="106" spans="1:80" s="50" customFormat="1" ht="15" customHeight="1" outlineLevel="1" x14ac:dyDescent="0.25">
      <c r="A106" s="53"/>
      <c r="B106" s="807"/>
      <c r="C106" s="770" t="s">
        <v>114</v>
      </c>
      <c r="D106" s="770" t="s">
        <v>113</v>
      </c>
      <c r="E106" s="106" t="s">
        <v>94</v>
      </c>
      <c r="F106" s="105" t="s">
        <v>5</v>
      </c>
      <c r="G106" s="105" t="s">
        <v>5</v>
      </c>
      <c r="H106" s="105" t="s">
        <v>5</v>
      </c>
      <c r="I106" s="105" t="s">
        <v>5</v>
      </c>
      <c r="J106" s="105" t="s">
        <v>5</v>
      </c>
      <c r="K106" s="173" t="s">
        <v>5</v>
      </c>
      <c r="L106" s="173" t="s">
        <v>5</v>
      </c>
      <c r="M106" s="173" t="s">
        <v>5</v>
      </c>
      <c r="N106" s="105" t="s">
        <v>5</v>
      </c>
      <c r="O106" s="749"/>
      <c r="P106" s="750"/>
      <c r="Q106" s="750"/>
      <c r="R106" s="754"/>
      <c r="S106" s="749"/>
      <c r="T106" s="750"/>
      <c r="U106" s="750"/>
      <c r="V106" s="754"/>
      <c r="W106" s="51"/>
      <c r="X106" s="51"/>
      <c r="Y106" s="743"/>
      <c r="Z106" s="743"/>
      <c r="AA106" s="743"/>
      <c r="AB106" s="743"/>
      <c r="AC106" s="743"/>
      <c r="AD106" s="743"/>
      <c r="AE106" s="743"/>
      <c r="AF106" s="743"/>
      <c r="AG106" s="743"/>
      <c r="AH106" s="743"/>
      <c r="BC106" s="159" t="str">
        <f t="shared" si="63"/>
        <v>-</v>
      </c>
      <c r="BD106" s="150"/>
      <c r="BE106" s="150"/>
      <c r="BF106" s="150"/>
      <c r="BG106" s="150"/>
      <c r="BH106" s="150"/>
      <c r="BI106" s="150"/>
      <c r="BJ106" s="150"/>
      <c r="BK106" s="150"/>
      <c r="BL106" s="150"/>
      <c r="BM106" s="150"/>
      <c r="BN106" s="150"/>
      <c r="BO106" s="150"/>
      <c r="BP106" s="150"/>
      <c r="BQ106" s="150"/>
      <c r="BR106" s="150"/>
      <c r="BS106" s="150"/>
      <c r="BT106" s="150"/>
      <c r="BU106" s="150"/>
      <c r="BV106" s="150"/>
      <c r="BW106" s="150"/>
      <c r="BX106" s="150"/>
      <c r="BY106" s="150"/>
      <c r="BZ106" s="150"/>
      <c r="CA106" s="150"/>
      <c r="CB106" s="150"/>
    </row>
    <row r="107" spans="1:80" ht="15" customHeight="1" outlineLevel="1" thickBot="1" x14ac:dyDescent="0.3">
      <c r="A107" s="362"/>
      <c r="B107" s="807"/>
      <c r="C107" s="742"/>
      <c r="D107" s="742"/>
      <c r="E107" s="104" t="s">
        <v>95</v>
      </c>
      <c r="F107" s="103" t="s">
        <v>5</v>
      </c>
      <c r="G107" s="103" t="s">
        <v>5</v>
      </c>
      <c r="H107" s="103" t="s">
        <v>5</v>
      </c>
      <c r="I107" s="103" t="s">
        <v>5</v>
      </c>
      <c r="J107" s="103" t="s">
        <v>5</v>
      </c>
      <c r="K107" s="174" t="s">
        <v>5</v>
      </c>
      <c r="L107" s="174" t="s">
        <v>5</v>
      </c>
      <c r="M107" s="174" t="s">
        <v>5</v>
      </c>
      <c r="N107" s="103" t="s">
        <v>5</v>
      </c>
      <c r="O107" s="749"/>
      <c r="P107" s="750"/>
      <c r="Q107" s="750"/>
      <c r="R107" s="754"/>
      <c r="S107" s="749"/>
      <c r="T107" s="750"/>
      <c r="U107" s="750"/>
      <c r="V107" s="754"/>
      <c r="W107" s="372"/>
      <c r="X107" s="372"/>
      <c r="Y107" s="743"/>
      <c r="Z107" s="743"/>
      <c r="AA107" s="743"/>
      <c r="AB107" s="743"/>
      <c r="AC107" s="743"/>
      <c r="AD107" s="743"/>
      <c r="AE107" s="743"/>
      <c r="AF107" s="743"/>
      <c r="AG107" s="743"/>
      <c r="AH107" s="743"/>
      <c r="BC107" s="159" t="str">
        <f t="shared" si="63"/>
        <v>-</v>
      </c>
    </row>
    <row r="108" spans="1:80" ht="15" customHeight="1" outlineLevel="1" thickBot="1" x14ac:dyDescent="0.3">
      <c r="A108" s="362"/>
      <c r="B108" s="807"/>
      <c r="C108" s="854" t="s">
        <v>64</v>
      </c>
      <c r="D108" s="772" t="str">
        <f>IF(AND(F108="-",G108="-",H108="-",I108="-",J108="-",K108="-",L108="-",M108="-"),"-",MAX(F108,G108,H108,I108,J108,K108,L108,M108))</f>
        <v>-</v>
      </c>
      <c r="E108" s="66" t="s">
        <v>177</v>
      </c>
      <c r="F108" s="65" t="str">
        <f t="shared" ref="F108:M108" si="82">IF(OR(F107="-",F107=""),IF(OR(F106="-",F106=""),"-",F106),IF(OR(F106="-",F106=""),F107,(F106+F107)/2))</f>
        <v>-</v>
      </c>
      <c r="G108" s="65" t="str">
        <f t="shared" si="82"/>
        <v>-</v>
      </c>
      <c r="H108" s="65" t="str">
        <f t="shared" si="82"/>
        <v>-</v>
      </c>
      <c r="I108" s="65" t="str">
        <f t="shared" si="82"/>
        <v>-</v>
      </c>
      <c r="J108" s="65" t="str">
        <f t="shared" si="82"/>
        <v>-</v>
      </c>
      <c r="K108" s="167" t="str">
        <f t="shared" si="82"/>
        <v>-</v>
      </c>
      <c r="L108" s="167" t="str">
        <f t="shared" si="82"/>
        <v>-</v>
      </c>
      <c r="M108" s="167" t="str">
        <f t="shared" si="82"/>
        <v>-</v>
      </c>
      <c r="N108" s="740"/>
      <c r="O108" s="749"/>
      <c r="P108" s="750"/>
      <c r="Q108" s="750"/>
      <c r="R108" s="754"/>
      <c r="S108" s="749"/>
      <c r="T108" s="750"/>
      <c r="U108" s="750"/>
      <c r="V108" s="754"/>
      <c r="W108" s="372"/>
      <c r="X108" s="372"/>
      <c r="Y108" s="743"/>
      <c r="Z108" s="743"/>
      <c r="AA108" s="743"/>
      <c r="AB108" s="743"/>
      <c r="AC108" s="743"/>
      <c r="AD108" s="743"/>
      <c r="AE108" s="743"/>
      <c r="AF108" s="743"/>
      <c r="AG108" s="743"/>
      <c r="AH108" s="743"/>
      <c r="BC108" s="159" t="str">
        <f t="shared" si="63"/>
        <v>-</v>
      </c>
    </row>
    <row r="109" spans="1:80" ht="15" customHeight="1" outlineLevel="1" thickBot="1" x14ac:dyDescent="0.3">
      <c r="A109" s="362"/>
      <c r="B109" s="807"/>
      <c r="C109" s="855"/>
      <c r="D109" s="773"/>
      <c r="E109" s="64" t="s">
        <v>97</v>
      </c>
      <c r="F109" s="63" t="str">
        <f t="shared" ref="F109:M109" si="83">IF(AND(OR($C108="-",$C108="CET",$C108=""),OR(F105="-",F105="CET",F105="")),"-",IF(AND(NOT(F108="-"),NOT(F$5="-"),NOT(F$5="")),F108/F$5,"-"))</f>
        <v>-</v>
      </c>
      <c r="G109" s="63" t="str">
        <f t="shared" si="83"/>
        <v>-</v>
      </c>
      <c r="H109" s="63" t="str">
        <f t="shared" si="83"/>
        <v>-</v>
      </c>
      <c r="I109" s="63" t="str">
        <f t="shared" si="83"/>
        <v>-</v>
      </c>
      <c r="J109" s="63" t="str">
        <f t="shared" si="83"/>
        <v>-</v>
      </c>
      <c r="K109" s="168" t="str">
        <f t="shared" si="83"/>
        <v>-</v>
      </c>
      <c r="L109" s="168" t="str">
        <f t="shared" si="83"/>
        <v>-</v>
      </c>
      <c r="M109" s="168" t="str">
        <f t="shared" si="83"/>
        <v>-</v>
      </c>
      <c r="N109" s="741"/>
      <c r="O109" s="749"/>
      <c r="P109" s="750"/>
      <c r="Q109" s="750"/>
      <c r="R109" s="754"/>
      <c r="S109" s="749"/>
      <c r="T109" s="750"/>
      <c r="U109" s="750"/>
      <c r="V109" s="754"/>
      <c r="W109" s="372"/>
      <c r="X109" s="372"/>
      <c r="Y109" s="743"/>
      <c r="Z109" s="743"/>
      <c r="AA109" s="743"/>
      <c r="AB109" s="743"/>
      <c r="AC109" s="743"/>
      <c r="AD109" s="743"/>
      <c r="AE109" s="743"/>
      <c r="AF109" s="743"/>
      <c r="AG109" s="743"/>
      <c r="AH109" s="743"/>
      <c r="BC109" s="159" t="str">
        <f t="shared" si="63"/>
        <v>-</v>
      </c>
      <c r="BD109" s="151" t="s">
        <v>85</v>
      </c>
      <c r="BE109" s="152" t="str">
        <f>F$4</f>
        <v>NMHC 
[g/km]</v>
      </c>
      <c r="BF109" s="152" t="str">
        <f t="shared" ref="BF109:BL109" si="84">G$4</f>
        <v>THC
[g/km]</v>
      </c>
      <c r="BG109" s="152" t="str">
        <f t="shared" si="84"/>
        <v>CO
[g/km]</v>
      </c>
      <c r="BH109" s="152" t="str">
        <f t="shared" si="84"/>
        <v>NOx
[g/km]</v>
      </c>
      <c r="BI109" s="152" t="str">
        <f t="shared" si="84"/>
        <v>PM
[mg/km]</v>
      </c>
      <c r="BJ109" s="152" t="str">
        <f t="shared" si="84"/>
        <v>PN
[#/km]</v>
      </c>
      <c r="BK109" s="152" t="str">
        <f t="shared" si="84"/>
        <v>Additional
component</v>
      </c>
      <c r="BL109" s="152" t="str">
        <f t="shared" si="84"/>
        <v>Additional
component 2</v>
      </c>
    </row>
    <row r="110" spans="1:80" ht="15" customHeight="1" outlineLevel="1" thickBot="1" x14ac:dyDescent="0.3">
      <c r="A110" s="362"/>
      <c r="B110" s="853"/>
      <c r="C110" s="856"/>
      <c r="D110" s="774"/>
      <c r="E110" s="62" t="s">
        <v>30</v>
      </c>
      <c r="F110" s="62" t="str">
        <f t="shared" ref="F110:M110" si="85">IF(AND(OR(F106="-",F106=""),OR(F107="-",F107="")),"-",IF(AND(OR(F105="CET",F105="-",F105=""),OR($C108="CET",$C108="-",$C108="")),"-",IF($R$9="not listed","-",IF(AND(NOT(F$5="-"),NOT(F$5="")),IF(AND(AND(NOT(F106=0),NOT(F106="-"),NOT(F106="")),AND(NOT(F107="-"),NOT(F107=0),NOT(F107=""))),IF(AND((F106+F107)/2&lt;1*F$5*IF(OR(F105="CET",F105="-",F105=""),IF(OR($C108="CET",$C108="-",$C108=""),"-",$C108),F105),F106&lt;1.1*F$5*IF(OR(F105="CET",F105="-",F105=""),IF(OR($C108="CET",$C108="-",$C108=""),"-",$C108),F105),F107&lt;1.1*F$5*IF(OR(F105="CET",F105="-",F105=""),IF($C108="CET","-",$C108),F105)),"passed","refused"),IF(IF(OR(F106="-",F106=""),F107,F106)&lt;0.7*F$5*IF(OR(F105="CET",F105="-",F105=""),IF($C108="CET","-",$C108),F105),"passed",IF(IF(OR(F106="-",F106=""),F107,F106)&lt;1.1*IF(OR(F105="CET",F105="-",F105=""),IF($C108="CET","-",$C108),F105)*F$5,"failed","refused"))),"-"))))</f>
        <v>-</v>
      </c>
      <c r="G110" s="62" t="str">
        <f t="shared" si="85"/>
        <v>-</v>
      </c>
      <c r="H110" s="62" t="str">
        <f t="shared" si="85"/>
        <v>-</v>
      </c>
      <c r="I110" s="62" t="str">
        <f t="shared" si="85"/>
        <v>-</v>
      </c>
      <c r="J110" s="62" t="str">
        <f t="shared" si="85"/>
        <v>-</v>
      </c>
      <c r="K110" s="169" t="str">
        <f t="shared" si="85"/>
        <v>-</v>
      </c>
      <c r="L110" s="169" t="str">
        <f t="shared" si="85"/>
        <v>-</v>
      </c>
      <c r="M110" s="169" t="str">
        <f t="shared" si="85"/>
        <v>-</v>
      </c>
      <c r="N110" s="742"/>
      <c r="O110" s="749"/>
      <c r="P110" s="750"/>
      <c r="Q110" s="750"/>
      <c r="R110" s="754"/>
      <c r="S110" s="749"/>
      <c r="T110" s="750"/>
      <c r="U110" s="750"/>
      <c r="V110" s="754"/>
      <c r="W110" s="372"/>
      <c r="X110" s="372"/>
      <c r="Y110" s="743"/>
      <c r="Z110" s="743"/>
      <c r="AA110" s="743"/>
      <c r="AB110" s="743"/>
      <c r="AC110" s="743"/>
      <c r="AD110" s="743"/>
      <c r="AE110" s="743"/>
      <c r="AF110" s="743"/>
      <c r="AG110" s="743"/>
      <c r="AH110" s="743"/>
      <c r="BC110" s="159" t="str">
        <f t="shared" si="63"/>
        <v>-</v>
      </c>
      <c r="BD110" s="151" t="str">
        <f>$E$4</f>
        <v>US EPA Tier 2 Bin 11</v>
      </c>
      <c r="BE110" s="153">
        <v>1</v>
      </c>
      <c r="BF110" s="153">
        <v>1</v>
      </c>
      <c r="BG110" s="153">
        <v>1</v>
      </c>
      <c r="BH110" s="153">
        <v>1</v>
      </c>
      <c r="BI110" s="153">
        <v>1</v>
      </c>
      <c r="BJ110" s="153">
        <v>1</v>
      </c>
      <c r="BK110" s="153">
        <v>1</v>
      </c>
      <c r="BL110" s="153">
        <v>1</v>
      </c>
    </row>
    <row r="111" spans="1:80" ht="15" customHeight="1" outlineLevel="1" thickBot="1" x14ac:dyDescent="0.3">
      <c r="A111" s="362"/>
      <c r="B111" s="806" t="s">
        <v>131</v>
      </c>
      <c r="C111" s="370" t="s">
        <v>64</v>
      </c>
      <c r="D111" s="767" t="s">
        <v>119</v>
      </c>
      <c r="E111" s="769"/>
      <c r="F111" s="107" t="s">
        <v>64</v>
      </c>
      <c r="G111" s="107" t="s">
        <v>64</v>
      </c>
      <c r="H111" s="107" t="s">
        <v>64</v>
      </c>
      <c r="I111" s="107" t="s">
        <v>64</v>
      </c>
      <c r="J111" s="107" t="s">
        <v>64</v>
      </c>
      <c r="K111" s="164" t="s">
        <v>64</v>
      </c>
      <c r="L111" s="164" t="s">
        <v>64</v>
      </c>
      <c r="M111" s="164" t="s">
        <v>64</v>
      </c>
      <c r="N111" s="107" t="s">
        <v>64</v>
      </c>
      <c r="O111" s="749"/>
      <c r="P111" s="750"/>
      <c r="Q111" s="750"/>
      <c r="R111" s="754"/>
      <c r="S111" s="749"/>
      <c r="T111" s="750"/>
      <c r="U111" s="750"/>
      <c r="V111" s="754"/>
      <c r="W111" s="372"/>
      <c r="X111" s="372"/>
      <c r="Y111" s="743"/>
      <c r="Z111" s="743"/>
      <c r="AA111" s="743"/>
      <c r="AB111" s="743"/>
      <c r="AC111" s="743"/>
      <c r="AD111" s="743"/>
      <c r="AE111" s="743"/>
      <c r="AF111" s="743"/>
      <c r="AG111" s="743"/>
      <c r="AH111" s="743"/>
      <c r="BC111" s="159" t="str">
        <f t="shared" si="63"/>
        <v>-</v>
      </c>
      <c r="BD111" s="151" t="str">
        <f>"1st " &amp;  B105</f>
        <v>1st US6</v>
      </c>
      <c r="BE111" s="153" t="str">
        <f t="shared" ref="BE111:BL111" si="86">IF((OR($C108="-",$C108="CET",$C108="")),"-",IF(AND(OR(F106="-",F106=""),OR(F107="-",F107="")),"-",IF(NOT(OR(F106="-",F106="")),F106/F$5,F107/F$5)))</f>
        <v>-</v>
      </c>
      <c r="BF111" s="153" t="str">
        <f t="shared" si="86"/>
        <v>-</v>
      </c>
      <c r="BG111" s="153" t="str">
        <f t="shared" si="86"/>
        <v>-</v>
      </c>
      <c r="BH111" s="153" t="str">
        <f t="shared" si="86"/>
        <v>-</v>
      </c>
      <c r="BI111" s="153" t="str">
        <f t="shared" si="86"/>
        <v>-</v>
      </c>
      <c r="BJ111" s="153" t="str">
        <f t="shared" si="86"/>
        <v>-</v>
      </c>
      <c r="BK111" s="153" t="str">
        <f t="shared" si="86"/>
        <v>-</v>
      </c>
      <c r="BL111" s="153" t="str">
        <f t="shared" si="86"/>
        <v>-</v>
      </c>
    </row>
    <row r="112" spans="1:80" ht="15" customHeight="1" outlineLevel="1" x14ac:dyDescent="0.25">
      <c r="A112" s="362"/>
      <c r="B112" s="807"/>
      <c r="C112" s="770" t="s">
        <v>114</v>
      </c>
      <c r="D112" s="770" t="s">
        <v>113</v>
      </c>
      <c r="E112" s="106" t="s">
        <v>94</v>
      </c>
      <c r="F112" s="105" t="s">
        <v>5</v>
      </c>
      <c r="G112" s="105" t="s">
        <v>5</v>
      </c>
      <c r="H112" s="105" t="s">
        <v>5</v>
      </c>
      <c r="I112" s="105" t="s">
        <v>5</v>
      </c>
      <c r="J112" s="105" t="s">
        <v>5</v>
      </c>
      <c r="K112" s="173" t="s">
        <v>5</v>
      </c>
      <c r="L112" s="173" t="s">
        <v>5</v>
      </c>
      <c r="M112" s="173" t="s">
        <v>5</v>
      </c>
      <c r="N112" s="105" t="s">
        <v>5</v>
      </c>
      <c r="O112" s="749"/>
      <c r="P112" s="750"/>
      <c r="Q112" s="750"/>
      <c r="R112" s="754"/>
      <c r="S112" s="749"/>
      <c r="T112" s="750"/>
      <c r="U112" s="750"/>
      <c r="V112" s="754"/>
      <c r="W112" s="372"/>
      <c r="X112" s="372"/>
      <c r="Y112" s="743"/>
      <c r="Z112" s="743"/>
      <c r="AA112" s="743"/>
      <c r="AB112" s="743"/>
      <c r="AC112" s="743"/>
      <c r="AD112" s="743"/>
      <c r="AE112" s="743"/>
      <c r="AF112" s="743"/>
      <c r="AG112" s="743"/>
      <c r="AH112" s="743"/>
      <c r="BC112" s="159" t="str">
        <f t="shared" si="63"/>
        <v>-</v>
      </c>
      <c r="BD112" s="151" t="str">
        <f>"1st " &amp;  B111</f>
        <v>1st HWY</v>
      </c>
      <c r="BE112" s="153" t="str">
        <f t="shared" ref="BE112:BL112" si="87">IF((OR($C114="-",$C114="CET",$C114="")),"-",IF(AND(OR(F112="-",F112=""),OR(F113="-",F113="")),"-",IF(NOT(OR(F112="-",F112="")),F112/F$5,F113/F$5)))</f>
        <v>-</v>
      </c>
      <c r="BF112" s="153" t="str">
        <f t="shared" si="87"/>
        <v>-</v>
      </c>
      <c r="BG112" s="153" t="str">
        <f t="shared" si="87"/>
        <v>-</v>
      </c>
      <c r="BH112" s="153" t="str">
        <f t="shared" si="87"/>
        <v>-</v>
      </c>
      <c r="BI112" s="153" t="str">
        <f t="shared" si="87"/>
        <v>-</v>
      </c>
      <c r="BJ112" s="153" t="str">
        <f t="shared" si="87"/>
        <v>-</v>
      </c>
      <c r="BK112" s="153" t="str">
        <f t="shared" si="87"/>
        <v>-</v>
      </c>
      <c r="BL112" s="153" t="str">
        <f t="shared" si="87"/>
        <v>-</v>
      </c>
    </row>
    <row r="113" spans="1:64" ht="15" customHeight="1" outlineLevel="1" thickBot="1" x14ac:dyDescent="0.3">
      <c r="A113" s="362"/>
      <c r="B113" s="807"/>
      <c r="C113" s="742"/>
      <c r="D113" s="742"/>
      <c r="E113" s="104" t="s">
        <v>95</v>
      </c>
      <c r="F113" s="103" t="s">
        <v>5</v>
      </c>
      <c r="G113" s="103" t="s">
        <v>5</v>
      </c>
      <c r="H113" s="103" t="s">
        <v>5</v>
      </c>
      <c r="I113" s="103" t="s">
        <v>5</v>
      </c>
      <c r="J113" s="103" t="s">
        <v>5</v>
      </c>
      <c r="K113" s="174" t="s">
        <v>5</v>
      </c>
      <c r="L113" s="174" t="s">
        <v>5</v>
      </c>
      <c r="M113" s="174" t="s">
        <v>5</v>
      </c>
      <c r="N113" s="103" t="s">
        <v>5</v>
      </c>
      <c r="O113" s="749"/>
      <c r="P113" s="750"/>
      <c r="Q113" s="750"/>
      <c r="R113" s="754"/>
      <c r="S113" s="749"/>
      <c r="T113" s="750"/>
      <c r="U113" s="750"/>
      <c r="V113" s="754"/>
      <c r="W113" s="372"/>
      <c r="X113" s="372"/>
      <c r="Y113" s="743"/>
      <c r="Z113" s="743"/>
      <c r="AA113" s="743"/>
      <c r="AB113" s="743"/>
      <c r="AC113" s="743"/>
      <c r="AD113" s="743"/>
      <c r="AE113" s="743"/>
      <c r="AF113" s="743"/>
      <c r="AG113" s="743"/>
      <c r="AH113" s="743"/>
      <c r="BC113" s="159" t="str">
        <f t="shared" si="63"/>
        <v>-</v>
      </c>
      <c r="BD113" s="151"/>
      <c r="BE113" s="153"/>
      <c r="BF113" s="153"/>
      <c r="BG113" s="153"/>
      <c r="BH113" s="153"/>
      <c r="BI113" s="153"/>
      <c r="BJ113" s="153"/>
      <c r="BK113" s="153"/>
      <c r="BL113" s="153"/>
    </row>
    <row r="114" spans="1:64" ht="15" customHeight="1" outlineLevel="1" thickBot="1" x14ac:dyDescent="0.3">
      <c r="A114" s="40"/>
      <c r="B114" s="807"/>
      <c r="C114" s="854">
        <v>1</v>
      </c>
      <c r="D114" s="772" t="str">
        <f>IF(AND(F114="-",G114="-",H114="-",I114="-",J114="-",K114="-",L114="-",M114="-"),"-",MAX(F114,G114,H114,I114,J114,K114,L114,M114))</f>
        <v>-</v>
      </c>
      <c r="E114" s="66" t="s">
        <v>177</v>
      </c>
      <c r="F114" s="65" t="str">
        <f t="shared" ref="F114:M114" si="88">IF(OR(F113="-",F113=""),IF(OR(F112="-",F112=""),"-",F112),IF(OR(F112="-",F112=""),F113,(F112+F113)/2))</f>
        <v>-</v>
      </c>
      <c r="G114" s="65" t="str">
        <f t="shared" si="88"/>
        <v>-</v>
      </c>
      <c r="H114" s="65" t="str">
        <f t="shared" si="88"/>
        <v>-</v>
      </c>
      <c r="I114" s="65" t="str">
        <f t="shared" si="88"/>
        <v>-</v>
      </c>
      <c r="J114" s="65" t="str">
        <f t="shared" si="88"/>
        <v>-</v>
      </c>
      <c r="K114" s="167" t="str">
        <f t="shared" si="88"/>
        <v>-</v>
      </c>
      <c r="L114" s="167" t="str">
        <f t="shared" si="88"/>
        <v>-</v>
      </c>
      <c r="M114" s="167" t="str">
        <f t="shared" si="88"/>
        <v>-</v>
      </c>
      <c r="N114" s="740"/>
      <c r="O114" s="749"/>
      <c r="P114" s="750"/>
      <c r="Q114" s="750"/>
      <c r="R114" s="754"/>
      <c r="S114" s="749"/>
      <c r="T114" s="750"/>
      <c r="U114" s="750"/>
      <c r="V114" s="754"/>
      <c r="W114" s="372"/>
      <c r="X114" s="372"/>
      <c r="Y114" s="743"/>
      <c r="Z114" s="743"/>
      <c r="AA114" s="743"/>
      <c r="AB114" s="743"/>
      <c r="AC114" s="743"/>
      <c r="AD114" s="743"/>
      <c r="AE114" s="743"/>
      <c r="AF114" s="743"/>
      <c r="AG114" s="743"/>
      <c r="AH114" s="743"/>
      <c r="BC114" s="159" t="str">
        <f t="shared" si="63"/>
        <v>-</v>
      </c>
      <c r="BD114" s="151"/>
      <c r="BE114" s="153"/>
      <c r="BF114" s="153"/>
      <c r="BG114" s="153"/>
      <c r="BH114" s="153"/>
      <c r="BI114" s="153"/>
      <c r="BJ114" s="153"/>
      <c r="BK114" s="153"/>
      <c r="BL114" s="153"/>
    </row>
    <row r="115" spans="1:64" ht="15" customHeight="1" outlineLevel="1" thickBot="1" x14ac:dyDescent="0.3">
      <c r="A115" s="40"/>
      <c r="B115" s="807"/>
      <c r="C115" s="855"/>
      <c r="D115" s="773"/>
      <c r="E115" s="64" t="s">
        <v>97</v>
      </c>
      <c r="F115" s="63" t="str">
        <f t="shared" ref="F115:M115" si="89">IF(AND(OR($C114="-",$C114="CET",$C114=""),OR(F111="-",F111="CET",F111="")),"-",IF(AND(NOT(F114="-"),NOT(F$5="-"),NOT(F$5="")),F114/F$5,"-"))</f>
        <v>-</v>
      </c>
      <c r="G115" s="63" t="str">
        <f t="shared" si="89"/>
        <v>-</v>
      </c>
      <c r="H115" s="63" t="str">
        <f t="shared" si="89"/>
        <v>-</v>
      </c>
      <c r="I115" s="63" t="str">
        <f t="shared" si="89"/>
        <v>-</v>
      </c>
      <c r="J115" s="63" t="str">
        <f t="shared" si="89"/>
        <v>-</v>
      </c>
      <c r="K115" s="168" t="str">
        <f t="shared" si="89"/>
        <v>-</v>
      </c>
      <c r="L115" s="168" t="str">
        <f t="shared" si="89"/>
        <v>-</v>
      </c>
      <c r="M115" s="168" t="str">
        <f t="shared" si="89"/>
        <v>-</v>
      </c>
      <c r="N115" s="741"/>
      <c r="O115" s="749"/>
      <c r="P115" s="750"/>
      <c r="Q115" s="750"/>
      <c r="R115" s="754"/>
      <c r="S115" s="749"/>
      <c r="T115" s="750"/>
      <c r="U115" s="750"/>
      <c r="V115" s="754"/>
      <c r="W115" s="372"/>
      <c r="X115" s="372"/>
      <c r="Y115" s="743"/>
      <c r="Z115" s="743"/>
      <c r="AA115" s="743"/>
      <c r="AB115" s="743"/>
      <c r="AC115" s="743"/>
      <c r="AD115" s="743"/>
      <c r="AE115" s="743"/>
      <c r="AF115" s="743"/>
      <c r="AG115" s="743"/>
      <c r="AH115" s="743"/>
      <c r="BC115" s="159" t="str">
        <f t="shared" si="63"/>
        <v>-</v>
      </c>
      <c r="BD115" s="151" t="str">
        <f>"0.7*IEF " &amp; (B105)</f>
        <v>0.7*IEF US6</v>
      </c>
      <c r="BE115" s="153" t="str">
        <f t="shared" ref="BE115:BL115" si="90">IF(AND(OR($C108="-",$C108="CET",$C108=""),OR(F105="-",F105="CET",F105="")),"-",0.7*IF(OR(F105="CET",F105="-",F105=""),IF(OR($C108="CET",$C108="-",$C108=""),"-",$C108),F105))</f>
        <v>-</v>
      </c>
      <c r="BF115" s="153" t="str">
        <f t="shared" si="90"/>
        <v>-</v>
      </c>
      <c r="BG115" s="153" t="str">
        <f t="shared" si="90"/>
        <v>-</v>
      </c>
      <c r="BH115" s="153" t="str">
        <f t="shared" si="90"/>
        <v>-</v>
      </c>
      <c r="BI115" s="153" t="str">
        <f t="shared" si="90"/>
        <v>-</v>
      </c>
      <c r="BJ115" s="153" t="str">
        <f t="shared" si="90"/>
        <v>-</v>
      </c>
      <c r="BK115" s="153" t="str">
        <f t="shared" si="90"/>
        <v>-</v>
      </c>
      <c r="BL115" s="153" t="str">
        <f t="shared" si="90"/>
        <v>-</v>
      </c>
    </row>
    <row r="116" spans="1:64" ht="15" customHeight="1" outlineLevel="1" thickBot="1" x14ac:dyDescent="0.3">
      <c r="A116" s="40"/>
      <c r="B116" s="853"/>
      <c r="C116" s="856"/>
      <c r="D116" s="774"/>
      <c r="E116" s="62" t="s">
        <v>30</v>
      </c>
      <c r="F116" s="62" t="str">
        <f t="shared" ref="F116:M116" si="91">IF(AND(OR(F112="-",F112=""),OR(F113="-",F113="")),"-",IF(AND(OR(F111="CET",F111="-",F111=""),OR($C114="CET",$C114="-",$C114="")),"-",IF($R$9="not listed","-",IF(AND(NOT(F$5="-"),NOT(F$5="")),IF(AND(AND(NOT(F112=0),NOT(F112="-"),NOT(F112="")),AND(NOT(F113="-"),NOT(F113=0),NOT(F113=""))),IF(AND((F112+F113)/2&lt;1*F$5*IF(OR(F111="CET",F111="-",F111=""),IF(OR($C114="CET",$C114="-",$C114=""),"-",$C114),F111),F112&lt;1.1*F$5*IF(OR(F111="CET",F111="-",F111=""),IF(OR($C114="CET",$C114="-",$C114=""),"-",$C114),F111),F113&lt;1.1*F$5*IF(OR(F111="CET",F111="-",F111=""),IF($C114="CET","-",$C114),F111)),"passed","refused"),IF(IF(OR(F112="-",F112=""),F113,F112)&lt;0.7*F$5*IF(OR(F111="CET",F111="-",F111=""),IF($C114="CET","-",$C114),F111),"passed",IF(IF(OR(F112="-",F112=""),F113,F112)&lt;1.1*IF(OR(F111="CET",F111="-",F111=""),IF($C114="CET","-",$C114),F111)*F$5,"failed","refused"))),"-"))))</f>
        <v>-</v>
      </c>
      <c r="G116" s="62" t="str">
        <f t="shared" si="91"/>
        <v>-</v>
      </c>
      <c r="H116" s="62" t="str">
        <f t="shared" si="91"/>
        <v>-</v>
      </c>
      <c r="I116" s="62" t="str">
        <f t="shared" si="91"/>
        <v>-</v>
      </c>
      <c r="J116" s="62" t="str">
        <f t="shared" si="91"/>
        <v>-</v>
      </c>
      <c r="K116" s="169" t="str">
        <f t="shared" si="91"/>
        <v>-</v>
      </c>
      <c r="L116" s="169" t="str">
        <f t="shared" si="91"/>
        <v>-</v>
      </c>
      <c r="M116" s="169" t="str">
        <f t="shared" si="91"/>
        <v>-</v>
      </c>
      <c r="N116" s="742"/>
      <c r="O116" s="749"/>
      <c r="P116" s="750"/>
      <c r="Q116" s="750"/>
      <c r="R116" s="754"/>
      <c r="S116" s="749"/>
      <c r="T116" s="750"/>
      <c r="U116" s="750"/>
      <c r="V116" s="754"/>
      <c r="W116" s="372"/>
      <c r="X116" s="372"/>
      <c r="Y116" s="743"/>
      <c r="Z116" s="743"/>
      <c r="AA116" s="743"/>
      <c r="AB116" s="743"/>
      <c r="AC116" s="743"/>
      <c r="AD116" s="743"/>
      <c r="AE116" s="743"/>
      <c r="AF116" s="743"/>
      <c r="AG116" s="743"/>
      <c r="AH116" s="743"/>
      <c r="BC116" s="159" t="str">
        <f t="shared" si="63"/>
        <v>-</v>
      </c>
      <c r="BD116" s="151" t="str">
        <f>"0.7*IEF " &amp; (B111)</f>
        <v>0.7*IEF HWY</v>
      </c>
      <c r="BE116" s="153">
        <f t="shared" ref="BE116:BL116" si="92">IF(AND(OR($C114="-",$C114="CET",$C114=""),OR(F111="-",F111="CET",F111="")),"-",0.7*IF(OR(F111="CET",F111="-",F111=""),IF(OR($C114="CET",$C114="-",$C114=""),"-",$C114),F111))</f>
        <v>0.7</v>
      </c>
      <c r="BF116" s="153">
        <f t="shared" si="92"/>
        <v>0.7</v>
      </c>
      <c r="BG116" s="153">
        <f t="shared" si="92"/>
        <v>0.7</v>
      </c>
      <c r="BH116" s="153">
        <f t="shared" si="92"/>
        <v>0.7</v>
      </c>
      <c r="BI116" s="153">
        <f t="shared" si="92"/>
        <v>0.7</v>
      </c>
      <c r="BJ116" s="153">
        <f t="shared" si="92"/>
        <v>0.7</v>
      </c>
      <c r="BK116" s="153">
        <f t="shared" si="92"/>
        <v>0.7</v>
      </c>
      <c r="BL116" s="153">
        <f t="shared" si="92"/>
        <v>0.7</v>
      </c>
    </row>
    <row r="117" spans="1:64" ht="15" customHeight="1" outlineLevel="1" x14ac:dyDescent="0.25">
      <c r="A117" s="40"/>
      <c r="B117" s="112"/>
      <c r="C117" s="75"/>
      <c r="D117" s="375"/>
      <c r="E117" s="375"/>
      <c r="F117" s="56"/>
      <c r="G117" s="56"/>
      <c r="H117" s="56"/>
      <c r="I117" s="56"/>
      <c r="J117" s="56"/>
      <c r="K117" s="171"/>
      <c r="L117" s="171"/>
      <c r="M117" s="171"/>
      <c r="N117" s="55"/>
      <c r="O117" s="749"/>
      <c r="P117" s="750"/>
      <c r="Q117" s="750"/>
      <c r="R117" s="754"/>
      <c r="S117" s="749"/>
      <c r="T117" s="750"/>
      <c r="U117" s="750"/>
      <c r="V117" s="754"/>
      <c r="W117" s="372"/>
      <c r="X117" s="372"/>
      <c r="Y117" s="743"/>
      <c r="Z117" s="743"/>
      <c r="AA117" s="743"/>
      <c r="AB117" s="743"/>
      <c r="AC117" s="743"/>
      <c r="AD117" s="743"/>
      <c r="AE117" s="743"/>
      <c r="AF117" s="743"/>
      <c r="AG117" s="743"/>
      <c r="AH117" s="743"/>
      <c r="BC117" s="159" t="str">
        <f t="shared" si="63"/>
        <v>-</v>
      </c>
      <c r="BD117" s="151"/>
      <c r="BE117" s="153"/>
      <c r="BF117" s="153"/>
      <c r="BG117" s="153"/>
      <c r="BH117" s="153"/>
      <c r="BI117" s="153"/>
      <c r="BJ117" s="153"/>
      <c r="BK117" s="153"/>
      <c r="BL117" s="153"/>
    </row>
    <row r="118" spans="1:64" ht="15" customHeight="1" outlineLevel="1" x14ac:dyDescent="0.25">
      <c r="A118" s="40"/>
      <c r="B118" s="112"/>
      <c r="C118" s="75"/>
      <c r="D118" s="375"/>
      <c r="E118" s="375"/>
      <c r="F118" s="56"/>
      <c r="G118" s="56"/>
      <c r="H118" s="56"/>
      <c r="I118" s="56"/>
      <c r="J118" s="56"/>
      <c r="K118" s="171"/>
      <c r="L118" s="171"/>
      <c r="M118" s="171"/>
      <c r="N118" s="55"/>
      <c r="O118" s="749"/>
      <c r="P118" s="750"/>
      <c r="Q118" s="750"/>
      <c r="R118" s="754"/>
      <c r="S118" s="749"/>
      <c r="T118" s="750"/>
      <c r="U118" s="750"/>
      <c r="V118" s="754"/>
      <c r="W118" s="372"/>
      <c r="X118" s="372"/>
      <c r="Y118" s="743"/>
      <c r="Z118" s="743"/>
      <c r="AA118" s="743"/>
      <c r="AB118" s="743"/>
      <c r="AC118" s="743"/>
      <c r="AD118" s="743"/>
      <c r="AE118" s="743"/>
      <c r="AF118" s="743"/>
      <c r="AG118" s="743"/>
      <c r="AH118" s="743"/>
      <c r="BC118" s="159" t="str">
        <f t="shared" si="63"/>
        <v>-</v>
      </c>
      <c r="BD118" s="151"/>
      <c r="BE118" s="153"/>
      <c r="BF118" s="153"/>
      <c r="BG118" s="153"/>
      <c r="BH118" s="153"/>
      <c r="BI118" s="153"/>
      <c r="BJ118" s="153"/>
      <c r="BK118" s="153"/>
      <c r="BL118" s="153"/>
    </row>
    <row r="119" spans="1:64" ht="15" customHeight="1" outlineLevel="1" x14ac:dyDescent="0.25">
      <c r="A119" s="40"/>
      <c r="B119" s="112"/>
      <c r="C119" s="75"/>
      <c r="D119" s="375"/>
      <c r="E119" s="375"/>
      <c r="F119" s="375"/>
      <c r="G119" s="375"/>
      <c r="H119" s="375"/>
      <c r="I119" s="375"/>
      <c r="J119" s="375"/>
      <c r="K119" s="171"/>
      <c r="L119" s="171"/>
      <c r="M119" s="171"/>
      <c r="N119" s="59"/>
      <c r="O119" s="749"/>
      <c r="P119" s="750"/>
      <c r="Q119" s="750"/>
      <c r="R119" s="754"/>
      <c r="S119" s="749"/>
      <c r="T119" s="750"/>
      <c r="U119" s="750"/>
      <c r="V119" s="754"/>
      <c r="W119" s="372"/>
      <c r="X119" s="372"/>
      <c r="Y119" s="743"/>
      <c r="Z119" s="743"/>
      <c r="AA119" s="743"/>
      <c r="AB119" s="743"/>
      <c r="AC119" s="743"/>
      <c r="AD119" s="743"/>
      <c r="AE119" s="743"/>
      <c r="AF119" s="743"/>
      <c r="AG119" s="743"/>
      <c r="AH119" s="743"/>
      <c r="BC119" s="159" t="str">
        <f t="shared" si="63"/>
        <v>-</v>
      </c>
      <c r="BD119" s="151" t="str">
        <f>B105</f>
        <v>US6</v>
      </c>
      <c r="BE119" s="153" t="str">
        <f t="shared" ref="BE119:BL119" si="93">F109</f>
        <v>-</v>
      </c>
      <c r="BF119" s="153" t="str">
        <f t="shared" si="93"/>
        <v>-</v>
      </c>
      <c r="BG119" s="153" t="str">
        <f t="shared" si="93"/>
        <v>-</v>
      </c>
      <c r="BH119" s="153" t="str">
        <f t="shared" si="93"/>
        <v>-</v>
      </c>
      <c r="BI119" s="153" t="str">
        <f t="shared" si="93"/>
        <v>-</v>
      </c>
      <c r="BJ119" s="153" t="str">
        <f t="shared" si="93"/>
        <v>-</v>
      </c>
      <c r="BK119" s="153" t="str">
        <f t="shared" si="93"/>
        <v>-</v>
      </c>
      <c r="BL119" s="153" t="str">
        <f t="shared" si="93"/>
        <v>-</v>
      </c>
    </row>
    <row r="120" spans="1:64" ht="15" customHeight="1" outlineLevel="1" x14ac:dyDescent="0.25">
      <c r="A120" s="40"/>
      <c r="B120" s="112"/>
      <c r="C120" s="75"/>
      <c r="D120" s="375"/>
      <c r="E120" s="375"/>
      <c r="F120" s="379"/>
      <c r="G120" s="379"/>
      <c r="H120" s="379"/>
      <c r="I120" s="379"/>
      <c r="J120" s="379"/>
      <c r="K120" s="171"/>
      <c r="L120" s="171"/>
      <c r="M120" s="171"/>
      <c r="N120" s="57"/>
      <c r="O120" s="749"/>
      <c r="P120" s="750"/>
      <c r="Q120" s="750"/>
      <c r="R120" s="754"/>
      <c r="S120" s="749"/>
      <c r="T120" s="750"/>
      <c r="U120" s="750"/>
      <c r="V120" s="754"/>
      <c r="W120" s="372"/>
      <c r="X120" s="372"/>
      <c r="Y120" s="743"/>
      <c r="Z120" s="743"/>
      <c r="AA120" s="743"/>
      <c r="AB120" s="743"/>
      <c r="AC120" s="743"/>
      <c r="AD120" s="743"/>
      <c r="AE120" s="743"/>
      <c r="AF120" s="743"/>
      <c r="AG120" s="743"/>
      <c r="AH120" s="743"/>
      <c r="BC120" s="159" t="str">
        <f t="shared" si="63"/>
        <v>-</v>
      </c>
      <c r="BD120" s="151" t="str">
        <f>B111</f>
        <v>HWY</v>
      </c>
      <c r="BE120" s="153" t="str">
        <f t="shared" ref="BE120:BL120" si="94">F115</f>
        <v>-</v>
      </c>
      <c r="BF120" s="153" t="str">
        <f t="shared" si="94"/>
        <v>-</v>
      </c>
      <c r="BG120" s="153" t="str">
        <f t="shared" si="94"/>
        <v>-</v>
      </c>
      <c r="BH120" s="153" t="str">
        <f t="shared" si="94"/>
        <v>-</v>
      </c>
      <c r="BI120" s="153" t="str">
        <f t="shared" si="94"/>
        <v>-</v>
      </c>
      <c r="BJ120" s="153" t="str">
        <f t="shared" si="94"/>
        <v>-</v>
      </c>
      <c r="BK120" s="153" t="str">
        <f t="shared" si="94"/>
        <v>-</v>
      </c>
      <c r="BL120" s="153" t="str">
        <f t="shared" si="94"/>
        <v>-</v>
      </c>
    </row>
    <row r="121" spans="1:64" ht="15" customHeight="1" outlineLevel="1" x14ac:dyDescent="0.25">
      <c r="A121" s="40"/>
      <c r="B121" s="112"/>
      <c r="C121" s="75"/>
      <c r="D121" s="375"/>
      <c r="E121" s="375"/>
      <c r="F121" s="379"/>
      <c r="G121" s="379"/>
      <c r="H121" s="379"/>
      <c r="I121" s="379"/>
      <c r="J121" s="379"/>
      <c r="K121" s="171"/>
      <c r="L121" s="171"/>
      <c r="M121" s="171"/>
      <c r="N121" s="57"/>
      <c r="O121" s="749"/>
      <c r="P121" s="750"/>
      <c r="Q121" s="750"/>
      <c r="R121" s="754"/>
      <c r="S121" s="749"/>
      <c r="T121" s="750"/>
      <c r="U121" s="750"/>
      <c r="V121" s="754"/>
      <c r="W121" s="372"/>
      <c r="X121" s="372"/>
      <c r="Y121" s="743"/>
      <c r="Z121" s="743"/>
      <c r="AA121" s="743"/>
      <c r="AB121" s="743"/>
      <c r="AC121" s="743"/>
      <c r="AD121" s="743"/>
      <c r="AE121" s="743"/>
      <c r="AF121" s="743"/>
      <c r="AG121" s="743"/>
      <c r="AH121" s="743"/>
      <c r="BC121" s="159" t="str">
        <f t="shared" si="63"/>
        <v>-</v>
      </c>
      <c r="BD121" s="151"/>
      <c r="BE121" s="153"/>
      <c r="BF121" s="153"/>
      <c r="BG121" s="153"/>
      <c r="BH121" s="153"/>
      <c r="BI121" s="153"/>
      <c r="BJ121" s="153"/>
      <c r="BK121" s="153"/>
      <c r="BL121" s="153"/>
    </row>
    <row r="122" spans="1:64" ht="15" customHeight="1" outlineLevel="1" x14ac:dyDescent="0.25">
      <c r="A122" s="40"/>
      <c r="B122" s="112"/>
      <c r="C122" s="75"/>
      <c r="D122" s="375"/>
      <c r="E122" s="375"/>
      <c r="F122" s="56"/>
      <c r="G122" s="56"/>
      <c r="H122" s="56"/>
      <c r="I122" s="56"/>
      <c r="J122" s="56"/>
      <c r="K122" s="171"/>
      <c r="L122" s="171"/>
      <c r="M122" s="171"/>
      <c r="N122" s="55"/>
      <c r="O122" s="749"/>
      <c r="P122" s="750"/>
      <c r="Q122" s="750"/>
      <c r="R122" s="754"/>
      <c r="S122" s="749"/>
      <c r="T122" s="750"/>
      <c r="U122" s="750"/>
      <c r="V122" s="754"/>
      <c r="W122" s="372"/>
      <c r="X122" s="372"/>
      <c r="Y122" s="743"/>
      <c r="Z122" s="743"/>
      <c r="AA122" s="743"/>
      <c r="AB122" s="743"/>
      <c r="AC122" s="743"/>
      <c r="AD122" s="743"/>
      <c r="AE122" s="743"/>
      <c r="AF122" s="743"/>
      <c r="AG122" s="743"/>
      <c r="AH122" s="743"/>
      <c r="BC122" s="159" t="str">
        <f t="shared" si="63"/>
        <v>-</v>
      </c>
      <c r="BD122" s="151" t="str">
        <f>"IEF " &amp;B105</f>
        <v>IEF US6</v>
      </c>
      <c r="BE122" s="153" t="str">
        <f t="shared" ref="BE122:BL122" si="95">IF(AND(OR($C108="-",$C108="CET",$C108=""),OR(F105="-",F105="CET",F105="")),"-",IF(OR(F105="CET",F105="-",F105=""),IF(OR($C108="CET",$C108="-",$C108=""),"-",$C108),F105))</f>
        <v>-</v>
      </c>
      <c r="BF122" s="153" t="str">
        <f t="shared" si="95"/>
        <v>-</v>
      </c>
      <c r="BG122" s="153" t="str">
        <f t="shared" si="95"/>
        <v>-</v>
      </c>
      <c r="BH122" s="153" t="str">
        <f t="shared" si="95"/>
        <v>-</v>
      </c>
      <c r="BI122" s="153" t="str">
        <f t="shared" si="95"/>
        <v>-</v>
      </c>
      <c r="BJ122" s="153" t="str">
        <f t="shared" si="95"/>
        <v>-</v>
      </c>
      <c r="BK122" s="153" t="str">
        <f t="shared" si="95"/>
        <v>-</v>
      </c>
      <c r="BL122" s="153" t="str">
        <f t="shared" si="95"/>
        <v>-</v>
      </c>
    </row>
    <row r="123" spans="1:64" ht="15" customHeight="1" outlineLevel="1" x14ac:dyDescent="0.25">
      <c r="A123" s="40"/>
      <c r="B123" s="112"/>
      <c r="C123" s="75"/>
      <c r="D123" s="375"/>
      <c r="E123" s="375"/>
      <c r="F123" s="56"/>
      <c r="G123" s="56"/>
      <c r="H123" s="56"/>
      <c r="I123" s="56"/>
      <c r="J123" s="56"/>
      <c r="K123" s="171"/>
      <c r="L123" s="171"/>
      <c r="M123" s="171"/>
      <c r="N123" s="55"/>
      <c r="O123" s="749"/>
      <c r="P123" s="750"/>
      <c r="Q123" s="750"/>
      <c r="R123" s="754"/>
      <c r="S123" s="749"/>
      <c r="T123" s="750"/>
      <c r="U123" s="750"/>
      <c r="V123" s="754"/>
      <c r="W123" s="372"/>
      <c r="X123" s="372"/>
      <c r="Y123" s="743"/>
      <c r="Z123" s="743"/>
      <c r="AA123" s="743"/>
      <c r="AB123" s="743"/>
      <c r="AC123" s="743"/>
      <c r="AD123" s="743"/>
      <c r="AE123" s="743"/>
      <c r="AF123" s="743"/>
      <c r="AG123" s="743"/>
      <c r="AH123" s="743"/>
      <c r="BC123" s="159" t="str">
        <f t="shared" si="63"/>
        <v>-</v>
      </c>
      <c r="BD123" s="151" t="str">
        <f>"IEF " &amp;B111</f>
        <v>IEF HWY</v>
      </c>
      <c r="BE123" s="153">
        <f t="shared" ref="BE123:BL123" si="96">IF(AND(OR($C114="-",$C114="CET",$C114=""),OR(F111="-",F111="CET",F111="")),"-",IF(OR(F111="CET",F111="-",F111=""),IF(OR($C114="CET",$C114="-",$C114=""),"-",$C114),F111))</f>
        <v>1</v>
      </c>
      <c r="BF123" s="153">
        <f t="shared" si="96"/>
        <v>1</v>
      </c>
      <c r="BG123" s="153">
        <f t="shared" si="96"/>
        <v>1</v>
      </c>
      <c r="BH123" s="153">
        <f t="shared" si="96"/>
        <v>1</v>
      </c>
      <c r="BI123" s="153">
        <f t="shared" si="96"/>
        <v>1</v>
      </c>
      <c r="BJ123" s="153">
        <f t="shared" si="96"/>
        <v>1</v>
      </c>
      <c r="BK123" s="153">
        <f t="shared" si="96"/>
        <v>1</v>
      </c>
      <c r="BL123" s="153">
        <f t="shared" si="96"/>
        <v>1</v>
      </c>
    </row>
    <row r="124" spans="1:64" ht="15.75" outlineLevel="1" thickBot="1" x14ac:dyDescent="0.3">
      <c r="B124" s="113"/>
      <c r="C124" s="82"/>
      <c r="D124" s="376"/>
      <c r="E124" s="376"/>
      <c r="F124" s="376"/>
      <c r="G124" s="376"/>
      <c r="H124" s="376"/>
      <c r="I124" s="376"/>
      <c r="J124" s="376"/>
      <c r="K124" s="172"/>
      <c r="L124" s="172"/>
      <c r="M124" s="172"/>
      <c r="N124" s="54"/>
      <c r="O124" s="751"/>
      <c r="P124" s="752"/>
      <c r="Q124" s="752"/>
      <c r="R124" s="755"/>
      <c r="S124" s="751"/>
      <c r="T124" s="752"/>
      <c r="U124" s="752"/>
      <c r="V124" s="755"/>
      <c r="BC124" s="159" t="str">
        <f t="shared" si="63"/>
        <v>-</v>
      </c>
      <c r="BD124" s="156"/>
      <c r="BE124" s="156"/>
      <c r="BF124" s="156"/>
      <c r="BG124" s="156"/>
      <c r="BH124" s="156"/>
      <c r="BI124" s="156"/>
      <c r="BJ124" s="156"/>
      <c r="BK124" s="156"/>
      <c r="BL124" s="156"/>
    </row>
    <row r="125" spans="1:64" ht="15" customHeight="1" x14ac:dyDescent="0.25">
      <c r="BC125" s="159" t="str">
        <f t="shared" si="63"/>
        <v>-</v>
      </c>
      <c r="BD125" s="156"/>
      <c r="BE125" s="156"/>
      <c r="BF125" s="156"/>
      <c r="BG125" s="156"/>
      <c r="BH125" s="156"/>
      <c r="BI125" s="156"/>
      <c r="BJ125" s="156"/>
      <c r="BK125" s="156"/>
      <c r="BL125" s="156"/>
    </row>
    <row r="126" spans="1:64" ht="15" customHeight="1" x14ac:dyDescent="0.25">
      <c r="BC126" s="159" t="str">
        <f t="shared" si="63"/>
        <v>-</v>
      </c>
      <c r="BD126" s="156"/>
      <c r="BE126" s="156"/>
      <c r="BF126" s="156"/>
      <c r="BG126" s="156"/>
      <c r="BH126" s="156"/>
      <c r="BI126" s="156"/>
      <c r="BJ126" s="156"/>
      <c r="BK126" s="156"/>
      <c r="BL126" s="156"/>
    </row>
    <row r="127" spans="1:64" ht="15" customHeight="1" thickBot="1" x14ac:dyDescent="0.3">
      <c r="A127" s="36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BC127" s="159" t="str">
        <f t="shared" si="63"/>
        <v>-</v>
      </c>
      <c r="BD127" s="156"/>
      <c r="BE127" s="156"/>
      <c r="BF127" s="156"/>
      <c r="BG127" s="156"/>
      <c r="BH127" s="156"/>
      <c r="BI127" s="156"/>
      <c r="BJ127" s="156"/>
      <c r="BK127" s="156"/>
      <c r="BL127" s="156"/>
    </row>
    <row r="128" spans="1:64" ht="24.95" customHeight="1" thickBot="1" x14ac:dyDescent="0.3">
      <c r="A128" s="362"/>
      <c r="B128" s="185">
        <v>5</v>
      </c>
      <c r="C128" s="852" t="s">
        <v>132</v>
      </c>
      <c r="D128" s="852"/>
      <c r="E128" s="852"/>
      <c r="F128" s="852"/>
      <c r="G128" s="852"/>
      <c r="H128" s="852"/>
      <c r="I128" s="852"/>
      <c r="J128" s="852"/>
      <c r="K128" s="852"/>
      <c r="L128" s="852"/>
      <c r="M128" s="852"/>
      <c r="N128" s="852"/>
      <c r="O128" s="49" t="s">
        <v>117</v>
      </c>
      <c r="P128" s="71" t="str">
        <f>IF(COUNTIF(F136:M137,"refused")&gt;0,"refused",IF(COUNTIF(F136:M137,"failed")&gt;0,"failed",IF(COUNTIF(F136:M137,"passed")&gt;0,"passed","-")))</f>
        <v>-</v>
      </c>
      <c r="Q128" s="70" t="s">
        <v>80</v>
      </c>
      <c r="R128" s="70" t="str">
        <f>IF(COUNT(F133:M134)&gt;0,"listed","not listed")</f>
        <v>not listed</v>
      </c>
      <c r="S128" s="371"/>
      <c r="T128" s="43"/>
      <c r="U128" s="43"/>
      <c r="V128" s="44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BC128" s="159" t="str">
        <f t="shared" si="63"/>
        <v>-</v>
      </c>
    </row>
    <row r="129" spans="1:80" ht="15" customHeight="1" outlineLevel="1" thickBot="1" x14ac:dyDescent="0.3">
      <c r="A129" s="362"/>
      <c r="B129" s="373"/>
      <c r="C129" s="374"/>
      <c r="D129" s="374"/>
      <c r="E129" s="374"/>
      <c r="F129" s="374"/>
      <c r="G129" s="374"/>
      <c r="H129" s="374"/>
      <c r="I129" s="374"/>
      <c r="J129" s="374"/>
      <c r="K129" s="162"/>
      <c r="L129" s="162"/>
      <c r="M129" s="162"/>
      <c r="N129" s="374"/>
      <c r="O129" s="374"/>
      <c r="P129" s="374"/>
      <c r="Q129" s="374"/>
      <c r="R129" s="374"/>
      <c r="S129" s="374"/>
      <c r="T129" s="45"/>
      <c r="U129" s="45"/>
      <c r="V129" s="46"/>
      <c r="W129" s="47"/>
      <c r="X129" s="47"/>
      <c r="Y129" s="756"/>
      <c r="Z129" s="756"/>
      <c r="AA129" s="756"/>
      <c r="AB129" s="756"/>
      <c r="AC129" s="756"/>
      <c r="AD129" s="756"/>
      <c r="AE129" s="756"/>
      <c r="AF129" s="756"/>
      <c r="AG129" s="756"/>
      <c r="AH129" s="756"/>
      <c r="BC129" s="159" t="str">
        <f t="shared" si="63"/>
        <v>-</v>
      </c>
    </row>
    <row r="130" spans="1:80" ht="15" customHeight="1" outlineLevel="1" thickBot="1" x14ac:dyDescent="0.3">
      <c r="A130" s="362"/>
      <c r="B130" s="744" t="s">
        <v>81</v>
      </c>
      <c r="C130" s="745"/>
      <c r="D130" s="745"/>
      <c r="E130" s="745"/>
      <c r="F130" s="745"/>
      <c r="G130" s="745"/>
      <c r="H130" s="745"/>
      <c r="I130" s="745"/>
      <c r="J130" s="745"/>
      <c r="K130" s="745"/>
      <c r="L130" s="745"/>
      <c r="M130" s="745"/>
      <c r="N130" s="746"/>
      <c r="O130" s="744" t="s">
        <v>82</v>
      </c>
      <c r="P130" s="745"/>
      <c r="Q130" s="745"/>
      <c r="R130" s="746"/>
      <c r="S130" s="744" t="s">
        <v>83</v>
      </c>
      <c r="T130" s="745"/>
      <c r="U130" s="745"/>
      <c r="V130" s="746"/>
      <c r="W130" s="372"/>
      <c r="X130" s="372"/>
      <c r="Y130" s="743"/>
      <c r="Z130" s="743"/>
      <c r="AA130" s="743"/>
      <c r="AB130" s="743"/>
      <c r="AC130" s="743"/>
      <c r="AD130" s="743"/>
      <c r="AE130" s="743"/>
      <c r="AF130" s="743"/>
      <c r="AG130" s="743"/>
      <c r="AH130" s="743"/>
      <c r="BC130" s="159" t="str">
        <f t="shared" si="63"/>
        <v>-</v>
      </c>
    </row>
    <row r="131" spans="1:80" ht="35.1" customHeight="1" outlineLevel="1" thickBot="1" x14ac:dyDescent="0.3">
      <c r="A131" s="362"/>
      <c r="B131" s="767" t="s">
        <v>84</v>
      </c>
      <c r="C131" s="768"/>
      <c r="D131" s="768"/>
      <c r="E131" s="769"/>
      <c r="F131" s="69" t="s">
        <v>72</v>
      </c>
      <c r="G131" s="377" t="s">
        <v>73</v>
      </c>
      <c r="H131" s="69" t="s">
        <v>74</v>
      </c>
      <c r="I131" s="69" t="s">
        <v>75</v>
      </c>
      <c r="J131" s="69" t="s">
        <v>76</v>
      </c>
      <c r="K131" s="163" t="s">
        <v>170</v>
      </c>
      <c r="L131" s="380" t="str">
        <f>$L$4</f>
        <v>Additional
component</v>
      </c>
      <c r="M131" s="380" t="str">
        <f>$M$4</f>
        <v>Additional
component 2</v>
      </c>
      <c r="N131" s="69" t="s">
        <v>77</v>
      </c>
      <c r="O131" s="747"/>
      <c r="P131" s="748"/>
      <c r="Q131" s="748"/>
      <c r="R131" s="753"/>
      <c r="S131" s="747"/>
      <c r="T131" s="748"/>
      <c r="U131" s="748"/>
      <c r="V131" s="753"/>
      <c r="W131" s="372"/>
      <c r="X131" s="372"/>
      <c r="Y131" s="743"/>
      <c r="Z131" s="743"/>
      <c r="AA131" s="743"/>
      <c r="AB131" s="743"/>
      <c r="AC131" s="743"/>
      <c r="AD131" s="743"/>
      <c r="AE131" s="743"/>
      <c r="AF131" s="743"/>
      <c r="AG131" s="743"/>
      <c r="AH131" s="743"/>
      <c r="BC131" s="159" t="str">
        <f t="shared" si="63"/>
        <v>-</v>
      </c>
    </row>
    <row r="132" spans="1:80" ht="15" customHeight="1" outlineLevel="1" thickBot="1" x14ac:dyDescent="0.3">
      <c r="A132" s="362"/>
      <c r="B132" s="806" t="s">
        <v>169</v>
      </c>
      <c r="C132" s="370" t="s">
        <v>64</v>
      </c>
      <c r="D132" s="767" t="s">
        <v>119</v>
      </c>
      <c r="E132" s="769"/>
      <c r="F132" s="107" t="s">
        <v>64</v>
      </c>
      <c r="G132" s="107" t="s">
        <v>64</v>
      </c>
      <c r="H132" s="107" t="s">
        <v>64</v>
      </c>
      <c r="I132" s="107" t="s">
        <v>64</v>
      </c>
      <c r="J132" s="107" t="s">
        <v>64</v>
      </c>
      <c r="K132" s="164" t="s">
        <v>64</v>
      </c>
      <c r="L132" s="164" t="s">
        <v>64</v>
      </c>
      <c r="M132" s="164" t="s">
        <v>64</v>
      </c>
      <c r="N132" s="107" t="s">
        <v>64</v>
      </c>
      <c r="O132" s="749"/>
      <c r="P132" s="750"/>
      <c r="Q132" s="750"/>
      <c r="R132" s="754"/>
      <c r="S132" s="749"/>
      <c r="T132" s="750"/>
      <c r="U132" s="750"/>
      <c r="V132" s="754"/>
      <c r="W132" s="372"/>
      <c r="X132" s="372"/>
      <c r="Y132" s="743"/>
      <c r="Z132" s="743"/>
      <c r="AA132" s="743"/>
      <c r="AB132" s="743"/>
      <c r="AC132" s="743"/>
      <c r="AD132" s="743"/>
      <c r="AE132" s="743"/>
      <c r="AF132" s="743"/>
      <c r="AG132" s="743"/>
      <c r="AH132" s="743"/>
      <c r="BC132" s="159" t="str">
        <f t="shared" si="63"/>
        <v>-</v>
      </c>
    </row>
    <row r="133" spans="1:80" s="50" customFormat="1" ht="15" customHeight="1" outlineLevel="1" x14ac:dyDescent="0.25">
      <c r="A133" s="53"/>
      <c r="B133" s="807"/>
      <c r="C133" s="770" t="s">
        <v>114</v>
      </c>
      <c r="D133" s="770" t="s">
        <v>113</v>
      </c>
      <c r="E133" s="106" t="s">
        <v>94</v>
      </c>
      <c r="F133" s="105" t="s">
        <v>5</v>
      </c>
      <c r="G133" s="105" t="s">
        <v>5</v>
      </c>
      <c r="H133" s="105" t="s">
        <v>5</v>
      </c>
      <c r="I133" s="105" t="s">
        <v>5</v>
      </c>
      <c r="J133" s="105" t="s">
        <v>5</v>
      </c>
      <c r="K133" s="173" t="s">
        <v>5</v>
      </c>
      <c r="L133" s="173" t="s">
        <v>5</v>
      </c>
      <c r="M133" s="173" t="s">
        <v>5</v>
      </c>
      <c r="N133" s="105" t="s">
        <v>5</v>
      </c>
      <c r="O133" s="749"/>
      <c r="P133" s="750"/>
      <c r="Q133" s="750"/>
      <c r="R133" s="754"/>
      <c r="S133" s="749"/>
      <c r="T133" s="750"/>
      <c r="U133" s="750"/>
      <c r="V133" s="754"/>
      <c r="W133" s="51"/>
      <c r="X133" s="51"/>
      <c r="Y133" s="743"/>
      <c r="Z133" s="743"/>
      <c r="AA133" s="743"/>
      <c r="AB133" s="743"/>
      <c r="AC133" s="743"/>
      <c r="AD133" s="743"/>
      <c r="AE133" s="743"/>
      <c r="AF133" s="743"/>
      <c r="AG133" s="743"/>
      <c r="AH133" s="743"/>
      <c r="BC133" s="159" t="str">
        <f t="shared" si="63"/>
        <v>-</v>
      </c>
      <c r="BD133" s="150"/>
      <c r="BE133" s="150"/>
      <c r="BF133" s="150"/>
      <c r="BG133" s="150"/>
      <c r="BH133" s="150"/>
      <c r="BI133" s="150"/>
      <c r="BJ133" s="150"/>
      <c r="BK133" s="150"/>
      <c r="BL133" s="150"/>
      <c r="BM133" s="150"/>
      <c r="BN133" s="150"/>
      <c r="BO133" s="150"/>
      <c r="BP133" s="150"/>
      <c r="BQ133" s="150"/>
      <c r="BR133" s="150"/>
      <c r="BS133" s="150"/>
      <c r="BT133" s="150"/>
      <c r="BU133" s="150"/>
      <c r="BV133" s="150"/>
      <c r="BW133" s="150"/>
      <c r="BX133" s="150"/>
      <c r="BY133" s="150"/>
      <c r="BZ133" s="150"/>
      <c r="CA133" s="150"/>
      <c r="CB133" s="150"/>
    </row>
    <row r="134" spans="1:80" ht="15" customHeight="1" outlineLevel="1" thickBot="1" x14ac:dyDescent="0.3">
      <c r="A134" s="362"/>
      <c r="B134" s="807"/>
      <c r="C134" s="742"/>
      <c r="D134" s="742"/>
      <c r="E134" s="104" t="s">
        <v>95</v>
      </c>
      <c r="F134" s="103" t="s">
        <v>5</v>
      </c>
      <c r="G134" s="103" t="s">
        <v>5</v>
      </c>
      <c r="H134" s="103" t="s">
        <v>5</v>
      </c>
      <c r="I134" s="103" t="s">
        <v>5</v>
      </c>
      <c r="J134" s="103" t="s">
        <v>5</v>
      </c>
      <c r="K134" s="174" t="s">
        <v>5</v>
      </c>
      <c r="L134" s="174" t="s">
        <v>5</v>
      </c>
      <c r="M134" s="174" t="s">
        <v>5</v>
      </c>
      <c r="N134" s="103" t="s">
        <v>5</v>
      </c>
      <c r="O134" s="749"/>
      <c r="P134" s="750"/>
      <c r="Q134" s="750"/>
      <c r="R134" s="754"/>
      <c r="S134" s="749"/>
      <c r="T134" s="750"/>
      <c r="U134" s="750"/>
      <c r="V134" s="754"/>
      <c r="W134" s="372"/>
      <c r="X134" s="372"/>
      <c r="Y134" s="743"/>
      <c r="Z134" s="743"/>
      <c r="AA134" s="743"/>
      <c r="AB134" s="743"/>
      <c r="AC134" s="743"/>
      <c r="AD134" s="743"/>
      <c r="AE134" s="743"/>
      <c r="AF134" s="743"/>
      <c r="AG134" s="743"/>
      <c r="AH134" s="743"/>
      <c r="BC134" s="159" t="str">
        <f t="shared" si="63"/>
        <v>-</v>
      </c>
    </row>
    <row r="135" spans="1:80" ht="15" customHeight="1" outlineLevel="1" thickBot="1" x14ac:dyDescent="0.3">
      <c r="A135" s="362"/>
      <c r="B135" s="807"/>
      <c r="C135" s="854" t="s">
        <v>64</v>
      </c>
      <c r="D135" s="772" t="str">
        <f>IF(AND(F135="-",G135="-",H135="-",I135="-",J135="-",K135="-",L135="-",M135="-"),"-",MAX(F135,G135,H135,I135,J135,K135,L135,M135))</f>
        <v>-</v>
      </c>
      <c r="E135" s="66" t="s">
        <v>177</v>
      </c>
      <c r="F135" s="65" t="str">
        <f t="shared" ref="F135:M135" si="97">IF(OR(F134="-",F134=""),IF(OR(F133="-",F133=""),"-",F133),IF(OR(F133="-",F133=""),F134,(F133+F134)/2))</f>
        <v>-</v>
      </c>
      <c r="G135" s="65" t="str">
        <f t="shared" si="97"/>
        <v>-</v>
      </c>
      <c r="H135" s="65" t="str">
        <f t="shared" si="97"/>
        <v>-</v>
      </c>
      <c r="I135" s="65" t="str">
        <f t="shared" si="97"/>
        <v>-</v>
      </c>
      <c r="J135" s="65" t="str">
        <f t="shared" si="97"/>
        <v>-</v>
      </c>
      <c r="K135" s="167" t="str">
        <f t="shared" si="97"/>
        <v>-</v>
      </c>
      <c r="L135" s="167" t="str">
        <f t="shared" si="97"/>
        <v>-</v>
      </c>
      <c r="M135" s="167" t="str">
        <f t="shared" si="97"/>
        <v>-</v>
      </c>
      <c r="N135" s="740"/>
      <c r="O135" s="749"/>
      <c r="P135" s="750"/>
      <c r="Q135" s="750"/>
      <c r="R135" s="754"/>
      <c r="S135" s="749"/>
      <c r="T135" s="750"/>
      <c r="U135" s="750"/>
      <c r="V135" s="754"/>
      <c r="W135" s="372"/>
      <c r="X135" s="372"/>
      <c r="Y135" s="743"/>
      <c r="Z135" s="743"/>
      <c r="AA135" s="743"/>
      <c r="AB135" s="743"/>
      <c r="AC135" s="743"/>
      <c r="AD135" s="743"/>
      <c r="AE135" s="743"/>
      <c r="AF135" s="743"/>
      <c r="AG135" s="743"/>
      <c r="AH135" s="743"/>
      <c r="BC135" s="159" t="str">
        <f t="shared" si="63"/>
        <v>-</v>
      </c>
    </row>
    <row r="136" spans="1:80" ht="15" customHeight="1" outlineLevel="1" thickBot="1" x14ac:dyDescent="0.3">
      <c r="A136" s="362"/>
      <c r="B136" s="807"/>
      <c r="C136" s="855"/>
      <c r="D136" s="773"/>
      <c r="E136" s="64" t="s">
        <v>97</v>
      </c>
      <c r="F136" s="63" t="str">
        <f t="shared" ref="F136:M136" si="98">IF(AND(OR($C135="-",$C135="CET",$C135=""),OR(F132="-",F132="CET",F132="")),"-",IF(AND(NOT(F135="-"),NOT(F$7="-"),NOT(F$7="")),F135/F$7,"-"))</f>
        <v>-</v>
      </c>
      <c r="G136" s="63" t="str">
        <f t="shared" si="98"/>
        <v>-</v>
      </c>
      <c r="H136" s="63" t="str">
        <f t="shared" si="98"/>
        <v>-</v>
      </c>
      <c r="I136" s="63" t="str">
        <f t="shared" si="98"/>
        <v>-</v>
      </c>
      <c r="J136" s="63" t="str">
        <f t="shared" si="98"/>
        <v>-</v>
      </c>
      <c r="K136" s="168" t="str">
        <f t="shared" si="98"/>
        <v>-</v>
      </c>
      <c r="L136" s="168" t="str">
        <f t="shared" si="98"/>
        <v>-</v>
      </c>
      <c r="M136" s="168" t="str">
        <f t="shared" si="98"/>
        <v>-</v>
      </c>
      <c r="N136" s="741"/>
      <c r="O136" s="749"/>
      <c r="P136" s="750"/>
      <c r="Q136" s="750"/>
      <c r="R136" s="754"/>
      <c r="S136" s="749"/>
      <c r="T136" s="750"/>
      <c r="U136" s="750"/>
      <c r="V136" s="754"/>
      <c r="W136" s="372"/>
      <c r="X136" s="372"/>
      <c r="Y136" s="743"/>
      <c r="Z136" s="743"/>
      <c r="AA136" s="743"/>
      <c r="AB136" s="743"/>
      <c r="AC136" s="743"/>
      <c r="AD136" s="743"/>
      <c r="AE136" s="743"/>
      <c r="AF136" s="743"/>
      <c r="AG136" s="743"/>
      <c r="AH136" s="743"/>
      <c r="BC136" s="159" t="str">
        <f t="shared" si="63"/>
        <v>-</v>
      </c>
      <c r="BU136" s="152" t="str">
        <f>F$4</f>
        <v>NMHC 
[g/km]</v>
      </c>
      <c r="BV136" s="152" t="str">
        <f t="shared" ref="BV136:CB136" si="99">G$4</f>
        <v>THC
[g/km]</v>
      </c>
      <c r="BW136" s="152" t="str">
        <f t="shared" si="99"/>
        <v>CO
[g/km]</v>
      </c>
      <c r="BX136" s="152" t="str">
        <f t="shared" si="99"/>
        <v>NOx
[g/km]</v>
      </c>
      <c r="BY136" s="152" t="str">
        <f t="shared" si="99"/>
        <v>PM
[mg/km]</v>
      </c>
      <c r="BZ136" s="152" t="str">
        <f t="shared" si="99"/>
        <v>PN
[#/km]</v>
      </c>
      <c r="CA136" s="152" t="str">
        <f t="shared" si="99"/>
        <v>Additional
component</v>
      </c>
      <c r="CB136" s="152" t="str">
        <f t="shared" si="99"/>
        <v>Additional
component 2</v>
      </c>
    </row>
    <row r="137" spans="1:80" ht="15" customHeight="1" outlineLevel="1" thickBot="1" x14ac:dyDescent="0.3">
      <c r="A137" s="362"/>
      <c r="B137" s="853"/>
      <c r="C137" s="856"/>
      <c r="D137" s="774"/>
      <c r="E137" s="62" t="s">
        <v>30</v>
      </c>
      <c r="F137" s="62" t="str">
        <f>IF(AND(OR(F133="-",F133=""),OR(F134="-",F134="")),"-",IF(AND(OR(F132="CET",F132="-",F132=""),OR($C135="CET",$C135="-",$C135="")),"-",IF($R$128="not listed","-",IF(AND(NOT(F$7="-"),NOT(F$7="")),IF(AND(AND(NOT(F133=0),NOT(F133="-"),NOT(F133="")),AND(NOT(F134="-"),NOT(F134=0),NOT(F134=""))),IF(AND((F133+F134)/2&lt;1*F$7*IF(OR(F132="CET",F132="-",F132=""),IF(OR($C135="CET",$C135="-",$C135=""),"-",$C135),F132),F133&lt;1.1*F$7*IF(OR(F132="CET",F132="-",F132=""),IF(OR($C135="CET",$C135="-",$C135=""),"-",$C135),F132),F134&lt;1.1*F$7*IF(OR(F132="CET",F132="-",F132=""),IF($C135="CET","-",$C135),F132)),"passed","refused"),IF(IF(OR(F133="-",F133=""),F134,F133)&lt;0.7*F$7*IF(OR(F132="CET",F132="-",F132=""),IF($C135="CET","-",$C135),F132),"passed",IF(IF(OR(F133="-",F133=""),F134,F133)&lt;1.1*IF(OR(F132="CET",F132="-",F132=""),IF($C135="CET","-",$C135),F132)*F$7,"failed","refused"))),"-"))))</f>
        <v>-</v>
      </c>
      <c r="G137" s="62" t="str">
        <f>IF(AND(OR(G133="-",G133=""),OR(G134="-",G134="")),"-",IF(AND(OR(G132="CET",G132="-",G132=""),OR($C135="CET",$C135="-",$C135="")),"-",IF($R$128="not listed","-",IF(OR(NOT(G$7="-"),NOT(G$7="")),IF(AND(AND(NOT(G133=0),NOT(G133="-"),NOT(G133="")),AND(NOT(G134="-"),NOT(G134=0),NOT(G134=""))),IF(AND((G133+G134)/2&lt;1*G$7*IF(OR(G132="CET",G132="-",G132=""),IF(OR($C135="CET",$C135="-",$C135=""),"-",$C135),G132),G133&lt;1.1*G$7*IF(OR(G132="CET",G132="-",G132=""),IF(OR($C135="CET",$C135="-",$C135=""),"-",$C135),G132),G134&lt;1.1*G$7*IF(OR(G132="CET",G132="-",G132=""),IF($C135="CET","-",$C135),G132)),"passed","refused"),IF(IF(OR(G133="-",G133=""),G134,G133)&lt;0.7*G$7*IF(OR(G132="CET",G132="-",G132=""),IF($C135="CET","-",$C135),G132),"passed",IF(IF(OR(G133="-",G133=""),G134,G133)&lt;1.1*IF(OR(G132="CET",G132="-",G132=""),IF($C135="CET","-",$C135),G132)*G$7,"failed","refused"))),"-"))))</f>
        <v>-</v>
      </c>
      <c r="H137" s="62" t="str">
        <f>IF(AND(OR(H133="-",H133=""),OR(H134="-",H134="")),"-",IF(AND(OR(H132="CET",H132="-",H132=""),OR($C135="CET",$C135="-",$C135="")),"-",IF($R$128="not listed","-",IF(OR(NOT(H$7="-"),NOT(H$7="")),IF(AND(AND(NOT(H133=0),NOT(H133="-"),NOT(H133="")),AND(NOT(H134="-"),NOT(H134=0),NOT(H134=""))),IF(AND((H133+H134)/2&lt;1*H$7*IF(OR(H132="CET",H132="-",H132=""),IF(OR($C135="CET",$C135="-",$C135=""),"-",$C135),H132),H133&lt;1.1*H$7*IF(OR(H132="CET",H132="-",H132=""),IF(OR($C135="CET",$C135="-",$C135=""),"-",$C135),H132),H134&lt;1.1*H$7*IF(OR(H132="CET",H132="-",H132=""),IF($C135="CET","-",$C135),H132)),"passed","refused"),IF(IF(OR(H133="-",H133=""),H134,H133)&lt;0.7*H$7*IF(OR(H132="CET",H132="-",H132=""),IF($C135="CET","-",$C135),H132),"passed",IF(IF(OR(H133="-",H133=""),H134,H133)&lt;1.1*IF(OR(H132="CET",H132="-",H132=""),IF($C135="CET","-",$C135),H132)*H$7,"failed","refused"))),"-"))))</f>
        <v>-</v>
      </c>
      <c r="I137" s="62" t="str">
        <f>IF(AND(OR(I133="-",I133=""),OR(I134="-",I134="")),"-",IF(AND(OR(I132="CET",I132="-",I132=""),OR($C135="CET",$C135="-",$C135="")),"-",IF($R$128="not listed","-",IF(OR(NOT(I$7="-"),NOT(I$7="")),IF(AND(AND(NOT(I133=0),NOT(I133="-"),NOT(I133="")),AND(NOT(I134="-"),NOT(I134=0),NOT(I134=""))),IF(AND((I133+I134)/2&lt;1*I$7*IF(OR(I132="CET",I132="-",I132=""),IF(OR($C135="CET",$C135="-",$C135=""),"-",$C135),I132),I133&lt;1.1*I$7*IF(OR(I132="CET",I132="-",I132=""),IF(OR($C135="CET",$C135="-",$C135=""),"-",$C135),I132),I134&lt;1.1*I$7*IF(OR(I132="CET",I132="-",I132=""),IF($C135="CET","-",$C135),I132)),"passed","refused"),IF(IF(OR(I133="-",I133=""),I134,I133)&lt;0.7*I$7*IF(OR(I132="CET",I132="-",I132=""),IF($C135="CET","-",$C135),I132),"passed",IF(IF(OR(I133="-",I133=""),I134,I133)&lt;1.1*IF(OR(I132="CET",I132="-",I132=""),IF($C135="CET","-",$C135),I132)*I$7,"failed","refused"))),"-"))))</f>
        <v>-</v>
      </c>
      <c r="J137" s="62" t="str">
        <f>IF(AND(OR(J133="-",J133=""),OR(J134="-",J134="")),"-",IF(AND(OR(J132="CET",J132="-",J132=""),OR($C135="CET",$C135="-",$C135="")),"-",IF($R$128="not listed","-",IF(OR(NOT(J$7="-"),NOT(J$7="")),IF(AND(AND(NOT(J133=0),NOT(J133="-"),NOT(J133="")),AND(NOT(J134="-"),NOT(J134=0),NOT(J134=""))),IF(AND((J133+J134)/2&lt;1*J$7*IF(OR(J132="CET",J132="-",J132=""),IF(OR($C135="CET",$C135="-",$C135=""),"-",$C135),J132),J133&lt;1.1*J$7*IF(OR(J132="CET",J132="-",J132=""),IF(OR($C135="CET",$C135="-",$C135=""),"-",$C135),J132),J134&lt;1.1*J$7*IF(OR(J132="CET",J132="-",J132=""),IF($C135="CET","-",$C135),J132)),"passed","refused"),IF(IF(OR(J133="-",J133=""),J134,J133)&lt;0.7*J$7*IF(OR(J132="CET",J132="-",J132=""),IF($C135="CET","-",$C135),J132),"passed",IF(IF(OR(J133="-",J133=""),J134,J133)&lt;1.1*IF(OR(J132="CET",J132="-",J132=""),IF($C135="CET","-",$C135),J132)*J$7,"failed","refused"))),"-"))))</f>
        <v>-</v>
      </c>
      <c r="K137" s="169" t="str">
        <f>IF(AND(OR(K133="-",K133=""),OR(K134="-",K134="")),"-",IF(AND(OR(K132="CET",K132="-",K132=""),OR($C135="CET",$C135="-",$C135="")),"-",IF($R$128="not listed","-",IF(OR(NOT(K$7="-"),NOT(K$7="")),IF(AND(AND(NOT(K133=0),NOT(K133="-"),NOT(K133="")),AND(NOT(K134="-"),NOT(K134=0),NOT(K134=""))),IF(AND((K133+K134)/2&lt;1*K$7*IF(OR(K132="CET",K132="-",K132=""),IF(OR($C135="CET",$C135="-",$C135=""),"-",$C135),K132),K133&lt;1.1*K$7*IF(OR(K132="CET",K132="-",K132=""),IF(OR($C135="CET",$C135="-",$C135=""),"-",$C135),K132),K134&lt;1.1*K$7*IF(OR(K132="CET",K132="-",K132=""),IF($C135="CET","-",$C135),K132)),"passed","refused"),IF(IF(OR(K133="-",K133=""),K134,K133)&lt;0.7*K$7*IF(OR(K132="CET",K132="-",K132=""),IF($C135="CET","-",$C135),K132),"passed",IF(IF(OR(K133="-",K133=""),K134,K133)&lt;1.1*IF(OR(K132="CET",K132="-",K132=""),IF($C135="CET","-",$C135),K132)*K$7,"failed","refused"))),"-"))))</f>
        <v>-</v>
      </c>
      <c r="L137" s="169" t="str">
        <f t="shared" ref="L137:M137" si="100">IF(AND(OR(L133="-",L133=""),OR(L134="-",L134="")),"-",IF(AND(OR(L132="CET",L132="-",L132=""),OR($C135="CET",$C135="-",$C135="")),"-",IF($R$128="not listed","-",IF(OR(NOT(L$7="-"),NOT(L$7="")),IF(AND(AND(NOT(L133=0),NOT(L133="-"),NOT(L133="")),AND(NOT(L134="-"),NOT(L134=0),NOT(L134=""))),IF(AND((L133+L134)/2&lt;1*L$7*IF(OR(L132="CET",L132="-",L132=""),IF(OR($C135="CET",$C135="-",$C135=""),"-",$C135),L132),L133&lt;1.1*L$7*IF(OR(L132="CET",L132="-",L132=""),IF(OR($C135="CET",$C135="-",$C135=""),"-",$C135),L132),L134&lt;1.1*L$7*IF(OR(L132="CET",L132="-",L132=""),IF($C135="CET","-",$C135),L132)),"passed","refused"),IF(IF(OR(L133="-",L133=""),L134,L133)&lt;0.7*L$7*IF(OR(L132="CET",L132="-",L132=""),IF($C135="CET","-",$C135),L132),"passed",IF(IF(OR(L133="-",L133=""),L134,L133)&lt;1.1*IF(OR(L132="CET",L132="-",L132=""),IF($C135="CET","-",$C135),L132)*L$7,"failed","refused"))),"-"))))</f>
        <v>-</v>
      </c>
      <c r="M137" s="169" t="str">
        <f t="shared" si="100"/>
        <v>-</v>
      </c>
      <c r="N137" s="742"/>
      <c r="O137" s="749"/>
      <c r="P137" s="750"/>
      <c r="Q137" s="750"/>
      <c r="R137" s="754"/>
      <c r="S137" s="749"/>
      <c r="T137" s="750"/>
      <c r="U137" s="750"/>
      <c r="V137" s="754"/>
      <c r="W137" s="372"/>
      <c r="X137" s="372"/>
      <c r="Y137" s="743"/>
      <c r="Z137" s="743"/>
      <c r="AA137" s="743"/>
      <c r="AB137" s="743"/>
      <c r="AC137" s="743"/>
      <c r="AD137" s="743"/>
      <c r="AE137" s="743"/>
      <c r="AF137" s="743"/>
      <c r="AG137" s="743"/>
      <c r="AH137" s="743"/>
      <c r="BC137" s="159" t="str">
        <f t="shared" si="63"/>
        <v>-</v>
      </c>
      <c r="BU137" s="153">
        <v>1</v>
      </c>
      <c r="BV137" s="153">
        <v>1</v>
      </c>
      <c r="BW137" s="153">
        <v>1</v>
      </c>
      <c r="BX137" s="153">
        <v>1</v>
      </c>
      <c r="BY137" s="153">
        <v>1</v>
      </c>
      <c r="BZ137" s="153">
        <v>1</v>
      </c>
      <c r="CA137" s="153">
        <v>1</v>
      </c>
      <c r="CB137" s="153">
        <v>1</v>
      </c>
    </row>
    <row r="138" spans="1:80" ht="15" customHeight="1" outlineLevel="1" x14ac:dyDescent="0.25">
      <c r="A138" s="362"/>
      <c r="B138" s="761"/>
      <c r="C138" s="760"/>
      <c r="D138" s="375"/>
      <c r="E138" s="375"/>
      <c r="F138" s="379"/>
      <c r="G138" s="379"/>
      <c r="H138" s="379"/>
      <c r="I138" s="379"/>
      <c r="J138" s="379"/>
      <c r="K138" s="171"/>
      <c r="L138" s="171"/>
      <c r="M138" s="171"/>
      <c r="N138" s="57"/>
      <c r="O138" s="749"/>
      <c r="P138" s="750"/>
      <c r="Q138" s="750"/>
      <c r="R138" s="754"/>
      <c r="S138" s="749"/>
      <c r="T138" s="750"/>
      <c r="U138" s="750"/>
      <c r="V138" s="754"/>
      <c r="W138" s="372"/>
      <c r="X138" s="372"/>
      <c r="Y138" s="743"/>
      <c r="Z138" s="743"/>
      <c r="AA138" s="743"/>
      <c r="AB138" s="743"/>
      <c r="AC138" s="743"/>
      <c r="AD138" s="743"/>
      <c r="AE138" s="743"/>
      <c r="AF138" s="743"/>
      <c r="AG138" s="743"/>
      <c r="AH138" s="743"/>
      <c r="BC138" s="159" t="str">
        <f t="shared" si="63"/>
        <v>-</v>
      </c>
      <c r="BU138" s="153" t="str">
        <f>IF((OR($C135="-",$C135="CET",$C135="")),"-",IF(AND(OR(G133="-",G133=""),OR(G134="-",G134="")),"-",IF(NOT(OR(G133="-",G133="")),G133/G$7,G134/G$7)))</f>
        <v>-</v>
      </c>
      <c r="BV138" s="153" t="str">
        <f t="shared" ref="BV138:CB138" si="101">IF((OR($C135="-",$C135="CET",$C135="")),"-",IF(AND(OR(H133="-",H133=""),OR(H134="-",H134="")),"-",IF(NOT(OR(H133="-",H133="")),H133/H$7,H134/H$7)))</f>
        <v>-</v>
      </c>
      <c r="BW138" s="153" t="str">
        <f t="shared" si="101"/>
        <v>-</v>
      </c>
      <c r="BX138" s="153" t="str">
        <f t="shared" si="101"/>
        <v>-</v>
      </c>
      <c r="BY138" s="153" t="str">
        <f t="shared" si="101"/>
        <v>-</v>
      </c>
      <c r="BZ138" s="153" t="str">
        <f t="shared" si="101"/>
        <v>-</v>
      </c>
      <c r="CA138" s="153" t="str">
        <f t="shared" si="101"/>
        <v>-</v>
      </c>
      <c r="CB138" s="153" t="str">
        <f t="shared" si="101"/>
        <v>-</v>
      </c>
    </row>
    <row r="139" spans="1:80" ht="15" customHeight="1" outlineLevel="1" x14ac:dyDescent="0.25">
      <c r="A139" s="362"/>
      <c r="B139" s="761"/>
      <c r="C139" s="760"/>
      <c r="D139" s="375"/>
      <c r="E139" s="375"/>
      <c r="F139" s="379"/>
      <c r="G139" s="379"/>
      <c r="H139" s="379"/>
      <c r="I139" s="379"/>
      <c r="J139" s="379"/>
      <c r="K139" s="171"/>
      <c r="L139" s="171"/>
      <c r="M139" s="171"/>
      <c r="N139" s="57"/>
      <c r="O139" s="749"/>
      <c r="P139" s="750"/>
      <c r="Q139" s="750"/>
      <c r="R139" s="754"/>
      <c r="S139" s="749"/>
      <c r="T139" s="750"/>
      <c r="U139" s="750"/>
      <c r="V139" s="754"/>
      <c r="W139" s="372"/>
      <c r="X139" s="372"/>
      <c r="Y139" s="743"/>
      <c r="Z139" s="743"/>
      <c r="AA139" s="743"/>
      <c r="AB139" s="743"/>
      <c r="AC139" s="743"/>
      <c r="AD139" s="743"/>
      <c r="AE139" s="743"/>
      <c r="AF139" s="743"/>
      <c r="AG139" s="743"/>
      <c r="AH139" s="743"/>
      <c r="BC139" s="159" t="str">
        <f t="shared" si="63"/>
        <v>-</v>
      </c>
      <c r="BU139" s="153"/>
      <c r="BV139" s="153"/>
      <c r="BW139" s="153"/>
      <c r="BX139" s="153"/>
      <c r="BY139" s="153"/>
      <c r="BZ139" s="153"/>
      <c r="CA139" s="153"/>
      <c r="CB139" s="153"/>
    </row>
    <row r="140" spans="1:80" ht="15" customHeight="1" outlineLevel="1" x14ac:dyDescent="0.25">
      <c r="A140" s="362"/>
      <c r="B140" s="761"/>
      <c r="C140" s="760"/>
      <c r="D140" s="375"/>
      <c r="E140" s="375"/>
      <c r="F140" s="56"/>
      <c r="G140" s="56"/>
      <c r="H140" s="56"/>
      <c r="I140" s="56"/>
      <c r="J140" s="56"/>
      <c r="K140" s="171"/>
      <c r="L140" s="171"/>
      <c r="M140" s="171"/>
      <c r="N140" s="55"/>
      <c r="O140" s="749"/>
      <c r="P140" s="750"/>
      <c r="Q140" s="750"/>
      <c r="R140" s="754"/>
      <c r="S140" s="749"/>
      <c r="T140" s="750"/>
      <c r="U140" s="750"/>
      <c r="V140" s="754"/>
      <c r="W140" s="372"/>
      <c r="X140" s="372"/>
      <c r="Y140" s="743"/>
      <c r="Z140" s="743"/>
      <c r="AA140" s="743"/>
      <c r="AB140" s="743"/>
      <c r="AC140" s="743"/>
      <c r="AD140" s="743"/>
      <c r="AE140" s="743"/>
      <c r="AF140" s="743"/>
      <c r="AG140" s="743"/>
      <c r="AH140" s="743"/>
      <c r="BC140" s="159" t="str">
        <f t="shared" si="63"/>
        <v>-</v>
      </c>
      <c r="BU140" s="153"/>
      <c r="BV140" s="153"/>
      <c r="BW140" s="153"/>
      <c r="BX140" s="153"/>
      <c r="BY140" s="153"/>
      <c r="BZ140" s="153"/>
      <c r="CA140" s="153"/>
      <c r="CB140" s="153"/>
    </row>
    <row r="141" spans="1:80" ht="15" customHeight="1" outlineLevel="1" x14ac:dyDescent="0.25">
      <c r="A141" s="40"/>
      <c r="B141" s="761"/>
      <c r="C141" s="760"/>
      <c r="D141" s="375"/>
      <c r="E141" s="375"/>
      <c r="F141" s="56"/>
      <c r="G141" s="56"/>
      <c r="H141" s="56"/>
      <c r="I141" s="56"/>
      <c r="J141" s="56"/>
      <c r="K141" s="171"/>
      <c r="L141" s="171"/>
      <c r="M141" s="171"/>
      <c r="N141" s="55"/>
      <c r="O141" s="749"/>
      <c r="P141" s="750"/>
      <c r="Q141" s="750"/>
      <c r="R141" s="754"/>
      <c r="S141" s="749"/>
      <c r="T141" s="750"/>
      <c r="U141" s="750"/>
      <c r="V141" s="754"/>
      <c r="W141" s="372"/>
      <c r="X141" s="372"/>
      <c r="Y141" s="743"/>
      <c r="Z141" s="743"/>
      <c r="AA141" s="743"/>
      <c r="AB141" s="743"/>
      <c r="AC141" s="743"/>
      <c r="AD141" s="743"/>
      <c r="AE141" s="743"/>
      <c r="AF141" s="743"/>
      <c r="AG141" s="743"/>
      <c r="AH141" s="743"/>
      <c r="BC141" s="159" t="str">
        <f t="shared" si="63"/>
        <v>-</v>
      </c>
      <c r="BU141" s="153"/>
      <c r="BV141" s="153"/>
      <c r="BW141" s="153"/>
      <c r="BX141" s="153"/>
      <c r="BY141" s="153"/>
      <c r="BZ141" s="153"/>
      <c r="CA141" s="153"/>
      <c r="CB141" s="153"/>
    </row>
    <row r="142" spans="1:80" ht="15" customHeight="1" outlineLevel="1" x14ac:dyDescent="0.25">
      <c r="A142" s="40"/>
      <c r="B142" s="761"/>
      <c r="C142" s="760"/>
      <c r="D142" s="375"/>
      <c r="E142" s="375"/>
      <c r="F142" s="375"/>
      <c r="G142" s="375"/>
      <c r="H142" s="375"/>
      <c r="I142" s="375"/>
      <c r="J142" s="375"/>
      <c r="K142" s="171"/>
      <c r="L142" s="171"/>
      <c r="M142" s="171"/>
      <c r="N142" s="59"/>
      <c r="O142" s="749"/>
      <c r="P142" s="750"/>
      <c r="Q142" s="750"/>
      <c r="R142" s="754"/>
      <c r="S142" s="749"/>
      <c r="T142" s="750"/>
      <c r="U142" s="750"/>
      <c r="V142" s="754"/>
      <c r="W142" s="372"/>
      <c r="X142" s="372"/>
      <c r="Y142" s="743"/>
      <c r="Z142" s="743"/>
      <c r="AA142" s="743"/>
      <c r="AB142" s="743"/>
      <c r="AC142" s="743"/>
      <c r="AD142" s="743"/>
      <c r="AE142" s="743"/>
      <c r="AF142" s="743"/>
      <c r="AG142" s="743"/>
      <c r="AH142" s="743"/>
      <c r="BC142" s="159" t="str">
        <f t="shared" si="63"/>
        <v>-</v>
      </c>
      <c r="BU142" s="153" t="str">
        <f>IF(AND(OR($C135="-",$C135="CET",$C135=""),OR(G132="-",G132="CET",G132="")),"-",0.7*IF(OR(G132="CET",G132="-",G132=""),IF(OR($C135="CET",$C135="-",$C135=""),"-",$C135),G132))</f>
        <v>-</v>
      </c>
      <c r="BV142" s="153" t="str">
        <f t="shared" ref="BV142:CB142" si="102">IF(AND(OR($C135="-",$C135="CET",$C135=""),OR(H132="-",H132="CET",H132="")),"-",0.7*IF(OR(H132="CET",H132="-",H132=""),IF(OR($C135="CET",$C135="-",$C135=""),"-",$C135),H132))</f>
        <v>-</v>
      </c>
      <c r="BW142" s="153" t="str">
        <f t="shared" si="102"/>
        <v>-</v>
      </c>
      <c r="BX142" s="153" t="str">
        <f t="shared" si="102"/>
        <v>-</v>
      </c>
      <c r="BY142" s="153" t="str">
        <f t="shared" si="102"/>
        <v>-</v>
      </c>
      <c r="BZ142" s="153" t="str">
        <f t="shared" si="102"/>
        <v>-</v>
      </c>
      <c r="CA142" s="153" t="str">
        <f t="shared" si="102"/>
        <v>-</v>
      </c>
      <c r="CB142" s="153" t="str">
        <f t="shared" si="102"/>
        <v>-</v>
      </c>
    </row>
    <row r="143" spans="1:80" ht="15" customHeight="1" outlineLevel="1" x14ac:dyDescent="0.25">
      <c r="A143" s="40"/>
      <c r="B143" s="761"/>
      <c r="C143" s="760"/>
      <c r="D143" s="375"/>
      <c r="E143" s="375"/>
      <c r="F143" s="379"/>
      <c r="G143" s="379"/>
      <c r="H143" s="379"/>
      <c r="I143" s="379"/>
      <c r="J143" s="379"/>
      <c r="K143" s="171"/>
      <c r="L143" s="171"/>
      <c r="M143" s="171"/>
      <c r="N143" s="57"/>
      <c r="O143" s="749"/>
      <c r="P143" s="750"/>
      <c r="Q143" s="750"/>
      <c r="R143" s="754"/>
      <c r="S143" s="749"/>
      <c r="T143" s="750"/>
      <c r="U143" s="750"/>
      <c r="V143" s="754"/>
      <c r="W143" s="372"/>
      <c r="X143" s="372"/>
      <c r="Y143" s="743"/>
      <c r="Z143" s="743"/>
      <c r="AA143" s="743"/>
      <c r="AB143" s="743"/>
      <c r="AC143" s="743"/>
      <c r="AD143" s="743"/>
      <c r="AE143" s="743"/>
      <c r="AF143" s="743"/>
      <c r="AG143" s="743"/>
      <c r="AH143" s="743"/>
      <c r="BC143" s="159" t="str">
        <f t="shared" si="63"/>
        <v>-</v>
      </c>
      <c r="BU143" s="153"/>
      <c r="BV143" s="153"/>
      <c r="BW143" s="153"/>
      <c r="BX143" s="153"/>
      <c r="BY143" s="153"/>
      <c r="BZ143" s="153"/>
      <c r="CA143" s="153"/>
      <c r="CB143" s="153"/>
    </row>
    <row r="144" spans="1:80" ht="15" customHeight="1" outlineLevel="1" x14ac:dyDescent="0.25">
      <c r="A144" s="40"/>
      <c r="B144" s="761"/>
      <c r="C144" s="760"/>
      <c r="D144" s="375"/>
      <c r="E144" s="375"/>
      <c r="F144" s="379"/>
      <c r="G144" s="379"/>
      <c r="H144" s="379"/>
      <c r="I144" s="379"/>
      <c r="J144" s="379"/>
      <c r="K144" s="171"/>
      <c r="L144" s="171"/>
      <c r="M144" s="171"/>
      <c r="N144" s="57"/>
      <c r="O144" s="749"/>
      <c r="P144" s="750"/>
      <c r="Q144" s="750"/>
      <c r="R144" s="754"/>
      <c r="S144" s="749"/>
      <c r="T144" s="750"/>
      <c r="U144" s="750"/>
      <c r="V144" s="754"/>
      <c r="W144" s="372"/>
      <c r="X144" s="372"/>
      <c r="Y144" s="743"/>
      <c r="Z144" s="743"/>
      <c r="AA144" s="743"/>
      <c r="AB144" s="743"/>
      <c r="AC144" s="743"/>
      <c r="AD144" s="743"/>
      <c r="AE144" s="743"/>
      <c r="AF144" s="743"/>
      <c r="AG144" s="743"/>
      <c r="AH144" s="743"/>
      <c r="BC144" s="159" t="str">
        <f t="shared" si="63"/>
        <v>-</v>
      </c>
      <c r="BU144" s="153"/>
      <c r="BV144" s="153"/>
      <c r="BW144" s="153"/>
      <c r="BX144" s="153"/>
      <c r="BY144" s="153"/>
      <c r="BZ144" s="153"/>
      <c r="CA144" s="153"/>
      <c r="CB144" s="153"/>
    </row>
    <row r="145" spans="1:80" ht="15" customHeight="1" outlineLevel="1" x14ac:dyDescent="0.25">
      <c r="A145" s="40"/>
      <c r="B145" s="761"/>
      <c r="C145" s="760"/>
      <c r="D145" s="375"/>
      <c r="E145" s="375"/>
      <c r="F145" s="56"/>
      <c r="G145" s="56"/>
      <c r="H145" s="56"/>
      <c r="I145" s="56"/>
      <c r="J145" s="56"/>
      <c r="K145" s="171"/>
      <c r="L145" s="171"/>
      <c r="M145" s="171"/>
      <c r="N145" s="55"/>
      <c r="O145" s="749"/>
      <c r="P145" s="750"/>
      <c r="Q145" s="750"/>
      <c r="R145" s="754"/>
      <c r="S145" s="749"/>
      <c r="T145" s="750"/>
      <c r="U145" s="750"/>
      <c r="V145" s="754"/>
      <c r="W145" s="372"/>
      <c r="X145" s="372"/>
      <c r="Y145" s="743"/>
      <c r="Z145" s="743"/>
      <c r="AA145" s="743"/>
      <c r="AB145" s="743"/>
      <c r="AC145" s="743"/>
      <c r="AD145" s="743"/>
      <c r="AE145" s="743"/>
      <c r="AF145" s="743"/>
      <c r="AG145" s="743"/>
      <c r="AH145" s="743"/>
      <c r="BC145" s="159" t="str">
        <f t="shared" si="63"/>
        <v>-</v>
      </c>
      <c r="BU145" s="153"/>
      <c r="BV145" s="153"/>
      <c r="BW145" s="153"/>
      <c r="BX145" s="153"/>
      <c r="BY145" s="153"/>
      <c r="BZ145" s="153"/>
      <c r="CA145" s="153"/>
      <c r="CB145" s="153"/>
    </row>
    <row r="146" spans="1:80" ht="15" customHeight="1" outlineLevel="1" x14ac:dyDescent="0.25">
      <c r="A146" s="40"/>
      <c r="B146" s="761"/>
      <c r="C146" s="760"/>
      <c r="D146" s="375"/>
      <c r="E146" s="375"/>
      <c r="F146" s="56"/>
      <c r="G146" s="56"/>
      <c r="H146" s="56"/>
      <c r="I146" s="56"/>
      <c r="J146" s="56"/>
      <c r="K146" s="171"/>
      <c r="L146" s="171"/>
      <c r="M146" s="171"/>
      <c r="N146" s="55"/>
      <c r="O146" s="749"/>
      <c r="P146" s="750"/>
      <c r="Q146" s="750"/>
      <c r="R146" s="754"/>
      <c r="S146" s="749"/>
      <c r="T146" s="750"/>
      <c r="U146" s="750"/>
      <c r="V146" s="754"/>
      <c r="W146" s="372"/>
      <c r="X146" s="372"/>
      <c r="Y146" s="743"/>
      <c r="Z146" s="743"/>
      <c r="AA146" s="743"/>
      <c r="AB146" s="743"/>
      <c r="AC146" s="743"/>
      <c r="AD146" s="743"/>
      <c r="AE146" s="743"/>
      <c r="AF146" s="743"/>
      <c r="AG146" s="743"/>
      <c r="AH146" s="743"/>
      <c r="BC146" s="159" t="str">
        <f t="shared" si="63"/>
        <v>-</v>
      </c>
      <c r="BU146" s="153" t="str">
        <f>G136</f>
        <v>-</v>
      </c>
      <c r="BV146" s="153" t="str">
        <f t="shared" ref="BV146:CB146" si="103">H136</f>
        <v>-</v>
      </c>
      <c r="BW146" s="153" t="str">
        <f t="shared" si="103"/>
        <v>-</v>
      </c>
      <c r="BX146" s="153" t="str">
        <f t="shared" si="103"/>
        <v>-</v>
      </c>
      <c r="BY146" s="153" t="str">
        <f t="shared" si="103"/>
        <v>-</v>
      </c>
      <c r="BZ146" s="153" t="str">
        <f t="shared" si="103"/>
        <v>-</v>
      </c>
      <c r="CA146" s="153" t="str">
        <f t="shared" si="103"/>
        <v>-</v>
      </c>
      <c r="CB146" s="153">
        <f t="shared" si="103"/>
        <v>0</v>
      </c>
    </row>
    <row r="147" spans="1:80" ht="15" customHeight="1" outlineLevel="1" x14ac:dyDescent="0.25">
      <c r="A147" s="40"/>
      <c r="B147" s="761"/>
      <c r="C147" s="760"/>
      <c r="D147" s="375"/>
      <c r="E147" s="375"/>
      <c r="F147" s="375"/>
      <c r="G147" s="375"/>
      <c r="H147" s="375"/>
      <c r="I147" s="375"/>
      <c r="J147" s="375"/>
      <c r="K147" s="171"/>
      <c r="L147" s="171"/>
      <c r="M147" s="171"/>
      <c r="N147" s="59"/>
      <c r="O147" s="749"/>
      <c r="P147" s="750"/>
      <c r="Q147" s="750"/>
      <c r="R147" s="754"/>
      <c r="S147" s="749"/>
      <c r="T147" s="750"/>
      <c r="U147" s="750"/>
      <c r="V147" s="754"/>
      <c r="W147" s="372"/>
      <c r="X147" s="372"/>
      <c r="Y147" s="743"/>
      <c r="Z147" s="743"/>
      <c r="AA147" s="743"/>
      <c r="AB147" s="743"/>
      <c r="AC147" s="743"/>
      <c r="AD147" s="743"/>
      <c r="AE147" s="743"/>
      <c r="AF147" s="743"/>
      <c r="AG147" s="743"/>
      <c r="AH147" s="743"/>
      <c r="BC147" s="159" t="str">
        <f t="shared" ref="BC147:BC210" si="104">IF(COUNTIF(F147:M147,"refused")&gt;0,"refused",IF(COUNTIF(F147:M147,"failed")&gt;0,"failed",IF(COUNTIF(F147:M147,"passed")&gt;0,"passed","-")))</f>
        <v>-</v>
      </c>
      <c r="BU147" s="153"/>
      <c r="BV147" s="153"/>
      <c r="BW147" s="153"/>
      <c r="BX147" s="153"/>
      <c r="BY147" s="153"/>
      <c r="BZ147" s="153"/>
      <c r="CA147" s="153"/>
      <c r="CB147" s="153"/>
    </row>
    <row r="148" spans="1:80" ht="15" customHeight="1" outlineLevel="1" x14ac:dyDescent="0.25">
      <c r="A148" s="40"/>
      <c r="B148" s="761"/>
      <c r="C148" s="760"/>
      <c r="D148" s="375"/>
      <c r="E148" s="375"/>
      <c r="F148" s="379"/>
      <c r="G148" s="379"/>
      <c r="H148" s="379"/>
      <c r="I148" s="379"/>
      <c r="J148" s="379"/>
      <c r="K148" s="171"/>
      <c r="L148" s="171"/>
      <c r="M148" s="171"/>
      <c r="N148" s="57"/>
      <c r="O148" s="749"/>
      <c r="P148" s="750"/>
      <c r="Q148" s="750"/>
      <c r="R148" s="754"/>
      <c r="S148" s="749"/>
      <c r="T148" s="750"/>
      <c r="U148" s="750"/>
      <c r="V148" s="754"/>
      <c r="W148" s="372"/>
      <c r="X148" s="372"/>
      <c r="Y148" s="743"/>
      <c r="Z148" s="743"/>
      <c r="AA148" s="743"/>
      <c r="AB148" s="743"/>
      <c r="AC148" s="743"/>
      <c r="AD148" s="743"/>
      <c r="AE148" s="743"/>
      <c r="AF148" s="743"/>
      <c r="AG148" s="743"/>
      <c r="AH148" s="743"/>
      <c r="BC148" s="159" t="str">
        <f t="shared" si="104"/>
        <v>-</v>
      </c>
      <c r="BU148" s="153"/>
      <c r="BV148" s="153"/>
      <c r="BW148" s="153"/>
      <c r="BX148" s="153"/>
      <c r="BY148" s="153"/>
      <c r="BZ148" s="153"/>
      <c r="CA148" s="153"/>
      <c r="CB148" s="153"/>
    </row>
    <row r="149" spans="1:80" ht="15" customHeight="1" outlineLevel="1" x14ac:dyDescent="0.25">
      <c r="A149" s="40"/>
      <c r="B149" s="761"/>
      <c r="C149" s="760"/>
      <c r="D149" s="375"/>
      <c r="E149" s="375"/>
      <c r="F149" s="379"/>
      <c r="G149" s="379"/>
      <c r="H149" s="379"/>
      <c r="I149" s="379"/>
      <c r="J149" s="379"/>
      <c r="K149" s="171"/>
      <c r="L149" s="171"/>
      <c r="M149" s="171"/>
      <c r="N149" s="57"/>
      <c r="O149" s="749"/>
      <c r="P149" s="750"/>
      <c r="Q149" s="750"/>
      <c r="R149" s="754"/>
      <c r="S149" s="749"/>
      <c r="T149" s="750"/>
      <c r="U149" s="750"/>
      <c r="V149" s="754"/>
      <c r="W149" s="372"/>
      <c r="X149" s="372"/>
      <c r="Y149" s="743"/>
      <c r="Z149" s="743"/>
      <c r="AA149" s="743"/>
      <c r="AB149" s="743"/>
      <c r="AC149" s="743"/>
      <c r="AD149" s="743"/>
      <c r="AE149" s="743"/>
      <c r="AF149" s="743"/>
      <c r="AG149" s="743"/>
      <c r="AH149" s="743"/>
      <c r="BC149" s="159" t="str">
        <f t="shared" si="104"/>
        <v>-</v>
      </c>
      <c r="BU149" s="153"/>
      <c r="BV149" s="153"/>
      <c r="BW149" s="153"/>
      <c r="BX149" s="153"/>
      <c r="BY149" s="153"/>
      <c r="BZ149" s="153"/>
      <c r="CA149" s="153"/>
      <c r="CB149" s="153"/>
    </row>
    <row r="150" spans="1:80" ht="15" customHeight="1" outlineLevel="1" x14ac:dyDescent="0.25">
      <c r="A150" s="40"/>
      <c r="B150" s="761"/>
      <c r="C150" s="760"/>
      <c r="D150" s="375"/>
      <c r="E150" s="375"/>
      <c r="F150" s="56"/>
      <c r="G150" s="56"/>
      <c r="H150" s="56"/>
      <c r="I150" s="56"/>
      <c r="J150" s="56"/>
      <c r="K150" s="171"/>
      <c r="L150" s="171"/>
      <c r="M150" s="171"/>
      <c r="N150" s="55"/>
      <c r="O150" s="749"/>
      <c r="P150" s="750"/>
      <c r="Q150" s="750"/>
      <c r="R150" s="754"/>
      <c r="S150" s="749"/>
      <c r="T150" s="750"/>
      <c r="U150" s="750"/>
      <c r="V150" s="754"/>
      <c r="W150" s="372"/>
      <c r="X150" s="372"/>
      <c r="Y150" s="743"/>
      <c r="Z150" s="743"/>
      <c r="AA150" s="743"/>
      <c r="AB150" s="743"/>
      <c r="AC150" s="743"/>
      <c r="AD150" s="743"/>
      <c r="AE150" s="743"/>
      <c r="AF150" s="743"/>
      <c r="AG150" s="743"/>
      <c r="AH150" s="743"/>
      <c r="BC150" s="159" t="str">
        <f t="shared" si="104"/>
        <v>-</v>
      </c>
      <c r="BU150" s="153" t="str">
        <f>IF(AND(OR($C135="-",$C135="CET",$C135=""),OR(G132="-",G132="CET",G132="")),"-",IF(OR(G132="CET",G132="-",G132=""),IF(OR($C135="CET",$C135="-",$C135=""),"-",$C135),G132))</f>
        <v>-</v>
      </c>
      <c r="BV150" s="153" t="str">
        <f t="shared" ref="BV150:CB150" si="105">IF(AND(OR($C135="-",$C135="CET",$C135=""),OR(H132="-",H132="CET",H132="")),"-",IF(OR(H132="CET",H132="-",H132=""),IF(OR($C135="CET",$C135="-",$C135=""),"-",$C135),H132))</f>
        <v>-</v>
      </c>
      <c r="BW150" s="153" t="str">
        <f t="shared" si="105"/>
        <v>-</v>
      </c>
      <c r="BX150" s="153" t="str">
        <f t="shared" si="105"/>
        <v>-</v>
      </c>
      <c r="BY150" s="153" t="str">
        <f t="shared" si="105"/>
        <v>-</v>
      </c>
      <c r="BZ150" s="153" t="str">
        <f t="shared" si="105"/>
        <v>-</v>
      </c>
      <c r="CA150" s="153" t="str">
        <f t="shared" si="105"/>
        <v>-</v>
      </c>
      <c r="CB150" s="153" t="str">
        <f t="shared" si="105"/>
        <v>-</v>
      </c>
    </row>
    <row r="151" spans="1:80" outlineLevel="1" x14ac:dyDescent="0.25">
      <c r="B151" s="761"/>
      <c r="C151" s="760"/>
      <c r="D151" s="375"/>
      <c r="E151" s="375"/>
      <c r="F151" s="56"/>
      <c r="G151" s="56"/>
      <c r="H151" s="56"/>
      <c r="I151" s="56"/>
      <c r="J151" s="56"/>
      <c r="K151" s="171"/>
      <c r="L151" s="171"/>
      <c r="M151" s="171"/>
      <c r="N151" s="55"/>
      <c r="O151" s="749"/>
      <c r="P151" s="750"/>
      <c r="Q151" s="750"/>
      <c r="R151" s="754"/>
      <c r="S151" s="749"/>
      <c r="T151" s="750"/>
      <c r="U151" s="750"/>
      <c r="V151" s="754"/>
      <c r="BC151" s="159" t="str">
        <f t="shared" si="104"/>
        <v>-</v>
      </c>
      <c r="BD151" s="156"/>
      <c r="BE151" s="156"/>
      <c r="BF151" s="156"/>
      <c r="BG151" s="156"/>
      <c r="BH151" s="156"/>
      <c r="BI151" s="156"/>
      <c r="BJ151" s="156"/>
      <c r="BK151" s="156"/>
      <c r="BL151" s="156"/>
    </row>
    <row r="152" spans="1:80" ht="15.75" outlineLevel="1" thickBot="1" x14ac:dyDescent="0.3">
      <c r="B152" s="796"/>
      <c r="C152" s="778"/>
      <c r="D152" s="376"/>
      <c r="E152" s="376"/>
      <c r="F152" s="376"/>
      <c r="G152" s="376"/>
      <c r="H152" s="376"/>
      <c r="I152" s="376"/>
      <c r="J152" s="376"/>
      <c r="K152" s="172"/>
      <c r="L152" s="172"/>
      <c r="M152" s="172"/>
      <c r="N152" s="54"/>
      <c r="O152" s="751"/>
      <c r="P152" s="752"/>
      <c r="Q152" s="752"/>
      <c r="R152" s="755"/>
      <c r="S152" s="751"/>
      <c r="T152" s="752"/>
      <c r="U152" s="752"/>
      <c r="V152" s="755"/>
      <c r="BC152" s="159" t="str">
        <f t="shared" si="104"/>
        <v>-</v>
      </c>
      <c r="BD152" s="156"/>
      <c r="BE152" s="156"/>
      <c r="BF152" s="156"/>
      <c r="BG152" s="156"/>
      <c r="BH152" s="156"/>
      <c r="BI152" s="156"/>
      <c r="BJ152" s="156"/>
      <c r="BK152" s="156"/>
      <c r="BL152" s="156"/>
    </row>
    <row r="153" spans="1:80" ht="15" customHeight="1" x14ac:dyDescent="0.25">
      <c r="A153" s="36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BC153" s="159" t="str">
        <f t="shared" si="104"/>
        <v>-</v>
      </c>
      <c r="BD153" s="156"/>
      <c r="BE153" s="156"/>
      <c r="BF153" s="156"/>
      <c r="BG153" s="156"/>
      <c r="BH153" s="156"/>
      <c r="BI153" s="156"/>
      <c r="BJ153" s="156"/>
      <c r="BK153" s="156"/>
      <c r="BL153" s="156"/>
    </row>
    <row r="154" spans="1:80" ht="15" customHeight="1" x14ac:dyDescent="0.25">
      <c r="A154" s="36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BC154" s="159" t="str">
        <f t="shared" si="104"/>
        <v>-</v>
      </c>
      <c r="BD154" s="156"/>
      <c r="BE154" s="156"/>
      <c r="BF154" s="156"/>
      <c r="BG154" s="156"/>
      <c r="BH154" s="156"/>
      <c r="BI154" s="156"/>
      <c r="BJ154" s="156"/>
      <c r="BK154" s="156"/>
      <c r="BL154" s="156"/>
    </row>
    <row r="155" spans="1:80" ht="15" customHeight="1" thickBot="1" x14ac:dyDescent="0.3">
      <c r="A155" s="36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BC155" s="159" t="str">
        <f t="shared" si="104"/>
        <v>-</v>
      </c>
    </row>
    <row r="156" spans="1:80" ht="24.95" customHeight="1" thickBot="1" x14ac:dyDescent="0.3">
      <c r="A156" s="362"/>
      <c r="B156" s="185">
        <v>6</v>
      </c>
      <c r="C156" s="757" t="s">
        <v>109</v>
      </c>
      <c r="D156" s="758"/>
      <c r="E156" s="758"/>
      <c r="F156" s="758"/>
      <c r="G156" s="758"/>
      <c r="H156" s="758"/>
      <c r="I156" s="758"/>
      <c r="J156" s="758"/>
      <c r="K156" s="758"/>
      <c r="L156" s="758"/>
      <c r="M156" s="758"/>
      <c r="N156" s="759"/>
      <c r="O156" s="49" t="s">
        <v>117</v>
      </c>
      <c r="P156" s="71" t="str">
        <f>IF(COUNTIF(F164:M164,"refused")&gt;0,"refused",IF(COUNTIF(F164:M164,"failed")&gt;0,"failed",IF(COUNTIF(F164:M164,"passed")&gt;0,"passed","-")))</f>
        <v>-</v>
      </c>
      <c r="Q156" s="70" t="s">
        <v>80</v>
      </c>
      <c r="R156" s="70" t="str">
        <f>IF(COUNT(F160:M161)&gt;0,"listed","not listed")</f>
        <v>not listed</v>
      </c>
      <c r="S156" s="371"/>
      <c r="T156" s="43"/>
      <c r="U156" s="43"/>
      <c r="V156" s="44"/>
      <c r="W156" s="47"/>
      <c r="X156" s="47"/>
      <c r="Y156" s="756"/>
      <c r="Z156" s="756"/>
      <c r="AA156" s="756"/>
      <c r="AB156" s="756"/>
      <c r="AC156" s="756"/>
      <c r="AD156" s="756"/>
      <c r="AE156" s="756"/>
      <c r="AF156" s="756"/>
      <c r="AG156" s="756"/>
      <c r="AH156" s="756"/>
      <c r="BC156" s="159" t="str">
        <f t="shared" si="104"/>
        <v>-</v>
      </c>
    </row>
    <row r="157" spans="1:80" ht="15" customHeight="1" outlineLevel="1" thickBot="1" x14ac:dyDescent="0.3">
      <c r="A157" s="362"/>
      <c r="B157" s="373"/>
      <c r="C157" s="374"/>
      <c r="D157" s="374"/>
      <c r="E157" s="374"/>
      <c r="F157" s="374"/>
      <c r="G157" s="374"/>
      <c r="H157" s="374"/>
      <c r="I157" s="374"/>
      <c r="J157" s="374"/>
      <c r="K157" s="162"/>
      <c r="L157" s="162"/>
      <c r="M157" s="162"/>
      <c r="N157" s="374"/>
      <c r="O157" s="374"/>
      <c r="P157" s="374"/>
      <c r="Q157" s="374"/>
      <c r="R157" s="374"/>
      <c r="S157" s="374"/>
      <c r="T157" s="45"/>
      <c r="U157" s="45"/>
      <c r="V157" s="46"/>
      <c r="W157" s="372"/>
      <c r="X157" s="372"/>
      <c r="Y157" s="743"/>
      <c r="Z157" s="743"/>
      <c r="AA157" s="743"/>
      <c r="AB157" s="743"/>
      <c r="AC157" s="743"/>
      <c r="AD157" s="743"/>
      <c r="AE157" s="743"/>
      <c r="AF157" s="743"/>
      <c r="AG157" s="743"/>
      <c r="AH157" s="743"/>
      <c r="BC157" s="159" t="str">
        <f t="shared" si="104"/>
        <v>-</v>
      </c>
    </row>
    <row r="158" spans="1:80" ht="15" customHeight="1" outlineLevel="1" thickBot="1" x14ac:dyDescent="0.3">
      <c r="A158" s="362"/>
      <c r="B158" s="744" t="s">
        <v>81</v>
      </c>
      <c r="C158" s="745"/>
      <c r="D158" s="745"/>
      <c r="E158" s="745"/>
      <c r="F158" s="745"/>
      <c r="G158" s="745"/>
      <c r="H158" s="745"/>
      <c r="I158" s="745"/>
      <c r="J158" s="745"/>
      <c r="K158" s="745"/>
      <c r="L158" s="745"/>
      <c r="M158" s="745"/>
      <c r="N158" s="746"/>
      <c r="O158" s="744" t="s">
        <v>82</v>
      </c>
      <c r="P158" s="745"/>
      <c r="Q158" s="745"/>
      <c r="R158" s="746"/>
      <c r="S158" s="744" t="s">
        <v>83</v>
      </c>
      <c r="T158" s="745"/>
      <c r="U158" s="745"/>
      <c r="V158" s="746"/>
      <c r="W158" s="372"/>
      <c r="X158" s="372"/>
      <c r="Y158" s="743"/>
      <c r="Z158" s="743"/>
      <c r="AA158" s="743"/>
      <c r="AB158" s="743"/>
      <c r="AC158" s="743"/>
      <c r="AD158" s="743"/>
      <c r="AE158" s="743"/>
      <c r="AF158" s="743"/>
      <c r="AG158" s="743"/>
      <c r="AH158" s="743"/>
      <c r="BC158" s="159" t="str">
        <f t="shared" si="104"/>
        <v>-</v>
      </c>
    </row>
    <row r="159" spans="1:80" ht="35.1" customHeight="1" outlineLevel="1" thickBot="1" x14ac:dyDescent="0.3">
      <c r="A159" s="362"/>
      <c r="B159" s="767" t="s">
        <v>84</v>
      </c>
      <c r="C159" s="768"/>
      <c r="D159" s="768"/>
      <c r="E159" s="769"/>
      <c r="F159" s="69" t="s">
        <v>72</v>
      </c>
      <c r="G159" s="377" t="s">
        <v>73</v>
      </c>
      <c r="H159" s="69" t="s">
        <v>74</v>
      </c>
      <c r="I159" s="69" t="s">
        <v>75</v>
      </c>
      <c r="J159" s="69" t="s">
        <v>76</v>
      </c>
      <c r="K159" s="163" t="s">
        <v>170</v>
      </c>
      <c r="L159" s="380" t="str">
        <f>$L$4</f>
        <v>Additional
component</v>
      </c>
      <c r="M159" s="380" t="str">
        <f>$M$4</f>
        <v>Additional
component 2</v>
      </c>
      <c r="N159" s="69" t="s">
        <v>77</v>
      </c>
      <c r="O159" s="747"/>
      <c r="P159" s="748"/>
      <c r="Q159" s="748"/>
      <c r="R159" s="753"/>
      <c r="S159" s="747"/>
      <c r="T159" s="748"/>
      <c r="U159" s="748"/>
      <c r="V159" s="753"/>
      <c r="W159" s="372"/>
      <c r="X159" s="372"/>
      <c r="Y159" s="743"/>
      <c r="Z159" s="743"/>
      <c r="AA159" s="743"/>
      <c r="AB159" s="743"/>
      <c r="AC159" s="743"/>
      <c r="AD159" s="743"/>
      <c r="AE159" s="743"/>
      <c r="AF159" s="743"/>
      <c r="AG159" s="743"/>
      <c r="AH159" s="743"/>
      <c r="BC159" s="159" t="str">
        <f t="shared" si="104"/>
        <v>-</v>
      </c>
    </row>
    <row r="160" spans="1:80" s="50" customFormat="1" ht="15" customHeight="1" outlineLevel="1" x14ac:dyDescent="0.25">
      <c r="A160" s="53"/>
      <c r="B160" s="797" t="s">
        <v>108</v>
      </c>
      <c r="C160" s="770" t="s">
        <v>114</v>
      </c>
      <c r="D160" s="770" t="s">
        <v>113</v>
      </c>
      <c r="E160" s="106" t="s">
        <v>94</v>
      </c>
      <c r="F160" s="105" t="s">
        <v>5</v>
      </c>
      <c r="G160" s="105" t="s">
        <v>5</v>
      </c>
      <c r="H160" s="105" t="s">
        <v>5</v>
      </c>
      <c r="I160" s="105" t="s">
        <v>5</v>
      </c>
      <c r="J160" s="105" t="s">
        <v>5</v>
      </c>
      <c r="K160" s="173" t="s">
        <v>5</v>
      </c>
      <c r="L160" s="173" t="s">
        <v>5</v>
      </c>
      <c r="M160" s="173" t="s">
        <v>5</v>
      </c>
      <c r="N160" s="105" t="s">
        <v>5</v>
      </c>
      <c r="O160" s="749"/>
      <c r="P160" s="750"/>
      <c r="Q160" s="750"/>
      <c r="R160" s="754"/>
      <c r="S160" s="749"/>
      <c r="T160" s="750"/>
      <c r="U160" s="750"/>
      <c r="V160" s="754"/>
      <c r="W160" s="51"/>
      <c r="X160" s="51"/>
      <c r="Y160" s="743"/>
      <c r="Z160" s="743"/>
      <c r="AA160" s="743"/>
      <c r="AB160" s="743"/>
      <c r="AC160" s="743"/>
      <c r="AD160" s="743"/>
      <c r="AE160" s="743"/>
      <c r="AF160" s="743"/>
      <c r="AG160" s="743"/>
      <c r="AH160" s="743"/>
      <c r="BC160" s="159" t="str">
        <f t="shared" si="104"/>
        <v>-</v>
      </c>
      <c r="BD160" s="150"/>
      <c r="BE160" s="150"/>
      <c r="BF160" s="150"/>
      <c r="BG160" s="150"/>
      <c r="BH160" s="150"/>
      <c r="BI160" s="150"/>
      <c r="BJ160" s="150"/>
      <c r="BK160" s="150"/>
      <c r="BL160" s="150"/>
      <c r="BM160" s="150"/>
      <c r="BN160" s="150"/>
      <c r="BO160" s="150"/>
      <c r="BP160" s="150"/>
      <c r="BQ160" s="150"/>
      <c r="BR160" s="150"/>
      <c r="BS160" s="150"/>
      <c r="BT160" s="150"/>
      <c r="BU160" s="150"/>
      <c r="BV160" s="150"/>
      <c r="BW160" s="150"/>
      <c r="BX160" s="150"/>
      <c r="BY160" s="150"/>
      <c r="BZ160" s="150"/>
      <c r="CA160" s="150"/>
      <c r="CB160" s="150"/>
    </row>
    <row r="161" spans="1:64" ht="15" customHeight="1" outlineLevel="1" thickBot="1" x14ac:dyDescent="0.3">
      <c r="A161" s="362"/>
      <c r="B161" s="798"/>
      <c r="C161" s="741"/>
      <c r="D161" s="742"/>
      <c r="E161" s="104" t="s">
        <v>95</v>
      </c>
      <c r="F161" s="103" t="s">
        <v>5</v>
      </c>
      <c r="G161" s="103" t="s">
        <v>5</v>
      </c>
      <c r="H161" s="103" t="s">
        <v>5</v>
      </c>
      <c r="I161" s="103" t="s">
        <v>5</v>
      </c>
      <c r="J161" s="103" t="s">
        <v>5</v>
      </c>
      <c r="K161" s="174" t="s">
        <v>5</v>
      </c>
      <c r="L161" s="174" t="s">
        <v>5</v>
      </c>
      <c r="M161" s="174" t="s">
        <v>5</v>
      </c>
      <c r="N161" s="103" t="s">
        <v>5</v>
      </c>
      <c r="O161" s="749"/>
      <c r="P161" s="750"/>
      <c r="Q161" s="750"/>
      <c r="R161" s="754"/>
      <c r="S161" s="749"/>
      <c r="T161" s="750"/>
      <c r="U161" s="750"/>
      <c r="V161" s="754"/>
      <c r="W161" s="372"/>
      <c r="X161" s="372"/>
      <c r="Y161" s="743"/>
      <c r="Z161" s="743"/>
      <c r="AA161" s="743"/>
      <c r="AB161" s="743"/>
      <c r="AC161" s="743"/>
      <c r="AD161" s="743"/>
      <c r="AE161" s="743"/>
      <c r="AF161" s="743"/>
      <c r="AG161" s="743"/>
      <c r="AH161" s="743"/>
      <c r="BC161" s="159" t="str">
        <f t="shared" si="104"/>
        <v>-</v>
      </c>
    </row>
    <row r="162" spans="1:64" ht="15" customHeight="1" outlineLevel="1" thickBot="1" x14ac:dyDescent="0.3">
      <c r="A162" s="362"/>
      <c r="B162" s="798"/>
      <c r="C162" s="764" t="s">
        <v>5</v>
      </c>
      <c r="D162" s="772" t="str">
        <f>IF(AND(F162="-",G162="-",H162="-",I162="-",J162="-",K162="-",L162="-",M162="-"),"-",MAX(F162,G162,H162,I162,J162,K162,L162,M162))</f>
        <v>-</v>
      </c>
      <c r="E162" s="66" t="s">
        <v>177</v>
      </c>
      <c r="F162" s="65" t="str">
        <f t="shared" ref="F162:M162" si="106">IF(OR(F161="-",F161=""),IF(OR(F160="-",F160=""),"-",F160),IF(OR(F160="-",F160=""),F161,(F160+F161)/2))</f>
        <v>-</v>
      </c>
      <c r="G162" s="65" t="str">
        <f t="shared" si="106"/>
        <v>-</v>
      </c>
      <c r="H162" s="65" t="str">
        <f t="shared" si="106"/>
        <v>-</v>
      </c>
      <c r="I162" s="65" t="str">
        <f t="shared" si="106"/>
        <v>-</v>
      </c>
      <c r="J162" s="65" t="str">
        <f t="shared" si="106"/>
        <v>-</v>
      </c>
      <c r="K162" s="167" t="str">
        <f t="shared" si="106"/>
        <v>-</v>
      </c>
      <c r="L162" s="167" t="str">
        <f t="shared" si="106"/>
        <v>-</v>
      </c>
      <c r="M162" s="167" t="str">
        <f t="shared" si="106"/>
        <v>-</v>
      </c>
      <c r="N162" s="740"/>
      <c r="O162" s="749"/>
      <c r="P162" s="750"/>
      <c r="Q162" s="750"/>
      <c r="R162" s="754"/>
      <c r="S162" s="749"/>
      <c r="T162" s="750"/>
      <c r="U162" s="750"/>
      <c r="V162" s="754"/>
      <c r="W162" s="372"/>
      <c r="X162" s="372"/>
      <c r="Y162" s="743"/>
      <c r="Z162" s="743"/>
      <c r="AA162" s="743"/>
      <c r="AB162" s="743"/>
      <c r="AC162" s="743"/>
      <c r="AD162" s="743"/>
      <c r="AE162" s="743"/>
      <c r="AF162" s="743"/>
      <c r="AG162" s="743"/>
      <c r="AH162" s="743"/>
      <c r="BC162" s="159" t="str">
        <f t="shared" si="104"/>
        <v>-</v>
      </c>
    </row>
    <row r="163" spans="1:64" ht="15" customHeight="1" outlineLevel="1" thickBot="1" x14ac:dyDescent="0.3">
      <c r="A163" s="362"/>
      <c r="B163" s="798"/>
      <c r="C163" s="765"/>
      <c r="D163" s="773"/>
      <c r="E163" s="64" t="s">
        <v>97</v>
      </c>
      <c r="F163" s="63" t="str">
        <f t="shared" ref="F163:M163" si="107">IF(OR($C162="-",$C162="CET",$C162=""),"-",IF(AND(NOT(F162="-"),NOT(F$5="-"),NOT(F$5="")),F162/F$5,"-"))</f>
        <v>-</v>
      </c>
      <c r="G163" s="63" t="str">
        <f t="shared" si="107"/>
        <v>-</v>
      </c>
      <c r="H163" s="63" t="str">
        <f t="shared" si="107"/>
        <v>-</v>
      </c>
      <c r="I163" s="63" t="str">
        <f t="shared" si="107"/>
        <v>-</v>
      </c>
      <c r="J163" s="63" t="str">
        <f t="shared" si="107"/>
        <v>-</v>
      </c>
      <c r="K163" s="168" t="str">
        <f t="shared" si="107"/>
        <v>-</v>
      </c>
      <c r="L163" s="168" t="str">
        <f t="shared" si="107"/>
        <v>-</v>
      </c>
      <c r="M163" s="168" t="str">
        <f t="shared" si="107"/>
        <v>-</v>
      </c>
      <c r="N163" s="741"/>
      <c r="O163" s="749"/>
      <c r="P163" s="750"/>
      <c r="Q163" s="750"/>
      <c r="R163" s="754"/>
      <c r="S163" s="749"/>
      <c r="T163" s="750"/>
      <c r="U163" s="750"/>
      <c r="V163" s="754"/>
      <c r="W163" s="372"/>
      <c r="X163" s="372"/>
      <c r="Y163" s="743"/>
      <c r="Z163" s="743"/>
      <c r="AA163" s="743"/>
      <c r="AB163" s="743"/>
      <c r="AC163" s="743"/>
      <c r="AD163" s="743"/>
      <c r="AE163" s="743"/>
      <c r="AF163" s="743"/>
      <c r="AG163" s="743"/>
      <c r="AH163" s="743"/>
      <c r="BC163" s="159" t="str">
        <f t="shared" si="104"/>
        <v>-</v>
      </c>
      <c r="BD163" s="151" t="s">
        <v>85</v>
      </c>
      <c r="BE163" s="152" t="s">
        <v>86</v>
      </c>
      <c r="BF163" s="152" t="s">
        <v>87</v>
      </c>
      <c r="BG163" s="152" t="s">
        <v>88</v>
      </c>
      <c r="BH163" s="152" t="s">
        <v>89</v>
      </c>
      <c r="BI163" s="152" t="s">
        <v>90</v>
      </c>
      <c r="BJ163" s="152" t="s">
        <v>91</v>
      </c>
      <c r="BK163" s="152" t="s">
        <v>91</v>
      </c>
      <c r="BL163" s="152" t="s">
        <v>91</v>
      </c>
    </row>
    <row r="164" spans="1:64" ht="15" customHeight="1" outlineLevel="1" thickBot="1" x14ac:dyDescent="0.3">
      <c r="A164" s="362"/>
      <c r="B164" s="799"/>
      <c r="C164" s="771"/>
      <c r="D164" s="774"/>
      <c r="E164" s="62" t="s">
        <v>30</v>
      </c>
      <c r="F164" s="62" t="str">
        <f t="shared" ref="F164:M164" si="108">IF(AND(OR(F160="-",F160=""),OR(F161="-",F161="")),"-",IF(OR($C162="-",$C162="",$C162="CET"),"-",IF($R$156="not listed","-",IF(NOT(F$5="-"),IF(AND(AND(NOT(F160=0),NOT(F160="-"),NOT(F160="")),AND(NOT(F161="-"),NOT(F161=0),NOT(F161=""))),IF(AND((F160+F161)/2&lt;1*F$5*IF(OR($C162="CET",$C162="-",$C162=""),"-",$C162),F160&lt;1.1*F$5*IF(OR($C162="CET",$C162="-",$C162=""),"-",$C162),F161&lt;1.1*F$5*IF(OR($C162="CET",$C162="-",$C162=""),"-",$C162)),"passed","refused"),IF(IF(OR(F160="-",F160=""),F161,F160)&lt;0.7*F$5*IF(OR($C162="CET",$C162="-",$C162=""),"-",$C162),"passed",IF(IF(OR(F160="-",F160=""),F161,F160)&lt;1.1*IF(OR($C162="CET",$C162="-",$C162=""),"-",$C162)*F$5,"failed","refused"))),"-"))))</f>
        <v>-</v>
      </c>
      <c r="G164" s="62" t="str">
        <f t="shared" si="108"/>
        <v>-</v>
      </c>
      <c r="H164" s="62" t="str">
        <f t="shared" si="108"/>
        <v>-</v>
      </c>
      <c r="I164" s="62" t="str">
        <f t="shared" si="108"/>
        <v>-</v>
      </c>
      <c r="J164" s="62" t="str">
        <f t="shared" si="108"/>
        <v>-</v>
      </c>
      <c r="K164" s="169" t="str">
        <f t="shared" si="108"/>
        <v>-</v>
      </c>
      <c r="L164" s="169" t="str">
        <f t="shared" si="108"/>
        <v>-</v>
      </c>
      <c r="M164" s="169" t="str">
        <f t="shared" si="108"/>
        <v>-</v>
      </c>
      <c r="N164" s="742"/>
      <c r="O164" s="749"/>
      <c r="P164" s="750"/>
      <c r="Q164" s="750"/>
      <c r="R164" s="754"/>
      <c r="S164" s="749"/>
      <c r="T164" s="750"/>
      <c r="U164" s="750"/>
      <c r="V164" s="754"/>
      <c r="W164" s="372"/>
      <c r="X164" s="372"/>
      <c r="Y164" s="743"/>
      <c r="Z164" s="743"/>
      <c r="AA164" s="743"/>
      <c r="AB164" s="743"/>
      <c r="AC164" s="743"/>
      <c r="AD164" s="743"/>
      <c r="AE164" s="743"/>
      <c r="AF164" s="743"/>
      <c r="AG164" s="743"/>
      <c r="AH164" s="743"/>
      <c r="BC164" s="159" t="str">
        <f t="shared" si="104"/>
        <v>-</v>
      </c>
      <c r="BD164" s="151" t="str">
        <f>$E$4</f>
        <v>US EPA Tier 2 Bin 11</v>
      </c>
      <c r="BE164" s="153">
        <v>1</v>
      </c>
      <c r="BF164" s="153">
        <v>1</v>
      </c>
      <c r="BG164" s="153">
        <v>1</v>
      </c>
      <c r="BH164" s="153">
        <v>1</v>
      </c>
      <c r="BI164" s="153">
        <v>1</v>
      </c>
      <c r="BJ164" s="153">
        <v>1</v>
      </c>
      <c r="BK164" s="153">
        <v>2</v>
      </c>
      <c r="BL164" s="153">
        <v>3</v>
      </c>
    </row>
    <row r="165" spans="1:64" ht="15" customHeight="1" outlineLevel="1" x14ac:dyDescent="0.25">
      <c r="A165" s="362"/>
      <c r="B165" s="761"/>
      <c r="C165" s="760"/>
      <c r="D165" s="375"/>
      <c r="E165" s="375"/>
      <c r="F165" s="379"/>
      <c r="G165" s="379"/>
      <c r="H165" s="379"/>
      <c r="I165" s="379"/>
      <c r="J165" s="379"/>
      <c r="K165" s="171"/>
      <c r="L165" s="171"/>
      <c r="M165" s="171"/>
      <c r="N165" s="57"/>
      <c r="O165" s="749"/>
      <c r="P165" s="750"/>
      <c r="Q165" s="750"/>
      <c r="R165" s="754"/>
      <c r="S165" s="749"/>
      <c r="T165" s="750"/>
      <c r="U165" s="750"/>
      <c r="V165" s="754"/>
      <c r="W165" s="372"/>
      <c r="X165" s="372"/>
      <c r="Y165" s="743"/>
      <c r="Z165" s="743"/>
      <c r="AA165" s="743"/>
      <c r="AB165" s="743"/>
      <c r="AC165" s="743"/>
      <c r="AD165" s="743"/>
      <c r="AE165" s="743"/>
      <c r="AF165" s="743"/>
      <c r="AG165" s="743"/>
      <c r="AH165" s="743"/>
      <c r="BC165" s="159" t="str">
        <f t="shared" si="104"/>
        <v>-</v>
      </c>
      <c r="BD165" s="151" t="str">
        <f>"1st " &amp;  B160</f>
        <v>1st s.s.e.t.</v>
      </c>
      <c r="BE165" s="153" t="str">
        <f t="shared" ref="BE165:BL165" si="109">IF((OR($C162="-",$C162="CET",$C162="")),"-",IF(AND(OR(F160="-",F160=""),OR(F161="-",F161="")),"-",IF(NOT(OR(F160="-",F160="")),F160/F$5,F161/F$5)))</f>
        <v>-</v>
      </c>
      <c r="BF165" s="153" t="str">
        <f t="shared" si="109"/>
        <v>-</v>
      </c>
      <c r="BG165" s="153" t="str">
        <f t="shared" si="109"/>
        <v>-</v>
      </c>
      <c r="BH165" s="153" t="str">
        <f t="shared" si="109"/>
        <v>-</v>
      </c>
      <c r="BI165" s="153" t="str">
        <f t="shared" si="109"/>
        <v>-</v>
      </c>
      <c r="BJ165" s="153" t="str">
        <f t="shared" si="109"/>
        <v>-</v>
      </c>
      <c r="BK165" s="153" t="str">
        <f t="shared" si="109"/>
        <v>-</v>
      </c>
      <c r="BL165" s="153" t="str">
        <f t="shared" si="109"/>
        <v>-</v>
      </c>
    </row>
    <row r="166" spans="1:64" ht="15" customHeight="1" outlineLevel="1" x14ac:dyDescent="0.25">
      <c r="A166" s="362"/>
      <c r="B166" s="761"/>
      <c r="C166" s="760"/>
      <c r="D166" s="375"/>
      <c r="E166" s="375"/>
      <c r="F166" s="379"/>
      <c r="G166" s="379"/>
      <c r="H166" s="379"/>
      <c r="I166" s="379"/>
      <c r="J166" s="379"/>
      <c r="K166" s="171"/>
      <c r="L166" s="171"/>
      <c r="M166" s="171"/>
      <c r="N166" s="57"/>
      <c r="O166" s="749"/>
      <c r="P166" s="750"/>
      <c r="Q166" s="750"/>
      <c r="R166" s="754"/>
      <c r="S166" s="749"/>
      <c r="T166" s="750"/>
      <c r="U166" s="750"/>
      <c r="V166" s="754"/>
      <c r="W166" s="372"/>
      <c r="X166" s="372"/>
      <c r="Y166" s="743"/>
      <c r="Z166" s="743"/>
      <c r="AA166" s="743"/>
      <c r="AB166" s="743"/>
      <c r="AC166" s="743"/>
      <c r="AD166" s="743"/>
      <c r="AE166" s="743"/>
      <c r="AF166" s="743"/>
      <c r="AG166" s="743"/>
      <c r="AH166" s="743"/>
      <c r="BC166" s="159" t="str">
        <f t="shared" si="104"/>
        <v>-</v>
      </c>
      <c r="BD166" s="151"/>
      <c r="BE166" s="153"/>
      <c r="BF166" s="153"/>
      <c r="BG166" s="153"/>
      <c r="BH166" s="153"/>
      <c r="BI166" s="153"/>
      <c r="BJ166" s="153"/>
      <c r="BK166" s="153"/>
      <c r="BL166" s="153"/>
    </row>
    <row r="167" spans="1:64" ht="15" customHeight="1" outlineLevel="1" x14ac:dyDescent="0.25">
      <c r="A167" s="362"/>
      <c r="B167" s="761"/>
      <c r="C167" s="760"/>
      <c r="D167" s="375"/>
      <c r="E167" s="375"/>
      <c r="F167" s="56"/>
      <c r="G167" s="56"/>
      <c r="H167" s="56"/>
      <c r="I167" s="56"/>
      <c r="J167" s="56"/>
      <c r="K167" s="171"/>
      <c r="L167" s="171"/>
      <c r="M167" s="171"/>
      <c r="N167" s="55"/>
      <c r="O167" s="749"/>
      <c r="P167" s="750"/>
      <c r="Q167" s="750"/>
      <c r="R167" s="754"/>
      <c r="S167" s="749"/>
      <c r="T167" s="750"/>
      <c r="U167" s="750"/>
      <c r="V167" s="754"/>
      <c r="W167" s="372"/>
      <c r="X167" s="372"/>
      <c r="Y167" s="743"/>
      <c r="Z167" s="743"/>
      <c r="AA167" s="743"/>
      <c r="AB167" s="743"/>
      <c r="AC167" s="743"/>
      <c r="AD167" s="743"/>
      <c r="AE167" s="743"/>
      <c r="AF167" s="743"/>
      <c r="AG167" s="743"/>
      <c r="AH167" s="743"/>
      <c r="BC167" s="159" t="str">
        <f t="shared" si="104"/>
        <v>-</v>
      </c>
      <c r="BD167" s="151"/>
      <c r="BE167" s="153"/>
      <c r="BF167" s="153"/>
      <c r="BG167" s="153"/>
      <c r="BH167" s="153"/>
      <c r="BI167" s="153"/>
      <c r="BJ167" s="153"/>
      <c r="BK167" s="153"/>
      <c r="BL167" s="153"/>
    </row>
    <row r="168" spans="1:64" ht="15" customHeight="1" outlineLevel="1" x14ac:dyDescent="0.25">
      <c r="A168" s="40"/>
      <c r="B168" s="761"/>
      <c r="C168" s="760"/>
      <c r="D168" s="375"/>
      <c r="E168" s="375"/>
      <c r="F168" s="56"/>
      <c r="G168" s="56"/>
      <c r="H168" s="56"/>
      <c r="I168" s="56"/>
      <c r="J168" s="56"/>
      <c r="K168" s="171"/>
      <c r="L168" s="171"/>
      <c r="M168" s="171"/>
      <c r="N168" s="55"/>
      <c r="O168" s="749"/>
      <c r="P168" s="750"/>
      <c r="Q168" s="750"/>
      <c r="R168" s="754"/>
      <c r="S168" s="749"/>
      <c r="T168" s="750"/>
      <c r="U168" s="750"/>
      <c r="V168" s="754"/>
      <c r="W168" s="372"/>
      <c r="X168" s="372"/>
      <c r="Y168" s="743"/>
      <c r="Z168" s="743"/>
      <c r="AA168" s="743"/>
      <c r="AB168" s="743"/>
      <c r="AC168" s="743"/>
      <c r="AD168" s="743"/>
      <c r="AE168" s="743"/>
      <c r="AF168" s="743"/>
      <c r="AG168" s="743"/>
      <c r="AH168" s="743"/>
      <c r="BC168" s="159" t="str">
        <f t="shared" si="104"/>
        <v>-</v>
      </c>
      <c r="BD168" s="151"/>
      <c r="BE168" s="153"/>
      <c r="BF168" s="153"/>
      <c r="BG168" s="153"/>
      <c r="BH168" s="153"/>
      <c r="BI168" s="153"/>
      <c r="BJ168" s="153"/>
      <c r="BK168" s="153"/>
      <c r="BL168" s="153"/>
    </row>
    <row r="169" spans="1:64" ht="15" customHeight="1" outlineLevel="1" x14ac:dyDescent="0.25">
      <c r="A169" s="40"/>
      <c r="B169" s="761"/>
      <c r="C169" s="760"/>
      <c r="D169" s="375"/>
      <c r="E169" s="375"/>
      <c r="F169" s="375"/>
      <c r="G169" s="375"/>
      <c r="H169" s="375"/>
      <c r="I169" s="375"/>
      <c r="J169" s="375"/>
      <c r="K169" s="171"/>
      <c r="L169" s="171"/>
      <c r="M169" s="171"/>
      <c r="N169" s="59"/>
      <c r="O169" s="749"/>
      <c r="P169" s="750"/>
      <c r="Q169" s="750"/>
      <c r="R169" s="754"/>
      <c r="S169" s="749"/>
      <c r="T169" s="750"/>
      <c r="U169" s="750"/>
      <c r="V169" s="754"/>
      <c r="W169" s="372"/>
      <c r="X169" s="372"/>
      <c r="Y169" s="743"/>
      <c r="Z169" s="743"/>
      <c r="AA169" s="743"/>
      <c r="AB169" s="743"/>
      <c r="AC169" s="743"/>
      <c r="AD169" s="743"/>
      <c r="AE169" s="743"/>
      <c r="AF169" s="743"/>
      <c r="AG169" s="743"/>
      <c r="AH169" s="743"/>
      <c r="BC169" s="159" t="str">
        <f t="shared" si="104"/>
        <v>-</v>
      </c>
      <c r="BD169" s="151" t="str">
        <f>"0.7*IEF " &amp; (B160)</f>
        <v>0.7*IEF s.s.e.t.</v>
      </c>
      <c r="BE169" s="153" t="str">
        <f t="shared" ref="BE169:BL169" si="110">IF(OR($C162="-",$C162="CET",$C162=""),"-",0.7*$C162)</f>
        <v>-</v>
      </c>
      <c r="BF169" s="153" t="str">
        <f t="shared" si="110"/>
        <v>-</v>
      </c>
      <c r="BG169" s="153" t="str">
        <f t="shared" si="110"/>
        <v>-</v>
      </c>
      <c r="BH169" s="153" t="str">
        <f t="shared" si="110"/>
        <v>-</v>
      </c>
      <c r="BI169" s="153" t="str">
        <f t="shared" si="110"/>
        <v>-</v>
      </c>
      <c r="BJ169" s="153" t="str">
        <f t="shared" si="110"/>
        <v>-</v>
      </c>
      <c r="BK169" s="153" t="str">
        <f t="shared" si="110"/>
        <v>-</v>
      </c>
      <c r="BL169" s="153" t="str">
        <f t="shared" si="110"/>
        <v>-</v>
      </c>
    </row>
    <row r="170" spans="1:64" ht="15" customHeight="1" outlineLevel="1" x14ac:dyDescent="0.25">
      <c r="A170" s="40"/>
      <c r="B170" s="761"/>
      <c r="C170" s="760"/>
      <c r="D170" s="375"/>
      <c r="E170" s="375"/>
      <c r="F170" s="379"/>
      <c r="G170" s="379"/>
      <c r="H170" s="379"/>
      <c r="I170" s="379"/>
      <c r="J170" s="379"/>
      <c r="K170" s="171"/>
      <c r="L170" s="171"/>
      <c r="M170" s="171"/>
      <c r="N170" s="57"/>
      <c r="O170" s="749"/>
      <c r="P170" s="750"/>
      <c r="Q170" s="750"/>
      <c r="R170" s="754"/>
      <c r="S170" s="749"/>
      <c r="T170" s="750"/>
      <c r="U170" s="750"/>
      <c r="V170" s="754"/>
      <c r="W170" s="372"/>
      <c r="X170" s="372"/>
      <c r="Y170" s="743"/>
      <c r="Z170" s="743"/>
      <c r="AA170" s="743"/>
      <c r="AB170" s="743"/>
      <c r="AC170" s="743"/>
      <c r="AD170" s="743"/>
      <c r="AE170" s="743"/>
      <c r="AF170" s="743"/>
      <c r="AG170" s="743"/>
      <c r="AH170" s="743"/>
      <c r="BC170" s="159" t="str">
        <f t="shared" si="104"/>
        <v>-</v>
      </c>
      <c r="BD170" s="151"/>
      <c r="BE170" s="153"/>
      <c r="BF170" s="153"/>
      <c r="BG170" s="153"/>
      <c r="BH170" s="153"/>
      <c r="BI170" s="153"/>
      <c r="BJ170" s="153"/>
      <c r="BK170" s="153"/>
      <c r="BL170" s="153"/>
    </row>
    <row r="171" spans="1:64" ht="15" customHeight="1" outlineLevel="1" x14ac:dyDescent="0.25">
      <c r="A171" s="40"/>
      <c r="B171" s="761"/>
      <c r="C171" s="760"/>
      <c r="D171" s="375"/>
      <c r="E171" s="375"/>
      <c r="F171" s="379"/>
      <c r="G171" s="379"/>
      <c r="H171" s="379"/>
      <c r="I171" s="379"/>
      <c r="J171" s="379"/>
      <c r="K171" s="171"/>
      <c r="L171" s="171"/>
      <c r="M171" s="171"/>
      <c r="N171" s="57"/>
      <c r="O171" s="749"/>
      <c r="P171" s="750"/>
      <c r="Q171" s="750"/>
      <c r="R171" s="754"/>
      <c r="S171" s="749"/>
      <c r="T171" s="750"/>
      <c r="U171" s="750"/>
      <c r="V171" s="754"/>
      <c r="W171" s="372"/>
      <c r="X171" s="372"/>
      <c r="Y171" s="743"/>
      <c r="Z171" s="743"/>
      <c r="AA171" s="743"/>
      <c r="AB171" s="743"/>
      <c r="AC171" s="743"/>
      <c r="AD171" s="743"/>
      <c r="AE171" s="743"/>
      <c r="AF171" s="743"/>
      <c r="AG171" s="743"/>
      <c r="AH171" s="743"/>
      <c r="BC171" s="159" t="str">
        <f t="shared" si="104"/>
        <v>-</v>
      </c>
      <c r="BD171" s="151"/>
      <c r="BE171" s="153"/>
      <c r="BF171" s="153"/>
      <c r="BG171" s="153"/>
      <c r="BH171" s="153"/>
      <c r="BI171" s="153"/>
      <c r="BJ171" s="153"/>
      <c r="BK171" s="153"/>
      <c r="BL171" s="153"/>
    </row>
    <row r="172" spans="1:64" ht="15" customHeight="1" outlineLevel="1" x14ac:dyDescent="0.25">
      <c r="A172" s="40"/>
      <c r="B172" s="761"/>
      <c r="C172" s="760"/>
      <c r="D172" s="375"/>
      <c r="E172" s="375"/>
      <c r="F172" s="56"/>
      <c r="G172" s="56"/>
      <c r="H172" s="56"/>
      <c r="I172" s="56"/>
      <c r="J172" s="56"/>
      <c r="K172" s="171"/>
      <c r="L172" s="171"/>
      <c r="M172" s="171"/>
      <c r="N172" s="55"/>
      <c r="O172" s="749"/>
      <c r="P172" s="750"/>
      <c r="Q172" s="750"/>
      <c r="R172" s="754"/>
      <c r="S172" s="749"/>
      <c r="T172" s="750"/>
      <c r="U172" s="750"/>
      <c r="V172" s="754"/>
      <c r="W172" s="372"/>
      <c r="X172" s="372"/>
      <c r="Y172" s="743"/>
      <c r="Z172" s="743"/>
      <c r="AA172" s="743"/>
      <c r="AB172" s="743"/>
      <c r="AC172" s="743"/>
      <c r="AD172" s="743"/>
      <c r="AE172" s="743"/>
      <c r="AF172" s="743"/>
      <c r="AG172" s="743"/>
      <c r="AH172" s="743"/>
      <c r="BC172" s="159" t="str">
        <f t="shared" si="104"/>
        <v>-</v>
      </c>
      <c r="BD172" s="151"/>
      <c r="BE172" s="153"/>
      <c r="BF172" s="153"/>
      <c r="BG172" s="153"/>
      <c r="BH172" s="153"/>
      <c r="BI172" s="153"/>
      <c r="BJ172" s="153"/>
      <c r="BK172" s="153"/>
      <c r="BL172" s="153"/>
    </row>
    <row r="173" spans="1:64" ht="15" customHeight="1" outlineLevel="1" x14ac:dyDescent="0.25">
      <c r="A173" s="40"/>
      <c r="B173" s="761"/>
      <c r="C173" s="760"/>
      <c r="D173" s="375"/>
      <c r="E173" s="375"/>
      <c r="F173" s="56"/>
      <c r="G173" s="56"/>
      <c r="H173" s="56"/>
      <c r="I173" s="56"/>
      <c r="J173" s="56"/>
      <c r="K173" s="171"/>
      <c r="L173" s="171"/>
      <c r="M173" s="171"/>
      <c r="N173" s="55"/>
      <c r="O173" s="749"/>
      <c r="P173" s="750"/>
      <c r="Q173" s="750"/>
      <c r="R173" s="754"/>
      <c r="S173" s="749"/>
      <c r="T173" s="750"/>
      <c r="U173" s="750"/>
      <c r="V173" s="754"/>
      <c r="W173" s="372"/>
      <c r="X173" s="372"/>
      <c r="Y173" s="743"/>
      <c r="Z173" s="743"/>
      <c r="AA173" s="743"/>
      <c r="AB173" s="743"/>
      <c r="AC173" s="743"/>
      <c r="AD173" s="743"/>
      <c r="AE173" s="743"/>
      <c r="AF173" s="743"/>
      <c r="AG173" s="743"/>
      <c r="AH173" s="743"/>
      <c r="BC173" s="159" t="str">
        <f t="shared" si="104"/>
        <v>-</v>
      </c>
      <c r="BD173" s="151" t="str">
        <f>B160</f>
        <v>s.s.e.t.</v>
      </c>
      <c r="BE173" s="153" t="str">
        <f t="shared" ref="BE173:BL173" si="111">F163</f>
        <v>-</v>
      </c>
      <c r="BF173" s="153" t="str">
        <f t="shared" si="111"/>
        <v>-</v>
      </c>
      <c r="BG173" s="153" t="str">
        <f t="shared" si="111"/>
        <v>-</v>
      </c>
      <c r="BH173" s="153" t="str">
        <f t="shared" si="111"/>
        <v>-</v>
      </c>
      <c r="BI173" s="153" t="str">
        <f t="shared" si="111"/>
        <v>-</v>
      </c>
      <c r="BJ173" s="153" t="str">
        <f t="shared" si="111"/>
        <v>-</v>
      </c>
      <c r="BK173" s="153" t="str">
        <f t="shared" si="111"/>
        <v>-</v>
      </c>
      <c r="BL173" s="153" t="str">
        <f t="shared" si="111"/>
        <v>-</v>
      </c>
    </row>
    <row r="174" spans="1:64" ht="15" customHeight="1" outlineLevel="1" x14ac:dyDescent="0.25">
      <c r="A174" s="40"/>
      <c r="B174" s="761"/>
      <c r="C174" s="760"/>
      <c r="D174" s="375"/>
      <c r="E174" s="375"/>
      <c r="F174" s="375"/>
      <c r="G174" s="375"/>
      <c r="H174" s="375"/>
      <c r="I174" s="375"/>
      <c r="J174" s="375"/>
      <c r="K174" s="171"/>
      <c r="L174" s="171"/>
      <c r="M174" s="171"/>
      <c r="N174" s="59"/>
      <c r="O174" s="749"/>
      <c r="P174" s="750"/>
      <c r="Q174" s="750"/>
      <c r="R174" s="754"/>
      <c r="S174" s="749"/>
      <c r="T174" s="750"/>
      <c r="U174" s="750"/>
      <c r="V174" s="754"/>
      <c r="W174" s="372"/>
      <c r="X174" s="372"/>
      <c r="Y174" s="743"/>
      <c r="Z174" s="743"/>
      <c r="AA174" s="743"/>
      <c r="AB174" s="743"/>
      <c r="AC174" s="743"/>
      <c r="AD174" s="743"/>
      <c r="AE174" s="743"/>
      <c r="AF174" s="743"/>
      <c r="AG174" s="743"/>
      <c r="AH174" s="743"/>
      <c r="BC174" s="159" t="str">
        <f t="shared" si="104"/>
        <v>-</v>
      </c>
      <c r="BD174" s="151"/>
      <c r="BE174" s="153"/>
      <c r="BF174" s="153"/>
      <c r="BG174" s="153"/>
      <c r="BH174" s="153"/>
      <c r="BI174" s="153"/>
      <c r="BJ174" s="153"/>
      <c r="BK174" s="153"/>
      <c r="BL174" s="153"/>
    </row>
    <row r="175" spans="1:64" ht="15" customHeight="1" outlineLevel="1" x14ac:dyDescent="0.25">
      <c r="A175" s="40"/>
      <c r="B175" s="761"/>
      <c r="C175" s="760"/>
      <c r="D175" s="375"/>
      <c r="E175" s="375"/>
      <c r="F175" s="379"/>
      <c r="G175" s="379"/>
      <c r="H175" s="379"/>
      <c r="I175" s="379"/>
      <c r="J175" s="379"/>
      <c r="K175" s="171"/>
      <c r="L175" s="171"/>
      <c r="M175" s="171"/>
      <c r="N175" s="57"/>
      <c r="O175" s="749"/>
      <c r="P175" s="750"/>
      <c r="Q175" s="750"/>
      <c r="R175" s="754"/>
      <c r="S175" s="749"/>
      <c r="T175" s="750"/>
      <c r="U175" s="750"/>
      <c r="V175" s="754"/>
      <c r="W175" s="372"/>
      <c r="X175" s="372"/>
      <c r="Y175" s="743"/>
      <c r="Z175" s="743"/>
      <c r="AA175" s="743"/>
      <c r="AB175" s="743"/>
      <c r="AC175" s="743"/>
      <c r="AD175" s="743"/>
      <c r="AE175" s="743"/>
      <c r="AF175" s="743"/>
      <c r="AG175" s="743"/>
      <c r="AH175" s="743"/>
      <c r="BC175" s="159" t="str">
        <f t="shared" si="104"/>
        <v>-</v>
      </c>
      <c r="BD175" s="151"/>
      <c r="BE175" s="153"/>
      <c r="BF175" s="153"/>
      <c r="BG175" s="153"/>
      <c r="BH175" s="153"/>
      <c r="BI175" s="153"/>
      <c r="BJ175" s="153"/>
      <c r="BK175" s="153"/>
      <c r="BL175" s="153"/>
    </row>
    <row r="176" spans="1:64" ht="15" customHeight="1" outlineLevel="1" x14ac:dyDescent="0.25">
      <c r="A176" s="40"/>
      <c r="B176" s="761"/>
      <c r="C176" s="760"/>
      <c r="D176" s="375"/>
      <c r="E176" s="375"/>
      <c r="F176" s="379"/>
      <c r="G176" s="379"/>
      <c r="H176" s="379"/>
      <c r="I176" s="379"/>
      <c r="J176" s="379"/>
      <c r="K176" s="171"/>
      <c r="L176" s="171"/>
      <c r="M176" s="171"/>
      <c r="N176" s="57"/>
      <c r="O176" s="749"/>
      <c r="P176" s="750"/>
      <c r="Q176" s="750"/>
      <c r="R176" s="754"/>
      <c r="S176" s="749"/>
      <c r="T176" s="750"/>
      <c r="U176" s="750"/>
      <c r="V176" s="754"/>
      <c r="W176" s="372"/>
      <c r="X176" s="372"/>
      <c r="Y176" s="743"/>
      <c r="Z176" s="743"/>
      <c r="AA176" s="743"/>
      <c r="AB176" s="743"/>
      <c r="AC176" s="743"/>
      <c r="AD176" s="743"/>
      <c r="AE176" s="743"/>
      <c r="AF176" s="743"/>
      <c r="AG176" s="743"/>
      <c r="AH176" s="743"/>
      <c r="BC176" s="159" t="str">
        <f t="shared" si="104"/>
        <v>-</v>
      </c>
      <c r="BD176" s="151"/>
      <c r="BE176" s="153"/>
      <c r="BF176" s="153"/>
      <c r="BG176" s="153"/>
      <c r="BH176" s="153"/>
      <c r="BI176" s="153"/>
      <c r="BJ176" s="153"/>
      <c r="BK176" s="153"/>
      <c r="BL176" s="153"/>
    </row>
    <row r="177" spans="1:80" ht="15" customHeight="1" outlineLevel="1" x14ac:dyDescent="0.25">
      <c r="A177" s="40"/>
      <c r="B177" s="761"/>
      <c r="C177" s="760"/>
      <c r="D177" s="375"/>
      <c r="E177" s="375"/>
      <c r="F177" s="56"/>
      <c r="G177" s="56"/>
      <c r="H177" s="56"/>
      <c r="I177" s="56"/>
      <c r="J177" s="56"/>
      <c r="K177" s="171"/>
      <c r="L177" s="171"/>
      <c r="M177" s="171"/>
      <c r="N177" s="55"/>
      <c r="O177" s="749"/>
      <c r="P177" s="750"/>
      <c r="Q177" s="750"/>
      <c r="R177" s="754"/>
      <c r="S177" s="749"/>
      <c r="T177" s="750"/>
      <c r="U177" s="750"/>
      <c r="V177" s="754"/>
      <c r="W177" s="372"/>
      <c r="X177" s="372"/>
      <c r="Y177" s="743"/>
      <c r="Z177" s="743"/>
      <c r="AA177" s="743"/>
      <c r="AB177" s="743"/>
      <c r="AC177" s="743"/>
      <c r="AD177" s="743"/>
      <c r="AE177" s="743"/>
      <c r="AF177" s="743"/>
      <c r="AG177" s="743"/>
      <c r="AH177" s="743"/>
      <c r="BC177" s="159" t="str">
        <f t="shared" si="104"/>
        <v>-</v>
      </c>
      <c r="BD177" s="151" t="str">
        <f>"IEF " &amp;B160</f>
        <v>IEF s.s.e.t.</v>
      </c>
      <c r="BE177" s="153" t="str">
        <f t="shared" ref="BE177:BL177" si="112">IF(OR($C170="-",$C170="CET",$C170=""),"-",$C170)</f>
        <v>-</v>
      </c>
      <c r="BF177" s="153" t="str">
        <f t="shared" si="112"/>
        <v>-</v>
      </c>
      <c r="BG177" s="153" t="str">
        <f t="shared" si="112"/>
        <v>-</v>
      </c>
      <c r="BH177" s="153" t="str">
        <f t="shared" si="112"/>
        <v>-</v>
      </c>
      <c r="BI177" s="153" t="str">
        <f t="shared" si="112"/>
        <v>-</v>
      </c>
      <c r="BJ177" s="153" t="str">
        <f t="shared" si="112"/>
        <v>-</v>
      </c>
      <c r="BK177" s="153" t="str">
        <f t="shared" si="112"/>
        <v>-</v>
      </c>
      <c r="BL177" s="153" t="str">
        <f t="shared" si="112"/>
        <v>-</v>
      </c>
    </row>
    <row r="178" spans="1:80" outlineLevel="1" x14ac:dyDescent="0.25">
      <c r="B178" s="761"/>
      <c r="C178" s="760"/>
      <c r="D178" s="375"/>
      <c r="E178" s="375"/>
      <c r="F178" s="56"/>
      <c r="G178" s="56"/>
      <c r="H178" s="56"/>
      <c r="I178" s="56"/>
      <c r="J178" s="56"/>
      <c r="K178" s="171"/>
      <c r="L178" s="171"/>
      <c r="M178" s="171"/>
      <c r="N178" s="55"/>
      <c r="O178" s="749"/>
      <c r="P178" s="750"/>
      <c r="Q178" s="750"/>
      <c r="R178" s="754"/>
      <c r="S178" s="749"/>
      <c r="T178" s="750"/>
      <c r="U178" s="750"/>
      <c r="V178" s="754"/>
      <c r="BC178" s="159" t="str">
        <f t="shared" si="104"/>
        <v>-</v>
      </c>
      <c r="BD178" s="156"/>
      <c r="BE178" s="156"/>
      <c r="BF178" s="156"/>
      <c r="BG178" s="156"/>
      <c r="BH178" s="156"/>
      <c r="BI178" s="156"/>
      <c r="BJ178" s="156"/>
      <c r="BK178" s="156"/>
      <c r="BL178" s="156"/>
    </row>
    <row r="179" spans="1:80" ht="15.75" outlineLevel="1" thickBot="1" x14ac:dyDescent="0.3">
      <c r="B179" s="796"/>
      <c r="C179" s="778"/>
      <c r="D179" s="376"/>
      <c r="E179" s="376"/>
      <c r="F179" s="376"/>
      <c r="G179" s="376"/>
      <c r="H179" s="376"/>
      <c r="I179" s="376"/>
      <c r="J179" s="376"/>
      <c r="K179" s="172"/>
      <c r="L179" s="172"/>
      <c r="M179" s="172"/>
      <c r="N179" s="54"/>
      <c r="O179" s="751"/>
      <c r="P179" s="752"/>
      <c r="Q179" s="752"/>
      <c r="R179" s="755"/>
      <c r="S179" s="751"/>
      <c r="T179" s="752"/>
      <c r="U179" s="752"/>
      <c r="V179" s="755"/>
      <c r="BC179" s="159" t="str">
        <f t="shared" si="104"/>
        <v>-</v>
      </c>
      <c r="BD179" s="156"/>
      <c r="BE179" s="156"/>
      <c r="BF179" s="156"/>
      <c r="BG179" s="156"/>
      <c r="BH179" s="156"/>
      <c r="BI179" s="156"/>
      <c r="BJ179" s="156"/>
      <c r="BK179" s="156"/>
      <c r="BL179" s="156"/>
    </row>
    <row r="180" spans="1:80" ht="15" customHeight="1" x14ac:dyDescent="0.25">
      <c r="A180" s="36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BC180" s="159" t="str">
        <f t="shared" si="104"/>
        <v>-</v>
      </c>
    </row>
    <row r="181" spans="1:80" ht="15" customHeight="1" x14ac:dyDescent="0.25">
      <c r="A181" s="36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BC181" s="159" t="str">
        <f t="shared" si="104"/>
        <v>-</v>
      </c>
    </row>
    <row r="182" spans="1:80" ht="15" customHeight="1" thickBot="1" x14ac:dyDescent="0.3">
      <c r="A182" s="36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BC182" s="159" t="str">
        <f t="shared" si="104"/>
        <v>-</v>
      </c>
    </row>
    <row r="183" spans="1:80" ht="24.95" customHeight="1" thickBot="1" x14ac:dyDescent="0.3">
      <c r="A183" s="362"/>
      <c r="B183" s="185">
        <v>7</v>
      </c>
      <c r="C183" s="757" t="s">
        <v>118</v>
      </c>
      <c r="D183" s="758"/>
      <c r="E183" s="758"/>
      <c r="F183" s="758"/>
      <c r="G183" s="758"/>
      <c r="H183" s="758"/>
      <c r="I183" s="758"/>
      <c r="J183" s="758"/>
      <c r="K183" s="758"/>
      <c r="L183" s="758"/>
      <c r="M183" s="758"/>
      <c r="N183" s="759"/>
      <c r="O183" s="49" t="s">
        <v>117</v>
      </c>
      <c r="P183" s="71" t="str">
        <f>IF(COUNTIF(F191:M196,"refused")&gt;0,"refused",IF(COUNTIF(F191:M196,"failed")&gt;0,"failed",IF(COUNTIF(F191:M196,"passed")&gt;0,"passed","-")))</f>
        <v>-</v>
      </c>
      <c r="Q183" s="70" t="s">
        <v>80</v>
      </c>
      <c r="R183" s="70" t="str">
        <f>IF(COUNT(F187:M188,F192:M193)&gt;0,"listed","not listed")</f>
        <v>not listed</v>
      </c>
      <c r="S183" s="371"/>
      <c r="T183" s="43"/>
      <c r="U183" s="43"/>
      <c r="V183" s="44"/>
      <c r="W183" s="47"/>
      <c r="X183" s="47"/>
      <c r="Y183" s="756"/>
      <c r="Z183" s="756"/>
      <c r="AA183" s="756"/>
      <c r="AB183" s="756"/>
      <c r="AC183" s="756"/>
      <c r="AD183" s="756"/>
      <c r="AE183" s="756"/>
      <c r="AF183" s="756"/>
      <c r="AG183" s="756"/>
      <c r="AH183" s="756"/>
      <c r="BC183" s="159" t="str">
        <f t="shared" si="104"/>
        <v>-</v>
      </c>
    </row>
    <row r="184" spans="1:80" ht="15" customHeight="1" outlineLevel="1" thickBot="1" x14ac:dyDescent="0.3">
      <c r="A184" s="362"/>
      <c r="B184" s="373"/>
      <c r="C184" s="374"/>
      <c r="D184" s="374"/>
      <c r="E184" s="374"/>
      <c r="F184" s="374"/>
      <c r="G184" s="374"/>
      <c r="H184" s="374"/>
      <c r="I184" s="374"/>
      <c r="J184" s="374"/>
      <c r="K184" s="162"/>
      <c r="L184" s="162"/>
      <c r="M184" s="162"/>
      <c r="N184" s="374"/>
      <c r="O184" s="374"/>
      <c r="P184" s="374"/>
      <c r="Q184" s="374"/>
      <c r="R184" s="374"/>
      <c r="S184" s="374"/>
      <c r="T184" s="45"/>
      <c r="U184" s="45"/>
      <c r="V184" s="46"/>
      <c r="W184" s="372"/>
      <c r="X184" s="372"/>
      <c r="Y184" s="743"/>
      <c r="Z184" s="743"/>
      <c r="AA184" s="743"/>
      <c r="AB184" s="743"/>
      <c r="AC184" s="743"/>
      <c r="AD184" s="743"/>
      <c r="AE184" s="743"/>
      <c r="AF184" s="743"/>
      <c r="AG184" s="743"/>
      <c r="AH184" s="743"/>
      <c r="BC184" s="159" t="str">
        <f t="shared" si="104"/>
        <v>-</v>
      </c>
      <c r="BD184" s="151" t="s">
        <v>85</v>
      </c>
      <c r="BE184" s="152" t="s">
        <v>86</v>
      </c>
      <c r="BF184" s="152" t="s">
        <v>87</v>
      </c>
      <c r="BG184" s="152" t="s">
        <v>88</v>
      </c>
      <c r="BH184" s="152" t="s">
        <v>89</v>
      </c>
      <c r="BI184" s="152" t="s">
        <v>90</v>
      </c>
      <c r="BJ184" s="152" t="s">
        <v>91</v>
      </c>
      <c r="BK184" s="152" t="s">
        <v>91</v>
      </c>
      <c r="BL184" s="152" t="s">
        <v>91</v>
      </c>
    </row>
    <row r="185" spans="1:80" ht="15" customHeight="1" outlineLevel="1" thickBot="1" x14ac:dyDescent="0.3">
      <c r="A185" s="362"/>
      <c r="B185" s="744" t="s">
        <v>81</v>
      </c>
      <c r="C185" s="745"/>
      <c r="D185" s="745"/>
      <c r="E185" s="745"/>
      <c r="F185" s="745"/>
      <c r="G185" s="745"/>
      <c r="H185" s="745"/>
      <c r="I185" s="745"/>
      <c r="J185" s="745"/>
      <c r="K185" s="745"/>
      <c r="L185" s="745"/>
      <c r="M185" s="745"/>
      <c r="N185" s="746"/>
      <c r="O185" s="744" t="s">
        <v>82</v>
      </c>
      <c r="P185" s="745"/>
      <c r="Q185" s="745"/>
      <c r="R185" s="746"/>
      <c r="S185" s="744" t="s">
        <v>83</v>
      </c>
      <c r="T185" s="745"/>
      <c r="U185" s="745"/>
      <c r="V185" s="746"/>
      <c r="W185" s="372"/>
      <c r="X185" s="372"/>
      <c r="Y185" s="743"/>
      <c r="Z185" s="743"/>
      <c r="AA185" s="743"/>
      <c r="AB185" s="743"/>
      <c r="AC185" s="743"/>
      <c r="AD185" s="743"/>
      <c r="AE185" s="743"/>
      <c r="AF185" s="743"/>
      <c r="AG185" s="743"/>
      <c r="AH185" s="743"/>
      <c r="BC185" s="159" t="str">
        <f t="shared" si="104"/>
        <v>-</v>
      </c>
      <c r="BD185" s="151" t="str">
        <f>$E$4</f>
        <v>US EPA Tier 2 Bin 11</v>
      </c>
      <c r="BE185" s="153">
        <v>1</v>
      </c>
      <c r="BF185" s="153">
        <v>1</v>
      </c>
      <c r="BG185" s="153">
        <v>1</v>
      </c>
      <c r="BH185" s="153">
        <v>1</v>
      </c>
      <c r="BI185" s="153">
        <v>1</v>
      </c>
      <c r="BJ185" s="153">
        <v>1</v>
      </c>
      <c r="BK185" s="153">
        <v>2</v>
      </c>
      <c r="BL185" s="153">
        <v>3</v>
      </c>
    </row>
    <row r="186" spans="1:80" ht="35.1" customHeight="1" outlineLevel="1" thickBot="1" x14ac:dyDescent="0.3">
      <c r="A186" s="362"/>
      <c r="B186" s="767" t="s">
        <v>84</v>
      </c>
      <c r="C186" s="768"/>
      <c r="D186" s="768"/>
      <c r="E186" s="769"/>
      <c r="F186" s="69" t="s">
        <v>72</v>
      </c>
      <c r="G186" s="377" t="s">
        <v>73</v>
      </c>
      <c r="H186" s="69" t="s">
        <v>74</v>
      </c>
      <c r="I186" s="69" t="s">
        <v>75</v>
      </c>
      <c r="J186" s="69" t="s">
        <v>76</v>
      </c>
      <c r="K186" s="163" t="s">
        <v>170</v>
      </c>
      <c r="L186" s="380" t="str">
        <f>$L$4</f>
        <v>Additional
component</v>
      </c>
      <c r="M186" s="380" t="str">
        <f>$M$4</f>
        <v>Additional
component 2</v>
      </c>
      <c r="N186" s="69" t="s">
        <v>77</v>
      </c>
      <c r="O186" s="747"/>
      <c r="P186" s="748"/>
      <c r="Q186" s="748"/>
      <c r="R186" s="753"/>
      <c r="S186" s="747"/>
      <c r="T186" s="748"/>
      <c r="U186" s="748"/>
      <c r="V186" s="753"/>
      <c r="W186" s="372"/>
      <c r="X186" s="372"/>
      <c r="Y186" s="743"/>
      <c r="Z186" s="743"/>
      <c r="AA186" s="743"/>
      <c r="AB186" s="743"/>
      <c r="AC186" s="743"/>
      <c r="AD186" s="743"/>
      <c r="AE186" s="743"/>
      <c r="AF186" s="743"/>
      <c r="AG186" s="743"/>
      <c r="AH186" s="743"/>
      <c r="BC186" s="159" t="str">
        <f t="shared" si="104"/>
        <v>-</v>
      </c>
      <c r="BD186" s="151" t="str">
        <f>"1st " &amp;  B187</f>
        <v>1st normal</v>
      </c>
      <c r="BE186" s="153" t="str">
        <f t="shared" ref="BE186:BL186" si="113">IF((OR($C189="-",$C189="CET",$C189="")),"-",IF(AND(OR(F187="-",F187=""),OR(F188="-",F188="")),"-",IF(NOT(OR(F187="-",F187="")),F187/F$5,F188/F$5)))</f>
        <v>-</v>
      </c>
      <c r="BF186" s="153" t="str">
        <f t="shared" si="113"/>
        <v>-</v>
      </c>
      <c r="BG186" s="153" t="str">
        <f t="shared" si="113"/>
        <v>-</v>
      </c>
      <c r="BH186" s="153" t="str">
        <f t="shared" si="113"/>
        <v>-</v>
      </c>
      <c r="BI186" s="153" t="str">
        <f t="shared" si="113"/>
        <v>-</v>
      </c>
      <c r="BJ186" s="153" t="str">
        <f t="shared" si="113"/>
        <v>-</v>
      </c>
      <c r="BK186" s="153" t="str">
        <f t="shared" si="113"/>
        <v>-</v>
      </c>
      <c r="BL186" s="153" t="str">
        <f t="shared" si="113"/>
        <v>-</v>
      </c>
    </row>
    <row r="187" spans="1:80" s="50" customFormat="1" ht="15" customHeight="1" outlineLevel="1" x14ac:dyDescent="0.25">
      <c r="A187" s="53"/>
      <c r="B187" s="800" t="s">
        <v>116</v>
      </c>
      <c r="C187" s="770" t="s">
        <v>114</v>
      </c>
      <c r="D187" s="770" t="s">
        <v>113</v>
      </c>
      <c r="E187" s="106" t="s">
        <v>94</v>
      </c>
      <c r="F187" s="105" t="s">
        <v>5</v>
      </c>
      <c r="G187" s="105" t="s">
        <v>5</v>
      </c>
      <c r="H187" s="105" t="s">
        <v>5</v>
      </c>
      <c r="I187" s="105" t="s">
        <v>5</v>
      </c>
      <c r="J187" s="105" t="s">
        <v>5</v>
      </c>
      <c r="K187" s="173" t="s">
        <v>5</v>
      </c>
      <c r="L187" s="173" t="s">
        <v>5</v>
      </c>
      <c r="M187" s="173" t="s">
        <v>5</v>
      </c>
      <c r="N187" s="105" t="s">
        <v>5</v>
      </c>
      <c r="O187" s="749"/>
      <c r="P187" s="750"/>
      <c r="Q187" s="750"/>
      <c r="R187" s="754"/>
      <c r="S187" s="749"/>
      <c r="T187" s="750"/>
      <c r="U187" s="750"/>
      <c r="V187" s="754"/>
      <c r="W187" s="51"/>
      <c r="X187" s="51"/>
      <c r="Y187" s="743"/>
      <c r="Z187" s="743"/>
      <c r="AA187" s="743"/>
      <c r="AB187" s="743"/>
      <c r="AC187" s="743"/>
      <c r="AD187" s="743"/>
      <c r="AE187" s="743"/>
      <c r="AF187" s="743"/>
      <c r="AG187" s="743"/>
      <c r="AH187" s="743"/>
      <c r="BC187" s="159" t="str">
        <f t="shared" si="104"/>
        <v>-</v>
      </c>
      <c r="BD187" s="151" t="str">
        <f>"1st " &amp; B192</f>
        <v>1st aggressive</v>
      </c>
      <c r="BE187" s="153" t="str">
        <f t="shared" ref="BE187:BL187" si="114">IF((OR($C194="-",$C194="CET",$C194="")),"-",IF(AND(OR(F192="-",F192=""),OR(F193="-",F193="")),"-",IF(NOT(OR(F192="-",F192="")),F192/F$5,F193/F$5)))</f>
        <v>-</v>
      </c>
      <c r="BF187" s="153" t="str">
        <f t="shared" si="114"/>
        <v>-</v>
      </c>
      <c r="BG187" s="153" t="str">
        <f t="shared" si="114"/>
        <v>-</v>
      </c>
      <c r="BH187" s="153" t="str">
        <f t="shared" si="114"/>
        <v>-</v>
      </c>
      <c r="BI187" s="153" t="str">
        <f t="shared" si="114"/>
        <v>-</v>
      </c>
      <c r="BJ187" s="153" t="str">
        <f t="shared" si="114"/>
        <v>-</v>
      </c>
      <c r="BK187" s="153" t="str">
        <f t="shared" si="114"/>
        <v>-</v>
      </c>
      <c r="BL187" s="153" t="str">
        <f t="shared" si="114"/>
        <v>-</v>
      </c>
      <c r="BM187" s="150"/>
      <c r="BN187" s="150"/>
      <c r="BO187" s="150"/>
      <c r="BP187" s="150"/>
      <c r="BQ187" s="150"/>
      <c r="BR187" s="150"/>
      <c r="BS187" s="150"/>
      <c r="BT187" s="150"/>
      <c r="BU187" s="150"/>
      <c r="BV187" s="150"/>
      <c r="BW187" s="150"/>
      <c r="BX187" s="150"/>
      <c r="BY187" s="150"/>
      <c r="BZ187" s="150"/>
      <c r="CA187" s="150"/>
      <c r="CB187" s="150"/>
    </row>
    <row r="188" spans="1:80" ht="15" customHeight="1" outlineLevel="1" thickBot="1" x14ac:dyDescent="0.3">
      <c r="A188" s="362"/>
      <c r="B188" s="801"/>
      <c r="C188" s="741"/>
      <c r="D188" s="742"/>
      <c r="E188" s="104" t="s">
        <v>95</v>
      </c>
      <c r="F188" s="103" t="s">
        <v>5</v>
      </c>
      <c r="G188" s="103" t="s">
        <v>5</v>
      </c>
      <c r="H188" s="103" t="s">
        <v>5</v>
      </c>
      <c r="I188" s="103" t="s">
        <v>5</v>
      </c>
      <c r="J188" s="103" t="s">
        <v>5</v>
      </c>
      <c r="K188" s="174" t="s">
        <v>5</v>
      </c>
      <c r="L188" s="174" t="s">
        <v>5</v>
      </c>
      <c r="M188" s="174" t="s">
        <v>5</v>
      </c>
      <c r="N188" s="103" t="s">
        <v>5</v>
      </c>
      <c r="O188" s="749"/>
      <c r="P188" s="750"/>
      <c r="Q188" s="750"/>
      <c r="R188" s="754"/>
      <c r="S188" s="749"/>
      <c r="T188" s="750"/>
      <c r="U188" s="750"/>
      <c r="V188" s="754"/>
      <c r="W188" s="372"/>
      <c r="X188" s="372"/>
      <c r="Y188" s="743"/>
      <c r="Z188" s="743"/>
      <c r="AA188" s="743"/>
      <c r="AB188" s="743"/>
      <c r="AC188" s="743"/>
      <c r="AD188" s="743"/>
      <c r="AE188" s="743"/>
      <c r="AF188" s="743"/>
      <c r="AG188" s="743"/>
      <c r="AH188" s="743"/>
      <c r="BC188" s="159" t="str">
        <f t="shared" si="104"/>
        <v>-</v>
      </c>
      <c r="BD188" s="151"/>
      <c r="BE188" s="153"/>
      <c r="BF188" s="153"/>
      <c r="BG188" s="153"/>
      <c r="BH188" s="153"/>
      <c r="BI188" s="153"/>
      <c r="BJ188" s="153"/>
      <c r="BK188" s="153"/>
      <c r="BL188" s="153"/>
    </row>
    <row r="189" spans="1:80" ht="15" customHeight="1" outlineLevel="1" thickBot="1" x14ac:dyDescent="0.3">
      <c r="A189" s="362"/>
      <c r="B189" s="801"/>
      <c r="C189" s="764">
        <v>2</v>
      </c>
      <c r="D189" s="772" t="str">
        <f>IF(AND(F189="-",G189="-",H189="-",I189="-",J189="-",K189="-",L189="-",M189="-"),"-",MAX(F189,G189,H189,I189,J189,K189,L189,M189))</f>
        <v>-</v>
      </c>
      <c r="E189" s="66" t="s">
        <v>177</v>
      </c>
      <c r="F189" s="65" t="str">
        <f t="shared" ref="F189:M189" si="115">IF(OR(F188="-",F188=""),IF(OR(F187="-",F187=""),"-",F187),IF(OR(F187="-",F187=""),F188,(F187+F188)/2))</f>
        <v>-</v>
      </c>
      <c r="G189" s="65" t="str">
        <f t="shared" si="115"/>
        <v>-</v>
      </c>
      <c r="H189" s="65" t="str">
        <f t="shared" si="115"/>
        <v>-</v>
      </c>
      <c r="I189" s="65" t="str">
        <f t="shared" si="115"/>
        <v>-</v>
      </c>
      <c r="J189" s="65" t="str">
        <f t="shared" si="115"/>
        <v>-</v>
      </c>
      <c r="K189" s="167" t="str">
        <f t="shared" si="115"/>
        <v>-</v>
      </c>
      <c r="L189" s="167" t="str">
        <f t="shared" si="115"/>
        <v>-</v>
      </c>
      <c r="M189" s="167" t="str">
        <f t="shared" si="115"/>
        <v>-</v>
      </c>
      <c r="N189" s="740"/>
      <c r="O189" s="749"/>
      <c r="P189" s="750"/>
      <c r="Q189" s="750"/>
      <c r="R189" s="754"/>
      <c r="S189" s="749"/>
      <c r="T189" s="750"/>
      <c r="U189" s="750"/>
      <c r="V189" s="754"/>
      <c r="W189" s="372"/>
      <c r="X189" s="372"/>
      <c r="Y189" s="743"/>
      <c r="Z189" s="743"/>
      <c r="AA189" s="743"/>
      <c r="AB189" s="743"/>
      <c r="AC189" s="743"/>
      <c r="AD189" s="743"/>
      <c r="AE189" s="743"/>
      <c r="AF189" s="743"/>
      <c r="AG189" s="743"/>
      <c r="AH189" s="743"/>
      <c r="BC189" s="159" t="str">
        <f t="shared" si="104"/>
        <v>-</v>
      </c>
      <c r="BD189" s="151"/>
      <c r="BE189" s="153"/>
      <c r="BF189" s="153"/>
      <c r="BG189" s="153"/>
      <c r="BH189" s="153"/>
      <c r="BI189" s="153"/>
      <c r="BJ189" s="153"/>
      <c r="BK189" s="153"/>
      <c r="BL189" s="153"/>
    </row>
    <row r="190" spans="1:80" ht="15" customHeight="1" outlineLevel="1" thickBot="1" x14ac:dyDescent="0.3">
      <c r="A190" s="362"/>
      <c r="B190" s="801"/>
      <c r="C190" s="765"/>
      <c r="D190" s="773"/>
      <c r="E190" s="64" t="s">
        <v>97</v>
      </c>
      <c r="F190" s="63" t="str">
        <f t="shared" ref="F190:M190" si="116">IF(OR($C189="-",$C189="CET",$C189=""),"-",IF(AND(NOT(F189="-"),NOT(F$5="-"),NOT(F$5="")),F189/F$5,"-"))</f>
        <v>-</v>
      </c>
      <c r="G190" s="63" t="str">
        <f t="shared" si="116"/>
        <v>-</v>
      </c>
      <c r="H190" s="63" t="str">
        <f t="shared" si="116"/>
        <v>-</v>
      </c>
      <c r="I190" s="63" t="str">
        <f t="shared" si="116"/>
        <v>-</v>
      </c>
      <c r="J190" s="63" t="str">
        <f t="shared" si="116"/>
        <v>-</v>
      </c>
      <c r="K190" s="168" t="str">
        <f t="shared" si="116"/>
        <v>-</v>
      </c>
      <c r="L190" s="168" t="str">
        <f t="shared" si="116"/>
        <v>-</v>
      </c>
      <c r="M190" s="168" t="str">
        <f t="shared" si="116"/>
        <v>-</v>
      </c>
      <c r="N190" s="741"/>
      <c r="O190" s="749"/>
      <c r="P190" s="750"/>
      <c r="Q190" s="750"/>
      <c r="R190" s="754"/>
      <c r="S190" s="749"/>
      <c r="T190" s="750"/>
      <c r="U190" s="750"/>
      <c r="V190" s="754"/>
      <c r="W190" s="372"/>
      <c r="X190" s="372"/>
      <c r="Y190" s="743"/>
      <c r="Z190" s="743"/>
      <c r="AA190" s="743"/>
      <c r="AB190" s="743"/>
      <c r="AC190" s="743"/>
      <c r="AD190" s="743"/>
      <c r="AE190" s="743"/>
      <c r="AF190" s="743"/>
      <c r="AG190" s="743"/>
      <c r="AH190" s="743"/>
      <c r="BC190" s="159" t="str">
        <f t="shared" si="104"/>
        <v>-</v>
      </c>
      <c r="BD190" s="151"/>
      <c r="BE190" s="153"/>
      <c r="BF190" s="153"/>
      <c r="BG190" s="153"/>
      <c r="BH190" s="153"/>
      <c r="BI190" s="153"/>
      <c r="BJ190" s="153"/>
      <c r="BK190" s="153"/>
      <c r="BL190" s="153"/>
    </row>
    <row r="191" spans="1:80" ht="15" customHeight="1" outlineLevel="1" thickBot="1" x14ac:dyDescent="0.3">
      <c r="A191" s="362"/>
      <c r="B191" s="802"/>
      <c r="C191" s="771"/>
      <c r="D191" s="774"/>
      <c r="E191" s="68" t="s">
        <v>30</v>
      </c>
      <c r="F191" s="62" t="str">
        <f t="shared" ref="F191:M191" si="117">IF(AND(OR(F187="-",F187=""),OR(F188="-",F188="")),"-",IF(OR($C189="-",$C189="",$C189="CET"),"-",IF($R$183="not listed","-",IF(NOT(F$5="-"),IF(AND(AND(NOT(F187=0),NOT(F187="-"),NOT(F187="")),AND(NOT(F188="-"),NOT(F188=0),NOT(F188=""))),IF(AND((F187+F188)/2&lt;1*F$5*IF(OR($C189="CET",$C189="-",$C189=""),"-",$C189),F187&lt;1.1*F$5*IF(OR($C189="CET",$C189="-",$C189=""),"-",$C189),F188&lt;1.1*F$5*IF(OR($C189="CET",$C189="-",$C189=""),"-",$C189)),"passed","refused"),IF(IF(OR(F187="-",F187=""),F188,F187)&lt;0.7*F$5*IF(OR($C189="CET",$C189="-",$C189=""),"-",$C189),"passed",IF(IF(OR(F187="-",F187=""),F188,F187)&lt;1.1*IF(OR($C189="CET",$C189="-",$C189=""),"-",$C189)*F$5,"failed","refused"))),"-"))))</f>
        <v>-</v>
      </c>
      <c r="G191" s="62" t="str">
        <f t="shared" si="117"/>
        <v>-</v>
      </c>
      <c r="H191" s="62" t="str">
        <f t="shared" si="117"/>
        <v>-</v>
      </c>
      <c r="I191" s="62" t="str">
        <f t="shared" si="117"/>
        <v>-</v>
      </c>
      <c r="J191" s="62" t="str">
        <f t="shared" si="117"/>
        <v>-</v>
      </c>
      <c r="K191" s="169" t="str">
        <f t="shared" si="117"/>
        <v>-</v>
      </c>
      <c r="L191" s="169" t="str">
        <f t="shared" si="117"/>
        <v>-</v>
      </c>
      <c r="M191" s="169" t="str">
        <f t="shared" si="117"/>
        <v>-</v>
      </c>
      <c r="N191" s="742"/>
      <c r="O191" s="749"/>
      <c r="P191" s="750"/>
      <c r="Q191" s="750"/>
      <c r="R191" s="754"/>
      <c r="S191" s="749"/>
      <c r="T191" s="750"/>
      <c r="U191" s="750"/>
      <c r="V191" s="754"/>
      <c r="W191" s="372"/>
      <c r="X191" s="372"/>
      <c r="Y191" s="743"/>
      <c r="Z191" s="743"/>
      <c r="AA191" s="743"/>
      <c r="AB191" s="743"/>
      <c r="AC191" s="743"/>
      <c r="AD191" s="743"/>
      <c r="AE191" s="743"/>
      <c r="AF191" s="743"/>
      <c r="AG191" s="743"/>
      <c r="AH191" s="743"/>
      <c r="BC191" s="159" t="str">
        <f t="shared" si="104"/>
        <v>-</v>
      </c>
      <c r="BD191" s="151"/>
      <c r="BE191" s="153"/>
      <c r="BF191" s="153"/>
      <c r="BG191" s="153"/>
      <c r="BH191" s="153"/>
      <c r="BI191" s="153"/>
      <c r="BJ191" s="153"/>
      <c r="BK191" s="153"/>
      <c r="BL191" s="153"/>
    </row>
    <row r="192" spans="1:80" s="50" customFormat="1" ht="15" customHeight="1" outlineLevel="1" x14ac:dyDescent="0.25">
      <c r="A192" s="53"/>
      <c r="B192" s="800" t="s">
        <v>115</v>
      </c>
      <c r="C192" s="770" t="s">
        <v>114</v>
      </c>
      <c r="D192" s="770" t="s">
        <v>113</v>
      </c>
      <c r="E192" s="106" t="s">
        <v>94</v>
      </c>
      <c r="F192" s="105" t="s">
        <v>5</v>
      </c>
      <c r="G192" s="105" t="s">
        <v>5</v>
      </c>
      <c r="H192" s="105" t="s">
        <v>5</v>
      </c>
      <c r="I192" s="105" t="s">
        <v>5</v>
      </c>
      <c r="J192" s="105" t="s">
        <v>5</v>
      </c>
      <c r="K192" s="173" t="s">
        <v>5</v>
      </c>
      <c r="L192" s="173" t="s">
        <v>5</v>
      </c>
      <c r="M192" s="173" t="s">
        <v>5</v>
      </c>
      <c r="N192" s="105" t="s">
        <v>5</v>
      </c>
      <c r="O192" s="749"/>
      <c r="P192" s="750"/>
      <c r="Q192" s="750"/>
      <c r="R192" s="754"/>
      <c r="S192" s="749"/>
      <c r="T192" s="750"/>
      <c r="U192" s="750"/>
      <c r="V192" s="754"/>
      <c r="W192" s="51"/>
      <c r="X192" s="51"/>
      <c r="Y192" s="743"/>
      <c r="Z192" s="743"/>
      <c r="AA192" s="743"/>
      <c r="AB192" s="743"/>
      <c r="AC192" s="743"/>
      <c r="AD192" s="743"/>
      <c r="AE192" s="743"/>
      <c r="AF192" s="743"/>
      <c r="AG192" s="743"/>
      <c r="AH192" s="743"/>
      <c r="BC192" s="159" t="str">
        <f t="shared" si="104"/>
        <v>-</v>
      </c>
      <c r="BD192" s="151" t="str">
        <f>"0.7*IEF " &amp; (B187)</f>
        <v>0.7*IEF normal</v>
      </c>
      <c r="BE192" s="153">
        <f t="shared" ref="BE192:BL192" si="118">IF(OR($C189="-",$C189="CET",$C189=""),"-",0.7*$C189)</f>
        <v>1.4</v>
      </c>
      <c r="BF192" s="153">
        <f t="shared" si="118"/>
        <v>1.4</v>
      </c>
      <c r="BG192" s="153">
        <f t="shared" si="118"/>
        <v>1.4</v>
      </c>
      <c r="BH192" s="153">
        <f t="shared" si="118"/>
        <v>1.4</v>
      </c>
      <c r="BI192" s="153">
        <f t="shared" si="118"/>
        <v>1.4</v>
      </c>
      <c r="BJ192" s="153">
        <f t="shared" si="118"/>
        <v>1.4</v>
      </c>
      <c r="BK192" s="153">
        <f t="shared" si="118"/>
        <v>1.4</v>
      </c>
      <c r="BL192" s="153">
        <f t="shared" si="118"/>
        <v>1.4</v>
      </c>
      <c r="BM192" s="150"/>
      <c r="BN192" s="150"/>
      <c r="BO192" s="150"/>
      <c r="BP192" s="150"/>
      <c r="BQ192" s="150"/>
      <c r="BR192" s="150"/>
      <c r="BS192" s="150"/>
      <c r="BT192" s="150"/>
      <c r="BU192" s="150"/>
      <c r="BV192" s="150"/>
      <c r="BW192" s="150"/>
      <c r="BX192" s="150"/>
      <c r="BY192" s="150"/>
      <c r="BZ192" s="150"/>
      <c r="CA192" s="150"/>
      <c r="CB192" s="150"/>
    </row>
    <row r="193" spans="1:80" ht="15" customHeight="1" outlineLevel="1" thickBot="1" x14ac:dyDescent="0.3">
      <c r="A193" s="362"/>
      <c r="B193" s="801"/>
      <c r="C193" s="741"/>
      <c r="D193" s="742"/>
      <c r="E193" s="104" t="s">
        <v>95</v>
      </c>
      <c r="F193" s="103" t="s">
        <v>5</v>
      </c>
      <c r="G193" s="103" t="s">
        <v>5</v>
      </c>
      <c r="H193" s="103" t="s">
        <v>5</v>
      </c>
      <c r="I193" s="103" t="s">
        <v>5</v>
      </c>
      <c r="J193" s="103" t="s">
        <v>5</v>
      </c>
      <c r="K193" s="174" t="s">
        <v>5</v>
      </c>
      <c r="L193" s="174" t="s">
        <v>5</v>
      </c>
      <c r="M193" s="174" t="s">
        <v>5</v>
      </c>
      <c r="N193" s="103" t="s">
        <v>5</v>
      </c>
      <c r="O193" s="749"/>
      <c r="P193" s="750"/>
      <c r="Q193" s="750"/>
      <c r="R193" s="754"/>
      <c r="S193" s="749"/>
      <c r="T193" s="750"/>
      <c r="U193" s="750"/>
      <c r="V193" s="754"/>
      <c r="W193" s="372"/>
      <c r="X193" s="372"/>
      <c r="Y193" s="743"/>
      <c r="Z193" s="743"/>
      <c r="AA193" s="743"/>
      <c r="AB193" s="743"/>
      <c r="AC193" s="743"/>
      <c r="AD193" s="743"/>
      <c r="AE193" s="743"/>
      <c r="AF193" s="743"/>
      <c r="AG193" s="743"/>
      <c r="AH193" s="743"/>
      <c r="BC193" s="159" t="str">
        <f t="shared" si="104"/>
        <v>-</v>
      </c>
      <c r="BD193" s="151" t="str">
        <f>"0.7*IEF " &amp; B192</f>
        <v>0.7*IEF aggressive</v>
      </c>
      <c r="BE193" s="153">
        <f t="shared" ref="BE193:BL193" si="119">IF(OR($C194="-",$C194="CET",$C194=""),"-",0.7*$C194)</f>
        <v>2.8</v>
      </c>
      <c r="BF193" s="153">
        <f t="shared" si="119"/>
        <v>2.8</v>
      </c>
      <c r="BG193" s="153">
        <f t="shared" si="119"/>
        <v>2.8</v>
      </c>
      <c r="BH193" s="153">
        <f t="shared" si="119"/>
        <v>2.8</v>
      </c>
      <c r="BI193" s="153">
        <f t="shared" si="119"/>
        <v>2.8</v>
      </c>
      <c r="BJ193" s="153">
        <f t="shared" si="119"/>
        <v>2.8</v>
      </c>
      <c r="BK193" s="153">
        <f t="shared" si="119"/>
        <v>2.8</v>
      </c>
      <c r="BL193" s="153">
        <f t="shared" si="119"/>
        <v>2.8</v>
      </c>
    </row>
    <row r="194" spans="1:80" ht="15" customHeight="1" outlineLevel="1" thickBot="1" x14ac:dyDescent="0.3">
      <c r="A194" s="362"/>
      <c r="B194" s="801"/>
      <c r="C194" s="764">
        <v>4</v>
      </c>
      <c r="D194" s="772" t="str">
        <f>IF(AND(F194="-",G194="-",H194="-",I194="-",J194="-",K194="-",L194="-",M194="-"),"-",MAX(F194,G194,H194,I194,J194,K194,L194,M194))</f>
        <v>-</v>
      </c>
      <c r="E194" s="66" t="s">
        <v>177</v>
      </c>
      <c r="F194" s="65" t="str">
        <f t="shared" ref="F194:M194" si="120">IF(OR(F193="-",F193=""),IF(OR(F192="-",F192=""),"-",F192),IF(OR(F192="-",F192=""),F193,(F192+F193)/2))</f>
        <v>-</v>
      </c>
      <c r="G194" s="65" t="str">
        <f t="shared" si="120"/>
        <v>-</v>
      </c>
      <c r="H194" s="65" t="str">
        <f t="shared" si="120"/>
        <v>-</v>
      </c>
      <c r="I194" s="65" t="str">
        <f t="shared" si="120"/>
        <v>-</v>
      </c>
      <c r="J194" s="65" t="str">
        <f t="shared" si="120"/>
        <v>-</v>
      </c>
      <c r="K194" s="167" t="str">
        <f t="shared" si="120"/>
        <v>-</v>
      </c>
      <c r="L194" s="167" t="str">
        <f t="shared" si="120"/>
        <v>-</v>
      </c>
      <c r="M194" s="167" t="str">
        <f t="shared" si="120"/>
        <v>-</v>
      </c>
      <c r="N194" s="740"/>
      <c r="O194" s="749"/>
      <c r="P194" s="750"/>
      <c r="Q194" s="750"/>
      <c r="R194" s="754"/>
      <c r="S194" s="749"/>
      <c r="T194" s="750"/>
      <c r="U194" s="750"/>
      <c r="V194" s="754"/>
      <c r="W194" s="372"/>
      <c r="X194" s="372"/>
      <c r="Y194" s="743"/>
      <c r="Z194" s="743"/>
      <c r="AA194" s="743"/>
      <c r="AB194" s="743"/>
      <c r="AC194" s="743"/>
      <c r="AD194" s="743"/>
      <c r="AE194" s="743"/>
      <c r="AF194" s="743"/>
      <c r="AG194" s="743"/>
      <c r="AH194" s="743"/>
      <c r="BC194" s="159" t="str">
        <f t="shared" si="104"/>
        <v>-</v>
      </c>
      <c r="BD194" s="151"/>
      <c r="BE194" s="153"/>
      <c r="BF194" s="153"/>
      <c r="BG194" s="153"/>
      <c r="BH194" s="153"/>
      <c r="BI194" s="153"/>
      <c r="BJ194" s="153"/>
      <c r="BK194" s="153"/>
      <c r="BL194" s="153"/>
    </row>
    <row r="195" spans="1:80" ht="15" customHeight="1" outlineLevel="1" thickBot="1" x14ac:dyDescent="0.3">
      <c r="A195" s="40"/>
      <c r="B195" s="801"/>
      <c r="C195" s="765"/>
      <c r="D195" s="773"/>
      <c r="E195" s="64" t="s">
        <v>97</v>
      </c>
      <c r="F195" s="63" t="str">
        <f t="shared" ref="F195:M195" si="121">IF(OR($C194="-",$C194="CET",$C194=""),"-",IF(AND(NOT(F194="-"),NOT(F$5="-"),NOT(F$5="")),F194/F$5,"-"))</f>
        <v>-</v>
      </c>
      <c r="G195" s="63" t="str">
        <f t="shared" si="121"/>
        <v>-</v>
      </c>
      <c r="H195" s="63" t="str">
        <f t="shared" si="121"/>
        <v>-</v>
      </c>
      <c r="I195" s="63" t="str">
        <f t="shared" si="121"/>
        <v>-</v>
      </c>
      <c r="J195" s="63" t="str">
        <f t="shared" si="121"/>
        <v>-</v>
      </c>
      <c r="K195" s="168" t="str">
        <f t="shared" si="121"/>
        <v>-</v>
      </c>
      <c r="L195" s="168" t="str">
        <f t="shared" si="121"/>
        <v>-</v>
      </c>
      <c r="M195" s="168" t="str">
        <f t="shared" si="121"/>
        <v>-</v>
      </c>
      <c r="N195" s="741"/>
      <c r="O195" s="749"/>
      <c r="P195" s="750"/>
      <c r="Q195" s="750"/>
      <c r="R195" s="754"/>
      <c r="S195" s="749"/>
      <c r="T195" s="750"/>
      <c r="U195" s="750"/>
      <c r="V195" s="754"/>
      <c r="W195" s="372"/>
      <c r="X195" s="372"/>
      <c r="Y195" s="743"/>
      <c r="Z195" s="743"/>
      <c r="AA195" s="743"/>
      <c r="AB195" s="743"/>
      <c r="AC195" s="743"/>
      <c r="AD195" s="743"/>
      <c r="AE195" s="743"/>
      <c r="AF195" s="743"/>
      <c r="AG195" s="743"/>
      <c r="AH195" s="743"/>
      <c r="BC195" s="159" t="str">
        <f t="shared" si="104"/>
        <v>-</v>
      </c>
      <c r="BD195" s="151"/>
      <c r="BE195" s="153"/>
      <c r="BF195" s="153"/>
      <c r="BG195" s="153"/>
      <c r="BH195" s="153"/>
      <c r="BI195" s="153"/>
      <c r="BJ195" s="153"/>
      <c r="BK195" s="153"/>
      <c r="BL195" s="153"/>
    </row>
    <row r="196" spans="1:80" ht="15" customHeight="1" outlineLevel="1" thickBot="1" x14ac:dyDescent="0.3">
      <c r="A196" s="40"/>
      <c r="B196" s="802"/>
      <c r="C196" s="771"/>
      <c r="D196" s="774"/>
      <c r="E196" s="62" t="s">
        <v>30</v>
      </c>
      <c r="F196" s="62" t="str">
        <f t="shared" ref="F196:M196" si="122">IF(AND(OR(F192="-",F192=""),OR(F193="-",F193="")),"-",IF(OR($C194="-",$C194="",$C194="CET"),"-",IF($R$183="not listed","-",IF(NOT(F$5="-"),IF(AND(AND(NOT(F192=0),NOT(F192="-"),NOT(F192="")),AND(NOT(F193="-"),NOT(F193=0),NOT(F193=""))),IF(AND((F192+F193)/2&lt;1*F$5*IF(OR($C194="CET",$C194="-",$C194=""),"-",$C194),F192&lt;1.1*F$5*IF(OR($C194="CET",$C194="-",$C194=""),"-",$C194),F193&lt;1.1*F$5*IF(OR($C194="CET",$C194="-",$C194=""),"-",$C194)),"passed","refused"),IF(IF(OR(F192="-",F192=""),F193,F192)&lt;0.7*F$5*IF(OR($C194="CET",$C194="-",$C194=""),"-",$C194),"passed",IF(IF(OR(F192="-",F192=""),F193,F192)&lt;1.1*IF(OR($C194="CET",$C194="-",$C194=""),"-",$C194)*F$5,"failed","refused"))),"-"))))</f>
        <v>-</v>
      </c>
      <c r="G196" s="62" t="str">
        <f t="shared" si="122"/>
        <v>-</v>
      </c>
      <c r="H196" s="62" t="str">
        <f t="shared" si="122"/>
        <v>-</v>
      </c>
      <c r="I196" s="62" t="str">
        <f t="shared" si="122"/>
        <v>-</v>
      </c>
      <c r="J196" s="62" t="str">
        <f t="shared" si="122"/>
        <v>-</v>
      </c>
      <c r="K196" s="169" t="str">
        <f t="shared" si="122"/>
        <v>-</v>
      </c>
      <c r="L196" s="169" t="str">
        <f t="shared" si="122"/>
        <v>-</v>
      </c>
      <c r="M196" s="169" t="str">
        <f t="shared" si="122"/>
        <v>-</v>
      </c>
      <c r="N196" s="742"/>
      <c r="O196" s="749"/>
      <c r="P196" s="750"/>
      <c r="Q196" s="750"/>
      <c r="R196" s="754"/>
      <c r="S196" s="749"/>
      <c r="T196" s="750"/>
      <c r="U196" s="750"/>
      <c r="V196" s="754"/>
      <c r="W196" s="372"/>
      <c r="X196" s="372"/>
      <c r="Y196" s="743"/>
      <c r="Z196" s="743"/>
      <c r="AA196" s="743"/>
      <c r="AB196" s="743"/>
      <c r="AC196" s="743"/>
      <c r="AD196" s="743"/>
      <c r="AE196" s="743"/>
      <c r="AF196" s="743"/>
      <c r="AG196" s="743"/>
      <c r="AH196" s="743"/>
      <c r="BC196" s="159" t="str">
        <f t="shared" si="104"/>
        <v>-</v>
      </c>
      <c r="BD196" s="151"/>
      <c r="BE196" s="153"/>
      <c r="BF196" s="153"/>
      <c r="BG196" s="153"/>
      <c r="BH196" s="153"/>
      <c r="BI196" s="153"/>
      <c r="BJ196" s="153"/>
      <c r="BK196" s="153"/>
      <c r="BL196" s="153"/>
    </row>
    <row r="197" spans="1:80" s="50" customFormat="1" ht="15" customHeight="1" outlineLevel="1" x14ac:dyDescent="0.25">
      <c r="A197" s="52"/>
      <c r="B197" s="93"/>
      <c r="C197" s="92"/>
      <c r="D197" s="92"/>
      <c r="E197" s="91"/>
      <c r="F197" s="90"/>
      <c r="G197" s="90"/>
      <c r="H197" s="90"/>
      <c r="I197" s="90"/>
      <c r="J197" s="90"/>
      <c r="K197" s="176"/>
      <c r="L197" s="176"/>
      <c r="M197" s="176"/>
      <c r="N197" s="89"/>
      <c r="O197" s="749"/>
      <c r="P197" s="750"/>
      <c r="Q197" s="750"/>
      <c r="R197" s="754"/>
      <c r="S197" s="749"/>
      <c r="T197" s="750"/>
      <c r="U197" s="750"/>
      <c r="V197" s="754"/>
      <c r="W197" s="51"/>
      <c r="X197" s="51"/>
      <c r="Y197" s="743"/>
      <c r="Z197" s="743"/>
      <c r="AA197" s="743"/>
      <c r="AB197" s="743"/>
      <c r="AC197" s="743"/>
      <c r="AD197" s="743"/>
      <c r="AE197" s="743"/>
      <c r="AF197" s="743"/>
      <c r="AG197" s="743"/>
      <c r="AH197" s="743"/>
      <c r="BC197" s="159" t="str">
        <f t="shared" si="104"/>
        <v>-</v>
      </c>
      <c r="BD197" s="151"/>
      <c r="BE197" s="153"/>
      <c r="BF197" s="153"/>
      <c r="BG197" s="153"/>
      <c r="BH197" s="153"/>
      <c r="BI197" s="153"/>
      <c r="BJ197" s="153"/>
      <c r="BK197" s="153"/>
      <c r="BL197" s="153"/>
      <c r="BM197" s="150"/>
      <c r="BN197" s="150"/>
      <c r="BO197" s="150"/>
      <c r="BP197" s="150"/>
      <c r="BQ197" s="150"/>
      <c r="BR197" s="150"/>
      <c r="BS197" s="150"/>
      <c r="BT197" s="150"/>
      <c r="BU197" s="150"/>
      <c r="BV197" s="150"/>
      <c r="BW197" s="150"/>
      <c r="BX197" s="150"/>
      <c r="BY197" s="150"/>
      <c r="BZ197" s="150"/>
      <c r="CA197" s="150"/>
      <c r="CB197" s="150"/>
    </row>
    <row r="198" spans="1:80" ht="15" customHeight="1" outlineLevel="1" x14ac:dyDescent="0.25">
      <c r="A198" s="40"/>
      <c r="B198" s="86"/>
      <c r="C198" s="78"/>
      <c r="D198" s="78"/>
      <c r="E198" s="77"/>
      <c r="F198" s="379"/>
      <c r="G198" s="379"/>
      <c r="H198" s="379"/>
      <c r="I198" s="379"/>
      <c r="J198" s="379"/>
      <c r="K198" s="171"/>
      <c r="L198" s="171"/>
      <c r="M198" s="171"/>
      <c r="N198" s="57"/>
      <c r="O198" s="749"/>
      <c r="P198" s="750"/>
      <c r="Q198" s="750"/>
      <c r="R198" s="754"/>
      <c r="S198" s="749"/>
      <c r="T198" s="750"/>
      <c r="U198" s="750"/>
      <c r="V198" s="754"/>
      <c r="W198" s="372"/>
      <c r="X198" s="372"/>
      <c r="Y198" s="743"/>
      <c r="Z198" s="743"/>
      <c r="AA198" s="743"/>
      <c r="AB198" s="743"/>
      <c r="AC198" s="743"/>
      <c r="AD198" s="743"/>
      <c r="AE198" s="743"/>
      <c r="AF198" s="743"/>
      <c r="AG198" s="743"/>
      <c r="AH198" s="743"/>
      <c r="BC198" s="159" t="str">
        <f t="shared" si="104"/>
        <v>-</v>
      </c>
      <c r="BD198" s="151" t="str">
        <f>$B187</f>
        <v>normal</v>
      </c>
      <c r="BE198" s="153" t="str">
        <f t="shared" ref="BE198:BL198" si="123">F190</f>
        <v>-</v>
      </c>
      <c r="BF198" s="153" t="str">
        <f t="shared" si="123"/>
        <v>-</v>
      </c>
      <c r="BG198" s="153" t="str">
        <f t="shared" si="123"/>
        <v>-</v>
      </c>
      <c r="BH198" s="153" t="str">
        <f t="shared" si="123"/>
        <v>-</v>
      </c>
      <c r="BI198" s="153" t="str">
        <f t="shared" si="123"/>
        <v>-</v>
      </c>
      <c r="BJ198" s="153" t="str">
        <f t="shared" si="123"/>
        <v>-</v>
      </c>
      <c r="BK198" s="153" t="str">
        <f t="shared" si="123"/>
        <v>-</v>
      </c>
      <c r="BL198" s="153" t="str">
        <f t="shared" si="123"/>
        <v>-</v>
      </c>
    </row>
    <row r="199" spans="1:80" ht="15" customHeight="1" outlineLevel="1" x14ac:dyDescent="0.25">
      <c r="A199" s="40"/>
      <c r="B199" s="86"/>
      <c r="C199" s="75"/>
      <c r="D199" s="74"/>
      <c r="E199" s="378"/>
      <c r="F199" s="378"/>
      <c r="G199" s="378"/>
      <c r="H199" s="378"/>
      <c r="I199" s="378"/>
      <c r="J199" s="378"/>
      <c r="K199" s="177"/>
      <c r="L199" s="177"/>
      <c r="M199" s="177"/>
      <c r="N199" s="87"/>
      <c r="O199" s="749"/>
      <c r="P199" s="750"/>
      <c r="Q199" s="750"/>
      <c r="R199" s="754"/>
      <c r="S199" s="749"/>
      <c r="T199" s="750"/>
      <c r="U199" s="750"/>
      <c r="V199" s="754"/>
      <c r="W199" s="372"/>
      <c r="X199" s="372"/>
      <c r="Y199" s="743"/>
      <c r="Z199" s="743"/>
      <c r="AA199" s="743"/>
      <c r="AB199" s="743"/>
      <c r="AC199" s="743"/>
      <c r="AD199" s="743"/>
      <c r="AE199" s="743"/>
      <c r="AF199" s="743"/>
      <c r="AG199" s="743"/>
      <c r="AH199" s="743"/>
      <c r="BC199" s="159" t="str">
        <f t="shared" si="104"/>
        <v>-</v>
      </c>
      <c r="BD199" s="151" t="str">
        <f>$B192</f>
        <v>aggressive</v>
      </c>
      <c r="BE199" s="153" t="str">
        <f t="shared" ref="BE199:BL199" si="124">F195</f>
        <v>-</v>
      </c>
      <c r="BF199" s="153" t="str">
        <f t="shared" si="124"/>
        <v>-</v>
      </c>
      <c r="BG199" s="153" t="str">
        <f t="shared" si="124"/>
        <v>-</v>
      </c>
      <c r="BH199" s="153" t="str">
        <f t="shared" si="124"/>
        <v>-</v>
      </c>
      <c r="BI199" s="153" t="str">
        <f t="shared" si="124"/>
        <v>-</v>
      </c>
      <c r="BJ199" s="153" t="str">
        <f t="shared" si="124"/>
        <v>-</v>
      </c>
      <c r="BK199" s="153" t="str">
        <f t="shared" si="124"/>
        <v>-</v>
      </c>
      <c r="BL199" s="153" t="str">
        <f t="shared" si="124"/>
        <v>-</v>
      </c>
    </row>
    <row r="200" spans="1:80" ht="15" customHeight="1" outlineLevel="1" x14ac:dyDescent="0.25">
      <c r="A200" s="40"/>
      <c r="B200" s="86"/>
      <c r="C200" s="75"/>
      <c r="D200" s="74"/>
      <c r="E200" s="77"/>
      <c r="F200" s="85"/>
      <c r="G200" s="85"/>
      <c r="H200" s="85"/>
      <c r="I200" s="85"/>
      <c r="J200" s="85"/>
      <c r="K200" s="177"/>
      <c r="L200" s="177"/>
      <c r="M200" s="177"/>
      <c r="N200" s="84"/>
      <c r="O200" s="749"/>
      <c r="P200" s="750"/>
      <c r="Q200" s="750"/>
      <c r="R200" s="754"/>
      <c r="S200" s="749"/>
      <c r="T200" s="750"/>
      <c r="U200" s="750"/>
      <c r="V200" s="754"/>
      <c r="W200" s="372"/>
      <c r="X200" s="372"/>
      <c r="Y200" s="743"/>
      <c r="Z200" s="743"/>
      <c r="AA200" s="743"/>
      <c r="AB200" s="743"/>
      <c r="AC200" s="743"/>
      <c r="AD200" s="743"/>
      <c r="AE200" s="743"/>
      <c r="AF200" s="743"/>
      <c r="AG200" s="743"/>
      <c r="AH200" s="743"/>
      <c r="BC200" s="159" t="str">
        <f t="shared" si="104"/>
        <v>-</v>
      </c>
      <c r="BD200" s="151"/>
      <c r="BE200" s="153"/>
      <c r="BF200" s="153"/>
      <c r="BG200" s="153"/>
      <c r="BH200" s="153"/>
      <c r="BI200" s="153"/>
      <c r="BJ200" s="153"/>
      <c r="BK200" s="153"/>
      <c r="BL200" s="153"/>
    </row>
    <row r="201" spans="1:80" ht="15" customHeight="1" outlineLevel="1" x14ac:dyDescent="0.25">
      <c r="A201" s="40"/>
      <c r="B201" s="86"/>
      <c r="C201" s="75"/>
      <c r="D201" s="74"/>
      <c r="E201" s="77"/>
      <c r="F201" s="77"/>
      <c r="G201" s="77"/>
      <c r="H201" s="77"/>
      <c r="I201" s="77"/>
      <c r="J201" s="77"/>
      <c r="K201" s="177"/>
      <c r="L201" s="177"/>
      <c r="M201" s="177"/>
      <c r="N201" s="88"/>
      <c r="O201" s="749"/>
      <c r="P201" s="750"/>
      <c r="Q201" s="750"/>
      <c r="R201" s="754"/>
      <c r="S201" s="749"/>
      <c r="T201" s="750"/>
      <c r="U201" s="750"/>
      <c r="V201" s="754"/>
      <c r="W201" s="372"/>
      <c r="X201" s="372"/>
      <c r="Y201" s="743"/>
      <c r="Z201" s="743"/>
      <c r="AA201" s="743"/>
      <c r="AB201" s="743"/>
      <c r="AC201" s="743"/>
      <c r="AD201" s="743"/>
      <c r="AE201" s="743"/>
      <c r="AF201" s="743"/>
      <c r="AG201" s="743"/>
      <c r="AH201" s="743"/>
      <c r="BC201" s="159" t="str">
        <f t="shared" si="104"/>
        <v>-</v>
      </c>
      <c r="BD201" s="151"/>
      <c r="BE201" s="153"/>
      <c r="BF201" s="153"/>
      <c r="BG201" s="153"/>
      <c r="BH201" s="153"/>
      <c r="BI201" s="153"/>
      <c r="BJ201" s="153"/>
      <c r="BK201" s="153"/>
      <c r="BL201" s="153"/>
    </row>
    <row r="202" spans="1:80" s="50" customFormat="1" ht="15" customHeight="1" outlineLevel="1" x14ac:dyDescent="0.25">
      <c r="A202" s="52"/>
      <c r="B202" s="86"/>
      <c r="C202" s="78"/>
      <c r="D202" s="78"/>
      <c r="E202" s="77"/>
      <c r="F202" s="379"/>
      <c r="G202" s="379"/>
      <c r="H202" s="379"/>
      <c r="I202" s="379"/>
      <c r="J202" s="379"/>
      <c r="K202" s="171"/>
      <c r="L202" s="171"/>
      <c r="M202" s="171"/>
      <c r="N202" s="57"/>
      <c r="O202" s="749"/>
      <c r="P202" s="750"/>
      <c r="Q202" s="750"/>
      <c r="R202" s="754"/>
      <c r="S202" s="749"/>
      <c r="T202" s="750"/>
      <c r="U202" s="750"/>
      <c r="V202" s="754"/>
      <c r="W202" s="51"/>
      <c r="X202" s="51"/>
      <c r="Y202" s="743"/>
      <c r="Z202" s="743"/>
      <c r="AA202" s="743"/>
      <c r="AB202" s="743"/>
      <c r="AC202" s="743"/>
      <c r="AD202" s="743"/>
      <c r="AE202" s="743"/>
      <c r="AF202" s="743"/>
      <c r="AG202" s="743"/>
      <c r="AH202" s="743"/>
      <c r="BC202" s="159" t="str">
        <f t="shared" si="104"/>
        <v>-</v>
      </c>
      <c r="BD202" s="151"/>
      <c r="BE202" s="153"/>
      <c r="BF202" s="153"/>
      <c r="BG202" s="153"/>
      <c r="BH202" s="153"/>
      <c r="BI202" s="153"/>
      <c r="BJ202" s="153"/>
      <c r="BK202" s="153"/>
      <c r="BL202" s="153"/>
      <c r="BM202" s="150"/>
      <c r="BN202" s="150"/>
      <c r="BO202" s="150"/>
      <c r="BP202" s="150"/>
      <c r="BQ202" s="150"/>
      <c r="BR202" s="150"/>
      <c r="BS202" s="150"/>
      <c r="BT202" s="150"/>
      <c r="BU202" s="150"/>
      <c r="BV202" s="150"/>
      <c r="BW202" s="150"/>
      <c r="BX202" s="150"/>
      <c r="BY202" s="150"/>
      <c r="BZ202" s="150"/>
      <c r="CA202" s="150"/>
      <c r="CB202" s="150"/>
    </row>
    <row r="203" spans="1:80" ht="15" customHeight="1" outlineLevel="1" x14ac:dyDescent="0.25">
      <c r="A203" s="40"/>
      <c r="B203" s="86"/>
      <c r="C203" s="78"/>
      <c r="D203" s="78"/>
      <c r="E203" s="77"/>
      <c r="F203" s="379"/>
      <c r="G203" s="379"/>
      <c r="H203" s="379"/>
      <c r="I203" s="379"/>
      <c r="J203" s="379"/>
      <c r="K203" s="171"/>
      <c r="L203" s="171"/>
      <c r="M203" s="171"/>
      <c r="N203" s="57"/>
      <c r="O203" s="749"/>
      <c r="P203" s="750"/>
      <c r="Q203" s="750"/>
      <c r="R203" s="754"/>
      <c r="S203" s="749"/>
      <c r="T203" s="750"/>
      <c r="U203" s="750"/>
      <c r="V203" s="754"/>
      <c r="W203" s="372"/>
      <c r="X203" s="372"/>
      <c r="Y203" s="743"/>
      <c r="Z203" s="743"/>
      <c r="AA203" s="743"/>
      <c r="AB203" s="743"/>
      <c r="AC203" s="743"/>
      <c r="AD203" s="743"/>
      <c r="AE203" s="743"/>
      <c r="AF203" s="743"/>
      <c r="AG203" s="743"/>
      <c r="AH203" s="743"/>
      <c r="BC203" s="159" t="str">
        <f t="shared" si="104"/>
        <v>-</v>
      </c>
      <c r="BD203" s="151"/>
      <c r="BE203" s="153"/>
      <c r="BF203" s="153"/>
      <c r="BG203" s="153"/>
      <c r="BH203" s="153"/>
      <c r="BI203" s="153"/>
      <c r="BJ203" s="153"/>
      <c r="BK203" s="153"/>
      <c r="BL203" s="153"/>
    </row>
    <row r="204" spans="1:80" ht="15" customHeight="1" outlineLevel="1" x14ac:dyDescent="0.25">
      <c r="A204" s="40"/>
      <c r="B204" s="86"/>
      <c r="C204" s="75"/>
      <c r="D204" s="74"/>
      <c r="E204" s="378"/>
      <c r="F204" s="378"/>
      <c r="G204" s="378"/>
      <c r="H204" s="378"/>
      <c r="I204" s="378"/>
      <c r="J204" s="378"/>
      <c r="K204" s="177"/>
      <c r="L204" s="177"/>
      <c r="M204" s="177"/>
      <c r="N204" s="87"/>
      <c r="O204" s="749"/>
      <c r="P204" s="750"/>
      <c r="Q204" s="750"/>
      <c r="R204" s="754"/>
      <c r="S204" s="749"/>
      <c r="T204" s="750"/>
      <c r="U204" s="750"/>
      <c r="V204" s="754"/>
      <c r="W204" s="372"/>
      <c r="X204" s="372"/>
      <c r="Y204" s="743"/>
      <c r="Z204" s="743"/>
      <c r="AA204" s="743"/>
      <c r="AB204" s="743"/>
      <c r="AC204" s="743"/>
      <c r="AD204" s="743"/>
      <c r="AE204" s="743"/>
      <c r="AF204" s="743"/>
      <c r="AG204" s="743"/>
      <c r="AH204" s="743"/>
      <c r="BC204" s="159" t="str">
        <f t="shared" si="104"/>
        <v>-</v>
      </c>
      <c r="BD204" s="151" t="str">
        <f>"IEF " &amp;B187</f>
        <v>IEF normal</v>
      </c>
      <c r="BE204" s="153">
        <f t="shared" ref="BE204:BL204" si="125">IF(OR($C189="-",$C189="CET",$C189=""),"-",$C189)</f>
        <v>2</v>
      </c>
      <c r="BF204" s="153">
        <f t="shared" si="125"/>
        <v>2</v>
      </c>
      <c r="BG204" s="153">
        <f t="shared" si="125"/>
        <v>2</v>
      </c>
      <c r="BH204" s="153">
        <f t="shared" si="125"/>
        <v>2</v>
      </c>
      <c r="BI204" s="153">
        <f t="shared" si="125"/>
        <v>2</v>
      </c>
      <c r="BJ204" s="153">
        <f t="shared" si="125"/>
        <v>2</v>
      </c>
      <c r="BK204" s="153">
        <f t="shared" si="125"/>
        <v>2</v>
      </c>
      <c r="BL204" s="153">
        <f t="shared" si="125"/>
        <v>2</v>
      </c>
    </row>
    <row r="205" spans="1:80" ht="15" customHeight="1" outlineLevel="1" x14ac:dyDescent="0.25">
      <c r="A205" s="40"/>
      <c r="B205" s="86"/>
      <c r="C205" s="75"/>
      <c r="D205" s="74"/>
      <c r="E205" s="77"/>
      <c r="F205" s="85"/>
      <c r="G205" s="85"/>
      <c r="H205" s="85"/>
      <c r="I205" s="85"/>
      <c r="J205" s="85"/>
      <c r="K205" s="177"/>
      <c r="L205" s="177"/>
      <c r="M205" s="177"/>
      <c r="N205" s="84"/>
      <c r="O205" s="749"/>
      <c r="P205" s="750"/>
      <c r="Q205" s="750"/>
      <c r="R205" s="754"/>
      <c r="S205" s="749"/>
      <c r="T205" s="750"/>
      <c r="U205" s="750"/>
      <c r="V205" s="754"/>
      <c r="W205" s="372"/>
      <c r="X205" s="372"/>
      <c r="Y205" s="743"/>
      <c r="Z205" s="743"/>
      <c r="AA205" s="743"/>
      <c r="AB205" s="743"/>
      <c r="AC205" s="743"/>
      <c r="AD205" s="743"/>
      <c r="AE205" s="743"/>
      <c r="AF205" s="743"/>
      <c r="AG205" s="743"/>
      <c r="AH205" s="743"/>
      <c r="BC205" s="159" t="str">
        <f t="shared" si="104"/>
        <v>-</v>
      </c>
      <c r="BD205" s="151" t="str">
        <f>"IEF " &amp; B192</f>
        <v>IEF aggressive</v>
      </c>
      <c r="BE205" s="153">
        <f t="shared" ref="BE205:BL205" si="126">IF(OR($C194="-",$C194="CET",$C194=""),"-",$C194)</f>
        <v>4</v>
      </c>
      <c r="BF205" s="153">
        <f t="shared" si="126"/>
        <v>4</v>
      </c>
      <c r="BG205" s="153">
        <f t="shared" si="126"/>
        <v>4</v>
      </c>
      <c r="BH205" s="153">
        <f t="shared" si="126"/>
        <v>4</v>
      </c>
      <c r="BI205" s="153">
        <f t="shared" si="126"/>
        <v>4</v>
      </c>
      <c r="BJ205" s="153">
        <f t="shared" si="126"/>
        <v>4</v>
      </c>
      <c r="BK205" s="153">
        <f t="shared" si="126"/>
        <v>4</v>
      </c>
      <c r="BL205" s="153">
        <f t="shared" si="126"/>
        <v>4</v>
      </c>
    </row>
    <row r="206" spans="1:80" ht="15" customHeight="1" outlineLevel="1" thickBot="1" x14ac:dyDescent="0.3">
      <c r="A206" s="40"/>
      <c r="B206" s="83"/>
      <c r="C206" s="82"/>
      <c r="D206" s="81"/>
      <c r="E206" s="80"/>
      <c r="F206" s="80"/>
      <c r="G206" s="80"/>
      <c r="H206" s="80"/>
      <c r="I206" s="80"/>
      <c r="J206" s="80"/>
      <c r="K206" s="178"/>
      <c r="L206" s="178"/>
      <c r="M206" s="178"/>
      <c r="N206" s="79"/>
      <c r="O206" s="751"/>
      <c r="P206" s="752"/>
      <c r="Q206" s="752"/>
      <c r="R206" s="755"/>
      <c r="S206" s="751"/>
      <c r="T206" s="752"/>
      <c r="U206" s="752"/>
      <c r="V206" s="755"/>
      <c r="W206" s="372"/>
      <c r="X206" s="372"/>
      <c r="Y206" s="743"/>
      <c r="Z206" s="743"/>
      <c r="AA206" s="743"/>
      <c r="AB206" s="743"/>
      <c r="AC206" s="743"/>
      <c r="AD206" s="743"/>
      <c r="AE206" s="743"/>
      <c r="AF206" s="743"/>
      <c r="AG206" s="743"/>
      <c r="AH206" s="743"/>
      <c r="BC206" s="159" t="str">
        <f t="shared" si="104"/>
        <v>-</v>
      </c>
      <c r="BD206" s="156"/>
      <c r="BE206" s="156"/>
      <c r="BF206" s="156"/>
      <c r="BG206" s="156"/>
      <c r="BH206" s="156"/>
      <c r="BI206" s="156"/>
      <c r="BJ206" s="156"/>
      <c r="BK206" s="156"/>
      <c r="BL206" s="156"/>
    </row>
    <row r="207" spans="1:80" s="50" customFormat="1" ht="15" customHeight="1" x14ac:dyDescent="0.25">
      <c r="A207" s="52"/>
      <c r="B207" s="76"/>
      <c r="C207" s="78"/>
      <c r="D207" s="78"/>
      <c r="E207" s="77"/>
      <c r="F207" s="379"/>
      <c r="G207" s="379"/>
      <c r="H207" s="379"/>
      <c r="I207" s="379"/>
      <c r="J207" s="379"/>
      <c r="K207" s="171"/>
      <c r="L207" s="171"/>
      <c r="M207" s="171"/>
      <c r="N207" s="379"/>
      <c r="O207" s="72"/>
      <c r="P207" s="72"/>
      <c r="Q207" s="72"/>
      <c r="R207" s="72"/>
      <c r="S207" s="72"/>
      <c r="T207" s="72"/>
      <c r="U207" s="72"/>
      <c r="V207" s="72"/>
      <c r="W207" s="51"/>
      <c r="X207" s="51"/>
      <c r="Y207" s="743"/>
      <c r="Z207" s="743"/>
      <c r="AA207" s="743"/>
      <c r="AB207" s="743"/>
      <c r="AC207" s="743"/>
      <c r="AD207" s="743"/>
      <c r="AE207" s="743"/>
      <c r="AF207" s="743"/>
      <c r="AG207" s="743"/>
      <c r="AH207" s="743"/>
      <c r="BC207" s="159" t="str">
        <f t="shared" si="104"/>
        <v>-</v>
      </c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0"/>
      <c r="BN207" s="150"/>
      <c r="BO207" s="150"/>
      <c r="BP207" s="150"/>
      <c r="BQ207" s="150"/>
      <c r="BR207" s="150"/>
      <c r="BS207" s="150"/>
      <c r="BT207" s="150"/>
      <c r="BU207" s="150"/>
      <c r="BV207" s="150"/>
      <c r="BW207" s="150"/>
      <c r="BX207" s="150"/>
      <c r="BY207" s="150"/>
      <c r="BZ207" s="150"/>
      <c r="CA207" s="150"/>
      <c r="CB207" s="150"/>
    </row>
    <row r="208" spans="1:80" ht="15" customHeight="1" x14ac:dyDescent="0.25">
      <c r="A208" s="40"/>
      <c r="B208" s="76"/>
      <c r="C208" s="78"/>
      <c r="D208" s="78"/>
      <c r="E208" s="77"/>
      <c r="F208" s="379"/>
      <c r="G208" s="379"/>
      <c r="H208" s="379"/>
      <c r="I208" s="379"/>
      <c r="J208" s="379"/>
      <c r="K208" s="171"/>
      <c r="L208" s="171"/>
      <c r="M208" s="171"/>
      <c r="N208" s="379"/>
      <c r="O208" s="72"/>
      <c r="P208" s="72"/>
      <c r="Q208" s="72"/>
      <c r="R208" s="72"/>
      <c r="S208" s="72"/>
      <c r="T208" s="72"/>
      <c r="U208" s="72"/>
      <c r="V208" s="72"/>
      <c r="W208" s="372"/>
      <c r="X208" s="372"/>
      <c r="Y208" s="743"/>
      <c r="Z208" s="743"/>
      <c r="AA208" s="743"/>
      <c r="AB208" s="743"/>
      <c r="AC208" s="743"/>
      <c r="AD208" s="743"/>
      <c r="AE208" s="743"/>
      <c r="AF208" s="743"/>
      <c r="AG208" s="743"/>
      <c r="AH208" s="743"/>
      <c r="BC208" s="159" t="str">
        <f t="shared" si="104"/>
        <v>-</v>
      </c>
      <c r="BD208" s="156"/>
      <c r="BE208" s="156"/>
      <c r="BF208" s="156"/>
      <c r="BG208" s="156"/>
      <c r="BH208" s="156"/>
      <c r="BI208" s="156"/>
      <c r="BJ208" s="156"/>
      <c r="BK208" s="156"/>
      <c r="BL208" s="156"/>
    </row>
    <row r="209" spans="1:80" ht="15" customHeight="1" thickBot="1" x14ac:dyDescent="0.3">
      <c r="A209" s="40"/>
      <c r="B209" s="76"/>
      <c r="C209" s="75"/>
      <c r="D209" s="74"/>
      <c r="E209" s="378"/>
      <c r="F209" s="378"/>
      <c r="G209" s="378"/>
      <c r="H209" s="378"/>
      <c r="I209" s="378"/>
      <c r="J209" s="378"/>
      <c r="K209" s="177"/>
      <c r="L209" s="177"/>
      <c r="M209" s="177"/>
      <c r="N209" s="378"/>
      <c r="O209" s="72"/>
      <c r="P209" s="72"/>
      <c r="Q209" s="72"/>
      <c r="R209" s="72"/>
      <c r="S209" s="72"/>
      <c r="T209" s="72"/>
      <c r="U209" s="72"/>
      <c r="V209" s="72"/>
      <c r="W209" s="372"/>
      <c r="X209" s="372"/>
      <c r="Y209" s="743"/>
      <c r="Z209" s="743"/>
      <c r="AA209" s="743"/>
      <c r="AB209" s="743"/>
      <c r="AC209" s="743"/>
      <c r="AD209" s="743"/>
      <c r="AE209" s="743"/>
      <c r="AF209" s="743"/>
      <c r="AG209" s="743"/>
      <c r="AH209" s="743"/>
      <c r="BC209" s="159" t="str">
        <f t="shared" si="104"/>
        <v>-</v>
      </c>
      <c r="BD209" s="156"/>
      <c r="BE209" s="156"/>
      <c r="BF209" s="156"/>
      <c r="BG209" s="156"/>
      <c r="BH209" s="156"/>
      <c r="BI209" s="156"/>
      <c r="BJ209" s="156"/>
      <c r="BK209" s="156"/>
      <c r="BL209" s="156"/>
    </row>
    <row r="210" spans="1:80" ht="24.95" customHeight="1" thickBot="1" x14ac:dyDescent="0.3">
      <c r="A210" s="362"/>
      <c r="B210" s="185">
        <v>8</v>
      </c>
      <c r="C210" s="757" t="s">
        <v>52</v>
      </c>
      <c r="D210" s="758"/>
      <c r="E210" s="758"/>
      <c r="F210" s="758"/>
      <c r="G210" s="758"/>
      <c r="H210" s="758"/>
      <c r="I210" s="758"/>
      <c r="J210" s="758"/>
      <c r="K210" s="758"/>
      <c r="L210" s="758"/>
      <c r="M210" s="758"/>
      <c r="N210" s="759"/>
      <c r="O210" s="49" t="s">
        <v>79</v>
      </c>
      <c r="P210" s="71" t="str">
        <f>IF(COUNTIF(F218:M243,"refused")&gt;0,"refused",IF(COUNTIF(F218:M243,"failed")&gt;0,"failed",IF(COUNTIF(F218:M243,"passed")&gt;0,"passed","-")))</f>
        <v>-</v>
      </c>
      <c r="Q210" s="70" t="s">
        <v>80</v>
      </c>
      <c r="R210" s="70" t="str">
        <f>IF(COUNT(F214:M215,F219:M220,F224:M225,F229:M230,F234:M235,F239:M240)&gt;0,"listed","not listed")</f>
        <v>not listed</v>
      </c>
      <c r="S210" s="114">
        <f>MAX(D216,D221,D226,D231,D236,D241)</f>
        <v>0</v>
      </c>
      <c r="T210" s="43"/>
      <c r="U210" s="43"/>
      <c r="V210" s="44"/>
      <c r="W210" s="47"/>
      <c r="X210" s="47"/>
      <c r="Y210" s="756"/>
      <c r="Z210" s="756"/>
      <c r="AA210" s="756"/>
      <c r="AB210" s="756"/>
      <c r="AC210" s="756"/>
      <c r="AD210" s="756"/>
      <c r="AE210" s="756"/>
      <c r="AF210" s="756"/>
      <c r="AG210" s="756"/>
      <c r="AH210" s="756"/>
      <c r="BC210" s="159" t="str">
        <f t="shared" si="104"/>
        <v>-</v>
      </c>
    </row>
    <row r="211" spans="1:80" ht="15" customHeight="1" outlineLevel="1" thickBot="1" x14ac:dyDescent="0.3">
      <c r="A211" s="362"/>
      <c r="B211" s="373"/>
      <c r="C211" s="374"/>
      <c r="D211" s="374"/>
      <c r="E211" s="374"/>
      <c r="F211" s="374"/>
      <c r="G211" s="374"/>
      <c r="H211" s="374"/>
      <c r="I211" s="374"/>
      <c r="J211" s="374"/>
      <c r="K211" s="162"/>
      <c r="L211" s="162"/>
      <c r="M211" s="162"/>
      <c r="N211" s="374"/>
      <c r="O211" s="374"/>
      <c r="P211" s="374"/>
      <c r="Q211" s="374"/>
      <c r="R211" s="374"/>
      <c r="S211" s="374"/>
      <c r="T211" s="45"/>
      <c r="U211" s="45"/>
      <c r="V211" s="46"/>
      <c r="W211" s="372"/>
      <c r="X211" s="372"/>
      <c r="Y211" s="743"/>
      <c r="Z211" s="743"/>
      <c r="AA211" s="743"/>
      <c r="AB211" s="743"/>
      <c r="AC211" s="743"/>
      <c r="AD211" s="743"/>
      <c r="AE211" s="743"/>
      <c r="AF211" s="743"/>
      <c r="AG211" s="743"/>
      <c r="AH211" s="743"/>
      <c r="BC211" s="159" t="str">
        <f t="shared" ref="BC211:BC243" si="127">IF(COUNTIF(F211:M211,"refused")&gt;0,"refused",IF(COUNTIF(F211:M211,"failed")&gt;0,"failed",IF(COUNTIF(F211:M211,"passed")&gt;0,"passed","-")))</f>
        <v>-</v>
      </c>
      <c r="BD211" s="151" t="s">
        <v>85</v>
      </c>
      <c r="BE211" s="152" t="s">
        <v>86</v>
      </c>
      <c r="BF211" s="152" t="s">
        <v>87</v>
      </c>
      <c r="BG211" s="152" t="s">
        <v>88</v>
      </c>
      <c r="BH211" s="152" t="s">
        <v>89</v>
      </c>
      <c r="BI211" s="152" t="s">
        <v>90</v>
      </c>
      <c r="BJ211" s="152" t="s">
        <v>91</v>
      </c>
      <c r="BK211" s="152" t="s">
        <v>91</v>
      </c>
      <c r="BL211" s="152" t="s">
        <v>91</v>
      </c>
    </row>
    <row r="212" spans="1:80" ht="15" customHeight="1" outlineLevel="1" thickBot="1" x14ac:dyDescent="0.3">
      <c r="A212" s="362"/>
      <c r="B212" s="744" t="s">
        <v>81</v>
      </c>
      <c r="C212" s="745"/>
      <c r="D212" s="745"/>
      <c r="E212" s="745"/>
      <c r="F212" s="745"/>
      <c r="G212" s="745"/>
      <c r="H212" s="745"/>
      <c r="I212" s="745"/>
      <c r="J212" s="745"/>
      <c r="K212" s="745"/>
      <c r="L212" s="745"/>
      <c r="M212" s="745"/>
      <c r="N212" s="746"/>
      <c r="O212" s="744" t="s">
        <v>82</v>
      </c>
      <c r="P212" s="745"/>
      <c r="Q212" s="745"/>
      <c r="R212" s="746"/>
      <c r="S212" s="744" t="s">
        <v>83</v>
      </c>
      <c r="T212" s="745"/>
      <c r="U212" s="745"/>
      <c r="V212" s="746"/>
      <c r="W212" s="372"/>
      <c r="X212" s="372"/>
      <c r="Y212" s="743"/>
      <c r="Z212" s="743"/>
      <c r="AA212" s="743"/>
      <c r="AB212" s="743"/>
      <c r="AC212" s="743"/>
      <c r="AD212" s="743"/>
      <c r="AE212" s="743"/>
      <c r="AF212" s="743"/>
      <c r="AG212" s="743"/>
      <c r="AH212" s="743"/>
      <c r="BC212" s="159" t="str">
        <f t="shared" si="127"/>
        <v>-</v>
      </c>
      <c r="BD212" s="151" t="str">
        <f>$E$4</f>
        <v>US EPA Tier 2 Bin 11</v>
      </c>
      <c r="BE212" s="153">
        <v>1</v>
      </c>
      <c r="BF212" s="153">
        <v>1</v>
      </c>
      <c r="BG212" s="153">
        <v>1</v>
      </c>
      <c r="BH212" s="153">
        <v>1</v>
      </c>
      <c r="BI212" s="153">
        <v>1</v>
      </c>
      <c r="BJ212" s="153">
        <v>1</v>
      </c>
      <c r="BK212" s="153">
        <v>2</v>
      </c>
      <c r="BL212" s="153">
        <v>3</v>
      </c>
    </row>
    <row r="213" spans="1:80" ht="35.1" customHeight="1" outlineLevel="1" thickBot="1" x14ac:dyDescent="0.3">
      <c r="A213" s="362"/>
      <c r="B213" s="767" t="s">
        <v>84</v>
      </c>
      <c r="C213" s="768"/>
      <c r="D213" s="768"/>
      <c r="E213" s="769"/>
      <c r="F213" s="69" t="s">
        <v>72</v>
      </c>
      <c r="G213" s="377" t="s">
        <v>73</v>
      </c>
      <c r="H213" s="69" t="s">
        <v>74</v>
      </c>
      <c r="I213" s="69" t="s">
        <v>75</v>
      </c>
      <c r="J213" s="69" t="s">
        <v>76</v>
      </c>
      <c r="K213" s="163" t="s">
        <v>170</v>
      </c>
      <c r="L213" s="380" t="str">
        <f>$L$4</f>
        <v>Additional
component</v>
      </c>
      <c r="M213" s="380" t="str">
        <f>$M$4</f>
        <v>Additional
component 2</v>
      </c>
      <c r="N213" s="69" t="s">
        <v>77</v>
      </c>
      <c r="O213" s="747"/>
      <c r="P213" s="748"/>
      <c r="Q213" s="748"/>
      <c r="R213" s="748"/>
      <c r="S213" s="747"/>
      <c r="T213" s="748"/>
      <c r="U213" s="748"/>
      <c r="V213" s="753"/>
      <c r="W213" s="372"/>
      <c r="X213" s="372"/>
      <c r="Y213" s="743"/>
      <c r="Z213" s="743"/>
      <c r="AA213" s="743"/>
      <c r="AB213" s="743"/>
      <c r="AC213" s="743"/>
      <c r="AD213" s="743"/>
      <c r="AE213" s="743"/>
      <c r="AF213" s="743"/>
      <c r="AG213" s="743"/>
      <c r="AH213" s="743"/>
      <c r="BC213" s="159" t="str">
        <f t="shared" si="127"/>
        <v>-</v>
      </c>
      <c r="BD213" s="151" t="str">
        <f>"1st " &amp;  B214</f>
        <v>1st City (unweighted)</v>
      </c>
      <c r="BE213" s="153" t="str">
        <f t="shared" ref="BE213:BL213" si="128">IF((OR($C216="-",$C216="CET",$C216="")),"-",IF(AND(OR(F214="-",F214=""),OR(F215="-",F215="")),"-",IF(NOT(OR(F214="-",F214="")),F214/F$5,F215/F$5)))</f>
        <v>-</v>
      </c>
      <c r="BF213" s="153" t="str">
        <f t="shared" si="128"/>
        <v>-</v>
      </c>
      <c r="BG213" s="153" t="str">
        <f t="shared" si="128"/>
        <v>-</v>
      </c>
      <c r="BH213" s="153" t="str">
        <f t="shared" si="128"/>
        <v>-</v>
      </c>
      <c r="BI213" s="153" t="str">
        <f t="shared" si="128"/>
        <v>-</v>
      </c>
      <c r="BJ213" s="153" t="str">
        <f t="shared" si="128"/>
        <v>-</v>
      </c>
      <c r="BK213" s="153" t="str">
        <f t="shared" si="128"/>
        <v>-</v>
      </c>
      <c r="BL213" s="153" t="str">
        <f t="shared" si="128"/>
        <v>-</v>
      </c>
    </row>
    <row r="214" spans="1:80" s="50" customFormat="1" ht="15" customHeight="1" outlineLevel="1" x14ac:dyDescent="0.25">
      <c r="A214" s="53"/>
      <c r="B214" s="800" t="s">
        <v>107</v>
      </c>
      <c r="C214" s="770" t="s">
        <v>114</v>
      </c>
      <c r="D214" s="770" t="s">
        <v>113</v>
      </c>
      <c r="E214" s="106" t="s">
        <v>94</v>
      </c>
      <c r="F214" s="105" t="s">
        <v>5</v>
      </c>
      <c r="G214" s="105" t="s">
        <v>5</v>
      </c>
      <c r="H214" s="105" t="s">
        <v>5</v>
      </c>
      <c r="I214" s="105" t="s">
        <v>5</v>
      </c>
      <c r="J214" s="105" t="s">
        <v>5</v>
      </c>
      <c r="K214" s="173" t="s">
        <v>5</v>
      </c>
      <c r="L214" s="173" t="s">
        <v>5</v>
      </c>
      <c r="M214" s="173" t="s">
        <v>5</v>
      </c>
      <c r="N214" s="105" t="s">
        <v>5</v>
      </c>
      <c r="O214" s="749"/>
      <c r="P214" s="750"/>
      <c r="Q214" s="750"/>
      <c r="R214" s="750"/>
      <c r="S214" s="749"/>
      <c r="T214" s="750"/>
      <c r="U214" s="750"/>
      <c r="V214" s="754"/>
      <c r="W214" s="51"/>
      <c r="X214" s="51"/>
      <c r="Y214" s="743"/>
      <c r="Z214" s="743"/>
      <c r="AA214" s="743"/>
      <c r="AB214" s="743"/>
      <c r="AC214" s="743"/>
      <c r="AD214" s="743"/>
      <c r="AE214" s="743"/>
      <c r="AF214" s="743"/>
      <c r="AG214" s="743"/>
      <c r="AH214" s="743"/>
      <c r="BC214" s="159" t="str">
        <f t="shared" si="127"/>
        <v>-</v>
      </c>
      <c r="BD214" s="151" t="str">
        <f>"1st " &amp; B219</f>
        <v>1st City (EMROAD)</v>
      </c>
      <c r="BE214" s="153" t="str">
        <f t="shared" ref="BE214:BL214" si="129">IF((OR($C221="-",$C221="CET",$C221="")),"-",IF(AND(OR(F219="-",F219=""),OR(F220="-",F220="")),"-",IF(NOT(OR(F219="-",F219="")),F219/F$5,F220/F$5)))</f>
        <v>-</v>
      </c>
      <c r="BF214" s="153" t="str">
        <f t="shared" si="129"/>
        <v>-</v>
      </c>
      <c r="BG214" s="153" t="str">
        <f t="shared" si="129"/>
        <v>-</v>
      </c>
      <c r="BH214" s="153" t="str">
        <f t="shared" si="129"/>
        <v>-</v>
      </c>
      <c r="BI214" s="153" t="str">
        <f t="shared" si="129"/>
        <v>-</v>
      </c>
      <c r="BJ214" s="153" t="str">
        <f t="shared" si="129"/>
        <v>-</v>
      </c>
      <c r="BK214" s="153" t="str">
        <f t="shared" si="129"/>
        <v>-</v>
      </c>
      <c r="BL214" s="153" t="str">
        <f t="shared" si="129"/>
        <v>-</v>
      </c>
      <c r="BM214" s="150"/>
      <c r="BN214" s="150"/>
      <c r="BO214" s="150"/>
      <c r="BP214" s="150"/>
      <c r="BQ214" s="150"/>
      <c r="BR214" s="150"/>
      <c r="BS214" s="150"/>
      <c r="BT214" s="150"/>
      <c r="BU214" s="150"/>
      <c r="BV214" s="150"/>
      <c r="BW214" s="150"/>
      <c r="BX214" s="150"/>
      <c r="BY214" s="150"/>
      <c r="BZ214" s="150"/>
      <c r="CA214" s="150"/>
      <c r="CB214" s="150"/>
    </row>
    <row r="215" spans="1:80" ht="15" customHeight="1" outlineLevel="1" thickBot="1" x14ac:dyDescent="0.3">
      <c r="A215" s="362"/>
      <c r="B215" s="801"/>
      <c r="C215" s="741"/>
      <c r="D215" s="742"/>
      <c r="E215" s="104" t="s">
        <v>95</v>
      </c>
      <c r="F215" s="103" t="s">
        <v>5</v>
      </c>
      <c r="G215" s="103" t="s">
        <v>5</v>
      </c>
      <c r="H215" s="103" t="s">
        <v>5</v>
      </c>
      <c r="I215" s="103" t="s">
        <v>5</v>
      </c>
      <c r="J215" s="103" t="s">
        <v>5</v>
      </c>
      <c r="K215" s="174" t="s">
        <v>5</v>
      </c>
      <c r="L215" s="174" t="s">
        <v>5</v>
      </c>
      <c r="M215" s="174" t="s">
        <v>5</v>
      </c>
      <c r="N215" s="103" t="s">
        <v>5</v>
      </c>
      <c r="O215" s="749"/>
      <c r="P215" s="750"/>
      <c r="Q215" s="750"/>
      <c r="R215" s="750"/>
      <c r="S215" s="749"/>
      <c r="T215" s="750"/>
      <c r="U215" s="750"/>
      <c r="V215" s="754"/>
      <c r="W215" s="372"/>
      <c r="X215" s="372"/>
      <c r="Y215" s="743"/>
      <c r="Z215" s="743"/>
      <c r="AA215" s="743"/>
      <c r="AB215" s="743"/>
      <c r="AC215" s="743"/>
      <c r="AD215" s="743"/>
      <c r="AE215" s="743"/>
      <c r="AF215" s="743"/>
      <c r="AG215" s="743"/>
      <c r="AH215" s="743"/>
      <c r="BC215" s="159" t="str">
        <f t="shared" si="127"/>
        <v>-</v>
      </c>
      <c r="BD215" s="151" t="str">
        <f>"1st " &amp; B224</f>
        <v>1st City
 (SPF)</v>
      </c>
      <c r="BE215" s="153" t="str">
        <f t="shared" ref="BE215:BL215" si="130">IF((OR($C226="-",$C226="CET",$C226="")),"-",IF(AND(OR(F224="-",F224=""),OR(F225="-",F225="")),"-",IF(NOT(OR(F224="-",F224="")),F224/F$5,F225/F$5)))</f>
        <v>-</v>
      </c>
      <c r="BF215" s="153" t="str">
        <f t="shared" si="130"/>
        <v>-</v>
      </c>
      <c r="BG215" s="153" t="str">
        <f t="shared" si="130"/>
        <v>-</v>
      </c>
      <c r="BH215" s="153" t="str">
        <f t="shared" si="130"/>
        <v>-</v>
      </c>
      <c r="BI215" s="153" t="str">
        <f t="shared" si="130"/>
        <v>-</v>
      </c>
      <c r="BJ215" s="153" t="str">
        <f t="shared" si="130"/>
        <v>-</v>
      </c>
      <c r="BK215" s="153" t="str">
        <f t="shared" si="130"/>
        <v>-</v>
      </c>
      <c r="BL215" s="153" t="str">
        <f t="shared" si="130"/>
        <v>-</v>
      </c>
    </row>
    <row r="216" spans="1:80" ht="15" customHeight="1" outlineLevel="1" thickBot="1" x14ac:dyDescent="0.3">
      <c r="A216" s="362"/>
      <c r="B216" s="801"/>
      <c r="C216" s="764">
        <v>4</v>
      </c>
      <c r="D216" s="772" t="str">
        <f>IF(AND(F216="-",G216="-",H216="-",I216="-",J216="-",K216="-",L216="-",M216="-"),"-",MAX(F216,G216,H216,I216,J216,K216,L216,M216))</f>
        <v>-</v>
      </c>
      <c r="E216" s="66" t="s">
        <v>177</v>
      </c>
      <c r="F216" s="65" t="str">
        <f t="shared" ref="F216:M216" si="131">IF(OR(F215="-",F215=""),IF(OR(F214="-",F214=""),"-",F214),IF(OR(F214="-",F214=""),F215,(F214+F215)/2))</f>
        <v>-</v>
      </c>
      <c r="G216" s="65" t="str">
        <f t="shared" si="131"/>
        <v>-</v>
      </c>
      <c r="H216" s="65" t="str">
        <f t="shared" si="131"/>
        <v>-</v>
      </c>
      <c r="I216" s="65" t="str">
        <f t="shared" si="131"/>
        <v>-</v>
      </c>
      <c r="J216" s="65" t="str">
        <f t="shared" si="131"/>
        <v>-</v>
      </c>
      <c r="K216" s="167" t="str">
        <f t="shared" si="131"/>
        <v>-</v>
      </c>
      <c r="L216" s="167" t="str">
        <f t="shared" si="131"/>
        <v>-</v>
      </c>
      <c r="M216" s="167" t="str">
        <f t="shared" si="131"/>
        <v>-</v>
      </c>
      <c r="N216" s="740"/>
      <c r="O216" s="749"/>
      <c r="P216" s="750"/>
      <c r="Q216" s="750"/>
      <c r="R216" s="750"/>
      <c r="S216" s="749"/>
      <c r="T216" s="750"/>
      <c r="U216" s="750"/>
      <c r="V216" s="754"/>
      <c r="W216" s="372"/>
      <c r="X216" s="372"/>
      <c r="Y216" s="743"/>
      <c r="Z216" s="743"/>
      <c r="AA216" s="743"/>
      <c r="AB216" s="743"/>
      <c r="AC216" s="743"/>
      <c r="AD216" s="743"/>
      <c r="AE216" s="743"/>
      <c r="AF216" s="743"/>
      <c r="AG216" s="743"/>
      <c r="AH216" s="743"/>
      <c r="BC216" s="159" t="str">
        <f t="shared" si="127"/>
        <v>-</v>
      </c>
      <c r="BD216" s="151" t="str">
        <f>"1st " &amp; B229</f>
        <v>1st Total (unweighted)</v>
      </c>
      <c r="BE216" s="153" t="str">
        <f t="shared" ref="BE216:BL216" si="132">IF((OR($C231="-",$C231="CET",$C231="")),"-",IF(AND(OR(F229="-",F229=""),OR(F230="-",F230="")),"-",IF(NOT(OR(F229="-",F229="")),F229/F$5,F230/F$5)))</f>
        <v>-</v>
      </c>
      <c r="BF216" s="153" t="str">
        <f t="shared" si="132"/>
        <v>-</v>
      </c>
      <c r="BG216" s="153" t="str">
        <f t="shared" si="132"/>
        <v>-</v>
      </c>
      <c r="BH216" s="153" t="str">
        <f t="shared" si="132"/>
        <v>-</v>
      </c>
      <c r="BI216" s="153" t="str">
        <f t="shared" si="132"/>
        <v>-</v>
      </c>
      <c r="BJ216" s="153" t="str">
        <f t="shared" si="132"/>
        <v>-</v>
      </c>
      <c r="BK216" s="153" t="str">
        <f t="shared" si="132"/>
        <v>-</v>
      </c>
      <c r="BL216" s="153" t="str">
        <f t="shared" si="132"/>
        <v>-</v>
      </c>
    </row>
    <row r="217" spans="1:80" ht="15" customHeight="1" outlineLevel="1" thickBot="1" x14ac:dyDescent="0.3">
      <c r="A217" s="362"/>
      <c r="B217" s="801"/>
      <c r="C217" s="765"/>
      <c r="D217" s="773"/>
      <c r="E217" s="64" t="s">
        <v>97</v>
      </c>
      <c r="F217" s="63" t="str">
        <f t="shared" ref="F217:M217" si="133">IF(OR($C216="-",$C216="CET",$C216=""),"-",IF(AND(NOT(F216="-"),NOT(F$5="-"),NOT(F$5="")),F216/F$5,"-"))</f>
        <v>-</v>
      </c>
      <c r="G217" s="63" t="str">
        <f t="shared" si="133"/>
        <v>-</v>
      </c>
      <c r="H217" s="63" t="str">
        <f t="shared" si="133"/>
        <v>-</v>
      </c>
      <c r="I217" s="63" t="str">
        <f t="shared" si="133"/>
        <v>-</v>
      </c>
      <c r="J217" s="63" t="str">
        <f t="shared" si="133"/>
        <v>-</v>
      </c>
      <c r="K217" s="168" t="str">
        <f t="shared" si="133"/>
        <v>-</v>
      </c>
      <c r="L217" s="168" t="str">
        <f t="shared" si="133"/>
        <v>-</v>
      </c>
      <c r="M217" s="168" t="str">
        <f t="shared" si="133"/>
        <v>-</v>
      </c>
      <c r="N217" s="741"/>
      <c r="O217" s="749"/>
      <c r="P217" s="750"/>
      <c r="Q217" s="750"/>
      <c r="R217" s="750"/>
      <c r="S217" s="749"/>
      <c r="T217" s="750"/>
      <c r="U217" s="750"/>
      <c r="V217" s="754"/>
      <c r="W217" s="372"/>
      <c r="X217" s="372"/>
      <c r="Y217" s="743"/>
      <c r="Z217" s="743"/>
      <c r="AA217" s="743"/>
      <c r="AB217" s="743"/>
      <c r="AC217" s="743"/>
      <c r="AD217" s="743"/>
      <c r="AE217" s="743"/>
      <c r="AF217" s="743"/>
      <c r="AG217" s="743"/>
      <c r="AH217" s="743"/>
      <c r="BC217" s="159" t="str">
        <f t="shared" si="127"/>
        <v>-</v>
      </c>
      <c r="BD217" s="151" t="str">
        <f>"1st " &amp; B234</f>
        <v>1st Total (EMROAD)</v>
      </c>
      <c r="BE217" s="153" t="str">
        <f t="shared" ref="BE217:BL217" si="134">IF((OR($C236="-",$C236="CET",$C236="")),"-",IF(AND(OR(F234="-",F234=""),OR(F235="-",F235="")),"-",IF(NOT(OR(F234="-",F234="")),F234/F$5,F235/F$5)))</f>
        <v>-</v>
      </c>
      <c r="BF217" s="153" t="str">
        <f t="shared" si="134"/>
        <v>-</v>
      </c>
      <c r="BG217" s="153" t="str">
        <f t="shared" si="134"/>
        <v>-</v>
      </c>
      <c r="BH217" s="153" t="str">
        <f t="shared" si="134"/>
        <v>-</v>
      </c>
      <c r="BI217" s="153" t="str">
        <f t="shared" si="134"/>
        <v>-</v>
      </c>
      <c r="BJ217" s="153" t="str">
        <f t="shared" si="134"/>
        <v>-</v>
      </c>
      <c r="BK217" s="153" t="str">
        <f t="shared" si="134"/>
        <v>-</v>
      </c>
      <c r="BL217" s="153" t="str">
        <f t="shared" si="134"/>
        <v>-</v>
      </c>
    </row>
    <row r="218" spans="1:80" ht="15" customHeight="1" outlineLevel="1" thickBot="1" x14ac:dyDescent="0.3">
      <c r="A218" s="362"/>
      <c r="B218" s="802"/>
      <c r="C218" s="771"/>
      <c r="D218" s="774"/>
      <c r="E218" s="68" t="s">
        <v>30</v>
      </c>
      <c r="F218" s="62" t="str">
        <f t="shared" ref="F218:M218" si="135">IF(AND(OR(F214="-",F214=""),OR(F215="-",F215="")),"-",IF(OR($C216="-",$C216="",$C216="CET"),"-",IF($R$210="not listed","-",IF(NOT(F$5="-"),IF(AND(AND(NOT(F214=0),NOT(F214="-"),NOT(F214="")),AND(NOT(F215="-"),NOT(F215=0),NOT(F215=""))),IF(AND((F214+F215)/2&lt;1*F$5*IF(OR($C216="CET",$C216="-",$C216=""),"-",$C216),F214&lt;1.1*F$5*IF(OR($C216="CET",$C216="-",$C216=""),"-",$C216),F215&lt;1.1*F$5*IF(OR($C216="CET",$C216="-",$C216=""),"-",$C216)),"passed","refused"),IF(IF(OR(F214="-",F214=""),F215,F214)&lt;0.7*F$5*IF(OR($C216="CET",$C216="-",$C216=""),"-",$C216),"passed",IF(IF(OR(F214="-",F214=""),F215,F214)&lt;1.1*IF(OR($C216="CET",$C216="-",$C216=""),"-",$C216)*F$5,"failed","refused"))),"-"))))</f>
        <v>-</v>
      </c>
      <c r="G218" s="62" t="str">
        <f t="shared" si="135"/>
        <v>-</v>
      </c>
      <c r="H218" s="62" t="str">
        <f t="shared" si="135"/>
        <v>-</v>
      </c>
      <c r="I218" s="62" t="str">
        <f t="shared" si="135"/>
        <v>-</v>
      </c>
      <c r="J218" s="62" t="str">
        <f t="shared" si="135"/>
        <v>-</v>
      </c>
      <c r="K218" s="169" t="str">
        <f t="shared" si="135"/>
        <v>-</v>
      </c>
      <c r="L218" s="169" t="str">
        <f t="shared" si="135"/>
        <v>-</v>
      </c>
      <c r="M218" s="169" t="str">
        <f t="shared" si="135"/>
        <v>-</v>
      </c>
      <c r="N218" s="742"/>
      <c r="O218" s="749"/>
      <c r="P218" s="750"/>
      <c r="Q218" s="750"/>
      <c r="R218" s="750"/>
      <c r="S218" s="749"/>
      <c r="T218" s="750"/>
      <c r="U218" s="750"/>
      <c r="V218" s="754"/>
      <c r="W218" s="372"/>
      <c r="X218" s="372"/>
      <c r="Y218" s="743"/>
      <c r="Z218" s="743"/>
      <c r="AA218" s="743"/>
      <c r="AB218" s="743"/>
      <c r="AC218" s="743"/>
      <c r="AD218" s="743"/>
      <c r="AE218" s="743"/>
      <c r="AF218" s="743"/>
      <c r="AG218" s="743"/>
      <c r="AH218" s="743"/>
      <c r="BC218" s="159" t="str">
        <f t="shared" si="127"/>
        <v>-</v>
      </c>
      <c r="BD218" s="151" t="str">
        <f>"1st " &amp; B239</f>
        <v>1st Total (SPF)</v>
      </c>
      <c r="BE218" s="153" t="str">
        <f t="shared" ref="BE218:BL218" si="136">IF((OR($C241="-",$C241="CET",$C241="")),"-",IF(AND(OR(F239="-",F239=""),OR(F240="-",F240="")),"-",IF(NOT(OR(F239="-",F239="")),F239/F$5,F240/F$5)))</f>
        <v>-</v>
      </c>
      <c r="BF218" s="153" t="str">
        <f t="shared" si="136"/>
        <v>-</v>
      </c>
      <c r="BG218" s="153" t="str">
        <f t="shared" si="136"/>
        <v>-</v>
      </c>
      <c r="BH218" s="153" t="str">
        <f t="shared" si="136"/>
        <v>-</v>
      </c>
      <c r="BI218" s="153" t="str">
        <f t="shared" si="136"/>
        <v>-</v>
      </c>
      <c r="BJ218" s="153" t="str">
        <f t="shared" si="136"/>
        <v>-</v>
      </c>
      <c r="BK218" s="153" t="str">
        <f t="shared" si="136"/>
        <v>-</v>
      </c>
      <c r="BL218" s="153" t="str">
        <f t="shared" si="136"/>
        <v>-</v>
      </c>
    </row>
    <row r="219" spans="1:80" s="50" customFormat="1" ht="15" customHeight="1" outlineLevel="1" x14ac:dyDescent="0.25">
      <c r="A219" s="53"/>
      <c r="B219" s="800" t="s">
        <v>106</v>
      </c>
      <c r="C219" s="770" t="s">
        <v>114</v>
      </c>
      <c r="D219" s="770" t="s">
        <v>113</v>
      </c>
      <c r="E219" s="106" t="s">
        <v>94</v>
      </c>
      <c r="F219" s="105" t="s">
        <v>5</v>
      </c>
      <c r="G219" s="105" t="s">
        <v>5</v>
      </c>
      <c r="H219" s="105" t="s">
        <v>5</v>
      </c>
      <c r="I219" s="105" t="s">
        <v>5</v>
      </c>
      <c r="J219" s="105" t="s">
        <v>5</v>
      </c>
      <c r="K219" s="173" t="s">
        <v>5</v>
      </c>
      <c r="L219" s="173" t="s">
        <v>5</v>
      </c>
      <c r="M219" s="173" t="s">
        <v>5</v>
      </c>
      <c r="N219" s="105" t="s">
        <v>5</v>
      </c>
      <c r="O219" s="749"/>
      <c r="P219" s="750"/>
      <c r="Q219" s="750"/>
      <c r="R219" s="750"/>
      <c r="S219" s="749"/>
      <c r="T219" s="750"/>
      <c r="U219" s="750"/>
      <c r="V219" s="754"/>
      <c r="W219" s="51"/>
      <c r="X219" s="51"/>
      <c r="Y219" s="743"/>
      <c r="Z219" s="743"/>
      <c r="AA219" s="743"/>
      <c r="AB219" s="743"/>
      <c r="AC219" s="743"/>
      <c r="AD219" s="743"/>
      <c r="AE219" s="743"/>
      <c r="AF219" s="743"/>
      <c r="AG219" s="743"/>
      <c r="AH219" s="743"/>
      <c r="BC219" s="159" t="str">
        <f t="shared" si="127"/>
        <v>-</v>
      </c>
      <c r="BD219" s="151" t="str">
        <f>"0.7*IEF " &amp; (B214)</f>
        <v>0.7*IEF City (unweighted)</v>
      </c>
      <c r="BE219" s="153">
        <f t="shared" ref="BE219:BL219" si="137">IF(OR($C216="-",$C216="CET",$C216=""),"-",0.7*$C216)</f>
        <v>2.8</v>
      </c>
      <c r="BF219" s="153">
        <f t="shared" si="137"/>
        <v>2.8</v>
      </c>
      <c r="BG219" s="153">
        <f t="shared" si="137"/>
        <v>2.8</v>
      </c>
      <c r="BH219" s="153">
        <f t="shared" si="137"/>
        <v>2.8</v>
      </c>
      <c r="BI219" s="153">
        <f t="shared" si="137"/>
        <v>2.8</v>
      </c>
      <c r="BJ219" s="153">
        <f t="shared" si="137"/>
        <v>2.8</v>
      </c>
      <c r="BK219" s="153">
        <f t="shared" si="137"/>
        <v>2.8</v>
      </c>
      <c r="BL219" s="153">
        <f t="shared" si="137"/>
        <v>2.8</v>
      </c>
      <c r="BM219" s="150"/>
      <c r="BN219" s="150"/>
      <c r="BO219" s="150"/>
      <c r="BP219" s="150"/>
      <c r="BQ219" s="150"/>
      <c r="BR219" s="150"/>
      <c r="BS219" s="150"/>
      <c r="BT219" s="150"/>
      <c r="BU219" s="150"/>
      <c r="BV219" s="150"/>
      <c r="BW219" s="150"/>
      <c r="BX219" s="150"/>
      <c r="BY219" s="150"/>
      <c r="BZ219" s="150"/>
      <c r="CA219" s="150"/>
      <c r="CB219" s="150"/>
    </row>
    <row r="220" spans="1:80" ht="15" customHeight="1" outlineLevel="1" thickBot="1" x14ac:dyDescent="0.3">
      <c r="A220" s="362"/>
      <c r="B220" s="801"/>
      <c r="C220" s="741"/>
      <c r="D220" s="742"/>
      <c r="E220" s="104" t="s">
        <v>95</v>
      </c>
      <c r="F220" s="103" t="s">
        <v>5</v>
      </c>
      <c r="G220" s="103" t="s">
        <v>5</v>
      </c>
      <c r="H220" s="103" t="s">
        <v>5</v>
      </c>
      <c r="I220" s="103" t="s">
        <v>5</v>
      </c>
      <c r="J220" s="103" t="s">
        <v>5</v>
      </c>
      <c r="K220" s="174" t="s">
        <v>5</v>
      </c>
      <c r="L220" s="174" t="s">
        <v>5</v>
      </c>
      <c r="M220" s="174" t="s">
        <v>5</v>
      </c>
      <c r="N220" s="103" t="s">
        <v>5</v>
      </c>
      <c r="O220" s="749"/>
      <c r="P220" s="750"/>
      <c r="Q220" s="750"/>
      <c r="R220" s="750"/>
      <c r="S220" s="749"/>
      <c r="T220" s="750"/>
      <c r="U220" s="750"/>
      <c r="V220" s="754"/>
      <c r="W220" s="372"/>
      <c r="X220" s="372"/>
      <c r="Y220" s="743"/>
      <c r="Z220" s="743"/>
      <c r="AA220" s="743"/>
      <c r="AB220" s="743"/>
      <c r="AC220" s="743"/>
      <c r="AD220" s="743"/>
      <c r="AE220" s="743"/>
      <c r="AF220" s="743"/>
      <c r="AG220" s="743"/>
      <c r="AH220" s="743"/>
      <c r="BC220" s="159" t="str">
        <f t="shared" si="127"/>
        <v>-</v>
      </c>
      <c r="BD220" s="151" t="str">
        <f>"0.7*IEF " &amp; B219</f>
        <v>0.7*IEF City (EMROAD)</v>
      </c>
      <c r="BE220" s="153">
        <f t="shared" ref="BE220:BL220" si="138">IF(OR($C221="-",$C221="CET",$C221=""),"-",0.7*$C221)</f>
        <v>2.8</v>
      </c>
      <c r="BF220" s="153">
        <f t="shared" si="138"/>
        <v>2.8</v>
      </c>
      <c r="BG220" s="153">
        <f t="shared" si="138"/>
        <v>2.8</v>
      </c>
      <c r="BH220" s="153">
        <f t="shared" si="138"/>
        <v>2.8</v>
      </c>
      <c r="BI220" s="153">
        <f t="shared" si="138"/>
        <v>2.8</v>
      </c>
      <c r="BJ220" s="153">
        <f t="shared" si="138"/>
        <v>2.8</v>
      </c>
      <c r="BK220" s="153">
        <f t="shared" si="138"/>
        <v>2.8</v>
      </c>
      <c r="BL220" s="153">
        <f t="shared" si="138"/>
        <v>2.8</v>
      </c>
    </row>
    <row r="221" spans="1:80" ht="15" customHeight="1" outlineLevel="1" thickBot="1" x14ac:dyDescent="0.3">
      <c r="A221" s="362"/>
      <c r="B221" s="801"/>
      <c r="C221" s="764">
        <v>4</v>
      </c>
      <c r="D221" s="772" t="str">
        <f>IF(AND(F221="-",G221="-",H221="-",I221="-",J221="-",K221="-",L221="-",M221="-"),"-",MAX(F221,G221,H221,I221,J221,K221,L221,M221))</f>
        <v>-</v>
      </c>
      <c r="E221" s="66" t="s">
        <v>177</v>
      </c>
      <c r="F221" s="65" t="str">
        <f t="shared" ref="F221:M221" si="139">IF(OR(F220="-",F220=""),IF(OR(F219="-",F219=""),"-",F219),IF(OR(F219="-",F219=""),F220,(F219+F220)/2))</f>
        <v>-</v>
      </c>
      <c r="G221" s="65" t="str">
        <f t="shared" si="139"/>
        <v>-</v>
      </c>
      <c r="H221" s="65" t="str">
        <f t="shared" si="139"/>
        <v>-</v>
      </c>
      <c r="I221" s="65" t="str">
        <f t="shared" si="139"/>
        <v>-</v>
      </c>
      <c r="J221" s="65" t="str">
        <f t="shared" si="139"/>
        <v>-</v>
      </c>
      <c r="K221" s="167" t="str">
        <f t="shared" si="139"/>
        <v>-</v>
      </c>
      <c r="L221" s="167" t="str">
        <f t="shared" si="139"/>
        <v>-</v>
      </c>
      <c r="M221" s="167" t="str">
        <f t="shared" si="139"/>
        <v>-</v>
      </c>
      <c r="N221" s="740"/>
      <c r="O221" s="749"/>
      <c r="P221" s="750"/>
      <c r="Q221" s="750"/>
      <c r="R221" s="750"/>
      <c r="S221" s="749"/>
      <c r="T221" s="750"/>
      <c r="U221" s="750"/>
      <c r="V221" s="754"/>
      <c r="W221" s="372"/>
      <c r="X221" s="372"/>
      <c r="Y221" s="743"/>
      <c r="Z221" s="743"/>
      <c r="AA221" s="743"/>
      <c r="AB221" s="743"/>
      <c r="AC221" s="743"/>
      <c r="AD221" s="743"/>
      <c r="AE221" s="743"/>
      <c r="AF221" s="743"/>
      <c r="AG221" s="743"/>
      <c r="AH221" s="743"/>
      <c r="BC221" s="159" t="str">
        <f t="shared" si="127"/>
        <v>-</v>
      </c>
      <c r="BD221" s="151" t="str">
        <f>"0.7*IEF " &amp; B224</f>
        <v>0.7*IEF City
 (SPF)</v>
      </c>
      <c r="BE221" s="153">
        <f t="shared" ref="BE221:BL221" si="140">IF(OR($C226="-",$C226="CET",$C226=""),"-",0.7*$C226)</f>
        <v>2.8</v>
      </c>
      <c r="BF221" s="153">
        <f t="shared" si="140"/>
        <v>2.8</v>
      </c>
      <c r="BG221" s="153">
        <f t="shared" si="140"/>
        <v>2.8</v>
      </c>
      <c r="BH221" s="153">
        <f t="shared" si="140"/>
        <v>2.8</v>
      </c>
      <c r="BI221" s="153">
        <f t="shared" si="140"/>
        <v>2.8</v>
      </c>
      <c r="BJ221" s="153">
        <f t="shared" si="140"/>
        <v>2.8</v>
      </c>
      <c r="BK221" s="153">
        <f t="shared" si="140"/>
        <v>2.8</v>
      </c>
      <c r="BL221" s="153">
        <f t="shared" si="140"/>
        <v>2.8</v>
      </c>
    </row>
    <row r="222" spans="1:80" ht="15" customHeight="1" outlineLevel="1" thickBot="1" x14ac:dyDescent="0.3">
      <c r="A222" s="40"/>
      <c r="B222" s="801"/>
      <c r="C222" s="765"/>
      <c r="D222" s="773"/>
      <c r="E222" s="64" t="s">
        <v>97</v>
      </c>
      <c r="F222" s="63" t="str">
        <f t="shared" ref="F222:M222" si="141">IF(OR($C221="-",$C221="CET",$C221=""),"-",IF(AND(NOT(F221="-"),NOT(F$5="-"),NOT(F$5="")),F221/F$5,"-"))</f>
        <v>-</v>
      </c>
      <c r="G222" s="63" t="str">
        <f t="shared" si="141"/>
        <v>-</v>
      </c>
      <c r="H222" s="63" t="str">
        <f t="shared" si="141"/>
        <v>-</v>
      </c>
      <c r="I222" s="63" t="str">
        <f t="shared" si="141"/>
        <v>-</v>
      </c>
      <c r="J222" s="63" t="str">
        <f t="shared" si="141"/>
        <v>-</v>
      </c>
      <c r="K222" s="168" t="str">
        <f t="shared" si="141"/>
        <v>-</v>
      </c>
      <c r="L222" s="168" t="str">
        <f t="shared" si="141"/>
        <v>-</v>
      </c>
      <c r="M222" s="168" t="str">
        <f t="shared" si="141"/>
        <v>-</v>
      </c>
      <c r="N222" s="741"/>
      <c r="O222" s="749"/>
      <c r="P222" s="750"/>
      <c r="Q222" s="750"/>
      <c r="R222" s="750"/>
      <c r="S222" s="749"/>
      <c r="T222" s="750"/>
      <c r="U222" s="750"/>
      <c r="V222" s="754"/>
      <c r="W222" s="372"/>
      <c r="X222" s="372"/>
      <c r="Y222" s="743"/>
      <c r="Z222" s="743"/>
      <c r="AA222" s="743"/>
      <c r="AB222" s="743"/>
      <c r="AC222" s="743"/>
      <c r="AD222" s="743"/>
      <c r="AE222" s="743"/>
      <c r="AF222" s="743"/>
      <c r="AG222" s="743"/>
      <c r="AH222" s="743"/>
      <c r="BC222" s="159" t="str">
        <f t="shared" si="127"/>
        <v>-</v>
      </c>
      <c r="BD222" s="151" t="str">
        <f>"0.7*IEF " &amp; B229</f>
        <v>0.7*IEF Total (unweighted)</v>
      </c>
      <c r="BE222" s="153">
        <f t="shared" ref="BE222:BL222" si="142">IF(OR($C231="-",$C231="CET",$C231=""),"-",0.7*$C231)</f>
        <v>2.8</v>
      </c>
      <c r="BF222" s="153">
        <f t="shared" si="142"/>
        <v>2.8</v>
      </c>
      <c r="BG222" s="153">
        <f t="shared" si="142"/>
        <v>2.8</v>
      </c>
      <c r="BH222" s="153">
        <f t="shared" si="142"/>
        <v>2.8</v>
      </c>
      <c r="BI222" s="153">
        <f t="shared" si="142"/>
        <v>2.8</v>
      </c>
      <c r="BJ222" s="153">
        <f t="shared" si="142"/>
        <v>2.8</v>
      </c>
      <c r="BK222" s="153">
        <f t="shared" si="142"/>
        <v>2.8</v>
      </c>
      <c r="BL222" s="153">
        <f t="shared" si="142"/>
        <v>2.8</v>
      </c>
    </row>
    <row r="223" spans="1:80" ht="15" customHeight="1" outlineLevel="1" thickBot="1" x14ac:dyDescent="0.3">
      <c r="A223" s="40"/>
      <c r="B223" s="802"/>
      <c r="C223" s="771"/>
      <c r="D223" s="774"/>
      <c r="E223" s="62" t="s">
        <v>30</v>
      </c>
      <c r="F223" s="62" t="str">
        <f t="shared" ref="F223:M223" si="143">IF(AND(OR(F219="-",F219=""),OR(F220="-",F220="")),"-",IF(OR($C221="-",$C221="",$C221="CET"),"-",IF($R$210="not listed","-",IF(NOT(F$5="-"),IF(AND(AND(NOT(F219=0),NOT(F219="-"),NOT(F219="")),AND(NOT(F220="-"),NOT(F220=0),NOT(F220=""))),IF(AND((F219+F220)/2&lt;1*F$5*IF(OR($C221="CET",$C221="-",$C221=""),"-",$C221),F219&lt;1.1*F$5*IF(OR($C221="CET",$C221="-",$C221=""),"-",$C221),F220&lt;1.1*F$5*IF(OR($C221="CET",$C221="-",$C221=""),"-",$C221)),"passed","refused"),IF(IF(OR(F219="-",F219=""),F220,F219)&lt;0.7*F$5*IF(OR($C221="CET",$C221="-",$C221=""),"-",$C221),"passed",IF(IF(OR(F219="-",F219=""),F220,F219)&lt;1.1*IF(OR($C221="CET",$C221="-",$C221=""),"-",$C221)*F$5,"failed","refused"))),"-"))))</f>
        <v>-</v>
      </c>
      <c r="G223" s="62" t="str">
        <f t="shared" si="143"/>
        <v>-</v>
      </c>
      <c r="H223" s="62" t="str">
        <f t="shared" si="143"/>
        <v>-</v>
      </c>
      <c r="I223" s="62" t="str">
        <f t="shared" si="143"/>
        <v>-</v>
      </c>
      <c r="J223" s="62" t="str">
        <f t="shared" si="143"/>
        <v>-</v>
      </c>
      <c r="K223" s="169" t="str">
        <f t="shared" si="143"/>
        <v>-</v>
      </c>
      <c r="L223" s="169" t="str">
        <f t="shared" si="143"/>
        <v>-</v>
      </c>
      <c r="M223" s="169" t="str">
        <f t="shared" si="143"/>
        <v>-</v>
      </c>
      <c r="N223" s="742"/>
      <c r="O223" s="749"/>
      <c r="P223" s="750"/>
      <c r="Q223" s="750"/>
      <c r="R223" s="750"/>
      <c r="S223" s="749"/>
      <c r="T223" s="750"/>
      <c r="U223" s="750"/>
      <c r="V223" s="754"/>
      <c r="W223" s="372"/>
      <c r="X223" s="372"/>
      <c r="Y223" s="743"/>
      <c r="Z223" s="743"/>
      <c r="AA223" s="743"/>
      <c r="AB223" s="743"/>
      <c r="AC223" s="743"/>
      <c r="AD223" s="743"/>
      <c r="AE223" s="743"/>
      <c r="AF223" s="743"/>
      <c r="AG223" s="743"/>
      <c r="AH223" s="743"/>
      <c r="BC223" s="159" t="str">
        <f t="shared" si="127"/>
        <v>-</v>
      </c>
      <c r="BD223" s="151" t="str">
        <f>"0.7*IEF " &amp; B234</f>
        <v>0.7*IEF Total (EMROAD)</v>
      </c>
      <c r="BE223" s="153">
        <f t="shared" ref="BE223:BL223" si="144">IF(OR($C236="-",$C236="CET",$C236=""),"-",0.7*$C236)</f>
        <v>2.8</v>
      </c>
      <c r="BF223" s="153">
        <f t="shared" si="144"/>
        <v>2.8</v>
      </c>
      <c r="BG223" s="153">
        <f t="shared" si="144"/>
        <v>2.8</v>
      </c>
      <c r="BH223" s="153">
        <f t="shared" si="144"/>
        <v>2.8</v>
      </c>
      <c r="BI223" s="153">
        <f t="shared" si="144"/>
        <v>2.8</v>
      </c>
      <c r="BJ223" s="153">
        <f t="shared" si="144"/>
        <v>2.8</v>
      </c>
      <c r="BK223" s="153">
        <f t="shared" si="144"/>
        <v>2.8</v>
      </c>
      <c r="BL223" s="153">
        <f t="shared" si="144"/>
        <v>2.8</v>
      </c>
    </row>
    <row r="224" spans="1:80" s="50" customFormat="1" ht="15" customHeight="1" outlineLevel="1" x14ac:dyDescent="0.25">
      <c r="A224" s="52"/>
      <c r="B224" s="797" t="s">
        <v>141</v>
      </c>
      <c r="C224" s="770" t="s">
        <v>114</v>
      </c>
      <c r="D224" s="770" t="s">
        <v>113</v>
      </c>
      <c r="E224" s="106" t="s">
        <v>94</v>
      </c>
      <c r="F224" s="105" t="s">
        <v>5</v>
      </c>
      <c r="G224" s="105" t="s">
        <v>5</v>
      </c>
      <c r="H224" s="105" t="s">
        <v>5</v>
      </c>
      <c r="I224" s="105" t="s">
        <v>5</v>
      </c>
      <c r="J224" s="105" t="s">
        <v>5</v>
      </c>
      <c r="K224" s="173" t="s">
        <v>5</v>
      </c>
      <c r="L224" s="173" t="s">
        <v>5</v>
      </c>
      <c r="M224" s="173" t="s">
        <v>5</v>
      </c>
      <c r="N224" s="105" t="s">
        <v>5</v>
      </c>
      <c r="O224" s="749"/>
      <c r="P224" s="750"/>
      <c r="Q224" s="750"/>
      <c r="R224" s="750"/>
      <c r="S224" s="749"/>
      <c r="T224" s="750"/>
      <c r="U224" s="750"/>
      <c r="V224" s="754"/>
      <c r="W224" s="51"/>
      <c r="X224" s="51"/>
      <c r="Y224" s="743"/>
      <c r="Z224" s="743"/>
      <c r="AA224" s="743"/>
      <c r="AB224" s="743"/>
      <c r="AC224" s="743"/>
      <c r="AD224" s="743"/>
      <c r="AE224" s="743"/>
      <c r="AF224" s="743"/>
      <c r="AG224" s="743"/>
      <c r="AH224" s="743"/>
      <c r="BC224" s="159" t="str">
        <f t="shared" si="127"/>
        <v>-</v>
      </c>
      <c r="BD224" s="151" t="str">
        <f>"0.7*IEF " &amp; B239</f>
        <v>0.7*IEF Total (SPF)</v>
      </c>
      <c r="BE224" s="153">
        <f t="shared" ref="BE224:BL224" si="145">IF(OR($C241="-",$C241="CET",$C241=""),"-",0.7*$C241)</f>
        <v>2.8</v>
      </c>
      <c r="BF224" s="153">
        <f t="shared" si="145"/>
        <v>2.8</v>
      </c>
      <c r="BG224" s="153">
        <f t="shared" si="145"/>
        <v>2.8</v>
      </c>
      <c r="BH224" s="153">
        <f t="shared" si="145"/>
        <v>2.8</v>
      </c>
      <c r="BI224" s="153">
        <f t="shared" si="145"/>
        <v>2.8</v>
      </c>
      <c r="BJ224" s="153">
        <f t="shared" si="145"/>
        <v>2.8</v>
      </c>
      <c r="BK224" s="153">
        <f t="shared" si="145"/>
        <v>2.8</v>
      </c>
      <c r="BL224" s="153">
        <f t="shared" si="145"/>
        <v>2.8</v>
      </c>
      <c r="BM224" s="150"/>
      <c r="BN224" s="150"/>
      <c r="BO224" s="150"/>
      <c r="BP224" s="150"/>
      <c r="BQ224" s="150"/>
      <c r="BR224" s="150"/>
      <c r="BS224" s="150"/>
      <c r="BT224" s="150"/>
      <c r="BU224" s="150"/>
      <c r="BV224" s="150"/>
      <c r="BW224" s="150"/>
      <c r="BX224" s="150"/>
      <c r="BY224" s="150"/>
      <c r="BZ224" s="150"/>
      <c r="CA224" s="150"/>
      <c r="CB224" s="150"/>
    </row>
    <row r="225" spans="1:80" ht="15" customHeight="1" outlineLevel="1" thickBot="1" x14ac:dyDescent="0.3">
      <c r="A225" s="40"/>
      <c r="B225" s="798"/>
      <c r="C225" s="741"/>
      <c r="D225" s="742"/>
      <c r="E225" s="104" t="s">
        <v>95</v>
      </c>
      <c r="F225" s="103" t="s">
        <v>5</v>
      </c>
      <c r="G225" s="103" t="s">
        <v>5</v>
      </c>
      <c r="H225" s="103" t="s">
        <v>5</v>
      </c>
      <c r="I225" s="103" t="s">
        <v>5</v>
      </c>
      <c r="J225" s="103" t="s">
        <v>5</v>
      </c>
      <c r="K225" s="174" t="s">
        <v>5</v>
      </c>
      <c r="L225" s="174" t="s">
        <v>5</v>
      </c>
      <c r="M225" s="174" t="s">
        <v>5</v>
      </c>
      <c r="N225" s="103" t="s">
        <v>5</v>
      </c>
      <c r="O225" s="749"/>
      <c r="P225" s="750"/>
      <c r="Q225" s="750"/>
      <c r="R225" s="750"/>
      <c r="S225" s="749"/>
      <c r="T225" s="750"/>
      <c r="U225" s="750"/>
      <c r="V225" s="754"/>
      <c r="W225" s="372"/>
      <c r="X225" s="372"/>
      <c r="Y225" s="743"/>
      <c r="Z225" s="743"/>
      <c r="AA225" s="743"/>
      <c r="AB225" s="743"/>
      <c r="AC225" s="743"/>
      <c r="AD225" s="743"/>
      <c r="AE225" s="743"/>
      <c r="AF225" s="743"/>
      <c r="AG225" s="743"/>
      <c r="AH225" s="743"/>
      <c r="BC225" s="159" t="str">
        <f t="shared" si="127"/>
        <v>-</v>
      </c>
      <c r="BD225" s="151" t="str">
        <f>$B214</f>
        <v>City (unweighted)</v>
      </c>
      <c r="BE225" s="153" t="str">
        <f t="shared" ref="BE225:BL225" si="146">F217</f>
        <v>-</v>
      </c>
      <c r="BF225" s="153" t="str">
        <f t="shared" si="146"/>
        <v>-</v>
      </c>
      <c r="BG225" s="153" t="str">
        <f t="shared" si="146"/>
        <v>-</v>
      </c>
      <c r="BH225" s="153" t="str">
        <f t="shared" si="146"/>
        <v>-</v>
      </c>
      <c r="BI225" s="153" t="str">
        <f t="shared" si="146"/>
        <v>-</v>
      </c>
      <c r="BJ225" s="153" t="str">
        <f t="shared" si="146"/>
        <v>-</v>
      </c>
      <c r="BK225" s="153" t="str">
        <f t="shared" si="146"/>
        <v>-</v>
      </c>
      <c r="BL225" s="153" t="str">
        <f t="shared" si="146"/>
        <v>-</v>
      </c>
    </row>
    <row r="226" spans="1:80" ht="15" customHeight="1" outlineLevel="1" thickBot="1" x14ac:dyDescent="0.3">
      <c r="A226" s="40"/>
      <c r="B226" s="798"/>
      <c r="C226" s="764">
        <v>4</v>
      </c>
      <c r="D226" s="772" t="str">
        <f>IF(AND(F226="-",G226="-",H226="-",I226="-",J226="-",K226="-",L226="-",M226="-"),"-",MAX(F226,G226,H226,I226,J226,K226,L226,M226))</f>
        <v>-</v>
      </c>
      <c r="E226" s="66" t="s">
        <v>177</v>
      </c>
      <c r="F226" s="65" t="str">
        <f t="shared" ref="F226:M226" si="147">IF(OR(F225="-",F225=""),IF(OR(F224="-",F224=""),"-",F224),IF(OR(F224="-",F224=""),F225,(F224+F225)/2))</f>
        <v>-</v>
      </c>
      <c r="G226" s="65" t="str">
        <f t="shared" si="147"/>
        <v>-</v>
      </c>
      <c r="H226" s="65" t="str">
        <f t="shared" si="147"/>
        <v>-</v>
      </c>
      <c r="I226" s="65" t="str">
        <f t="shared" si="147"/>
        <v>-</v>
      </c>
      <c r="J226" s="65" t="str">
        <f t="shared" si="147"/>
        <v>-</v>
      </c>
      <c r="K226" s="167" t="str">
        <f t="shared" si="147"/>
        <v>-</v>
      </c>
      <c r="L226" s="167" t="str">
        <f t="shared" si="147"/>
        <v>-</v>
      </c>
      <c r="M226" s="167" t="str">
        <f t="shared" si="147"/>
        <v>-</v>
      </c>
      <c r="N226" s="740"/>
      <c r="O226" s="749"/>
      <c r="P226" s="750"/>
      <c r="Q226" s="750"/>
      <c r="R226" s="750"/>
      <c r="S226" s="749"/>
      <c r="T226" s="750"/>
      <c r="U226" s="750"/>
      <c r="V226" s="754"/>
      <c r="W226" s="372"/>
      <c r="X226" s="372"/>
      <c r="Y226" s="743"/>
      <c r="Z226" s="743"/>
      <c r="AA226" s="743"/>
      <c r="AB226" s="743"/>
      <c r="AC226" s="743"/>
      <c r="AD226" s="743"/>
      <c r="AE226" s="743"/>
      <c r="AF226" s="743"/>
      <c r="AG226" s="743"/>
      <c r="AH226" s="743"/>
      <c r="BC226" s="159" t="str">
        <f t="shared" si="127"/>
        <v>-</v>
      </c>
      <c r="BD226" s="151" t="str">
        <f>$B219</f>
        <v>City (EMROAD)</v>
      </c>
      <c r="BE226" s="153" t="str">
        <f t="shared" ref="BE226:BL226" si="148">F222</f>
        <v>-</v>
      </c>
      <c r="BF226" s="153" t="str">
        <f t="shared" si="148"/>
        <v>-</v>
      </c>
      <c r="BG226" s="153" t="str">
        <f t="shared" si="148"/>
        <v>-</v>
      </c>
      <c r="BH226" s="153" t="str">
        <f t="shared" si="148"/>
        <v>-</v>
      </c>
      <c r="BI226" s="153" t="str">
        <f t="shared" si="148"/>
        <v>-</v>
      </c>
      <c r="BJ226" s="153" t="str">
        <f t="shared" si="148"/>
        <v>-</v>
      </c>
      <c r="BK226" s="153" t="str">
        <f t="shared" si="148"/>
        <v>-</v>
      </c>
      <c r="BL226" s="153" t="str">
        <f t="shared" si="148"/>
        <v>-</v>
      </c>
    </row>
    <row r="227" spans="1:80" ht="15" customHeight="1" outlineLevel="1" thickBot="1" x14ac:dyDescent="0.3">
      <c r="A227" s="40"/>
      <c r="B227" s="798"/>
      <c r="C227" s="765"/>
      <c r="D227" s="773"/>
      <c r="E227" s="64" t="s">
        <v>97</v>
      </c>
      <c r="F227" s="63" t="str">
        <f t="shared" ref="F227:M227" si="149">IF(OR($C226="-",$C226="CET",$C226=""),"-",IF(AND(NOT(F226="-"),NOT(F$5="-"),NOT(F$5="")),F226/F$5,"-"))</f>
        <v>-</v>
      </c>
      <c r="G227" s="63" t="str">
        <f t="shared" si="149"/>
        <v>-</v>
      </c>
      <c r="H227" s="63" t="str">
        <f t="shared" si="149"/>
        <v>-</v>
      </c>
      <c r="I227" s="63" t="str">
        <f t="shared" si="149"/>
        <v>-</v>
      </c>
      <c r="J227" s="63" t="str">
        <f t="shared" si="149"/>
        <v>-</v>
      </c>
      <c r="K227" s="168" t="str">
        <f t="shared" si="149"/>
        <v>-</v>
      </c>
      <c r="L227" s="168" t="str">
        <f t="shared" si="149"/>
        <v>-</v>
      </c>
      <c r="M227" s="168" t="str">
        <f t="shared" si="149"/>
        <v>-</v>
      </c>
      <c r="N227" s="741"/>
      <c r="O227" s="749"/>
      <c r="P227" s="750"/>
      <c r="Q227" s="750"/>
      <c r="R227" s="750"/>
      <c r="S227" s="749"/>
      <c r="T227" s="750"/>
      <c r="U227" s="750"/>
      <c r="V227" s="754"/>
      <c r="W227" s="372"/>
      <c r="X227" s="372"/>
      <c r="Y227" s="743"/>
      <c r="Z227" s="743"/>
      <c r="AA227" s="743"/>
      <c r="AB227" s="743"/>
      <c r="AC227" s="743"/>
      <c r="AD227" s="743"/>
      <c r="AE227" s="743"/>
      <c r="AF227" s="743"/>
      <c r="AG227" s="743"/>
      <c r="AH227" s="743"/>
      <c r="BC227" s="159" t="str">
        <f t="shared" si="127"/>
        <v>-</v>
      </c>
      <c r="BD227" s="151" t="str">
        <f>$B224</f>
        <v>City
 (SPF)</v>
      </c>
      <c r="BE227" s="153" t="str">
        <f t="shared" ref="BE227:BL227" si="150">F227</f>
        <v>-</v>
      </c>
      <c r="BF227" s="153" t="str">
        <f t="shared" si="150"/>
        <v>-</v>
      </c>
      <c r="BG227" s="153" t="str">
        <f t="shared" si="150"/>
        <v>-</v>
      </c>
      <c r="BH227" s="153" t="str">
        <f t="shared" si="150"/>
        <v>-</v>
      </c>
      <c r="BI227" s="153" t="str">
        <f t="shared" si="150"/>
        <v>-</v>
      </c>
      <c r="BJ227" s="153" t="str">
        <f t="shared" si="150"/>
        <v>-</v>
      </c>
      <c r="BK227" s="153" t="str">
        <f t="shared" si="150"/>
        <v>-</v>
      </c>
      <c r="BL227" s="153" t="str">
        <f t="shared" si="150"/>
        <v>-</v>
      </c>
    </row>
    <row r="228" spans="1:80" ht="15" customHeight="1" outlineLevel="1" thickBot="1" x14ac:dyDescent="0.3">
      <c r="A228" s="40"/>
      <c r="B228" s="799"/>
      <c r="C228" s="771"/>
      <c r="D228" s="774"/>
      <c r="E228" s="62" t="s">
        <v>30</v>
      </c>
      <c r="F228" s="62" t="str">
        <f t="shared" ref="F228:M228" si="151">IF(AND(OR(F224="-",F224=""),OR(F225="-",F225="")),"-",IF(OR($C226="-",$C226="",$C226="CET"),"-",IF($R$210="not listed","-",IF(NOT(F$5="-"),IF(AND(AND(NOT(F224=0),NOT(F224="-"),NOT(F224="")),AND(NOT(F225="-"),NOT(F225=0),NOT(F225=""))),IF(AND((F224+F225)/2&lt;1*F$5*IF(OR($C226="CET",$C226="-",$C226=""),"-",$C226),F224&lt;1.1*F$5*IF(OR($C226="CET",$C226="-",$C226=""),"-",$C226),F225&lt;1.1*F$5*IF(OR($C226="CET",$C226="-",$C226=""),"-",$C226)),"passed","refused"),IF(IF(OR(F224="-",F224=""),F225,F224)&lt;0.7*F$5*IF(OR($C226="CET",$C226="-",$C226=""),"-",$C226),"passed",IF(IF(OR(F224="-",F224=""),F225,F224)&lt;1.1*IF(OR($C226="CET",$C226="-",$C226=""),"-",$C226)*F$5,"failed","refused"))),"-"))))</f>
        <v>-</v>
      </c>
      <c r="G228" s="62" t="str">
        <f t="shared" si="151"/>
        <v>-</v>
      </c>
      <c r="H228" s="62" t="str">
        <f t="shared" si="151"/>
        <v>-</v>
      </c>
      <c r="I228" s="62" t="str">
        <f t="shared" si="151"/>
        <v>-</v>
      </c>
      <c r="J228" s="62" t="str">
        <f t="shared" si="151"/>
        <v>-</v>
      </c>
      <c r="K228" s="169" t="str">
        <f t="shared" si="151"/>
        <v>-</v>
      </c>
      <c r="L228" s="169" t="str">
        <f t="shared" si="151"/>
        <v>-</v>
      </c>
      <c r="M228" s="169" t="str">
        <f t="shared" si="151"/>
        <v>-</v>
      </c>
      <c r="N228" s="742"/>
      <c r="O228" s="749"/>
      <c r="P228" s="750"/>
      <c r="Q228" s="750"/>
      <c r="R228" s="750"/>
      <c r="S228" s="749"/>
      <c r="T228" s="750"/>
      <c r="U228" s="750"/>
      <c r="V228" s="754"/>
      <c r="W228" s="372"/>
      <c r="X228" s="372"/>
      <c r="Y228" s="743"/>
      <c r="Z228" s="743"/>
      <c r="AA228" s="743"/>
      <c r="AB228" s="743"/>
      <c r="AC228" s="743"/>
      <c r="AD228" s="743"/>
      <c r="AE228" s="743"/>
      <c r="AF228" s="743"/>
      <c r="AG228" s="743"/>
      <c r="AH228" s="743"/>
      <c r="BC228" s="159" t="str">
        <f t="shared" si="127"/>
        <v>-</v>
      </c>
      <c r="BD228" s="151" t="str">
        <f>$B229</f>
        <v>Total (unweighted)</v>
      </c>
      <c r="BE228" s="153" t="str">
        <f t="shared" ref="BE228:BL228" si="152">F232</f>
        <v>-</v>
      </c>
      <c r="BF228" s="153" t="str">
        <f t="shared" si="152"/>
        <v>-</v>
      </c>
      <c r="BG228" s="153" t="str">
        <f t="shared" si="152"/>
        <v>-</v>
      </c>
      <c r="BH228" s="153" t="str">
        <f t="shared" si="152"/>
        <v>-</v>
      </c>
      <c r="BI228" s="153" t="str">
        <f t="shared" si="152"/>
        <v>-</v>
      </c>
      <c r="BJ228" s="153" t="str">
        <f t="shared" si="152"/>
        <v>-</v>
      </c>
      <c r="BK228" s="153" t="str">
        <f t="shared" si="152"/>
        <v>-</v>
      </c>
      <c r="BL228" s="153" t="str">
        <f t="shared" si="152"/>
        <v>-</v>
      </c>
    </row>
    <row r="229" spans="1:80" s="50" customFormat="1" ht="15" customHeight="1" outlineLevel="1" x14ac:dyDescent="0.25">
      <c r="A229" s="52"/>
      <c r="B229" s="800" t="s">
        <v>105</v>
      </c>
      <c r="C229" s="770" t="s">
        <v>114</v>
      </c>
      <c r="D229" s="770" t="s">
        <v>113</v>
      </c>
      <c r="E229" s="106" t="s">
        <v>94</v>
      </c>
      <c r="F229" s="105" t="s">
        <v>5</v>
      </c>
      <c r="G229" s="105" t="s">
        <v>5</v>
      </c>
      <c r="H229" s="105" t="s">
        <v>5</v>
      </c>
      <c r="I229" s="105" t="s">
        <v>5</v>
      </c>
      <c r="J229" s="105" t="s">
        <v>5</v>
      </c>
      <c r="K229" s="173" t="s">
        <v>5</v>
      </c>
      <c r="L229" s="173" t="s">
        <v>5</v>
      </c>
      <c r="M229" s="173" t="s">
        <v>5</v>
      </c>
      <c r="N229" s="105" t="s">
        <v>5</v>
      </c>
      <c r="O229" s="749"/>
      <c r="P229" s="750"/>
      <c r="Q229" s="750"/>
      <c r="R229" s="750"/>
      <c r="S229" s="749"/>
      <c r="T229" s="750"/>
      <c r="U229" s="750"/>
      <c r="V229" s="754"/>
      <c r="W229" s="51"/>
      <c r="X229" s="51"/>
      <c r="Y229" s="743"/>
      <c r="Z229" s="743"/>
      <c r="AA229" s="743"/>
      <c r="AB229" s="743"/>
      <c r="AC229" s="743"/>
      <c r="AD229" s="743"/>
      <c r="AE229" s="743"/>
      <c r="AF229" s="743"/>
      <c r="AG229" s="743"/>
      <c r="AH229" s="743"/>
      <c r="BC229" s="159" t="str">
        <f t="shared" si="127"/>
        <v>-</v>
      </c>
      <c r="BD229" s="151" t="str">
        <f>$B234</f>
        <v>Total (EMROAD)</v>
      </c>
      <c r="BE229" s="153" t="str">
        <f t="shared" ref="BE229:BL229" si="153">F237</f>
        <v>-</v>
      </c>
      <c r="BF229" s="153" t="str">
        <f t="shared" si="153"/>
        <v>-</v>
      </c>
      <c r="BG229" s="153" t="str">
        <f t="shared" si="153"/>
        <v>-</v>
      </c>
      <c r="BH229" s="153" t="str">
        <f t="shared" si="153"/>
        <v>-</v>
      </c>
      <c r="BI229" s="153" t="str">
        <f t="shared" si="153"/>
        <v>-</v>
      </c>
      <c r="BJ229" s="153" t="str">
        <f t="shared" si="153"/>
        <v>-</v>
      </c>
      <c r="BK229" s="153" t="str">
        <f t="shared" si="153"/>
        <v>-</v>
      </c>
      <c r="BL229" s="153" t="str">
        <f t="shared" si="153"/>
        <v>-</v>
      </c>
      <c r="BM229" s="150"/>
      <c r="BN229" s="150"/>
      <c r="BO229" s="150"/>
      <c r="BP229" s="150"/>
      <c r="BQ229" s="150"/>
      <c r="BR229" s="150"/>
      <c r="BS229" s="150"/>
      <c r="BT229" s="150"/>
      <c r="BU229" s="150"/>
      <c r="BV229" s="150"/>
      <c r="BW229" s="150"/>
      <c r="BX229" s="150"/>
      <c r="BY229" s="150"/>
      <c r="BZ229" s="150"/>
      <c r="CA229" s="150"/>
      <c r="CB229" s="150"/>
    </row>
    <row r="230" spans="1:80" ht="15" customHeight="1" outlineLevel="1" thickBot="1" x14ac:dyDescent="0.3">
      <c r="A230" s="40"/>
      <c r="B230" s="801"/>
      <c r="C230" s="741"/>
      <c r="D230" s="742"/>
      <c r="E230" s="104" t="s">
        <v>95</v>
      </c>
      <c r="F230" s="103" t="s">
        <v>5</v>
      </c>
      <c r="G230" s="103" t="s">
        <v>5</v>
      </c>
      <c r="H230" s="103" t="s">
        <v>5</v>
      </c>
      <c r="I230" s="103" t="s">
        <v>5</v>
      </c>
      <c r="J230" s="103" t="s">
        <v>5</v>
      </c>
      <c r="K230" s="174" t="s">
        <v>5</v>
      </c>
      <c r="L230" s="174" t="s">
        <v>5</v>
      </c>
      <c r="M230" s="174" t="s">
        <v>5</v>
      </c>
      <c r="N230" s="103" t="s">
        <v>5</v>
      </c>
      <c r="O230" s="749"/>
      <c r="P230" s="750"/>
      <c r="Q230" s="750"/>
      <c r="R230" s="750"/>
      <c r="S230" s="749"/>
      <c r="T230" s="750"/>
      <c r="U230" s="750"/>
      <c r="V230" s="754"/>
      <c r="W230" s="372"/>
      <c r="X230" s="372"/>
      <c r="Y230" s="743"/>
      <c r="Z230" s="743"/>
      <c r="AA230" s="743"/>
      <c r="AB230" s="743"/>
      <c r="AC230" s="743"/>
      <c r="AD230" s="743"/>
      <c r="AE230" s="743"/>
      <c r="AF230" s="743"/>
      <c r="AG230" s="743"/>
      <c r="AH230" s="743"/>
      <c r="BC230" s="159" t="str">
        <f t="shared" si="127"/>
        <v>-</v>
      </c>
      <c r="BD230" s="151" t="str">
        <f>$B239</f>
        <v>Total (SPF)</v>
      </c>
      <c r="BE230" s="153" t="str">
        <f t="shared" ref="BE230:BL230" si="154">F242</f>
        <v>-</v>
      </c>
      <c r="BF230" s="153" t="str">
        <f t="shared" si="154"/>
        <v>-</v>
      </c>
      <c r="BG230" s="153" t="str">
        <f t="shared" si="154"/>
        <v>-</v>
      </c>
      <c r="BH230" s="153" t="str">
        <f t="shared" si="154"/>
        <v>-</v>
      </c>
      <c r="BI230" s="153" t="str">
        <f t="shared" si="154"/>
        <v>-</v>
      </c>
      <c r="BJ230" s="153" t="str">
        <f t="shared" si="154"/>
        <v>-</v>
      </c>
      <c r="BK230" s="153" t="str">
        <f t="shared" si="154"/>
        <v>-</v>
      </c>
      <c r="BL230" s="153" t="str">
        <f t="shared" si="154"/>
        <v>-</v>
      </c>
    </row>
    <row r="231" spans="1:80" ht="15" customHeight="1" outlineLevel="1" thickBot="1" x14ac:dyDescent="0.3">
      <c r="A231" s="40"/>
      <c r="B231" s="801"/>
      <c r="C231" s="764">
        <v>4</v>
      </c>
      <c r="D231" s="772" t="str">
        <f>IF(AND(F231="-",G231="-",H231="-",I231="-",J231="-",K231="-",L231="-",M231="-"),"-",MAX(F231,G231,H231,I231,J231,K231,L231,M231))</f>
        <v>-</v>
      </c>
      <c r="E231" s="66" t="s">
        <v>177</v>
      </c>
      <c r="F231" s="65" t="str">
        <f t="shared" ref="F231:M231" si="155">IF(OR(F230="-",F230=""),IF(OR(F229="-",F229=""),"-",F229),IF(OR(F229="-",F229=""),F230,(F229+F230)/2))</f>
        <v>-</v>
      </c>
      <c r="G231" s="65" t="str">
        <f t="shared" si="155"/>
        <v>-</v>
      </c>
      <c r="H231" s="65" t="str">
        <f t="shared" si="155"/>
        <v>-</v>
      </c>
      <c r="I231" s="65" t="str">
        <f t="shared" si="155"/>
        <v>-</v>
      </c>
      <c r="J231" s="65" t="str">
        <f t="shared" si="155"/>
        <v>-</v>
      </c>
      <c r="K231" s="167" t="str">
        <f t="shared" si="155"/>
        <v>-</v>
      </c>
      <c r="L231" s="167" t="str">
        <f t="shared" si="155"/>
        <v>-</v>
      </c>
      <c r="M231" s="167" t="str">
        <f t="shared" si="155"/>
        <v>-</v>
      </c>
      <c r="N231" s="740"/>
      <c r="O231" s="749"/>
      <c r="P231" s="750"/>
      <c r="Q231" s="750"/>
      <c r="R231" s="750"/>
      <c r="S231" s="749"/>
      <c r="T231" s="750"/>
      <c r="U231" s="750"/>
      <c r="V231" s="754"/>
      <c r="W231" s="372"/>
      <c r="X231" s="372"/>
      <c r="Y231" s="743"/>
      <c r="Z231" s="743"/>
      <c r="AA231" s="743"/>
      <c r="AB231" s="743"/>
      <c r="AC231" s="743"/>
      <c r="AD231" s="743"/>
      <c r="AE231" s="743"/>
      <c r="AF231" s="743"/>
      <c r="AG231" s="743"/>
      <c r="AH231" s="743"/>
      <c r="BC231" s="159" t="str">
        <f t="shared" si="127"/>
        <v>-</v>
      </c>
      <c r="BD231" s="151" t="str">
        <f>"IEF " &amp;B214</f>
        <v>IEF City (unweighted)</v>
      </c>
      <c r="BE231" s="153">
        <f t="shared" ref="BE231:BL231" si="156">IF(OR($C216="-",$C216="CET",$C216=""),"-",$C216)</f>
        <v>4</v>
      </c>
      <c r="BF231" s="153">
        <f t="shared" si="156"/>
        <v>4</v>
      </c>
      <c r="BG231" s="153">
        <f t="shared" si="156"/>
        <v>4</v>
      </c>
      <c r="BH231" s="153">
        <f t="shared" si="156"/>
        <v>4</v>
      </c>
      <c r="BI231" s="153">
        <f t="shared" si="156"/>
        <v>4</v>
      </c>
      <c r="BJ231" s="153">
        <f t="shared" si="156"/>
        <v>4</v>
      </c>
      <c r="BK231" s="153">
        <f t="shared" si="156"/>
        <v>4</v>
      </c>
      <c r="BL231" s="153">
        <f t="shared" si="156"/>
        <v>4</v>
      </c>
    </row>
    <row r="232" spans="1:80" ht="15" customHeight="1" outlineLevel="1" thickBot="1" x14ac:dyDescent="0.3">
      <c r="A232" s="40"/>
      <c r="B232" s="801"/>
      <c r="C232" s="765"/>
      <c r="D232" s="773"/>
      <c r="E232" s="64" t="s">
        <v>97</v>
      </c>
      <c r="F232" s="63" t="str">
        <f t="shared" ref="F232:M232" si="157">IF(OR($C231="-",$C231="CET",$C231=""),"-",IF(AND(NOT(F231="-"),NOT(F$5="-"),NOT(F$5="")),F231/F$5,"-"))</f>
        <v>-</v>
      </c>
      <c r="G232" s="63" t="str">
        <f t="shared" si="157"/>
        <v>-</v>
      </c>
      <c r="H232" s="63" t="str">
        <f t="shared" si="157"/>
        <v>-</v>
      </c>
      <c r="I232" s="63" t="str">
        <f t="shared" si="157"/>
        <v>-</v>
      </c>
      <c r="J232" s="63" t="str">
        <f t="shared" si="157"/>
        <v>-</v>
      </c>
      <c r="K232" s="168" t="str">
        <f t="shared" si="157"/>
        <v>-</v>
      </c>
      <c r="L232" s="168" t="str">
        <f t="shared" si="157"/>
        <v>-</v>
      </c>
      <c r="M232" s="168" t="str">
        <f t="shared" si="157"/>
        <v>-</v>
      </c>
      <c r="N232" s="741"/>
      <c r="O232" s="749"/>
      <c r="P232" s="750"/>
      <c r="Q232" s="750"/>
      <c r="R232" s="750"/>
      <c r="S232" s="749"/>
      <c r="T232" s="750"/>
      <c r="U232" s="750"/>
      <c r="V232" s="754"/>
      <c r="W232" s="372"/>
      <c r="X232" s="372"/>
      <c r="Y232" s="743"/>
      <c r="Z232" s="743"/>
      <c r="AA232" s="743"/>
      <c r="AB232" s="743"/>
      <c r="AC232" s="743"/>
      <c r="AD232" s="743"/>
      <c r="AE232" s="743"/>
      <c r="AF232" s="743"/>
      <c r="AG232" s="743"/>
      <c r="AH232" s="743"/>
      <c r="BC232" s="159" t="str">
        <f t="shared" si="127"/>
        <v>-</v>
      </c>
      <c r="BD232" s="151" t="str">
        <f>"IEF " &amp; B219</f>
        <v>IEF City (EMROAD)</v>
      </c>
      <c r="BE232" s="153">
        <f t="shared" ref="BE232:BL232" si="158">IF(OR($C221="-",$C221="CET",$C221=""),"-",$C221)</f>
        <v>4</v>
      </c>
      <c r="BF232" s="153">
        <f t="shared" si="158"/>
        <v>4</v>
      </c>
      <c r="BG232" s="153">
        <f t="shared" si="158"/>
        <v>4</v>
      </c>
      <c r="BH232" s="153">
        <f t="shared" si="158"/>
        <v>4</v>
      </c>
      <c r="BI232" s="153">
        <f t="shared" si="158"/>
        <v>4</v>
      </c>
      <c r="BJ232" s="153">
        <f t="shared" si="158"/>
        <v>4</v>
      </c>
      <c r="BK232" s="153">
        <f t="shared" si="158"/>
        <v>4</v>
      </c>
      <c r="BL232" s="153">
        <f t="shared" si="158"/>
        <v>4</v>
      </c>
    </row>
    <row r="233" spans="1:80" ht="15" customHeight="1" outlineLevel="1" thickBot="1" x14ac:dyDescent="0.3">
      <c r="A233" s="40"/>
      <c r="B233" s="802"/>
      <c r="C233" s="771"/>
      <c r="D233" s="774"/>
      <c r="E233" s="62" t="s">
        <v>30</v>
      </c>
      <c r="F233" s="62" t="str">
        <f t="shared" ref="F233:M233" si="159">IF(AND(OR(F229="-",F229=""),OR(F230="-",F230="")),"-",IF(OR($C231="-",$C231="",$C231="CET"),"-",IF($R$210="not listed","-",IF(NOT(F$5="-"),IF(AND(AND(NOT(F229=0),NOT(F229="-"),NOT(F229="")),AND(NOT(F230="-"),NOT(F230=0),NOT(F230=""))),IF(AND((F229+F230)/2&lt;1*F$5*IF(OR($C231="CET",$C231="-",$C231=""),"-",$C231),F229&lt;1.1*F$5*IF(OR($C231="CET",$C231="-",$C231=""),"-",$C231),F230&lt;1.1*F$5*IF(OR($C231="CET",$C231="-",$C231=""),"-",$C231)),"passed","refused"),IF(IF(OR(F229="-",F229=""),F230,F229)&lt;0.7*F$5*IF(OR($C231="CET",$C231="-",$C231=""),"-",$C231),"passed",IF(IF(OR(F229="-",F229=""),F230,F229)&lt;1.1*IF(OR($C231="CET",$C231="-",$C231=""),"-",$C231)*F$5,"failed","refused"))),"-"))))</f>
        <v>-</v>
      </c>
      <c r="G233" s="62" t="str">
        <f t="shared" si="159"/>
        <v>-</v>
      </c>
      <c r="H233" s="62" t="str">
        <f t="shared" si="159"/>
        <v>-</v>
      </c>
      <c r="I233" s="62" t="str">
        <f t="shared" si="159"/>
        <v>-</v>
      </c>
      <c r="J233" s="62" t="str">
        <f t="shared" si="159"/>
        <v>-</v>
      </c>
      <c r="K233" s="169" t="str">
        <f t="shared" si="159"/>
        <v>-</v>
      </c>
      <c r="L233" s="169" t="str">
        <f t="shared" si="159"/>
        <v>-</v>
      </c>
      <c r="M233" s="169" t="str">
        <f t="shared" si="159"/>
        <v>-</v>
      </c>
      <c r="N233" s="742"/>
      <c r="O233" s="749"/>
      <c r="P233" s="750"/>
      <c r="Q233" s="750"/>
      <c r="R233" s="750"/>
      <c r="S233" s="749"/>
      <c r="T233" s="750"/>
      <c r="U233" s="750"/>
      <c r="V233" s="754"/>
      <c r="W233" s="372"/>
      <c r="X233" s="372"/>
      <c r="Y233" s="743"/>
      <c r="Z233" s="743"/>
      <c r="AA233" s="743"/>
      <c r="AB233" s="743"/>
      <c r="AC233" s="743"/>
      <c r="AD233" s="743"/>
      <c r="AE233" s="743"/>
      <c r="AF233" s="743"/>
      <c r="AG233" s="743"/>
      <c r="AH233" s="743"/>
      <c r="BC233" s="159" t="str">
        <f t="shared" si="127"/>
        <v>-</v>
      </c>
      <c r="BD233" s="151" t="str">
        <f>"IEF " &amp; B224</f>
        <v>IEF City
 (SPF)</v>
      </c>
      <c r="BE233" s="153">
        <f t="shared" ref="BE233:BL233" si="160">IF(OR($C226="-",$C226="CET",$C226=""),"-",$C226)</f>
        <v>4</v>
      </c>
      <c r="BF233" s="153">
        <f t="shared" si="160"/>
        <v>4</v>
      </c>
      <c r="BG233" s="153">
        <f t="shared" si="160"/>
        <v>4</v>
      </c>
      <c r="BH233" s="153">
        <f t="shared" si="160"/>
        <v>4</v>
      </c>
      <c r="BI233" s="153">
        <f t="shared" si="160"/>
        <v>4</v>
      </c>
      <c r="BJ233" s="153">
        <f t="shared" si="160"/>
        <v>4</v>
      </c>
      <c r="BK233" s="153">
        <f t="shared" si="160"/>
        <v>4</v>
      </c>
      <c r="BL233" s="153">
        <f t="shared" si="160"/>
        <v>4</v>
      </c>
    </row>
    <row r="234" spans="1:80" s="50" customFormat="1" ht="15" customHeight="1" outlineLevel="1" x14ac:dyDescent="0.25">
      <c r="A234" s="52"/>
      <c r="B234" s="800" t="s">
        <v>104</v>
      </c>
      <c r="C234" s="770" t="s">
        <v>114</v>
      </c>
      <c r="D234" s="770" t="s">
        <v>113</v>
      </c>
      <c r="E234" s="106" t="s">
        <v>94</v>
      </c>
      <c r="F234" s="105" t="s">
        <v>5</v>
      </c>
      <c r="G234" s="105" t="s">
        <v>5</v>
      </c>
      <c r="H234" s="105" t="s">
        <v>5</v>
      </c>
      <c r="I234" s="105" t="s">
        <v>5</v>
      </c>
      <c r="J234" s="105" t="s">
        <v>5</v>
      </c>
      <c r="K234" s="173" t="s">
        <v>5</v>
      </c>
      <c r="L234" s="173" t="s">
        <v>5</v>
      </c>
      <c r="M234" s="173" t="s">
        <v>5</v>
      </c>
      <c r="N234" s="105" t="s">
        <v>5</v>
      </c>
      <c r="O234" s="749"/>
      <c r="P234" s="750"/>
      <c r="Q234" s="750"/>
      <c r="R234" s="750"/>
      <c r="S234" s="749"/>
      <c r="T234" s="750"/>
      <c r="U234" s="750"/>
      <c r="V234" s="754"/>
      <c r="W234" s="51"/>
      <c r="X234" s="51"/>
      <c r="Y234" s="743"/>
      <c r="Z234" s="743"/>
      <c r="AA234" s="743"/>
      <c r="AB234" s="743"/>
      <c r="AC234" s="743"/>
      <c r="AD234" s="743"/>
      <c r="AE234" s="743"/>
      <c r="AF234" s="743"/>
      <c r="AG234" s="743"/>
      <c r="AH234" s="743"/>
      <c r="BC234" s="159" t="str">
        <f t="shared" si="127"/>
        <v>-</v>
      </c>
      <c r="BD234" s="151" t="str">
        <f>"IEF " &amp; B229</f>
        <v>IEF Total (unweighted)</v>
      </c>
      <c r="BE234" s="153">
        <f t="shared" ref="BE234:BL234" si="161">IF(OR($C231="-",$C231="CET",$C231=""),"-",$C231)</f>
        <v>4</v>
      </c>
      <c r="BF234" s="153">
        <f t="shared" si="161"/>
        <v>4</v>
      </c>
      <c r="BG234" s="153">
        <f t="shared" si="161"/>
        <v>4</v>
      </c>
      <c r="BH234" s="153">
        <f t="shared" si="161"/>
        <v>4</v>
      </c>
      <c r="BI234" s="153">
        <f t="shared" si="161"/>
        <v>4</v>
      </c>
      <c r="BJ234" s="153">
        <f t="shared" si="161"/>
        <v>4</v>
      </c>
      <c r="BK234" s="153">
        <f t="shared" si="161"/>
        <v>4</v>
      </c>
      <c r="BL234" s="153">
        <f t="shared" si="161"/>
        <v>4</v>
      </c>
      <c r="BM234" s="150"/>
      <c r="BN234" s="150"/>
      <c r="BO234" s="150"/>
      <c r="BP234" s="150"/>
      <c r="BQ234" s="150"/>
      <c r="BR234" s="150"/>
      <c r="BS234" s="150"/>
      <c r="BT234" s="150"/>
      <c r="BU234" s="150"/>
      <c r="BV234" s="150"/>
      <c r="BW234" s="150"/>
      <c r="BX234" s="150"/>
      <c r="BY234" s="150"/>
      <c r="BZ234" s="150"/>
      <c r="CA234" s="150"/>
      <c r="CB234" s="150"/>
    </row>
    <row r="235" spans="1:80" ht="15" customHeight="1" outlineLevel="1" thickBot="1" x14ac:dyDescent="0.3">
      <c r="A235" s="40"/>
      <c r="B235" s="801"/>
      <c r="C235" s="741"/>
      <c r="D235" s="742"/>
      <c r="E235" s="104" t="s">
        <v>95</v>
      </c>
      <c r="F235" s="103" t="s">
        <v>5</v>
      </c>
      <c r="G235" s="103" t="s">
        <v>5</v>
      </c>
      <c r="H235" s="103" t="s">
        <v>5</v>
      </c>
      <c r="I235" s="103" t="s">
        <v>5</v>
      </c>
      <c r="J235" s="103" t="s">
        <v>5</v>
      </c>
      <c r="K235" s="174" t="s">
        <v>5</v>
      </c>
      <c r="L235" s="174" t="s">
        <v>5</v>
      </c>
      <c r="M235" s="174" t="s">
        <v>5</v>
      </c>
      <c r="N235" s="103" t="s">
        <v>5</v>
      </c>
      <c r="O235" s="749"/>
      <c r="P235" s="750"/>
      <c r="Q235" s="750"/>
      <c r="R235" s="750"/>
      <c r="S235" s="749"/>
      <c r="T235" s="750"/>
      <c r="U235" s="750"/>
      <c r="V235" s="754"/>
      <c r="W235" s="372"/>
      <c r="X235" s="372"/>
      <c r="Y235" s="743"/>
      <c r="Z235" s="743"/>
      <c r="AA235" s="743"/>
      <c r="AB235" s="743"/>
      <c r="AC235" s="743"/>
      <c r="AD235" s="743"/>
      <c r="AE235" s="743"/>
      <c r="AF235" s="743"/>
      <c r="AG235" s="743"/>
      <c r="AH235" s="743"/>
      <c r="BC235" s="159" t="str">
        <f t="shared" si="127"/>
        <v>-</v>
      </c>
      <c r="BD235" s="151" t="str">
        <f>"IEF " &amp; B234</f>
        <v>IEF Total (EMROAD)</v>
      </c>
      <c r="BE235" s="153">
        <f t="shared" ref="BE235:BL235" si="162">IF(OR($C236="-",$C236="CET",$C236=""),"-",$C236)</f>
        <v>4</v>
      </c>
      <c r="BF235" s="153">
        <f t="shared" si="162"/>
        <v>4</v>
      </c>
      <c r="BG235" s="153">
        <f t="shared" si="162"/>
        <v>4</v>
      </c>
      <c r="BH235" s="153">
        <f t="shared" si="162"/>
        <v>4</v>
      </c>
      <c r="BI235" s="153">
        <f t="shared" si="162"/>
        <v>4</v>
      </c>
      <c r="BJ235" s="153">
        <f t="shared" si="162"/>
        <v>4</v>
      </c>
      <c r="BK235" s="153">
        <f t="shared" si="162"/>
        <v>4</v>
      </c>
      <c r="BL235" s="153">
        <f t="shared" si="162"/>
        <v>4</v>
      </c>
    </row>
    <row r="236" spans="1:80" ht="15" customHeight="1" outlineLevel="1" thickBot="1" x14ac:dyDescent="0.3">
      <c r="A236" s="40"/>
      <c r="B236" s="801"/>
      <c r="C236" s="764">
        <v>4</v>
      </c>
      <c r="D236" s="772" t="str">
        <f>IF(AND(F236="-",G236="-",H236="-",I236="-",J236="-",K236="-",L236="-",M236="-"),"-",MAX(F236,G236,H236,I236,J236,K236,L236,M236))</f>
        <v>-</v>
      </c>
      <c r="E236" s="66" t="s">
        <v>177</v>
      </c>
      <c r="F236" s="65" t="str">
        <f t="shared" ref="F236:M236" si="163">IF(OR(F235="-",F235=""),IF(OR(F234="-",F234=""),"-",F234),IF(OR(F234="-",F234=""),F235,(F234+F235)/2))</f>
        <v>-</v>
      </c>
      <c r="G236" s="65" t="str">
        <f t="shared" si="163"/>
        <v>-</v>
      </c>
      <c r="H236" s="65" t="str">
        <f t="shared" si="163"/>
        <v>-</v>
      </c>
      <c r="I236" s="65" t="str">
        <f t="shared" si="163"/>
        <v>-</v>
      </c>
      <c r="J236" s="65" t="str">
        <f t="shared" si="163"/>
        <v>-</v>
      </c>
      <c r="K236" s="167" t="str">
        <f t="shared" si="163"/>
        <v>-</v>
      </c>
      <c r="L236" s="167" t="str">
        <f t="shared" si="163"/>
        <v>-</v>
      </c>
      <c r="M236" s="167" t="str">
        <f t="shared" si="163"/>
        <v>-</v>
      </c>
      <c r="N236" s="740"/>
      <c r="O236" s="749"/>
      <c r="P236" s="750"/>
      <c r="Q236" s="750"/>
      <c r="R236" s="750"/>
      <c r="S236" s="749"/>
      <c r="T236" s="750"/>
      <c r="U236" s="750"/>
      <c r="V236" s="754"/>
      <c r="W236" s="372"/>
      <c r="X236" s="372"/>
      <c r="Y236" s="743"/>
      <c r="Z236" s="743"/>
      <c r="AA236" s="743"/>
      <c r="AB236" s="743"/>
      <c r="AC236" s="743"/>
      <c r="AD236" s="743"/>
      <c r="AE236" s="743"/>
      <c r="AF236" s="743"/>
      <c r="AG236" s="743"/>
      <c r="AH236" s="743"/>
      <c r="BC236" s="159" t="str">
        <f t="shared" si="127"/>
        <v>-</v>
      </c>
      <c r="BD236" s="151" t="str">
        <f>"IEF " &amp; B239</f>
        <v>IEF Total (SPF)</v>
      </c>
      <c r="BE236" s="153">
        <f t="shared" ref="BE236:BL236" si="164">IF(OR($C241="-",$C241="CET",$C241=""),"-",$C241)</f>
        <v>4</v>
      </c>
      <c r="BF236" s="153">
        <f t="shared" si="164"/>
        <v>4</v>
      </c>
      <c r="BG236" s="153">
        <f t="shared" si="164"/>
        <v>4</v>
      </c>
      <c r="BH236" s="153">
        <f t="shared" si="164"/>
        <v>4</v>
      </c>
      <c r="BI236" s="153">
        <f t="shared" si="164"/>
        <v>4</v>
      </c>
      <c r="BJ236" s="153">
        <f t="shared" si="164"/>
        <v>4</v>
      </c>
      <c r="BK236" s="153">
        <f t="shared" si="164"/>
        <v>4</v>
      </c>
      <c r="BL236" s="153">
        <f t="shared" si="164"/>
        <v>4</v>
      </c>
    </row>
    <row r="237" spans="1:80" ht="15" customHeight="1" outlineLevel="1" thickBot="1" x14ac:dyDescent="0.3">
      <c r="A237" s="40"/>
      <c r="B237" s="801"/>
      <c r="C237" s="765"/>
      <c r="D237" s="773"/>
      <c r="E237" s="64" t="s">
        <v>97</v>
      </c>
      <c r="F237" s="63" t="str">
        <f t="shared" ref="F237:M237" si="165">IF(OR($C236="-",$C236="CET",$C236=""),"-",IF(AND(NOT(F236="-"),NOT(F$5="-"),NOT(F$5="")),F236/F$5,"-"))</f>
        <v>-</v>
      </c>
      <c r="G237" s="63" t="str">
        <f t="shared" si="165"/>
        <v>-</v>
      </c>
      <c r="H237" s="63" t="str">
        <f t="shared" si="165"/>
        <v>-</v>
      </c>
      <c r="I237" s="63" t="str">
        <f t="shared" si="165"/>
        <v>-</v>
      </c>
      <c r="J237" s="63" t="str">
        <f t="shared" si="165"/>
        <v>-</v>
      </c>
      <c r="K237" s="168" t="str">
        <f t="shared" si="165"/>
        <v>-</v>
      </c>
      <c r="L237" s="168" t="str">
        <f t="shared" si="165"/>
        <v>-</v>
      </c>
      <c r="M237" s="168" t="str">
        <f t="shared" si="165"/>
        <v>-</v>
      </c>
      <c r="N237" s="741"/>
      <c r="O237" s="749"/>
      <c r="P237" s="750"/>
      <c r="Q237" s="750"/>
      <c r="R237" s="750"/>
      <c r="S237" s="749"/>
      <c r="T237" s="750"/>
      <c r="U237" s="750"/>
      <c r="V237" s="754"/>
      <c r="W237" s="372"/>
      <c r="X237" s="372"/>
      <c r="Y237" s="743"/>
      <c r="Z237" s="743"/>
      <c r="AA237" s="743"/>
      <c r="AB237" s="743"/>
      <c r="AC237" s="743"/>
      <c r="AD237" s="743"/>
      <c r="AE237" s="743"/>
      <c r="AF237" s="743"/>
      <c r="AG237" s="743"/>
      <c r="AH237" s="743"/>
      <c r="BC237" s="159" t="str">
        <f t="shared" si="127"/>
        <v>-</v>
      </c>
    </row>
    <row r="238" spans="1:80" ht="15" customHeight="1" outlineLevel="1" thickBot="1" x14ac:dyDescent="0.3">
      <c r="A238" s="40"/>
      <c r="B238" s="802"/>
      <c r="C238" s="771"/>
      <c r="D238" s="774"/>
      <c r="E238" s="62" t="s">
        <v>30</v>
      </c>
      <c r="F238" s="62" t="str">
        <f t="shared" ref="F238:M238" si="166">IF(AND(OR(F234="-",F234=""),OR(F235="-",F235="")),"-",IF(OR($C236="-",$C236="",$C236="CET"),"-",IF($R$210="not listed","-",IF(NOT(F$5="-"),IF(AND(AND(NOT(F234=0),NOT(F234="-"),NOT(F234="")),AND(NOT(F235="-"),NOT(F235=0),NOT(F235=""))),IF(AND((F234+F235)/2&lt;1*F$5*IF(OR($C236="CET",$C236="-",$C236=""),"-",$C236),F234&lt;1.1*F$5*IF(OR($C236="CET",$C236="-",$C236=""),"-",$C236),F235&lt;1.1*F$5*IF(OR($C236="CET",$C236="-",$C236=""),"-",$C236)),"passed","refused"),IF(IF(OR(F234="-",F234=""),F235,F234)&lt;0.7*F$5*IF(OR($C236="CET",$C236="-",$C236=""),"-",$C236),"passed",IF(IF(OR(F234="-",F234=""),F235,F234)&lt;1.1*IF(OR($C236="CET",$C236="-",$C236=""),"-",$C236)*F$5,"failed","refused"))),"-"))))</f>
        <v>-</v>
      </c>
      <c r="G238" s="62" t="str">
        <f t="shared" si="166"/>
        <v>-</v>
      </c>
      <c r="H238" s="62" t="str">
        <f t="shared" si="166"/>
        <v>-</v>
      </c>
      <c r="I238" s="62" t="str">
        <f t="shared" si="166"/>
        <v>-</v>
      </c>
      <c r="J238" s="62" t="str">
        <f t="shared" si="166"/>
        <v>-</v>
      </c>
      <c r="K238" s="169" t="str">
        <f t="shared" si="166"/>
        <v>-</v>
      </c>
      <c r="L238" s="169" t="str">
        <f t="shared" si="166"/>
        <v>-</v>
      </c>
      <c r="M238" s="169" t="str">
        <f t="shared" si="166"/>
        <v>-</v>
      </c>
      <c r="N238" s="742"/>
      <c r="O238" s="749"/>
      <c r="P238" s="750"/>
      <c r="Q238" s="750"/>
      <c r="R238" s="750"/>
      <c r="S238" s="749"/>
      <c r="T238" s="750"/>
      <c r="U238" s="750"/>
      <c r="V238" s="754"/>
      <c r="W238" s="372"/>
      <c r="X238" s="372"/>
      <c r="Y238" s="743"/>
      <c r="Z238" s="743"/>
      <c r="AA238" s="743"/>
      <c r="AB238" s="743"/>
      <c r="AC238" s="743"/>
      <c r="AD238" s="743"/>
      <c r="AE238" s="743"/>
      <c r="AF238" s="743"/>
      <c r="AG238" s="743"/>
      <c r="AH238" s="743"/>
      <c r="BC238" s="159" t="str">
        <f t="shared" si="127"/>
        <v>-</v>
      </c>
      <c r="BD238" s="156"/>
      <c r="BE238" s="156"/>
      <c r="BF238" s="156"/>
      <c r="BG238" s="156"/>
      <c r="BH238" s="156"/>
      <c r="BI238" s="156"/>
      <c r="BJ238" s="156"/>
      <c r="BK238" s="156"/>
      <c r="BL238" s="156"/>
    </row>
    <row r="239" spans="1:80" s="50" customFormat="1" ht="15" customHeight="1" outlineLevel="1" x14ac:dyDescent="0.25">
      <c r="A239" s="52"/>
      <c r="B239" s="797" t="s">
        <v>140</v>
      </c>
      <c r="C239" s="770" t="s">
        <v>114</v>
      </c>
      <c r="D239" s="770" t="s">
        <v>113</v>
      </c>
      <c r="E239" s="106" t="s">
        <v>94</v>
      </c>
      <c r="F239" s="105" t="s">
        <v>5</v>
      </c>
      <c r="G239" s="105" t="s">
        <v>5</v>
      </c>
      <c r="H239" s="105" t="s">
        <v>5</v>
      </c>
      <c r="I239" s="105" t="s">
        <v>5</v>
      </c>
      <c r="J239" s="105" t="s">
        <v>5</v>
      </c>
      <c r="K239" s="173" t="s">
        <v>5</v>
      </c>
      <c r="L239" s="173" t="s">
        <v>5</v>
      </c>
      <c r="M239" s="173" t="s">
        <v>5</v>
      </c>
      <c r="N239" s="105" t="s">
        <v>5</v>
      </c>
      <c r="O239" s="749"/>
      <c r="P239" s="750"/>
      <c r="Q239" s="750"/>
      <c r="R239" s="750"/>
      <c r="S239" s="749"/>
      <c r="T239" s="750"/>
      <c r="U239" s="750"/>
      <c r="V239" s="754"/>
      <c r="W239" s="51"/>
      <c r="X239" s="51"/>
      <c r="Y239" s="743"/>
      <c r="Z239" s="743"/>
      <c r="AA239" s="743"/>
      <c r="AB239" s="743"/>
      <c r="AC239" s="743"/>
      <c r="AD239" s="743"/>
      <c r="AE239" s="743"/>
      <c r="AF239" s="743"/>
      <c r="AG239" s="743"/>
      <c r="AH239" s="743"/>
      <c r="BC239" s="159" t="str">
        <f t="shared" si="127"/>
        <v>-</v>
      </c>
      <c r="BD239" s="156"/>
      <c r="BE239" s="156"/>
      <c r="BF239" s="156"/>
      <c r="BG239" s="156"/>
      <c r="BH239" s="156"/>
      <c r="BI239" s="156"/>
      <c r="BJ239" s="156"/>
      <c r="BK239" s="156"/>
      <c r="BL239" s="156"/>
      <c r="BM239" s="150"/>
      <c r="BN239" s="150"/>
      <c r="BO239" s="150"/>
      <c r="BP239" s="150"/>
      <c r="BQ239" s="150"/>
      <c r="BR239" s="150"/>
      <c r="BS239" s="150"/>
      <c r="BT239" s="150"/>
      <c r="BU239" s="150"/>
      <c r="BV239" s="150"/>
      <c r="BW239" s="150"/>
      <c r="BX239" s="150"/>
      <c r="BY239" s="150"/>
      <c r="BZ239" s="150"/>
      <c r="CA239" s="150"/>
      <c r="CB239" s="150"/>
    </row>
    <row r="240" spans="1:80" ht="15" customHeight="1" outlineLevel="1" thickBot="1" x14ac:dyDescent="0.3">
      <c r="A240" s="40"/>
      <c r="B240" s="798"/>
      <c r="C240" s="741"/>
      <c r="D240" s="742"/>
      <c r="E240" s="104" t="s">
        <v>95</v>
      </c>
      <c r="F240" s="103" t="s">
        <v>5</v>
      </c>
      <c r="G240" s="103" t="s">
        <v>5</v>
      </c>
      <c r="H240" s="103" t="s">
        <v>5</v>
      </c>
      <c r="I240" s="103" t="s">
        <v>5</v>
      </c>
      <c r="J240" s="103" t="s">
        <v>5</v>
      </c>
      <c r="K240" s="174" t="s">
        <v>5</v>
      </c>
      <c r="L240" s="174" t="s">
        <v>5</v>
      </c>
      <c r="M240" s="174" t="s">
        <v>5</v>
      </c>
      <c r="N240" s="103" t="s">
        <v>5</v>
      </c>
      <c r="O240" s="749"/>
      <c r="P240" s="750"/>
      <c r="Q240" s="750"/>
      <c r="R240" s="750"/>
      <c r="S240" s="749"/>
      <c r="T240" s="750"/>
      <c r="U240" s="750"/>
      <c r="V240" s="754"/>
      <c r="W240" s="372"/>
      <c r="X240" s="372"/>
      <c r="Y240" s="743"/>
      <c r="Z240" s="743"/>
      <c r="AA240" s="743"/>
      <c r="AB240" s="743"/>
      <c r="AC240" s="743"/>
      <c r="AD240" s="743"/>
      <c r="AE240" s="743"/>
      <c r="AF240" s="743"/>
      <c r="AG240" s="743"/>
      <c r="AH240" s="743"/>
      <c r="BC240" s="159" t="str">
        <f t="shared" si="127"/>
        <v>-</v>
      </c>
      <c r="BD240" s="157"/>
      <c r="BE240" s="157"/>
      <c r="BF240" s="157"/>
      <c r="BG240" s="157"/>
      <c r="BH240" s="157"/>
      <c r="BI240" s="157"/>
      <c r="BJ240" s="157"/>
      <c r="BK240" s="157"/>
      <c r="BL240" s="157"/>
    </row>
    <row r="241" spans="1:64" ht="15" customHeight="1" outlineLevel="1" thickBot="1" x14ac:dyDescent="0.3">
      <c r="A241" s="40"/>
      <c r="B241" s="798"/>
      <c r="C241" s="764">
        <v>4</v>
      </c>
      <c r="D241" s="772" t="str">
        <f>IF(AND(F241="-",G241="-",H241="-",I241="-",J241="-",K241="-",L241="-",M241="-"),"-",MAX(F241,G241,H241,I241,J241,K241,L241,M241))</f>
        <v>-</v>
      </c>
      <c r="E241" s="66" t="s">
        <v>177</v>
      </c>
      <c r="F241" s="65" t="str">
        <f t="shared" ref="F241:M241" si="167">IF(OR(F240="-",F240=""),IF(OR(F239="-",F239=""),"-",F239),IF(OR(F239="-",F239=""),F240,(F239+F240)/2))</f>
        <v>-</v>
      </c>
      <c r="G241" s="65" t="str">
        <f t="shared" si="167"/>
        <v>-</v>
      </c>
      <c r="H241" s="65" t="str">
        <f t="shared" si="167"/>
        <v>-</v>
      </c>
      <c r="I241" s="65" t="str">
        <f t="shared" si="167"/>
        <v>-</v>
      </c>
      <c r="J241" s="65" t="str">
        <f t="shared" si="167"/>
        <v>-</v>
      </c>
      <c r="K241" s="167" t="str">
        <f t="shared" si="167"/>
        <v>-</v>
      </c>
      <c r="L241" s="167" t="str">
        <f t="shared" si="167"/>
        <v>-</v>
      </c>
      <c r="M241" s="167" t="str">
        <f t="shared" si="167"/>
        <v>-</v>
      </c>
      <c r="N241" s="740"/>
      <c r="O241" s="749"/>
      <c r="P241" s="750"/>
      <c r="Q241" s="750"/>
      <c r="R241" s="750"/>
      <c r="S241" s="749"/>
      <c r="T241" s="750"/>
      <c r="U241" s="750"/>
      <c r="V241" s="754"/>
      <c r="W241" s="372"/>
      <c r="X241" s="372"/>
      <c r="Y241" s="743"/>
      <c r="Z241" s="743"/>
      <c r="AA241" s="743"/>
      <c r="AB241" s="743"/>
      <c r="AC241" s="743"/>
      <c r="AD241" s="743"/>
      <c r="AE241" s="743"/>
      <c r="AF241" s="743"/>
      <c r="AG241" s="743"/>
      <c r="AH241" s="743"/>
      <c r="BC241" s="159" t="str">
        <f t="shared" si="127"/>
        <v>-</v>
      </c>
      <c r="BD241" s="157"/>
      <c r="BE241" s="157"/>
      <c r="BF241" s="157"/>
      <c r="BG241" s="157"/>
      <c r="BH241" s="157"/>
      <c r="BI241" s="157"/>
      <c r="BJ241" s="157"/>
      <c r="BK241" s="157"/>
      <c r="BL241" s="157"/>
    </row>
    <row r="242" spans="1:64" ht="15.75" outlineLevel="1" thickBot="1" x14ac:dyDescent="0.3">
      <c r="B242" s="798"/>
      <c r="C242" s="765"/>
      <c r="D242" s="773"/>
      <c r="E242" s="64" t="s">
        <v>97</v>
      </c>
      <c r="F242" s="63" t="str">
        <f t="shared" ref="F242:M242" si="168">IF(OR($C241="-",$C241="CET",$C241=""),"-",IF(AND(NOT(F241="-"),NOT(F$5="-"),NOT(F$5="")),F241/F$5,"-"))</f>
        <v>-</v>
      </c>
      <c r="G242" s="63" t="str">
        <f t="shared" si="168"/>
        <v>-</v>
      </c>
      <c r="H242" s="63" t="str">
        <f t="shared" si="168"/>
        <v>-</v>
      </c>
      <c r="I242" s="63" t="str">
        <f t="shared" si="168"/>
        <v>-</v>
      </c>
      <c r="J242" s="63" t="str">
        <f t="shared" si="168"/>
        <v>-</v>
      </c>
      <c r="K242" s="168" t="str">
        <f t="shared" si="168"/>
        <v>-</v>
      </c>
      <c r="L242" s="168" t="str">
        <f t="shared" si="168"/>
        <v>-</v>
      </c>
      <c r="M242" s="168" t="str">
        <f t="shared" si="168"/>
        <v>-</v>
      </c>
      <c r="N242" s="741"/>
      <c r="O242" s="749"/>
      <c r="P242" s="750"/>
      <c r="Q242" s="750"/>
      <c r="R242" s="750"/>
      <c r="S242" s="749"/>
      <c r="T242" s="750"/>
      <c r="U242" s="750"/>
      <c r="V242" s="754"/>
      <c r="BC242" s="159" t="str">
        <f t="shared" si="127"/>
        <v>-</v>
      </c>
    </row>
    <row r="243" spans="1:64" ht="15.75" outlineLevel="1" thickBot="1" x14ac:dyDescent="0.3">
      <c r="B243" s="799"/>
      <c r="C243" s="771"/>
      <c r="D243" s="774"/>
      <c r="E243" s="62" t="s">
        <v>30</v>
      </c>
      <c r="F243" s="62" t="str">
        <f t="shared" ref="F243:M243" si="169">IF(AND(OR(F239="-",F239=""),OR(F240="-",F240="")),"-",IF(OR($C241="-",$C241="",$C241="CET"),"-",IF($R$210="not listed","-",IF(NOT(F$5="-"),IF(AND(AND(NOT(F239=0),NOT(F239="-"),NOT(F239="")),AND(NOT(F240="-"),NOT(F240=0),NOT(F240=""))),IF(AND((F239+F240)/2&lt;1*F$5*IF(OR($C241="CET",$C241="-",$C241=""),"-",$C241),F239&lt;1.1*F$5*IF(OR($C241="CET",$C241="-",$C241=""),"-",$C241),F240&lt;1.1*F$5*IF(OR($C241="CET",$C241="-",$C241=""),"-",$C241)),"passed","refused"),IF(IF(OR(F239="-",F239=""),F240,F239)&lt;0.7*F$5*IF(OR($C241="CET",$C241="-",$C241=""),"-",$C241),"passed",IF(IF(OR(F239="-",F239=""),F240,F239)&lt;1.1*IF(OR($C241="CET",$C241="-",$C241=""),"-",$C241)*F$5,"failed","refused"))),"-"))))</f>
        <v>-</v>
      </c>
      <c r="G243" s="62" t="str">
        <f t="shared" si="169"/>
        <v>-</v>
      </c>
      <c r="H243" s="62" t="str">
        <f t="shared" si="169"/>
        <v>-</v>
      </c>
      <c r="I243" s="62" t="str">
        <f t="shared" si="169"/>
        <v>-</v>
      </c>
      <c r="J243" s="62" t="str">
        <f t="shared" si="169"/>
        <v>-</v>
      </c>
      <c r="K243" s="169" t="str">
        <f t="shared" si="169"/>
        <v>-</v>
      </c>
      <c r="L243" s="169" t="str">
        <f t="shared" si="169"/>
        <v>-</v>
      </c>
      <c r="M243" s="169" t="str">
        <f t="shared" si="169"/>
        <v>-</v>
      </c>
      <c r="N243" s="742"/>
      <c r="O243" s="751"/>
      <c r="P243" s="752"/>
      <c r="Q243" s="752"/>
      <c r="R243" s="752"/>
      <c r="S243" s="751"/>
      <c r="T243" s="752"/>
      <c r="U243" s="752"/>
      <c r="V243" s="755"/>
      <c r="BC243" s="159" t="str">
        <f t="shared" si="127"/>
        <v>-</v>
      </c>
    </row>
  </sheetData>
  <sheetProtection selectLockedCells="1"/>
  <mergeCells count="249">
    <mergeCell ref="C128:N128"/>
    <mergeCell ref="N16:N18"/>
    <mergeCell ref="N21:N23"/>
    <mergeCell ref="N26:N28"/>
    <mergeCell ref="N31:N33"/>
    <mergeCell ref="N43:N45"/>
    <mergeCell ref="N70:N72"/>
    <mergeCell ref="C101:N101"/>
    <mergeCell ref="C68:C69"/>
    <mergeCell ref="D68:D69"/>
    <mergeCell ref="C70:C72"/>
    <mergeCell ref="D70:D72"/>
    <mergeCell ref="C37:N37"/>
    <mergeCell ref="D16:D18"/>
    <mergeCell ref="D85:D87"/>
    <mergeCell ref="D31:D33"/>
    <mergeCell ref="B239:B243"/>
    <mergeCell ref="C239:C240"/>
    <mergeCell ref="D239:D240"/>
    <mergeCell ref="C241:C243"/>
    <mergeCell ref="D241:D243"/>
    <mergeCell ref="N75:N77"/>
    <mergeCell ref="N80:N82"/>
    <mergeCell ref="N85:N87"/>
    <mergeCell ref="N90:N92"/>
    <mergeCell ref="N95:N97"/>
    <mergeCell ref="N108:N110"/>
    <mergeCell ref="N241:N243"/>
    <mergeCell ref="N194:N196"/>
    <mergeCell ref="N216:N218"/>
    <mergeCell ref="N221:N223"/>
    <mergeCell ref="N226:N228"/>
    <mergeCell ref="N231:N233"/>
    <mergeCell ref="N236:N238"/>
    <mergeCell ref="N114:N116"/>
    <mergeCell ref="N135:N137"/>
    <mergeCell ref="N162:N164"/>
    <mergeCell ref="N189:N191"/>
    <mergeCell ref="C210:N210"/>
    <mergeCell ref="C187:C188"/>
    <mergeCell ref="C229:C230"/>
    <mergeCell ref="D229:D230"/>
    <mergeCell ref="C231:C233"/>
    <mergeCell ref="D231:D233"/>
    <mergeCell ref="B234:B238"/>
    <mergeCell ref="C234:C235"/>
    <mergeCell ref="D234:D235"/>
    <mergeCell ref="C236:C238"/>
    <mergeCell ref="D236:D238"/>
    <mergeCell ref="Y210:AH210"/>
    <mergeCell ref="Y211:AH241"/>
    <mergeCell ref="B212:N212"/>
    <mergeCell ref="O212:R212"/>
    <mergeCell ref="S212:V212"/>
    <mergeCell ref="B213:E213"/>
    <mergeCell ref="O213:R243"/>
    <mergeCell ref="S213:V243"/>
    <mergeCell ref="B214:B218"/>
    <mergeCell ref="C214:C215"/>
    <mergeCell ref="D214:D215"/>
    <mergeCell ref="C216:C218"/>
    <mergeCell ref="D216:D218"/>
    <mergeCell ref="B219:B223"/>
    <mergeCell ref="C219:C220"/>
    <mergeCell ref="D219:D220"/>
    <mergeCell ref="C221:C223"/>
    <mergeCell ref="D221:D223"/>
    <mergeCell ref="B224:B228"/>
    <mergeCell ref="C224:C225"/>
    <mergeCell ref="D224:D225"/>
    <mergeCell ref="C226:C228"/>
    <mergeCell ref="D226:D228"/>
    <mergeCell ref="B229:B233"/>
    <mergeCell ref="B192:B196"/>
    <mergeCell ref="C192:C193"/>
    <mergeCell ref="D192:D193"/>
    <mergeCell ref="C194:C196"/>
    <mergeCell ref="D194:D196"/>
    <mergeCell ref="C183:N183"/>
    <mergeCell ref="Y183:AH183"/>
    <mergeCell ref="Y184:AH209"/>
    <mergeCell ref="B185:N185"/>
    <mergeCell ref="O185:R185"/>
    <mergeCell ref="S185:V185"/>
    <mergeCell ref="B186:E186"/>
    <mergeCell ref="O186:R206"/>
    <mergeCell ref="S186:V206"/>
    <mergeCell ref="B187:B191"/>
    <mergeCell ref="D187:D188"/>
    <mergeCell ref="C189:C191"/>
    <mergeCell ref="D189:D191"/>
    <mergeCell ref="Y156:AH156"/>
    <mergeCell ref="Y157:AH177"/>
    <mergeCell ref="B158:N158"/>
    <mergeCell ref="O158:R158"/>
    <mergeCell ref="S158:V158"/>
    <mergeCell ref="B159:E159"/>
    <mergeCell ref="O159:R179"/>
    <mergeCell ref="S159:V179"/>
    <mergeCell ref="B160:B164"/>
    <mergeCell ref="B170:B174"/>
    <mergeCell ref="C170:C171"/>
    <mergeCell ref="C172:C174"/>
    <mergeCell ref="B175:B179"/>
    <mergeCell ref="C175:C176"/>
    <mergeCell ref="C177:C179"/>
    <mergeCell ref="C160:C161"/>
    <mergeCell ref="D160:D161"/>
    <mergeCell ref="C162:C164"/>
    <mergeCell ref="D162:D164"/>
    <mergeCell ref="B165:B169"/>
    <mergeCell ref="C165:C166"/>
    <mergeCell ref="C167:C169"/>
    <mergeCell ref="C156:N156"/>
    <mergeCell ref="B132:B137"/>
    <mergeCell ref="D132:E132"/>
    <mergeCell ref="C133:C134"/>
    <mergeCell ref="D133:D134"/>
    <mergeCell ref="C135:C137"/>
    <mergeCell ref="D135:D137"/>
    <mergeCell ref="B148:B152"/>
    <mergeCell ref="C148:C149"/>
    <mergeCell ref="C150:C152"/>
    <mergeCell ref="Y129:AH129"/>
    <mergeCell ref="B130:N130"/>
    <mergeCell ref="O130:R130"/>
    <mergeCell ref="S130:V130"/>
    <mergeCell ref="Y130:AH150"/>
    <mergeCell ref="B131:E131"/>
    <mergeCell ref="O131:R152"/>
    <mergeCell ref="S131:V152"/>
    <mergeCell ref="D105:E105"/>
    <mergeCell ref="C106:C107"/>
    <mergeCell ref="D106:D107"/>
    <mergeCell ref="C108:C110"/>
    <mergeCell ref="D108:D110"/>
    <mergeCell ref="B111:B116"/>
    <mergeCell ref="D111:E111"/>
    <mergeCell ref="C112:C113"/>
    <mergeCell ref="D112:D113"/>
    <mergeCell ref="C114:C116"/>
    <mergeCell ref="B138:B142"/>
    <mergeCell ref="C138:C139"/>
    <mergeCell ref="C140:C142"/>
    <mergeCell ref="B143:B147"/>
    <mergeCell ref="C143:C144"/>
    <mergeCell ref="C145:C147"/>
    <mergeCell ref="Y102:AH102"/>
    <mergeCell ref="B103:N103"/>
    <mergeCell ref="O103:R103"/>
    <mergeCell ref="S103:V103"/>
    <mergeCell ref="Y103:AH123"/>
    <mergeCell ref="B104:E104"/>
    <mergeCell ref="O104:R124"/>
    <mergeCell ref="S104:V124"/>
    <mergeCell ref="B105:B110"/>
    <mergeCell ref="D114:D116"/>
    <mergeCell ref="B88:B92"/>
    <mergeCell ref="C88:C89"/>
    <mergeCell ref="D88:D89"/>
    <mergeCell ref="C90:C92"/>
    <mergeCell ref="D90:D92"/>
    <mergeCell ref="B93:B97"/>
    <mergeCell ref="C93:C94"/>
    <mergeCell ref="D93:D94"/>
    <mergeCell ref="C95:C97"/>
    <mergeCell ref="D95:D97"/>
    <mergeCell ref="B73:B77"/>
    <mergeCell ref="C73:C74"/>
    <mergeCell ref="D73:D74"/>
    <mergeCell ref="C75:C77"/>
    <mergeCell ref="D75:D77"/>
    <mergeCell ref="C64:N64"/>
    <mergeCell ref="Y65:AH65"/>
    <mergeCell ref="B66:N66"/>
    <mergeCell ref="O66:R66"/>
    <mergeCell ref="S66:V66"/>
    <mergeCell ref="Y66:AH96"/>
    <mergeCell ref="B67:E67"/>
    <mergeCell ref="O67:R97"/>
    <mergeCell ref="S67:V97"/>
    <mergeCell ref="B68:B72"/>
    <mergeCell ref="B78:B82"/>
    <mergeCell ref="C78:C79"/>
    <mergeCell ref="D78:D79"/>
    <mergeCell ref="C80:C82"/>
    <mergeCell ref="D80:D82"/>
    <mergeCell ref="B83:B87"/>
    <mergeCell ref="C83:C84"/>
    <mergeCell ref="D83:D84"/>
    <mergeCell ref="C85:C87"/>
    <mergeCell ref="Y38:AH38"/>
    <mergeCell ref="B39:N39"/>
    <mergeCell ref="O39:R39"/>
    <mergeCell ref="S39:V39"/>
    <mergeCell ref="Y39:AH59"/>
    <mergeCell ref="B40:E40"/>
    <mergeCell ref="O40:R60"/>
    <mergeCell ref="S40:V60"/>
    <mergeCell ref="B41:B45"/>
    <mergeCell ref="B51:B55"/>
    <mergeCell ref="C51:C52"/>
    <mergeCell ref="C53:C55"/>
    <mergeCell ref="B56:B60"/>
    <mergeCell ref="C56:C57"/>
    <mergeCell ref="C58:C60"/>
    <mergeCell ref="C41:C42"/>
    <mergeCell ref="D41:D42"/>
    <mergeCell ref="C43:C45"/>
    <mergeCell ref="D43:D45"/>
    <mergeCell ref="B46:B50"/>
    <mergeCell ref="C46:C47"/>
    <mergeCell ref="C48:C50"/>
    <mergeCell ref="B19:B23"/>
    <mergeCell ref="C19:C20"/>
    <mergeCell ref="D19:D20"/>
    <mergeCell ref="C21:C23"/>
    <mergeCell ref="D21:D23"/>
    <mergeCell ref="Y11:AH11"/>
    <mergeCell ref="B12:E12"/>
    <mergeCell ref="O12:R33"/>
    <mergeCell ref="S12:V33"/>
    <mergeCell ref="Y12:AH32"/>
    <mergeCell ref="B13:B18"/>
    <mergeCell ref="D13:E13"/>
    <mergeCell ref="C14:C15"/>
    <mergeCell ref="D14:D15"/>
    <mergeCell ref="C16:C18"/>
    <mergeCell ref="B24:B28"/>
    <mergeCell ref="C24:C25"/>
    <mergeCell ref="D24:D25"/>
    <mergeCell ref="C26:C28"/>
    <mergeCell ref="D26:D28"/>
    <mergeCell ref="B29:B33"/>
    <mergeCell ref="C29:C30"/>
    <mergeCell ref="D29:D30"/>
    <mergeCell ref="C31:C33"/>
    <mergeCell ref="B6:E6"/>
    <mergeCell ref="B7:E7"/>
    <mergeCell ref="C9:N9"/>
    <mergeCell ref="B11:N11"/>
    <mergeCell ref="O11:R11"/>
    <mergeCell ref="S11:V11"/>
    <mergeCell ref="A1:J2"/>
    <mergeCell ref="B4:D4"/>
    <mergeCell ref="O4:P4"/>
    <mergeCell ref="B5:E5"/>
    <mergeCell ref="O5:P5"/>
    <mergeCell ref="K1:Q2"/>
  </mergeCells>
  <conditionalFormatting sqref="A3 P9 F206:N206 F201:N201 P37 P64 P101 P128 P156 P183 P210 F18:M18 F23:M23 F28:M28 F33:M33 F45:M45 F72:M72 F77:M77 F82:M82 F87:M87 F92:M92 F97:M97 F137:M137 F164:M164 F191:M191 F196:M196 F218:M218 F223:M223 F228:M228 F233:M233 F238:M238 F243:M243">
    <cfRule type="containsText" dxfId="2182" priority="58" operator="containsText" text="passed">
      <formula>NOT(ISERROR(SEARCH("passed",A3)))</formula>
    </cfRule>
    <cfRule type="containsText" dxfId="2181" priority="59" operator="containsText" text="failed">
      <formula>NOT(ISERROR(SEARCH("failed",A3)))</formula>
    </cfRule>
    <cfRule type="containsText" dxfId="2180" priority="60" operator="containsText" text="refused">
      <formula>NOT(ISERROR(SEARCH("refused",A3)))</formula>
    </cfRule>
  </conditionalFormatting>
  <conditionalFormatting sqref="F110:M110">
    <cfRule type="containsText" dxfId="2179" priority="55" operator="containsText" text="passed">
      <formula>NOT(ISERROR(SEARCH("passed",F110)))</formula>
    </cfRule>
    <cfRule type="containsText" dxfId="2178" priority="56" operator="containsText" text="failed">
      <formula>NOT(ISERROR(SEARCH("failed",F110)))</formula>
    </cfRule>
    <cfRule type="containsText" dxfId="2177" priority="57" operator="containsText" text="refused">
      <formula>NOT(ISERROR(SEARCH("refused",F110)))</formula>
    </cfRule>
  </conditionalFormatting>
  <conditionalFormatting sqref="F116:M116">
    <cfRule type="containsText" dxfId="2176" priority="52" operator="containsText" text="passed">
      <formula>NOT(ISERROR(SEARCH("passed",F116)))</formula>
    </cfRule>
    <cfRule type="containsText" dxfId="2175" priority="53" operator="containsText" text="failed">
      <formula>NOT(ISERROR(SEARCH("failed",F116)))</formula>
    </cfRule>
    <cfRule type="containsText" dxfId="2174" priority="54" operator="containsText" text="refused">
      <formula>NOT(ISERROR(SEARCH("refused",F116)))</formula>
    </cfRule>
  </conditionalFormatting>
  <conditionalFormatting sqref="F14:M15">
    <cfRule type="expression" dxfId="2173" priority="51">
      <formula>IF(AND(NOT(F14=""),NOT(F14="-")),F14&gt;=1.1*F$5*BE$26,"-")</formula>
    </cfRule>
  </conditionalFormatting>
  <conditionalFormatting sqref="F19:M20">
    <cfRule type="expression" dxfId="2172" priority="50">
      <formula>IF(AND(NOT(F19=""),NOT(F19="-")),F19&gt;=1.1*F$5*BE$27,"-")</formula>
    </cfRule>
  </conditionalFormatting>
  <conditionalFormatting sqref="F24:M25">
    <cfRule type="expression" dxfId="2171" priority="49">
      <formula>IF(AND(NOT(F24=""),NOT(F24="-")),F24&gt;=1.1*F$5*BE$28,"-")</formula>
    </cfRule>
  </conditionalFormatting>
  <conditionalFormatting sqref="F29:M30">
    <cfRule type="expression" dxfId="2170" priority="48">
      <formula>IF(AND(NOT(F29=""),NOT(F29="-")),F29&gt;=1.1*F$5*BE$29,"-")</formula>
    </cfRule>
  </conditionalFormatting>
  <conditionalFormatting sqref="F68:M69">
    <cfRule type="expression" dxfId="2169" priority="47">
      <formula>IF(AND(NOT(F68=""),NOT(F68="-")),F68&gt;=1.1*F$5*BE$86,"-")</formula>
    </cfRule>
  </conditionalFormatting>
  <conditionalFormatting sqref="F78:M79">
    <cfRule type="expression" dxfId="2168" priority="46">
      <formula>IF(AND(NOT(F78=""),NOT(F78="-")),F78&gt;=1.1*F$5*BE$88,"-")</formula>
    </cfRule>
  </conditionalFormatting>
  <conditionalFormatting sqref="F83:M84">
    <cfRule type="expression" dxfId="2167" priority="45">
      <formula>IF(AND(NOT(F83=""),NOT(F83="-")),F83&gt;=1.1*F$5*BE$89,"-")</formula>
    </cfRule>
  </conditionalFormatting>
  <conditionalFormatting sqref="F73:M74">
    <cfRule type="expression" dxfId="2166" priority="44">
      <formula>IF(AND(NOT(F73=""),NOT(F73="-")),F73&gt;=1.1*F$5*BE$87,"-")</formula>
    </cfRule>
  </conditionalFormatting>
  <conditionalFormatting sqref="F88:M89">
    <cfRule type="expression" dxfId="2165" priority="43">
      <formula>IF(AND(NOT(F88=""),NOT(F88="-")),F88&gt;=1.1*F$5*BE$90,"-")</formula>
    </cfRule>
  </conditionalFormatting>
  <conditionalFormatting sqref="F93:M94">
    <cfRule type="expression" dxfId="2164" priority="42">
      <formula>IF(AND(NOT(F93=""),NOT(F93="-")),F93&gt;=1.1*F$5*BE$91,"-")</formula>
    </cfRule>
  </conditionalFormatting>
  <conditionalFormatting sqref="F187:M188">
    <cfRule type="expression" dxfId="2163" priority="41">
      <formula>IF(AND(NOT(F187=""),NOT(F187="-")),F187&gt;=1.1*F$5*BE$204,"-")</formula>
    </cfRule>
  </conditionalFormatting>
  <conditionalFormatting sqref="F214:M215">
    <cfRule type="expression" dxfId="2162" priority="40">
      <formula>IF(AND(NOT(F214=""),NOT(F214="-")),F214&gt;=1.1*F$5*BE$231,"-")</formula>
    </cfRule>
  </conditionalFormatting>
  <conditionalFormatting sqref="F219:M220">
    <cfRule type="expression" dxfId="2161" priority="39">
      <formula>IF(AND(NOT(F219=""),NOT(F219="-")),F219&gt;=1.1*F$5*BE$232,"-")</formula>
    </cfRule>
  </conditionalFormatting>
  <conditionalFormatting sqref="F106:M107">
    <cfRule type="expression" dxfId="2160" priority="32">
      <formula>IF(AND(NOT(F106=""),NOT(F106="-")),F106&gt;=1.1*F$5*BE$122,"-")</formula>
    </cfRule>
  </conditionalFormatting>
  <conditionalFormatting sqref="F112:M113">
    <cfRule type="expression" dxfId="2159" priority="31">
      <formula>IF(AND(NOT(F112=""),NOT(F112="-")),F112&gt;=1.1*F$5*BE$123,"-")</formula>
    </cfRule>
  </conditionalFormatting>
  <conditionalFormatting sqref="N14:N15">
    <cfRule type="expression" dxfId="2158" priority="30">
      <formula>IF(AND(NOT(N14=""),NOT(N14="-")),N14&gt;=1.1*N$5*#REF!,"-")</formula>
    </cfRule>
  </conditionalFormatting>
  <conditionalFormatting sqref="N19:N20">
    <cfRule type="expression" dxfId="2157" priority="29">
      <formula>IF(AND(NOT(N19=""),NOT(N19="-")),N19&gt;=1.1*N$5*#REF!,"-")</formula>
    </cfRule>
  </conditionalFormatting>
  <conditionalFormatting sqref="N24:N25">
    <cfRule type="expression" dxfId="2156" priority="28">
      <formula>IF(AND(NOT(N24=""),NOT(N24="-")),N24&gt;=1.1*N$5*#REF!,"-")</formula>
    </cfRule>
  </conditionalFormatting>
  <conditionalFormatting sqref="N29:N30">
    <cfRule type="expression" dxfId="2155" priority="27">
      <formula>IF(AND(NOT(N29=""),NOT(N29="-")),N29&gt;=1.1*N$5*#REF!,"-")</formula>
    </cfRule>
  </conditionalFormatting>
  <conditionalFormatting sqref="N68:N69">
    <cfRule type="expression" dxfId="2154" priority="26">
      <formula>IF(AND(NOT(N68=""),NOT(N68="-")),N68&gt;=1.1*N$5*#REF!,"-")</formula>
    </cfRule>
  </conditionalFormatting>
  <conditionalFormatting sqref="N160:N161">
    <cfRule type="expression" dxfId="2153" priority="20">
      <formula>IF(AND(NOT(N160=""),NOT(N160="-")),N160&gt;=1.1*N$5*#REF!,"-")</formula>
    </cfRule>
  </conditionalFormatting>
  <conditionalFormatting sqref="N187:N188">
    <cfRule type="expression" dxfId="2152" priority="19">
      <formula>IF(AND(NOT(N187=""),NOT(N187="-")),N187&gt;=1.1*N$5*#REF!,"-")</formula>
    </cfRule>
  </conditionalFormatting>
  <conditionalFormatting sqref="N192:N193">
    <cfRule type="expression" dxfId="2151" priority="18">
      <formula>IF(AND(NOT(N192=""),NOT(N192="-")),N192&gt;=1.1*N$5*#REF!,"-")</formula>
    </cfRule>
  </conditionalFormatting>
  <conditionalFormatting sqref="N214:N215">
    <cfRule type="expression" dxfId="2150" priority="12">
      <formula>IF(AND(NOT(N214=""),NOT(N214="-")),N214&gt;=1.1*N$5*#REF!,"-")</formula>
    </cfRule>
  </conditionalFormatting>
  <conditionalFormatting sqref="N106:N107">
    <cfRule type="expression" dxfId="2149" priority="11">
      <formula>IF(AND(NOT(N106=""),NOT(N106="-")),N106&gt;=1.1*N$5*#REF!,"-")</formula>
    </cfRule>
  </conditionalFormatting>
  <conditionalFormatting sqref="N112:N113">
    <cfRule type="expression" dxfId="2148" priority="10">
      <formula>IF(AND(NOT(N112=""),NOT(N112="-")),N112&gt;=1.1*N$5*#REF!,"-")</formula>
    </cfRule>
  </conditionalFormatting>
  <conditionalFormatting sqref="N41:N42">
    <cfRule type="expression" dxfId="2147" priority="9">
      <formula>IF(AND(NOT(N41=""),NOT(N41="-")),N41&gt;=1.1*N$5*BT$53,"-")</formula>
    </cfRule>
  </conditionalFormatting>
  <conditionalFormatting sqref="F41:K42">
    <cfRule type="expression" dxfId="2146" priority="8">
      <formula>IF(AND(NOT(F41=""),NOT(F41="-")),F41&gt;=1.1*F$5*BM$53,"-")</formula>
    </cfRule>
  </conditionalFormatting>
  <conditionalFormatting sqref="L41:L42">
    <cfRule type="expression" dxfId="2145" priority="7">
      <formula>IF(AND(NOT(L41=""),NOT(L41="-")),L41&gt;=1.1*L$5*BT$53,"-")</formula>
    </cfRule>
  </conditionalFormatting>
  <conditionalFormatting sqref="F133:F134">
    <cfRule type="expression" dxfId="2144" priority="6">
      <formula>IF(AND(NOT(F133=""),NOT(F133="-")),F133&gt;=1.1*F$7*#REF!,"-")</formula>
    </cfRule>
  </conditionalFormatting>
  <conditionalFormatting sqref="M41:M42">
    <cfRule type="expression" dxfId="2143" priority="5">
      <formula>IF(AND(NOT(M41=""),NOT(M41="-")),M41&gt;=1.1*M$5*#REF!,"-")</formula>
    </cfRule>
  </conditionalFormatting>
  <conditionalFormatting sqref="N133:N134">
    <cfRule type="expression" dxfId="2142" priority="4">
      <formula>IF(AND(NOT(N133=""),NOT(N133="-")),N133&gt;=1.1*N$7*CB$150,"-")</formula>
    </cfRule>
  </conditionalFormatting>
  <conditionalFormatting sqref="G133:K134">
    <cfRule type="expression" dxfId="2141" priority="3">
      <formula>IF(AND(NOT(G133=""),NOT(G133="-")),G133&gt;=1.1*G$7*BU$150,"-")</formula>
    </cfRule>
  </conditionalFormatting>
  <conditionalFormatting sqref="L133:M134">
    <cfRule type="expression" dxfId="2140" priority="439385">
      <formula>IF(AND(NOT(L133=""),NOT(L133="-")),L133&gt;=1.1*L$7*CB$150,"-")</formula>
    </cfRule>
  </conditionalFormatting>
  <conditionalFormatting sqref="N73:N74 N78:N79 N83:N84 N88:N89 N93:N94">
    <cfRule type="expression" dxfId="2139" priority="2">
      <formula>IF(AND(NOT(N73=""),NOT(N73="-")),N73&gt;=1.1*N$5*#REF!,"-")</formula>
    </cfRule>
  </conditionalFormatting>
  <conditionalFormatting sqref="N219:N220 N224:N225 N229:N230 N234:N235 N239:N240">
    <cfRule type="expression" dxfId="2138" priority="1">
      <formula>IF(AND(NOT(N219=""),NOT(N219="-")),N219&gt;=1.1*N$5*#REF!,"-")</formula>
    </cfRule>
  </conditionalFormatting>
  <conditionalFormatting sqref="F160:M161">
    <cfRule type="expression" dxfId="2137" priority="440538">
      <formula>IF(AND(NOT(F160=""),NOT(F160="-")),F160&gt;=1.1*F$5*BE$177,"-")</formula>
    </cfRule>
  </conditionalFormatting>
  <conditionalFormatting sqref="F192:M193">
    <cfRule type="expression" dxfId="2136" priority="440540">
      <formula>IF(AND(NOT(F192=""),NOT(F192="-")),F192&gt;=1.1*F$5*BE$205,"-")</formula>
    </cfRule>
  </conditionalFormatting>
  <conditionalFormatting sqref="F224:M225">
    <cfRule type="expression" dxfId="2135" priority="440542">
      <formula>IF(AND(NOT(F224=""),NOT(F224="-")),F224&gt;=1.1*F$5*BE$233,"-")</formula>
    </cfRule>
  </conditionalFormatting>
  <conditionalFormatting sqref="F229:M230">
    <cfRule type="expression" dxfId="2134" priority="440543">
      <formula>IF(AND(NOT(F229=""),NOT(F229="-")),F229&gt;=1.1*F$5*BE$234,"-")</formula>
    </cfRule>
  </conditionalFormatting>
  <conditionalFormatting sqref="F234:M235">
    <cfRule type="expression" dxfId="2133" priority="440544">
      <formula>IF(AND(NOT(F234=""),NOT(F234="-")),F234&gt;=1.1*F$5*BE$235,"-")</formula>
    </cfRule>
  </conditionalFormatting>
  <conditionalFormatting sqref="F239:M240">
    <cfRule type="expression" dxfId="2132" priority="440545">
      <formula>IF(AND(NOT(F239=""),NOT(F239="-")),F239&gt;=1.1*F$5*BE$236,"-")</formula>
    </cfRule>
  </conditionalFormatting>
  <pageMargins left="0.7" right="0.7" top="0.75" bottom="0.75" header="0.3" footer="0.3"/>
  <pageSetup paperSize="9" scale="44" fitToHeight="0" orientation="landscape" r:id="rId1"/>
  <rowBreaks count="5" manualBreakCount="5">
    <brk id="60" max="19" man="1"/>
    <brk id="99" max="19" man="1"/>
    <brk id="153" max="19" man="1"/>
    <brk id="180" max="19" man="1"/>
    <brk id="207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8">
    <pageSetUpPr fitToPage="1"/>
  </sheetPr>
  <dimension ref="A1:BU187"/>
  <sheetViews>
    <sheetView showGridLines="0" topLeftCell="A37" zoomScaleNormal="100" workbookViewId="0">
      <selection activeCell="E40" sqref="E40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customWidth="1"/>
    <col min="58" max="58" width="4.42578125" style="405" customWidth="1"/>
    <col min="59" max="59" width="4" style="405" customWidth="1"/>
    <col min="60" max="60" width="4.85546875" style="405" customWidth="1"/>
    <col min="61" max="62" width="4" style="405" customWidth="1"/>
    <col min="63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658" t="str">
        <f>'Variant 4 - MIDC'!K1:Q2</f>
        <v>[e.g. Ferrari F150 MEDC17] [Chassis name] [Engine description]</v>
      </c>
      <c r="L1" s="659"/>
      <c r="M1" s="659"/>
      <c r="N1" s="659"/>
      <c r="O1" s="659"/>
      <c r="P1" s="659"/>
      <c r="Q1" s="660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661"/>
      <c r="L2" s="662"/>
      <c r="M2" s="662"/>
      <c r="N2" s="662"/>
      <c r="O2" s="662"/>
      <c r="P2" s="662"/>
      <c r="Q2" s="663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358" t="str">
        <f>'Variant 4 - MIDC'!E4</f>
        <v>BS 6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521" t="str">
        <f>'Variant 4 - MIDC'!L4</f>
        <v>Additional
component</v>
      </c>
      <c r="M4" s="521" t="str">
        <f>'Variant 4 - MIDC'!M4</f>
        <v>Additional
component 2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61">
        <f>'Variant 4 - MIDC'!F5</f>
        <v>6.8000000000000005E-2</v>
      </c>
      <c r="G5" s="361">
        <f>'Variant 4 - MIDC'!G5</f>
        <v>0.1</v>
      </c>
      <c r="H5" s="361">
        <f>'Variant 4 - MIDC'!H5</f>
        <v>1</v>
      </c>
      <c r="I5" s="361">
        <f>'Variant 4 - MIDC'!I5</f>
        <v>0.06</v>
      </c>
      <c r="J5" s="361">
        <f>'Variant 4 - MIDC'!J5</f>
        <v>4.4999999999999997E-3</v>
      </c>
      <c r="K5" s="361">
        <f>'Variant 4 - MIDC'!K5</f>
        <v>600000000000</v>
      </c>
      <c r="L5" s="361" t="str">
        <f>'Variant 4 - MIDC'!L5</f>
        <v>-</v>
      </c>
      <c r="M5" s="361" t="str">
        <f>'Variant 4 - MIDC'!M5</f>
        <v>-</v>
      </c>
      <c r="N5" s="361" t="str">
        <f>'Variant 4 - MIDC'!N5</f>
        <v>-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412"/>
      <c r="G6" s="412"/>
      <c r="H6" s="412"/>
      <c r="I6" s="412"/>
      <c r="J6" s="412"/>
      <c r="K6" s="413"/>
      <c r="L6" s="413"/>
      <c r="M6" s="413"/>
      <c r="N6" s="412"/>
      <c r="O6" s="411"/>
      <c r="P6" s="411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172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427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456"/>
      <c r="C9" s="457"/>
      <c r="D9" s="457"/>
      <c r="E9" s="457"/>
      <c r="F9" s="457"/>
      <c r="G9" s="457"/>
      <c r="H9" s="457"/>
      <c r="I9" s="457"/>
      <c r="J9" s="457"/>
      <c r="K9" s="421"/>
      <c r="L9" s="421"/>
      <c r="M9" s="421"/>
      <c r="N9" s="457"/>
      <c r="O9" s="457"/>
      <c r="P9" s="457"/>
      <c r="Q9" s="457"/>
      <c r="R9" s="457"/>
      <c r="S9" s="457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434"/>
      <c r="X11" s="434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434"/>
      <c r="X12" s="434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BS 6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434"/>
      <c r="X13" s="434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 t="str">
        <f t="shared" ref="BE13:BL13" si="2">IF(AND(OR($C15="-",$C15="CET",$C15=""),OR(F12="-",F12="CET",F12="")),"-",IF(AND(OR(F13="-",F13=""),OR(F14="-",F14="")),"-",IF(NOT(OR(F13="-",F13="")),F13/F$5,F14/F$5)))</f>
        <v>-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si="2"/>
        <v>-</v>
      </c>
      <c r="BL13" s="435" t="str">
        <f t="shared" si="2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L14" si="3">IF((OR($C20="-",$C20="CET",$C20="")),"-",IF(AND(OR(F18="-",F18=""),OR(F19="-",F19="")),"-",IF(NOT(OR(F18="-",F18="")),F18/F$5,F19/F$5)))</f>
        <v>-</v>
      </c>
      <c r="BF14" s="435" t="str">
        <f t="shared" si="3"/>
        <v>-</v>
      </c>
      <c r="BG14" s="435" t="str">
        <f t="shared" si="3"/>
        <v>-</v>
      </c>
      <c r="BH14" s="435" t="str">
        <f t="shared" si="3"/>
        <v>-</v>
      </c>
      <c r="BI14" s="435" t="str">
        <f t="shared" si="3"/>
        <v>-</v>
      </c>
      <c r="BJ14" s="435" t="str">
        <f t="shared" si="3"/>
        <v>-</v>
      </c>
      <c r="BK14" s="435" t="str">
        <f t="shared" si="3"/>
        <v>-</v>
      </c>
      <c r="BL14" s="435" t="str">
        <f t="shared" si="3"/>
        <v>-</v>
      </c>
    </row>
    <row r="15" spans="1:64" ht="15" customHeight="1" outlineLevel="1" thickBot="1" x14ac:dyDescent="0.3">
      <c r="A15" s="396"/>
      <c r="B15" s="680"/>
      <c r="C15" s="686" t="s">
        <v>64</v>
      </c>
      <c r="D15" s="689" t="str">
        <f>IF(AND(F16="-",G16="-",H16="-",I16="-",J16="-",K16="-",L16="-",M16="-"),"-",MAX(F16,G16,H16,I16,J16,K16,L16,M16))</f>
        <v>-</v>
      </c>
      <c r="E15" s="444" t="s">
        <v>96</v>
      </c>
      <c r="F15" s="445" t="str">
        <f t="shared" ref="F15:M15" si="4">IF(OR(F14="-",F14=""),IF(OR(F13="-",F13=""),"-",F13),IF(OR(F13="-",F13=""),F14,(F13+F14)/2))</f>
        <v>-</v>
      </c>
      <c r="G15" s="445" t="str">
        <f t="shared" si="4"/>
        <v>-</v>
      </c>
      <c r="H15" s="445" t="str">
        <f t="shared" si="4"/>
        <v>-</v>
      </c>
      <c r="I15" s="445" t="str">
        <f t="shared" si="4"/>
        <v>-</v>
      </c>
      <c r="J15" s="445" t="str">
        <f t="shared" si="4"/>
        <v>-</v>
      </c>
      <c r="K15" s="446" t="str">
        <f t="shared" si="4"/>
        <v>-</v>
      </c>
      <c r="L15" s="446" t="str">
        <f t="shared" si="4"/>
        <v>-</v>
      </c>
      <c r="M15" s="446" t="str">
        <f t="shared" si="4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434"/>
      <c r="X15" s="434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L15" si="5">IF((OR($C25="-",$C25="CET",$C25="")),"-",IF(AND(OR(F23="-",F23=""),OR(F24="-",F24="")),"-",IF(NOT(OR(F23="-",F23="")),F23/F$5,F24/F$5)))</f>
        <v>-</v>
      </c>
      <c r="BF15" s="435" t="str">
        <f t="shared" si="5"/>
        <v>-</v>
      </c>
      <c r="BG15" s="435" t="str">
        <f t="shared" si="5"/>
        <v>-</v>
      </c>
      <c r="BH15" s="435" t="str">
        <f t="shared" si="5"/>
        <v>-</v>
      </c>
      <c r="BI15" s="435" t="str">
        <f t="shared" si="5"/>
        <v>-</v>
      </c>
      <c r="BJ15" s="435" t="str">
        <f t="shared" si="5"/>
        <v>-</v>
      </c>
      <c r="BK15" s="435" t="str">
        <f t="shared" si="5"/>
        <v>-</v>
      </c>
      <c r="BL15" s="435" t="str">
        <f t="shared" si="5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K16" si="6">IF(AND(OR($C15="-",$C15="CET",$C15=""),OR(F12="-",F12="CET",F12="")),"-",IF(AND(NOT(F15="-"),NOT(F$5="-"),NOT(F$5="")),F15/F$5,"-"))</f>
        <v>-</v>
      </c>
      <c r="G16" s="448" t="str">
        <f t="shared" si="6"/>
        <v>-</v>
      </c>
      <c r="H16" s="448" t="str">
        <f t="shared" si="6"/>
        <v>-</v>
      </c>
      <c r="I16" s="448" t="str">
        <f t="shared" si="6"/>
        <v>-</v>
      </c>
      <c r="J16" s="448" t="str">
        <f t="shared" si="6"/>
        <v>-</v>
      </c>
      <c r="K16" s="449" t="str">
        <f t="shared" si="6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7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434"/>
      <c r="X16" s="434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L16" si="8">IF((OR($C30="-",$C30="CET",$C30="")),"-",IF(AND(OR(F28="-",F28=""),OR(F29="-",F29="")),"-",IF(NOT(OR(F28="-",F28="")),F28/F$5,F29/F$5)))</f>
        <v>-</v>
      </c>
      <c r="BF16" s="435" t="str">
        <f t="shared" si="8"/>
        <v>-</v>
      </c>
      <c r="BG16" s="435" t="str">
        <f t="shared" si="8"/>
        <v>-</v>
      </c>
      <c r="BH16" s="435" t="str">
        <f t="shared" si="8"/>
        <v>-</v>
      </c>
      <c r="BI16" s="435" t="str">
        <f t="shared" si="8"/>
        <v>-</v>
      </c>
      <c r="BJ16" s="435" t="str">
        <f t="shared" si="8"/>
        <v>-</v>
      </c>
      <c r="BK16" s="435" t="str">
        <f t="shared" si="8"/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9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9"/>
        <v>-</v>
      </c>
      <c r="H17" s="451" t="str">
        <f t="shared" si="9"/>
        <v>-</v>
      </c>
      <c r="I17" s="451" t="str">
        <f t="shared" si="9"/>
        <v>-</v>
      </c>
      <c r="J17" s="451" t="str">
        <f t="shared" si="9"/>
        <v>-</v>
      </c>
      <c r="K17" s="452" t="str">
        <f t="shared" si="9"/>
        <v>-</v>
      </c>
      <c r="L17" s="452" t="str">
        <f t="shared" si="9"/>
        <v>-</v>
      </c>
      <c r="M17" s="452" t="str">
        <f t="shared" si="9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434"/>
      <c r="X17" s="434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10">IF(AND(OR($C15="-",$C15="CET",$C15=""),OR(F12="-",F12="CET",F12="")),"-",0.7*IF(OR(F12="CET",F12="-",F12=""),IF(OR($C15="CET",$C15="-",$C15=""),"-",$C15),F12))</f>
        <v>-</v>
      </c>
      <c r="BF17" s="435" t="str">
        <f t="shared" si="10"/>
        <v>-</v>
      </c>
      <c r="BG17" s="435" t="str">
        <f t="shared" si="10"/>
        <v>-</v>
      </c>
      <c r="BH17" s="435" t="str">
        <f t="shared" si="10"/>
        <v>-</v>
      </c>
      <c r="BI17" s="435" t="str">
        <f t="shared" si="10"/>
        <v>-</v>
      </c>
      <c r="BJ17" s="435" t="str">
        <f t="shared" si="10"/>
        <v>-</v>
      </c>
      <c r="BK17" s="435" t="str">
        <f t="shared" si="10"/>
        <v>-</v>
      </c>
      <c r="BL17" s="435" t="str">
        <f t="shared" si="10"/>
        <v>-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434"/>
      <c r="X18" s="434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81" si="11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L18" si="12">IF(OR($C20="-",$C20="CET",$C20=""),"-",0.7*$C20)</f>
        <v>0.7</v>
      </c>
      <c r="BF18" s="435">
        <f t="shared" si="12"/>
        <v>0.7</v>
      </c>
      <c r="BG18" s="435">
        <f t="shared" si="12"/>
        <v>0.7</v>
      </c>
      <c r="BH18" s="435">
        <f t="shared" si="12"/>
        <v>0.7</v>
      </c>
      <c r="BI18" s="435">
        <f t="shared" si="12"/>
        <v>0.7</v>
      </c>
      <c r="BJ18" s="435">
        <f t="shared" si="12"/>
        <v>0.7</v>
      </c>
      <c r="BK18" s="435">
        <f t="shared" si="12"/>
        <v>0.7</v>
      </c>
      <c r="BL18" s="435">
        <f t="shared" si="12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1"/>
        <v>-</v>
      </c>
      <c r="BD19" s="429" t="str">
        <f>"0.7*IEF " &amp; B23</f>
        <v>0.7*IEF Hot 1</v>
      </c>
      <c r="BE19" s="435">
        <f t="shared" ref="BE19:BL19" si="13">IF(OR($C25="-",$C25="CET",$C25=""),"-",0.7*$C25)</f>
        <v>0.7</v>
      </c>
      <c r="BF19" s="435">
        <f t="shared" si="13"/>
        <v>0.7</v>
      </c>
      <c r="BG19" s="435">
        <f t="shared" si="13"/>
        <v>0.7</v>
      </c>
      <c r="BH19" s="435">
        <f t="shared" si="13"/>
        <v>0.7</v>
      </c>
      <c r="BI19" s="435">
        <f t="shared" si="13"/>
        <v>0.7</v>
      </c>
      <c r="BJ19" s="435">
        <f t="shared" si="13"/>
        <v>0.7</v>
      </c>
      <c r="BK19" s="435">
        <f t="shared" si="13"/>
        <v>0.7</v>
      </c>
      <c r="BL19" s="435">
        <f t="shared" si="13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M20" si="14">IF(OR(F19="-",F19=""),IF(OR(F18="-",F18=""),"-",F18),IF(OR(F18="-",F18=""),F19,(F18+F19)/2))</f>
        <v>-</v>
      </c>
      <c r="G20" s="445" t="str">
        <f t="shared" si="14"/>
        <v>-</v>
      </c>
      <c r="H20" s="445" t="str">
        <f t="shared" si="14"/>
        <v>-</v>
      </c>
      <c r="I20" s="445" t="str">
        <f t="shared" si="14"/>
        <v>-</v>
      </c>
      <c r="J20" s="445" t="str">
        <f t="shared" si="14"/>
        <v>-</v>
      </c>
      <c r="K20" s="446" t="str">
        <f t="shared" si="14"/>
        <v>-</v>
      </c>
      <c r="L20" s="446" t="str">
        <f t="shared" si="14"/>
        <v>-</v>
      </c>
      <c r="M20" s="446" t="str">
        <f t="shared" si="1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434"/>
      <c r="X20" s="434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1"/>
        <v>-</v>
      </c>
      <c r="BD20" s="429" t="str">
        <f>"0.7*IEF " &amp; B28</f>
        <v>0.7*IEF Hot 2</v>
      </c>
      <c r="BE20" s="435">
        <f t="shared" ref="BE20:BL20" si="15">IF(OR($C30="-",$C30="CET",$C30=""),"-",0.7*$C30)</f>
        <v>0.7</v>
      </c>
      <c r="BF20" s="435">
        <f t="shared" si="15"/>
        <v>0.7</v>
      </c>
      <c r="BG20" s="435">
        <f t="shared" si="15"/>
        <v>0.7</v>
      </c>
      <c r="BH20" s="435">
        <f t="shared" si="15"/>
        <v>0.7</v>
      </c>
      <c r="BI20" s="435">
        <f t="shared" si="15"/>
        <v>0.7</v>
      </c>
      <c r="BJ20" s="435">
        <f t="shared" si="15"/>
        <v>0.7</v>
      </c>
      <c r="BK20" s="435">
        <f t="shared" si="15"/>
        <v>0.7</v>
      </c>
      <c r="BL20" s="435">
        <f t="shared" si="15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M21" si="16">IF(OR($C20="-",$C20="CET",$C20=""),"-",IF(AND(NOT(F20="-"),NOT(F$5="-"),NOT(F$5="")),F20/F$5,"-"))</f>
        <v>-</v>
      </c>
      <c r="G21" s="448" t="str">
        <f t="shared" si="16"/>
        <v>-</v>
      </c>
      <c r="H21" s="448" t="str">
        <f t="shared" si="16"/>
        <v>-</v>
      </c>
      <c r="I21" s="448" t="str">
        <f t="shared" si="16"/>
        <v>-</v>
      </c>
      <c r="J21" s="448" t="str">
        <f t="shared" si="16"/>
        <v>-</v>
      </c>
      <c r="K21" s="449" t="str">
        <f t="shared" si="16"/>
        <v>-</v>
      </c>
      <c r="L21" s="449" t="str">
        <f t="shared" si="16"/>
        <v>-</v>
      </c>
      <c r="M21" s="449" t="str">
        <f t="shared" si="16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434"/>
      <c r="X21" s="434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1"/>
        <v>-</v>
      </c>
      <c r="BD21" s="429" t="str">
        <f>B12</f>
        <v>Cold</v>
      </c>
      <c r="BE21" s="435" t="str">
        <f t="shared" ref="BE21:BL21" si="17">F16</f>
        <v>-</v>
      </c>
      <c r="BF21" s="435" t="str">
        <f t="shared" si="17"/>
        <v>-</v>
      </c>
      <c r="BG21" s="435" t="str">
        <f t="shared" si="17"/>
        <v>-</v>
      </c>
      <c r="BH21" s="435" t="str">
        <f t="shared" si="17"/>
        <v>-</v>
      </c>
      <c r="BI21" s="435" t="str">
        <f t="shared" si="17"/>
        <v>-</v>
      </c>
      <c r="BJ21" s="435" t="str">
        <f t="shared" si="17"/>
        <v>-</v>
      </c>
      <c r="BK21" s="435" t="str">
        <f t="shared" si="17"/>
        <v>-</v>
      </c>
      <c r="BL21" s="435" t="str">
        <f t="shared" si="17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8"/>
        <v>-</v>
      </c>
      <c r="H22" s="451" t="str">
        <f t="shared" si="18"/>
        <v>-</v>
      </c>
      <c r="I22" s="451" t="str">
        <f t="shared" si="18"/>
        <v>-</v>
      </c>
      <c r="J22" s="451" t="str">
        <f t="shared" si="18"/>
        <v>-</v>
      </c>
      <c r="K22" s="452" t="str">
        <f t="shared" si="18"/>
        <v>-</v>
      </c>
      <c r="L22" s="452" t="str">
        <f t="shared" si="18"/>
        <v>-</v>
      </c>
      <c r="M22" s="452" t="str">
        <f t="shared" si="18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434"/>
      <c r="X22" s="434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1"/>
        <v>-</v>
      </c>
      <c r="BD22" s="429" t="str">
        <f>B18</f>
        <v>Warm</v>
      </c>
      <c r="BE22" s="435" t="str">
        <f t="shared" ref="BE22:BL22" si="19">F21</f>
        <v>-</v>
      </c>
      <c r="BF22" s="435" t="str">
        <f t="shared" si="19"/>
        <v>-</v>
      </c>
      <c r="BG22" s="435" t="str">
        <f t="shared" si="19"/>
        <v>-</v>
      </c>
      <c r="BH22" s="435" t="str">
        <f t="shared" si="19"/>
        <v>-</v>
      </c>
      <c r="BI22" s="435" t="str">
        <f t="shared" si="19"/>
        <v>-</v>
      </c>
      <c r="BJ22" s="435" t="str">
        <f t="shared" si="19"/>
        <v>-</v>
      </c>
      <c r="BK22" s="435" t="str">
        <f t="shared" si="19"/>
        <v>-</v>
      </c>
      <c r="BL22" s="435" t="str">
        <f t="shared" si="19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434"/>
      <c r="X23" s="434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1"/>
        <v>-</v>
      </c>
      <c r="BD23" s="429" t="str">
        <f>B23</f>
        <v>Hot 1</v>
      </c>
      <c r="BE23" s="435" t="str">
        <f t="shared" ref="BE23:BL23" si="20">F26</f>
        <v>-</v>
      </c>
      <c r="BF23" s="435" t="str">
        <f t="shared" si="20"/>
        <v>-</v>
      </c>
      <c r="BG23" s="435" t="str">
        <f t="shared" si="20"/>
        <v>-</v>
      </c>
      <c r="BH23" s="435" t="str">
        <f t="shared" si="20"/>
        <v>-</v>
      </c>
      <c r="BI23" s="435" t="str">
        <f t="shared" si="20"/>
        <v>-</v>
      </c>
      <c r="BJ23" s="435" t="str">
        <f t="shared" si="20"/>
        <v>-</v>
      </c>
      <c r="BK23" s="435" t="str">
        <f t="shared" si="20"/>
        <v>-</v>
      </c>
      <c r="BL23" s="435" t="str">
        <f t="shared" si="20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1"/>
        <v>-</v>
      </c>
      <c r="BD24" s="429" t="str">
        <f>B28</f>
        <v>Hot 2</v>
      </c>
      <c r="BE24" s="435" t="str">
        <f t="shared" ref="BE24:BL24" si="21">F31</f>
        <v>-</v>
      </c>
      <c r="BF24" s="435" t="str">
        <f t="shared" si="21"/>
        <v>-</v>
      </c>
      <c r="BG24" s="435" t="str">
        <f t="shared" si="21"/>
        <v>-</v>
      </c>
      <c r="BH24" s="435" t="str">
        <f t="shared" si="21"/>
        <v>-</v>
      </c>
      <c r="BI24" s="435" t="str">
        <f t="shared" si="21"/>
        <v>-</v>
      </c>
      <c r="BJ24" s="435" t="str">
        <f t="shared" si="21"/>
        <v>-</v>
      </c>
      <c r="BK24" s="435" t="str">
        <f t="shared" si="21"/>
        <v>-</v>
      </c>
      <c r="BL24" s="435" t="str">
        <f t="shared" si="21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M25" si="22">IF(OR(F24="-",F24=""),IF(OR(F23="-",F23=""),"-",F23),IF(OR(F23="-",F23=""),F24,(F23+F24)/2))</f>
        <v>-</v>
      </c>
      <c r="G25" s="445" t="str">
        <f t="shared" si="22"/>
        <v>-</v>
      </c>
      <c r="H25" s="445" t="str">
        <f t="shared" si="22"/>
        <v>-</v>
      </c>
      <c r="I25" s="445" t="str">
        <f t="shared" si="22"/>
        <v>-</v>
      </c>
      <c r="J25" s="445" t="str">
        <f t="shared" si="22"/>
        <v>-</v>
      </c>
      <c r="K25" s="446" t="str">
        <f t="shared" si="22"/>
        <v>-</v>
      </c>
      <c r="L25" s="446" t="str">
        <f t="shared" si="22"/>
        <v>-</v>
      </c>
      <c r="M25" s="446" t="str">
        <f t="shared" si="22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434"/>
      <c r="X25" s="434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1"/>
        <v>-</v>
      </c>
      <c r="BD25" s="429" t="str">
        <f>"IEF " &amp;B12</f>
        <v>IEF Cold</v>
      </c>
      <c r="BE25" s="435" t="str">
        <f t="shared" ref="BE25:BL25" si="23">IF(AND(OR($C15="-",$C15="CET",$C15=""),OR(F12="-",F12="CET",F12="")),"-",IF(OR(F12="CET",F12="-",F12=""),IF(OR($C15="CET",$C15="-",$C15=""),"-",$C15),F12))</f>
        <v>-</v>
      </c>
      <c r="BF25" s="435" t="str">
        <f t="shared" si="23"/>
        <v>-</v>
      </c>
      <c r="BG25" s="435" t="str">
        <f t="shared" si="23"/>
        <v>-</v>
      </c>
      <c r="BH25" s="435" t="str">
        <f t="shared" si="23"/>
        <v>-</v>
      </c>
      <c r="BI25" s="435" t="str">
        <f t="shared" si="23"/>
        <v>-</v>
      </c>
      <c r="BJ25" s="435" t="str">
        <f t="shared" si="23"/>
        <v>-</v>
      </c>
      <c r="BK25" s="435" t="str">
        <f t="shared" si="23"/>
        <v>-</v>
      </c>
      <c r="BL25" s="435" t="str">
        <f t="shared" si="23"/>
        <v>-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M26" si="24">IF(OR($C25="-",$C25="CET",$C25=""),"-",IF(AND(NOT(F25="-"),NOT(F$5="-"),NOT(F$5="")),F25/F$5,"-"))</f>
        <v>-</v>
      </c>
      <c r="G26" s="448" t="str">
        <f t="shared" si="24"/>
        <v>-</v>
      </c>
      <c r="H26" s="448" t="str">
        <f t="shared" si="24"/>
        <v>-</v>
      </c>
      <c r="I26" s="448" t="str">
        <f t="shared" si="24"/>
        <v>-</v>
      </c>
      <c r="J26" s="448" t="str">
        <f t="shared" si="24"/>
        <v>-</v>
      </c>
      <c r="K26" s="449" t="str">
        <f t="shared" si="24"/>
        <v>-</v>
      </c>
      <c r="L26" s="449" t="str">
        <f t="shared" si="24"/>
        <v>-</v>
      </c>
      <c r="M26" s="449" t="str">
        <f t="shared" si="2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434"/>
      <c r="X26" s="434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1"/>
        <v>-</v>
      </c>
      <c r="BD26" s="429" t="str">
        <f>"IEF " &amp; B18</f>
        <v>IEF Warm</v>
      </c>
      <c r="BE26" s="435">
        <f t="shared" ref="BE26:BL26" si="25">IF(OR($C20="CET",$C20="-",$C20=""),"-",$C20)</f>
        <v>1</v>
      </c>
      <c r="BF26" s="435">
        <f t="shared" si="25"/>
        <v>1</v>
      </c>
      <c r="BG26" s="435">
        <f t="shared" si="25"/>
        <v>1</v>
      </c>
      <c r="BH26" s="435">
        <f t="shared" si="25"/>
        <v>1</v>
      </c>
      <c r="BI26" s="435">
        <f t="shared" si="25"/>
        <v>1</v>
      </c>
      <c r="BJ26" s="435">
        <f t="shared" si="25"/>
        <v>1</v>
      </c>
      <c r="BK26" s="435">
        <f t="shared" si="25"/>
        <v>1</v>
      </c>
      <c r="BL26" s="435">
        <f t="shared" si="25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6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6"/>
        <v>-</v>
      </c>
      <c r="H27" s="451" t="str">
        <f t="shared" si="26"/>
        <v>-</v>
      </c>
      <c r="I27" s="451" t="str">
        <f t="shared" si="26"/>
        <v>-</v>
      </c>
      <c r="J27" s="451" t="str">
        <f t="shared" si="26"/>
        <v>-</v>
      </c>
      <c r="K27" s="452" t="str">
        <f t="shared" si="26"/>
        <v>-</v>
      </c>
      <c r="L27" s="452" t="str">
        <f t="shared" si="26"/>
        <v>-</v>
      </c>
      <c r="M27" s="452" t="str">
        <f t="shared" si="26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434"/>
      <c r="X27" s="434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1"/>
        <v>-</v>
      </c>
      <c r="BD27" s="429" t="str">
        <f>"IEF " &amp; B23</f>
        <v>IEF Hot 1</v>
      </c>
      <c r="BE27" s="435">
        <f t="shared" ref="BE27:BL27" si="27">IF(OR($C25="CET",$C25="-",$C25=""),"-",$C25)</f>
        <v>1</v>
      </c>
      <c r="BF27" s="435">
        <f t="shared" si="27"/>
        <v>1</v>
      </c>
      <c r="BG27" s="435">
        <f t="shared" si="27"/>
        <v>1</v>
      </c>
      <c r="BH27" s="435">
        <f t="shared" si="27"/>
        <v>1</v>
      </c>
      <c r="BI27" s="435">
        <f t="shared" si="27"/>
        <v>1</v>
      </c>
      <c r="BJ27" s="435">
        <f t="shared" si="27"/>
        <v>1</v>
      </c>
      <c r="BK27" s="435">
        <f t="shared" si="27"/>
        <v>1</v>
      </c>
      <c r="BL27" s="435">
        <f t="shared" si="27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434"/>
      <c r="X28" s="434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1"/>
        <v>-</v>
      </c>
      <c r="BD28" s="429" t="str">
        <f>"IEF " &amp; B28</f>
        <v>IEF Hot 2</v>
      </c>
      <c r="BE28" s="435">
        <f t="shared" ref="BE28:BL28" si="28">IF(OR($C30="CET",$C30="-",$C30=""),"-",$C30)</f>
        <v>1</v>
      </c>
      <c r="BF28" s="435">
        <f t="shared" si="28"/>
        <v>1</v>
      </c>
      <c r="BG28" s="435">
        <f t="shared" si="28"/>
        <v>1</v>
      </c>
      <c r="BH28" s="435">
        <f t="shared" si="28"/>
        <v>1</v>
      </c>
      <c r="BI28" s="435">
        <f t="shared" si="28"/>
        <v>1</v>
      </c>
      <c r="BJ28" s="435">
        <f t="shared" si="28"/>
        <v>1</v>
      </c>
      <c r="BK28" s="435">
        <f t="shared" si="28"/>
        <v>1</v>
      </c>
      <c r="BL28" s="435">
        <f t="shared" si="28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1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M30" si="29">IF(OR(F29="-",F29=""),IF(OR(F28="-",F28=""),"-",F28),IF(OR(F28="-",F28=""),F29,(F28+F29)/2))</f>
        <v>-</v>
      </c>
      <c r="G30" s="445" t="str">
        <f t="shared" si="29"/>
        <v>-</v>
      </c>
      <c r="H30" s="445" t="str">
        <f t="shared" si="29"/>
        <v>-</v>
      </c>
      <c r="I30" s="445" t="str">
        <f t="shared" si="29"/>
        <v>-</v>
      </c>
      <c r="J30" s="445" t="str">
        <f t="shared" si="29"/>
        <v>-</v>
      </c>
      <c r="K30" s="446" t="str">
        <f t="shared" si="29"/>
        <v>-</v>
      </c>
      <c r="L30" s="446" t="str">
        <f t="shared" si="29"/>
        <v>-</v>
      </c>
      <c r="M30" s="446" t="str">
        <f t="shared" si="29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434"/>
      <c r="X30" s="434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1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M31" si="30">IF(OR($C30="-",$C30="CET",$C30=""),"-",IF(AND(NOT(F30="-"),NOT(F$5="-"),NOT(F$5="")),F30/F$5,"-"))</f>
        <v>-</v>
      </c>
      <c r="G31" s="448" t="str">
        <f t="shared" si="30"/>
        <v>-</v>
      </c>
      <c r="H31" s="448" t="str">
        <f t="shared" si="30"/>
        <v>-</v>
      </c>
      <c r="I31" s="448" t="str">
        <f t="shared" si="30"/>
        <v>-</v>
      </c>
      <c r="J31" s="448" t="str">
        <f t="shared" si="30"/>
        <v>-</v>
      </c>
      <c r="K31" s="449" t="str">
        <f t="shared" si="30"/>
        <v>-</v>
      </c>
      <c r="L31" s="449" t="str">
        <f t="shared" si="30"/>
        <v>-</v>
      </c>
      <c r="M31" s="449" t="str">
        <f t="shared" si="30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434"/>
      <c r="X31" s="434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1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3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31"/>
        <v>-</v>
      </c>
      <c r="H32" s="451" t="str">
        <f t="shared" si="31"/>
        <v>-</v>
      </c>
      <c r="I32" s="451" t="str">
        <f t="shared" si="31"/>
        <v>-</v>
      </c>
      <c r="J32" s="451" t="str">
        <f t="shared" si="31"/>
        <v>-</v>
      </c>
      <c r="K32" s="452" t="str">
        <f t="shared" si="31"/>
        <v>-</v>
      </c>
      <c r="L32" s="452" t="str">
        <f t="shared" si="31"/>
        <v>-</v>
      </c>
      <c r="M32" s="452" t="str">
        <f t="shared" si="31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1"/>
        <v>-</v>
      </c>
    </row>
    <row r="33" spans="1:64" ht="15" customHeight="1" x14ac:dyDescent="0.25">
      <c r="BC33" s="401" t="str">
        <f t="shared" si="11"/>
        <v>-</v>
      </c>
    </row>
    <row r="34" spans="1:64" ht="15" customHeight="1" x14ac:dyDescent="0.25">
      <c r="BC34" s="401" t="str">
        <f t="shared" si="11"/>
        <v>-</v>
      </c>
    </row>
    <row r="35" spans="1:64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  <c r="BC35" s="401" t="str">
        <f t="shared" si="11"/>
        <v>-</v>
      </c>
    </row>
    <row r="36" spans="1:64" ht="24.95" customHeight="1" thickBot="1" x14ac:dyDescent="0.3">
      <c r="A36" s="396"/>
      <c r="B36" s="415">
        <v>2</v>
      </c>
      <c r="C36" s="706" t="s">
        <v>171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IF(COUNTIF(F44:N69,"refused")&gt;0,"refused",IF(COUNTIF(F44:N69,"failed")&gt;0,"failed",IF(COUNTIF(F44:N69,"passed")&gt;0,"passed","-")))</f>
        <v>-</v>
      </c>
      <c r="Q36" s="399" t="s">
        <v>80</v>
      </c>
      <c r="R36" s="399" t="str">
        <f>IF(COUNT(F40:M41,F45:M46,F50:M51,F55:M56,F60:M61,F65:M66)&gt;0,"listed","not listed")</f>
        <v>not listed</v>
      </c>
      <c r="S36" s="427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BC36" s="401" t="str">
        <f t="shared" si="11"/>
        <v>-</v>
      </c>
    </row>
    <row r="37" spans="1:64" ht="15" customHeight="1" outlineLevel="1" thickBot="1" x14ac:dyDescent="0.3">
      <c r="A37" s="396"/>
      <c r="B37" s="456"/>
      <c r="C37" s="457"/>
      <c r="D37" s="457"/>
      <c r="E37" s="457"/>
      <c r="F37" s="457"/>
      <c r="G37" s="457"/>
      <c r="H37" s="457"/>
      <c r="I37" s="457"/>
      <c r="J37" s="457"/>
      <c r="K37" s="421"/>
      <c r="L37" s="421"/>
      <c r="M37" s="421"/>
      <c r="N37" s="457"/>
      <c r="O37" s="457"/>
      <c r="P37" s="457"/>
      <c r="Q37" s="457"/>
      <c r="R37" s="457"/>
      <c r="S37" s="457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BC37" s="401" t="str">
        <f t="shared" si="11"/>
        <v>-</v>
      </c>
    </row>
    <row r="38" spans="1:64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434"/>
      <c r="X38" s="434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C38" s="401" t="str">
        <f t="shared" si="11"/>
        <v>-</v>
      </c>
      <c r="BD38" s="429" t="s">
        <v>85</v>
      </c>
      <c r="BE38" s="430" t="str">
        <f>F$4</f>
        <v>NMHC 
[g/km]</v>
      </c>
      <c r="BF38" s="430" t="str">
        <f t="shared" ref="BF38:BL38" si="32">G$4</f>
        <v>THC
[g/km]</v>
      </c>
      <c r="BG38" s="430" t="str">
        <f t="shared" si="32"/>
        <v>CO
[g/km]</v>
      </c>
      <c r="BH38" s="430" t="str">
        <f t="shared" si="32"/>
        <v>NOx
[g/km]</v>
      </c>
      <c r="BI38" s="430" t="str">
        <f t="shared" si="32"/>
        <v>PM
[mg/km]</v>
      </c>
      <c r="BJ38" s="430" t="str">
        <f t="shared" si="32"/>
        <v>PN
[#/km]</v>
      </c>
      <c r="BK38" s="430" t="str">
        <f t="shared" si="32"/>
        <v>Additional
component</v>
      </c>
      <c r="BL38" s="430" t="str">
        <f t="shared" si="32"/>
        <v>Additional
component 2</v>
      </c>
    </row>
    <row r="39" spans="1:64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tr">
        <f>F$4</f>
        <v>NMHC 
[g/km]</v>
      </c>
      <c r="G39" s="425" t="str">
        <f t="shared" ref="G39:M39" si="33">G$4</f>
        <v>THC
[g/km]</v>
      </c>
      <c r="H39" s="425" t="str">
        <f t="shared" si="33"/>
        <v>CO
[g/km]</v>
      </c>
      <c r="I39" s="425" t="str">
        <f t="shared" si="33"/>
        <v>NOx
[g/km]</v>
      </c>
      <c r="J39" s="425" t="str">
        <f t="shared" si="33"/>
        <v>PM
[mg/km]</v>
      </c>
      <c r="K39" s="425" t="str">
        <f t="shared" si="33"/>
        <v>PN
[#/km]</v>
      </c>
      <c r="L39" s="426" t="str">
        <f t="shared" si="33"/>
        <v>Additional
component</v>
      </c>
      <c r="M39" s="426" t="str">
        <f t="shared" si="33"/>
        <v>Additional
component 2</v>
      </c>
      <c r="N39" s="425" t="str">
        <f>N$4</f>
        <v>CO2
[g/km]</v>
      </c>
      <c r="O39" s="669"/>
      <c r="P39" s="670"/>
      <c r="Q39" s="670"/>
      <c r="R39" s="670"/>
      <c r="S39" s="669"/>
      <c r="T39" s="670"/>
      <c r="U39" s="670"/>
      <c r="V39" s="671"/>
      <c r="W39" s="434"/>
      <c r="X39" s="434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401" t="str">
        <f t="shared" si="11"/>
        <v>-</v>
      </c>
      <c r="BD39" s="429" t="str">
        <f>$E$4</f>
        <v>BS 6</v>
      </c>
      <c r="BE39" s="435">
        <v>1</v>
      </c>
      <c r="BF39" s="435">
        <v>1</v>
      </c>
      <c r="BG39" s="435">
        <v>1</v>
      </c>
      <c r="BH39" s="435">
        <v>1</v>
      </c>
      <c r="BI39" s="435">
        <v>1</v>
      </c>
      <c r="BJ39" s="435">
        <v>1</v>
      </c>
      <c r="BK39" s="435">
        <v>1</v>
      </c>
      <c r="BL39" s="435">
        <v>1</v>
      </c>
    </row>
    <row r="40" spans="1:64" ht="15" customHeight="1" outlineLevel="1" x14ac:dyDescent="0.25">
      <c r="A40" s="396"/>
      <c r="B40" s="679" t="str">
        <f>'Variant 4 - MIDC'!B40:B44</f>
        <v>Drive Mode 1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3"/>
      <c r="S40" s="672"/>
      <c r="T40" s="673"/>
      <c r="U40" s="673"/>
      <c r="V40" s="674"/>
      <c r="W40" s="434"/>
      <c r="X40" s="434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401" t="str">
        <f t="shared" si="11"/>
        <v>-</v>
      </c>
      <c r="BD40" s="429" t="str">
        <f>"1st " &amp;  B40</f>
        <v>1st Drive Mode 1</v>
      </c>
      <c r="BE40" s="435" t="str">
        <f t="shared" ref="BE40:BL40" si="34">IF((OR($C42="-",$C42="CET",$C42="")),"-",IF(AND(OR(F40="-",F40=""),OR(F41="-",F41="")),"-",IF(NOT(OR(F40="-",F40="")),F40/F$5,F41/F$5)))</f>
        <v>-</v>
      </c>
      <c r="BF40" s="435" t="str">
        <f t="shared" si="34"/>
        <v>-</v>
      </c>
      <c r="BG40" s="435" t="str">
        <f t="shared" si="34"/>
        <v>-</v>
      </c>
      <c r="BH40" s="435" t="str">
        <f t="shared" si="34"/>
        <v>-</v>
      </c>
      <c r="BI40" s="435" t="str">
        <f t="shared" si="34"/>
        <v>-</v>
      </c>
      <c r="BJ40" s="435" t="str">
        <f t="shared" si="34"/>
        <v>-</v>
      </c>
      <c r="BK40" s="435" t="str">
        <f t="shared" si="34"/>
        <v>-</v>
      </c>
      <c r="BL40" s="435" t="str">
        <f t="shared" si="34"/>
        <v>-</v>
      </c>
    </row>
    <row r="41" spans="1:64" s="405" customFormat="1" ht="15" customHeight="1" outlineLevel="1" thickBot="1" x14ac:dyDescent="0.3">
      <c r="A41" s="439"/>
      <c r="B41" s="680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3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11"/>
        <v>-</v>
      </c>
      <c r="BD41" s="429" t="str">
        <f>"1st " &amp; B45</f>
        <v>1st Drive Mode 2</v>
      </c>
      <c r="BE41" s="435" t="str">
        <f t="shared" ref="BE41:BL41" si="35">IF((OR($C47="-",$C47="CET",$C47="")),"-",IF(AND(OR(F45="-",F45=""),OR(F46="-",F46="")),"-",IF(NOT(OR(F45="-",F45="")),F45/F$5,F46/F$5)))</f>
        <v>-</v>
      </c>
      <c r="BF41" s="435" t="str">
        <f t="shared" si="35"/>
        <v>-</v>
      </c>
      <c r="BG41" s="435" t="str">
        <f t="shared" si="35"/>
        <v>-</v>
      </c>
      <c r="BH41" s="435" t="str">
        <f t="shared" si="35"/>
        <v>-</v>
      </c>
      <c r="BI41" s="435" t="str">
        <f t="shared" si="35"/>
        <v>-</v>
      </c>
      <c r="BJ41" s="435" t="str">
        <f t="shared" si="35"/>
        <v>-</v>
      </c>
      <c r="BK41" s="435" t="str">
        <f t="shared" si="35"/>
        <v>-</v>
      </c>
      <c r="BL41" s="435" t="str">
        <f t="shared" si="35"/>
        <v>-</v>
      </c>
    </row>
    <row r="42" spans="1:64" ht="15" customHeight="1" outlineLevel="1" thickBot="1" x14ac:dyDescent="0.3">
      <c r="A42" s="396"/>
      <c r="B42" s="680"/>
      <c r="C42" s="686">
        <v>1</v>
      </c>
      <c r="D42" s="689" t="str">
        <f>IF(AND(F43="-",G43="-",H43="-",I43="-",J43="-",K43="-",L43="-",M43="-"),"-",MAX(F43,G43,H43,I43,J43,K43,L43,M43))</f>
        <v>-</v>
      </c>
      <c r="E42" s="444" t="s">
        <v>96</v>
      </c>
      <c r="F42" s="445" t="str">
        <f t="shared" ref="F42:M42" si="36">IF(OR(F41="-",F41=""),IF(OR(F40="-",F40=""),"-",F40),IF(OR(F40="-",F40=""),F41,(F40+F41)/2))</f>
        <v>-</v>
      </c>
      <c r="G42" s="445" t="str">
        <f t="shared" si="36"/>
        <v>-</v>
      </c>
      <c r="H42" s="445" t="str">
        <f t="shared" si="36"/>
        <v>-</v>
      </c>
      <c r="I42" s="445" t="str">
        <f t="shared" si="36"/>
        <v>-</v>
      </c>
      <c r="J42" s="445" t="str">
        <f t="shared" si="36"/>
        <v>-</v>
      </c>
      <c r="K42" s="446" t="str">
        <f t="shared" si="36"/>
        <v>-</v>
      </c>
      <c r="L42" s="446" t="str">
        <f t="shared" si="36"/>
        <v>-</v>
      </c>
      <c r="M42" s="446" t="str">
        <f t="shared" si="36"/>
        <v>-</v>
      </c>
      <c r="N42" s="699"/>
      <c r="O42" s="672"/>
      <c r="P42" s="673"/>
      <c r="Q42" s="673"/>
      <c r="R42" s="673"/>
      <c r="S42" s="672"/>
      <c r="T42" s="673"/>
      <c r="U42" s="673"/>
      <c r="V42" s="674"/>
      <c r="W42" s="434"/>
      <c r="X42" s="434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401" t="str">
        <f t="shared" si="11"/>
        <v>-</v>
      </c>
      <c r="BD42" s="429" t="str">
        <f>"1st " &amp; B50</f>
        <v>1st Drive Mode 3</v>
      </c>
      <c r="BE42" s="435" t="str">
        <f t="shared" ref="BE42:BL42" si="37">IF((OR($C52="-",$C52="CET",$C52="")),"-",IF(AND(OR(F50="-",F50=""),OR(F51="-",F51="")),"-",IF(NOT(OR(F50="-",F50="")),F50/F$5,F51/F$5)))</f>
        <v>-</v>
      </c>
      <c r="BF42" s="435" t="str">
        <f t="shared" si="37"/>
        <v>-</v>
      </c>
      <c r="BG42" s="435" t="str">
        <f t="shared" si="37"/>
        <v>-</v>
      </c>
      <c r="BH42" s="435" t="str">
        <f t="shared" si="37"/>
        <v>-</v>
      </c>
      <c r="BI42" s="435" t="str">
        <f t="shared" si="37"/>
        <v>-</v>
      </c>
      <c r="BJ42" s="435" t="str">
        <f t="shared" si="37"/>
        <v>-</v>
      </c>
      <c r="BK42" s="435" t="str">
        <f t="shared" si="37"/>
        <v>-</v>
      </c>
      <c r="BL42" s="435" t="str">
        <f t="shared" si="37"/>
        <v>-</v>
      </c>
    </row>
    <row r="43" spans="1:64" ht="15" customHeight="1" outlineLevel="1" thickBot="1" x14ac:dyDescent="0.3">
      <c r="A43" s="396"/>
      <c r="B43" s="680"/>
      <c r="C43" s="687"/>
      <c r="D43" s="690"/>
      <c r="E43" s="447" t="s">
        <v>97</v>
      </c>
      <c r="F43" s="448" t="str">
        <f t="shared" ref="F43:M43" si="38">IF(OR($C42="-",$C42="CET",$C42=""),"-",IF(AND(NOT(F42="-"),NOT(F$5="-"),NOT(F$5="")),F42/F$5,"-"))</f>
        <v>-</v>
      </c>
      <c r="G43" s="448" t="str">
        <f t="shared" si="38"/>
        <v>-</v>
      </c>
      <c r="H43" s="448" t="str">
        <f t="shared" si="38"/>
        <v>-</v>
      </c>
      <c r="I43" s="448" t="str">
        <f t="shared" si="38"/>
        <v>-</v>
      </c>
      <c r="J43" s="448" t="str">
        <f t="shared" si="38"/>
        <v>-</v>
      </c>
      <c r="K43" s="449" t="str">
        <f t="shared" si="38"/>
        <v>-</v>
      </c>
      <c r="L43" s="449" t="str">
        <f t="shared" si="38"/>
        <v>-</v>
      </c>
      <c r="M43" s="449" t="str">
        <f t="shared" si="38"/>
        <v>-</v>
      </c>
      <c r="N43" s="700"/>
      <c r="O43" s="672"/>
      <c r="P43" s="673"/>
      <c r="Q43" s="673"/>
      <c r="R43" s="673"/>
      <c r="S43" s="672"/>
      <c r="T43" s="673"/>
      <c r="U43" s="673"/>
      <c r="V43" s="674"/>
      <c r="W43" s="434"/>
      <c r="X43" s="434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401" t="str">
        <f t="shared" si="11"/>
        <v>-</v>
      </c>
      <c r="BD43" s="429" t="str">
        <f>"1st " &amp; B55</f>
        <v>1st Drive Mode 4</v>
      </c>
      <c r="BE43" s="435" t="str">
        <f t="shared" ref="BE43:BL43" si="39">IF((OR($C57="-",$C57="CET",$C57="")),"-",IF(AND(OR(F55="-",F55=""),OR(F56="-",F56="")),"-",IF(NOT(OR(F55="-",F55="")),F55/F$5,F56/F$5)))</f>
        <v>-</v>
      </c>
      <c r="BF43" s="435" t="str">
        <f t="shared" si="39"/>
        <v>-</v>
      </c>
      <c r="BG43" s="435" t="str">
        <f t="shared" si="39"/>
        <v>-</v>
      </c>
      <c r="BH43" s="435" t="str">
        <f t="shared" si="39"/>
        <v>-</v>
      </c>
      <c r="BI43" s="435" t="str">
        <f t="shared" si="39"/>
        <v>-</v>
      </c>
      <c r="BJ43" s="435" t="str">
        <f t="shared" si="39"/>
        <v>-</v>
      </c>
      <c r="BK43" s="435" t="str">
        <f t="shared" si="39"/>
        <v>-</v>
      </c>
      <c r="BL43" s="435" t="str">
        <f t="shared" si="39"/>
        <v>-</v>
      </c>
    </row>
    <row r="44" spans="1:64" ht="15" customHeight="1" outlineLevel="1" thickBot="1" x14ac:dyDescent="0.3">
      <c r="A44" s="396"/>
      <c r="B44" s="681"/>
      <c r="C44" s="688"/>
      <c r="D44" s="691"/>
      <c r="E44" s="450" t="s">
        <v>30</v>
      </c>
      <c r="F44" s="451" t="str">
        <f t="shared" ref="F44:M44" si="40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40"/>
        <v>-</v>
      </c>
      <c r="H44" s="451" t="str">
        <f t="shared" si="40"/>
        <v>-</v>
      </c>
      <c r="I44" s="451" t="str">
        <f t="shared" si="40"/>
        <v>-</v>
      </c>
      <c r="J44" s="451" t="str">
        <f t="shared" si="40"/>
        <v>-</v>
      </c>
      <c r="K44" s="452" t="str">
        <f t="shared" si="40"/>
        <v>-</v>
      </c>
      <c r="L44" s="452" t="str">
        <f t="shared" si="40"/>
        <v>-</v>
      </c>
      <c r="M44" s="452" t="str">
        <f t="shared" si="40"/>
        <v>-</v>
      </c>
      <c r="N44" s="701"/>
      <c r="O44" s="672"/>
      <c r="P44" s="673"/>
      <c r="Q44" s="673"/>
      <c r="R44" s="673"/>
      <c r="S44" s="672"/>
      <c r="T44" s="673"/>
      <c r="U44" s="673"/>
      <c r="V44" s="674"/>
      <c r="W44" s="434"/>
      <c r="X44" s="434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401" t="str">
        <f t="shared" si="11"/>
        <v>-</v>
      </c>
      <c r="BD44" s="429" t="str">
        <f>"1st " &amp; B60</f>
        <v>1st Drive Mode 5</v>
      </c>
      <c r="BE44" s="435" t="str">
        <f t="shared" ref="BE44:BL44" si="41">IF((OR($C62="-",$C62="CET",$C62="")),"-",IF(AND(OR(F60="-",F60=""),OR(F61="-",F61="")),"-",IF(NOT(OR(F60="-",F60="")),F60/F$5,F61/F$5)))</f>
        <v>-</v>
      </c>
      <c r="BF44" s="435" t="str">
        <f t="shared" si="41"/>
        <v>-</v>
      </c>
      <c r="BG44" s="435" t="str">
        <f t="shared" si="41"/>
        <v>-</v>
      </c>
      <c r="BH44" s="435" t="str">
        <f t="shared" si="41"/>
        <v>-</v>
      </c>
      <c r="BI44" s="435" t="str">
        <f t="shared" si="41"/>
        <v>-</v>
      </c>
      <c r="BJ44" s="435" t="str">
        <f t="shared" si="41"/>
        <v>-</v>
      </c>
      <c r="BK44" s="435" t="str">
        <f t="shared" si="41"/>
        <v>-</v>
      </c>
      <c r="BL44" s="435" t="str">
        <f t="shared" si="41"/>
        <v>-</v>
      </c>
    </row>
    <row r="45" spans="1:64" ht="15" customHeight="1" outlineLevel="1" x14ac:dyDescent="0.25">
      <c r="A45" s="396"/>
      <c r="B45" s="679" t="str">
        <f>'Variant 4 - MIDC'!B45:B49</f>
        <v>Drive Mode 2</v>
      </c>
      <c r="C45" s="684" t="s">
        <v>114</v>
      </c>
      <c r="D45" s="684" t="s">
        <v>113</v>
      </c>
      <c r="E45" s="453" t="s">
        <v>94</v>
      </c>
      <c r="F45" s="437" t="s">
        <v>5</v>
      </c>
      <c r="G45" s="437" t="s">
        <v>5</v>
      </c>
      <c r="H45" s="437" t="s">
        <v>5</v>
      </c>
      <c r="I45" s="437" t="s">
        <v>5</v>
      </c>
      <c r="J45" s="437" t="s">
        <v>5</v>
      </c>
      <c r="K45" s="438" t="s">
        <v>5</v>
      </c>
      <c r="L45" s="438" t="s">
        <v>5</v>
      </c>
      <c r="M45" s="438" t="s">
        <v>5</v>
      </c>
      <c r="N45" s="437" t="s">
        <v>5</v>
      </c>
      <c r="O45" s="672"/>
      <c r="P45" s="673"/>
      <c r="Q45" s="673"/>
      <c r="R45" s="673"/>
      <c r="S45" s="672"/>
      <c r="T45" s="673"/>
      <c r="U45" s="673"/>
      <c r="V45" s="674"/>
      <c r="W45" s="434"/>
      <c r="X45" s="434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401" t="str">
        <f t="shared" si="11"/>
        <v>-</v>
      </c>
      <c r="BD45" s="429" t="str">
        <f>"1st " &amp; B65</f>
        <v>1st Drive Mode 6</v>
      </c>
      <c r="BE45" s="435" t="str">
        <f t="shared" ref="BE45:BL45" si="42">IF((OR($C67="-",$C67="CET",$C67="")),"-",IF(AND(OR(F65="-",F65=""),OR(F66="-",F66="")),"-",IF(NOT(OR(F65="-",F65="")),F65/F$5,F66/F$5)))</f>
        <v>-</v>
      </c>
      <c r="BF45" s="435" t="str">
        <f t="shared" si="42"/>
        <v>-</v>
      </c>
      <c r="BG45" s="435" t="str">
        <f t="shared" si="42"/>
        <v>-</v>
      </c>
      <c r="BH45" s="435" t="str">
        <f t="shared" si="42"/>
        <v>-</v>
      </c>
      <c r="BI45" s="435" t="str">
        <f t="shared" si="42"/>
        <v>-</v>
      </c>
      <c r="BJ45" s="435" t="str">
        <f t="shared" si="42"/>
        <v>-</v>
      </c>
      <c r="BK45" s="435" t="str">
        <f t="shared" si="42"/>
        <v>-</v>
      </c>
      <c r="BL45" s="435" t="str">
        <f t="shared" si="42"/>
        <v>-</v>
      </c>
    </row>
    <row r="46" spans="1:64" s="405" customFormat="1" ht="15" customHeight="1" outlineLevel="1" thickBot="1" x14ac:dyDescent="0.3">
      <c r="A46" s="439"/>
      <c r="B46" s="680"/>
      <c r="C46" s="702"/>
      <c r="D46" s="685"/>
      <c r="E46" s="440" t="s">
        <v>95</v>
      </c>
      <c r="F46" s="441" t="s">
        <v>5</v>
      </c>
      <c r="G46" s="441" t="s">
        <v>5</v>
      </c>
      <c r="H46" s="441" t="s">
        <v>5</v>
      </c>
      <c r="I46" s="441" t="s">
        <v>5</v>
      </c>
      <c r="J46" s="441" t="s">
        <v>5</v>
      </c>
      <c r="K46" s="442" t="s">
        <v>5</v>
      </c>
      <c r="L46" s="442" t="s">
        <v>5</v>
      </c>
      <c r="M46" s="442" t="s">
        <v>5</v>
      </c>
      <c r="N46" s="441" t="s">
        <v>5</v>
      </c>
      <c r="O46" s="672"/>
      <c r="P46" s="673"/>
      <c r="Q46" s="673"/>
      <c r="R46" s="673"/>
      <c r="S46" s="672"/>
      <c r="T46" s="673"/>
      <c r="U46" s="673"/>
      <c r="V46" s="674"/>
      <c r="W46" s="443"/>
      <c r="X46" s="443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401" t="str">
        <f t="shared" si="11"/>
        <v>-</v>
      </c>
      <c r="BD46" s="429" t="str">
        <f>"0.7*IEF " &amp; (B40)</f>
        <v>0.7*IEF Drive Mode 1</v>
      </c>
      <c r="BE46" s="435">
        <f t="shared" ref="BE46:BL46" si="43">IF(OR($C42="-",$C42="CET",$C42=""),"-",0.7*$C42)</f>
        <v>0.7</v>
      </c>
      <c r="BF46" s="435">
        <f t="shared" si="43"/>
        <v>0.7</v>
      </c>
      <c r="BG46" s="435">
        <f t="shared" si="43"/>
        <v>0.7</v>
      </c>
      <c r="BH46" s="435">
        <f t="shared" si="43"/>
        <v>0.7</v>
      </c>
      <c r="BI46" s="435">
        <f t="shared" si="43"/>
        <v>0.7</v>
      </c>
      <c r="BJ46" s="435">
        <f t="shared" si="43"/>
        <v>0.7</v>
      </c>
      <c r="BK46" s="435">
        <f t="shared" si="43"/>
        <v>0.7</v>
      </c>
      <c r="BL46" s="435">
        <f t="shared" si="43"/>
        <v>0.7</v>
      </c>
    </row>
    <row r="47" spans="1:64" ht="15" customHeight="1" outlineLevel="1" thickBot="1" x14ac:dyDescent="0.3">
      <c r="A47" s="396"/>
      <c r="B47" s="680"/>
      <c r="C47" s="686">
        <v>1</v>
      </c>
      <c r="D47" s="689" t="str">
        <f>IF(AND(F48="-",G48="-",H48="-",I48="-",J48="-",K48="-",L48="-",M48="-"),"-",MAX(F48,G48,H48,I48,J48,K48,L48,M48))</f>
        <v>-</v>
      </c>
      <c r="E47" s="444" t="s">
        <v>96</v>
      </c>
      <c r="F47" s="445" t="str">
        <f t="shared" ref="F47:M47" si="44">IF(OR(F46="-",F46=""),IF(OR(F45="-",F45=""),"-",F45),IF(OR(F45="-",F45=""),F46,(F45+F46)/2))</f>
        <v>-</v>
      </c>
      <c r="G47" s="445" t="str">
        <f t="shared" si="44"/>
        <v>-</v>
      </c>
      <c r="H47" s="445" t="str">
        <f t="shared" si="44"/>
        <v>-</v>
      </c>
      <c r="I47" s="445" t="str">
        <f t="shared" si="44"/>
        <v>-</v>
      </c>
      <c r="J47" s="445" t="str">
        <f t="shared" si="44"/>
        <v>-</v>
      </c>
      <c r="K47" s="446" t="str">
        <f t="shared" si="44"/>
        <v>-</v>
      </c>
      <c r="L47" s="446" t="str">
        <f t="shared" si="44"/>
        <v>-</v>
      </c>
      <c r="M47" s="446" t="str">
        <f t="shared" si="44"/>
        <v>-</v>
      </c>
      <c r="N47" s="699"/>
      <c r="O47" s="672"/>
      <c r="P47" s="673"/>
      <c r="Q47" s="673"/>
      <c r="R47" s="673"/>
      <c r="S47" s="672"/>
      <c r="T47" s="673"/>
      <c r="U47" s="673"/>
      <c r="V47" s="674"/>
      <c r="W47" s="434"/>
      <c r="X47" s="434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401" t="str">
        <f t="shared" si="11"/>
        <v>-</v>
      </c>
      <c r="BD47" s="429" t="str">
        <f>"0.7*IEF " &amp; B45</f>
        <v>0.7*IEF Drive Mode 2</v>
      </c>
      <c r="BE47" s="435">
        <f t="shared" ref="BE47:BL47" si="45">IF(OR($C47="-",$C47="CET",$C47=""),"-",0.7*$C47)</f>
        <v>0.7</v>
      </c>
      <c r="BF47" s="435">
        <f t="shared" si="45"/>
        <v>0.7</v>
      </c>
      <c r="BG47" s="435">
        <f t="shared" si="45"/>
        <v>0.7</v>
      </c>
      <c r="BH47" s="435">
        <f t="shared" si="45"/>
        <v>0.7</v>
      </c>
      <c r="BI47" s="435">
        <f t="shared" si="45"/>
        <v>0.7</v>
      </c>
      <c r="BJ47" s="435">
        <f t="shared" si="45"/>
        <v>0.7</v>
      </c>
      <c r="BK47" s="435">
        <f t="shared" si="45"/>
        <v>0.7</v>
      </c>
      <c r="BL47" s="435">
        <f t="shared" si="45"/>
        <v>0.7</v>
      </c>
    </row>
    <row r="48" spans="1:64" ht="15" customHeight="1" outlineLevel="1" thickBot="1" x14ac:dyDescent="0.3">
      <c r="A48" s="396"/>
      <c r="B48" s="680"/>
      <c r="C48" s="687"/>
      <c r="D48" s="690"/>
      <c r="E48" s="447" t="s">
        <v>97</v>
      </c>
      <c r="F48" s="448" t="str">
        <f t="shared" ref="F48:M48" si="46">IF(OR($C47="-",$C47="CET",$C47=""),"-",IF(AND(NOT(F47="-"),NOT(F$5="-"),NOT(F$5="")),F47/F$5,"-"))</f>
        <v>-</v>
      </c>
      <c r="G48" s="448" t="str">
        <f t="shared" si="46"/>
        <v>-</v>
      </c>
      <c r="H48" s="448" t="str">
        <f t="shared" si="46"/>
        <v>-</v>
      </c>
      <c r="I48" s="448" t="str">
        <f t="shared" si="46"/>
        <v>-</v>
      </c>
      <c r="J48" s="448" t="str">
        <f t="shared" si="46"/>
        <v>-</v>
      </c>
      <c r="K48" s="449" t="str">
        <f t="shared" si="46"/>
        <v>-</v>
      </c>
      <c r="L48" s="449" t="str">
        <f t="shared" si="46"/>
        <v>-</v>
      </c>
      <c r="M48" s="449" t="str">
        <f t="shared" si="46"/>
        <v>-</v>
      </c>
      <c r="N48" s="700"/>
      <c r="O48" s="672"/>
      <c r="P48" s="673"/>
      <c r="Q48" s="673"/>
      <c r="R48" s="673"/>
      <c r="S48" s="672"/>
      <c r="T48" s="673"/>
      <c r="U48" s="673"/>
      <c r="V48" s="674"/>
      <c r="W48" s="434"/>
      <c r="X48" s="434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401" t="str">
        <f t="shared" si="11"/>
        <v>-</v>
      </c>
      <c r="BD48" s="429" t="str">
        <f>"0.7*IEF " &amp; B50</f>
        <v>0.7*IEF Drive Mode 3</v>
      </c>
      <c r="BE48" s="435">
        <f t="shared" ref="BE48:BL48" si="47">IF(OR($C52="-",$C52="CET",$C52=""),"-",0.7*$C52)</f>
        <v>0.7</v>
      </c>
      <c r="BF48" s="435">
        <f t="shared" si="47"/>
        <v>0.7</v>
      </c>
      <c r="BG48" s="435">
        <f t="shared" si="47"/>
        <v>0.7</v>
      </c>
      <c r="BH48" s="435">
        <f t="shared" si="47"/>
        <v>0.7</v>
      </c>
      <c r="BI48" s="435">
        <f t="shared" si="47"/>
        <v>0.7</v>
      </c>
      <c r="BJ48" s="435">
        <f t="shared" si="47"/>
        <v>0.7</v>
      </c>
      <c r="BK48" s="435">
        <f t="shared" si="47"/>
        <v>0.7</v>
      </c>
      <c r="BL48" s="435">
        <f t="shared" si="47"/>
        <v>0.7</v>
      </c>
    </row>
    <row r="49" spans="1:64" ht="15" customHeight="1" outlineLevel="1" thickBot="1" x14ac:dyDescent="0.3">
      <c r="A49" s="404"/>
      <c r="B49" s="681"/>
      <c r="C49" s="688"/>
      <c r="D49" s="691"/>
      <c r="E49" s="451" t="s">
        <v>30</v>
      </c>
      <c r="F49" s="451" t="str">
        <f t="shared" ref="F49:M49" si="48">IF(AND(OR(F45="-",F45=""),OR(F46="-",F46="")),"-",IF(OR($C47="-",$C47="",$C47="CET"),"-",IF($R$36="not listed","-",IF(NOT(F$5="-"),IF(AND(AND(NOT(F45=0),NOT(F45="-"),NOT(F45="")),AND(NOT(F46="-"),NOT(F46=0),NOT(F46=""))),IF(AND((F45+F46)/2&lt;1*F$5*IF(OR($C47="CET",$C47="-",$C47=""),"-",$C47),F45&lt;1.1*F$5*IF(OR($C47="CET",$C47="-",$C47=""),"-",$C47),F46&lt;1.1*F$5*IF(OR($C47="CET",$C47="-",$C47=""),"-",$C47)),"passed","refused"),IF(IF(OR(F45="-",F45=""),F46,F45)&lt;0.7*F$5*IF(OR($C47="CET",$C47="-",$C47=""),"-",$C47),"passed",IF(IF(OR(F45="-",F45=""),F46,F45)&lt;1.1*IF(OR($C47="CET",$C47="-",$C47=""),"-",$C47)*F$5,"failed","refused"))),"-"))))</f>
        <v>-</v>
      </c>
      <c r="G49" s="451" t="str">
        <f t="shared" si="48"/>
        <v>-</v>
      </c>
      <c r="H49" s="451" t="str">
        <f t="shared" si="48"/>
        <v>-</v>
      </c>
      <c r="I49" s="451" t="str">
        <f t="shared" si="48"/>
        <v>-</v>
      </c>
      <c r="J49" s="451" t="str">
        <f t="shared" si="48"/>
        <v>-</v>
      </c>
      <c r="K49" s="452" t="str">
        <f t="shared" si="48"/>
        <v>-</v>
      </c>
      <c r="L49" s="452" t="str">
        <f t="shared" si="48"/>
        <v>-</v>
      </c>
      <c r="M49" s="452" t="str">
        <f t="shared" si="48"/>
        <v>-</v>
      </c>
      <c r="N49" s="701"/>
      <c r="O49" s="672"/>
      <c r="P49" s="673"/>
      <c r="Q49" s="673"/>
      <c r="R49" s="673"/>
      <c r="S49" s="672"/>
      <c r="T49" s="673"/>
      <c r="U49" s="673"/>
      <c r="V49" s="674"/>
      <c r="W49" s="434"/>
      <c r="X49" s="434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401" t="str">
        <f t="shared" si="11"/>
        <v>-</v>
      </c>
      <c r="BD49" s="429" t="str">
        <f>"0.7*IEF " &amp; B55</f>
        <v>0.7*IEF Drive Mode 4</v>
      </c>
      <c r="BE49" s="435">
        <f t="shared" ref="BE49:BL49" si="49">IF(OR($C57="-",$C57="CET",$C57=""),"-",0.7*$C57)</f>
        <v>0.7</v>
      </c>
      <c r="BF49" s="435">
        <f t="shared" si="49"/>
        <v>0.7</v>
      </c>
      <c r="BG49" s="435">
        <f t="shared" si="49"/>
        <v>0.7</v>
      </c>
      <c r="BH49" s="435">
        <f t="shared" si="49"/>
        <v>0.7</v>
      </c>
      <c r="BI49" s="435">
        <f t="shared" si="49"/>
        <v>0.7</v>
      </c>
      <c r="BJ49" s="435">
        <f t="shared" si="49"/>
        <v>0.7</v>
      </c>
      <c r="BK49" s="435">
        <f t="shared" si="49"/>
        <v>0.7</v>
      </c>
      <c r="BL49" s="435">
        <f t="shared" si="49"/>
        <v>0.7</v>
      </c>
    </row>
    <row r="50" spans="1:64" ht="15" customHeight="1" outlineLevel="1" x14ac:dyDescent="0.25">
      <c r="A50" s="404"/>
      <c r="B50" s="679" t="str">
        <f>'Variant 4 - MIDC'!B50:B54</f>
        <v>Drive Mode 3</v>
      </c>
      <c r="C50" s="684" t="s">
        <v>114</v>
      </c>
      <c r="D50" s="684" t="s">
        <v>113</v>
      </c>
      <c r="E50" s="453" t="s">
        <v>94</v>
      </c>
      <c r="F50" s="437" t="s">
        <v>5</v>
      </c>
      <c r="G50" s="437" t="s">
        <v>5</v>
      </c>
      <c r="H50" s="437" t="s">
        <v>5</v>
      </c>
      <c r="I50" s="437" t="s">
        <v>5</v>
      </c>
      <c r="J50" s="437" t="s">
        <v>5</v>
      </c>
      <c r="K50" s="438" t="s">
        <v>5</v>
      </c>
      <c r="L50" s="438" t="s">
        <v>5</v>
      </c>
      <c r="M50" s="438" t="s">
        <v>5</v>
      </c>
      <c r="N50" s="437" t="s">
        <v>5</v>
      </c>
      <c r="O50" s="672"/>
      <c r="P50" s="673"/>
      <c r="Q50" s="673"/>
      <c r="R50" s="673"/>
      <c r="S50" s="672"/>
      <c r="T50" s="673"/>
      <c r="U50" s="673"/>
      <c r="V50" s="674"/>
      <c r="W50" s="434"/>
      <c r="X50" s="434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401" t="str">
        <f t="shared" si="11"/>
        <v>-</v>
      </c>
      <c r="BD50" s="429" t="str">
        <f>"0.7*IEF " &amp; B60</f>
        <v>0.7*IEF Drive Mode 5</v>
      </c>
      <c r="BE50" s="435">
        <f t="shared" ref="BE50:BL50" si="50">IF(OR($C62="-",$C62="CET",$C62=""),"-",0.7*$C62)</f>
        <v>0.7</v>
      </c>
      <c r="BF50" s="435">
        <f t="shared" si="50"/>
        <v>0.7</v>
      </c>
      <c r="BG50" s="435">
        <f t="shared" si="50"/>
        <v>0.7</v>
      </c>
      <c r="BH50" s="435">
        <f t="shared" si="50"/>
        <v>0.7</v>
      </c>
      <c r="BI50" s="435">
        <f t="shared" si="50"/>
        <v>0.7</v>
      </c>
      <c r="BJ50" s="435">
        <f t="shared" si="50"/>
        <v>0.7</v>
      </c>
      <c r="BK50" s="435">
        <f t="shared" si="50"/>
        <v>0.7</v>
      </c>
      <c r="BL50" s="435">
        <f t="shared" si="50"/>
        <v>0.7</v>
      </c>
    </row>
    <row r="51" spans="1:64" s="405" customFormat="1" ht="15" customHeight="1" outlineLevel="1" thickBot="1" x14ac:dyDescent="0.3">
      <c r="A51" s="454"/>
      <c r="B51" s="680"/>
      <c r="C51" s="702"/>
      <c r="D51" s="685"/>
      <c r="E51" s="440" t="s">
        <v>95</v>
      </c>
      <c r="F51" s="441" t="s">
        <v>5</v>
      </c>
      <c r="G51" s="441" t="s">
        <v>5</v>
      </c>
      <c r="H51" s="441" t="s">
        <v>5</v>
      </c>
      <c r="I51" s="441" t="s">
        <v>5</v>
      </c>
      <c r="J51" s="441" t="s">
        <v>5</v>
      </c>
      <c r="K51" s="442" t="s">
        <v>5</v>
      </c>
      <c r="L51" s="442" t="s">
        <v>5</v>
      </c>
      <c r="M51" s="442" t="s">
        <v>5</v>
      </c>
      <c r="N51" s="441" t="s">
        <v>5</v>
      </c>
      <c r="O51" s="672"/>
      <c r="P51" s="673"/>
      <c r="Q51" s="673"/>
      <c r="R51" s="673"/>
      <c r="S51" s="672"/>
      <c r="T51" s="673"/>
      <c r="U51" s="673"/>
      <c r="V51" s="674"/>
      <c r="W51" s="443"/>
      <c r="X51" s="443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401" t="str">
        <f t="shared" si="11"/>
        <v>-</v>
      </c>
      <c r="BD51" s="429" t="str">
        <f>"0.7*IEF " &amp; B65</f>
        <v>0.7*IEF Drive Mode 6</v>
      </c>
      <c r="BE51" s="435">
        <f t="shared" ref="BE51:BL51" si="51">IF(OR($C67="-",$C67="CET",$C67=""),"-",0.7*$C67)</f>
        <v>0.7</v>
      </c>
      <c r="BF51" s="435">
        <f t="shared" si="51"/>
        <v>0.7</v>
      </c>
      <c r="BG51" s="435">
        <f t="shared" si="51"/>
        <v>0.7</v>
      </c>
      <c r="BH51" s="435">
        <f t="shared" si="51"/>
        <v>0.7</v>
      </c>
      <c r="BI51" s="435">
        <f t="shared" si="51"/>
        <v>0.7</v>
      </c>
      <c r="BJ51" s="435">
        <f t="shared" si="51"/>
        <v>0.7</v>
      </c>
      <c r="BK51" s="435">
        <f t="shared" si="51"/>
        <v>0.7</v>
      </c>
      <c r="BL51" s="435">
        <f t="shared" si="51"/>
        <v>0.7</v>
      </c>
    </row>
    <row r="52" spans="1:64" ht="15" customHeight="1" outlineLevel="1" thickBot="1" x14ac:dyDescent="0.3">
      <c r="A52" s="404"/>
      <c r="B52" s="680"/>
      <c r="C52" s="686">
        <v>1</v>
      </c>
      <c r="D52" s="689" t="str">
        <f>IF(AND(F53="-",G53="-",H53="-",I53="-",J53="-",K53="-",L53="-",M53="-"),"-",MAX(F53,G53,H53,I53,J53,K53,L53,M53))</f>
        <v>-</v>
      </c>
      <c r="E52" s="444" t="s">
        <v>96</v>
      </c>
      <c r="F52" s="445" t="str">
        <f t="shared" ref="F52:M52" si="52">IF(OR(F51="-",F51=""),IF(OR(F50="-",F50=""),"-",F50),IF(OR(F50="-",F50=""),F51,(F50+F51)/2))</f>
        <v>-</v>
      </c>
      <c r="G52" s="445" t="str">
        <f t="shared" si="52"/>
        <v>-</v>
      </c>
      <c r="H52" s="445" t="str">
        <f t="shared" si="52"/>
        <v>-</v>
      </c>
      <c r="I52" s="445" t="str">
        <f t="shared" si="52"/>
        <v>-</v>
      </c>
      <c r="J52" s="445" t="str">
        <f t="shared" si="52"/>
        <v>-</v>
      </c>
      <c r="K52" s="446" t="str">
        <f t="shared" si="52"/>
        <v>-</v>
      </c>
      <c r="L52" s="446" t="str">
        <f t="shared" si="52"/>
        <v>-</v>
      </c>
      <c r="M52" s="446" t="str">
        <f t="shared" si="52"/>
        <v>-</v>
      </c>
      <c r="N52" s="699"/>
      <c r="O52" s="672"/>
      <c r="P52" s="673"/>
      <c r="Q52" s="673"/>
      <c r="R52" s="673"/>
      <c r="S52" s="672"/>
      <c r="T52" s="673"/>
      <c r="U52" s="673"/>
      <c r="V52" s="674"/>
      <c r="W52" s="434"/>
      <c r="X52" s="434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401" t="str">
        <f t="shared" si="11"/>
        <v>-</v>
      </c>
      <c r="BD52" s="429" t="str">
        <f>$B40</f>
        <v>Drive Mode 1</v>
      </c>
      <c r="BE52" s="435" t="str">
        <f t="shared" ref="BE52:BL52" si="53">F43</f>
        <v>-</v>
      </c>
      <c r="BF52" s="435" t="str">
        <f t="shared" si="53"/>
        <v>-</v>
      </c>
      <c r="BG52" s="435" t="str">
        <f t="shared" si="53"/>
        <v>-</v>
      </c>
      <c r="BH52" s="435" t="str">
        <f t="shared" si="53"/>
        <v>-</v>
      </c>
      <c r="BI52" s="435" t="str">
        <f t="shared" si="53"/>
        <v>-</v>
      </c>
      <c r="BJ52" s="435" t="str">
        <f t="shared" si="53"/>
        <v>-</v>
      </c>
      <c r="BK52" s="435" t="str">
        <f t="shared" si="53"/>
        <v>-</v>
      </c>
      <c r="BL52" s="435" t="str">
        <f t="shared" si="53"/>
        <v>-</v>
      </c>
    </row>
    <row r="53" spans="1:64" ht="15" customHeight="1" outlineLevel="1" thickBot="1" x14ac:dyDescent="0.3">
      <c r="A53" s="404"/>
      <c r="B53" s="680"/>
      <c r="C53" s="687"/>
      <c r="D53" s="690"/>
      <c r="E53" s="447" t="s">
        <v>97</v>
      </c>
      <c r="F53" s="448" t="str">
        <f t="shared" ref="F53:M53" si="54">IF(OR($C52="-",$C52="CET",$C52=""),"-",IF(AND(NOT(F52="-"),NOT(F$5="-"),NOT(F$5="")),F52/F$5,"-"))</f>
        <v>-</v>
      </c>
      <c r="G53" s="448" t="str">
        <f t="shared" si="54"/>
        <v>-</v>
      </c>
      <c r="H53" s="448" t="str">
        <f t="shared" si="54"/>
        <v>-</v>
      </c>
      <c r="I53" s="448" t="str">
        <f t="shared" si="54"/>
        <v>-</v>
      </c>
      <c r="J53" s="448" t="str">
        <f t="shared" si="54"/>
        <v>-</v>
      </c>
      <c r="K53" s="449" t="str">
        <f t="shared" si="54"/>
        <v>-</v>
      </c>
      <c r="L53" s="449" t="str">
        <f t="shared" si="54"/>
        <v>-</v>
      </c>
      <c r="M53" s="449" t="str">
        <f t="shared" si="54"/>
        <v>-</v>
      </c>
      <c r="N53" s="700"/>
      <c r="O53" s="672"/>
      <c r="P53" s="673"/>
      <c r="Q53" s="673"/>
      <c r="R53" s="673"/>
      <c r="S53" s="672"/>
      <c r="T53" s="673"/>
      <c r="U53" s="673"/>
      <c r="V53" s="674"/>
      <c r="W53" s="434"/>
      <c r="X53" s="434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401" t="str">
        <f t="shared" si="11"/>
        <v>-</v>
      </c>
      <c r="BD53" s="429" t="str">
        <f>$B45</f>
        <v>Drive Mode 2</v>
      </c>
      <c r="BE53" s="435" t="str">
        <f t="shared" ref="BE53:BL53" si="55">F48</f>
        <v>-</v>
      </c>
      <c r="BF53" s="435" t="str">
        <f t="shared" si="55"/>
        <v>-</v>
      </c>
      <c r="BG53" s="435" t="str">
        <f t="shared" si="55"/>
        <v>-</v>
      </c>
      <c r="BH53" s="435" t="str">
        <f t="shared" si="55"/>
        <v>-</v>
      </c>
      <c r="BI53" s="435" t="str">
        <f t="shared" si="55"/>
        <v>-</v>
      </c>
      <c r="BJ53" s="435" t="str">
        <f t="shared" si="55"/>
        <v>-</v>
      </c>
      <c r="BK53" s="435" t="str">
        <f t="shared" si="55"/>
        <v>-</v>
      </c>
      <c r="BL53" s="435" t="str">
        <f t="shared" si="55"/>
        <v>-</v>
      </c>
    </row>
    <row r="54" spans="1:64" ht="15" customHeight="1" outlineLevel="1" thickBot="1" x14ac:dyDescent="0.3">
      <c r="A54" s="404"/>
      <c r="B54" s="681"/>
      <c r="C54" s="688"/>
      <c r="D54" s="691"/>
      <c r="E54" s="451" t="s">
        <v>30</v>
      </c>
      <c r="F54" s="451" t="str">
        <f t="shared" ref="F54:M54" si="56">IF(AND(OR(F50="-",F50=""),OR(F51="-",F51="")),"-",IF(OR($C52="-",$C52="",$C52="CET"),"-",IF($R$36="not listed","-",IF(NOT(F$5="-"),IF(AND(AND(NOT(F50=0),NOT(F50="-"),NOT(F50="")),AND(NOT(F51="-"),NOT(F51=0),NOT(F51=""))),IF(AND((F50+F51)/2&lt;1*F$5*IF(OR($C52="CET",$C52="-",$C52=""),"-",$C52),F50&lt;1.1*F$5*IF(OR($C52="CET",$C52="-",$C52=""),"-",$C52),F51&lt;1.1*F$5*IF(OR($C52="CET",$C52="-",$C52=""),"-",$C52)),"passed","refused"),IF(IF(OR(F50="-",F50=""),F51,F50)&lt;0.7*F$5*IF(OR($C52="CET",$C52="-",$C52=""),"-",$C52),"passed",IF(IF(OR(F50="-",F50=""),F51,F50)&lt;1.1*IF(OR($C52="CET",$C52="-",$C52=""),"-",$C52)*F$5,"failed","refused"))),"-"))))</f>
        <v>-</v>
      </c>
      <c r="G54" s="451" t="str">
        <f t="shared" si="56"/>
        <v>-</v>
      </c>
      <c r="H54" s="451" t="str">
        <f t="shared" si="56"/>
        <v>-</v>
      </c>
      <c r="I54" s="451" t="str">
        <f t="shared" si="56"/>
        <v>-</v>
      </c>
      <c r="J54" s="451" t="str">
        <f t="shared" si="56"/>
        <v>-</v>
      </c>
      <c r="K54" s="452" t="str">
        <f t="shared" si="56"/>
        <v>-</v>
      </c>
      <c r="L54" s="452" t="str">
        <f t="shared" si="56"/>
        <v>-</v>
      </c>
      <c r="M54" s="452" t="str">
        <f t="shared" si="56"/>
        <v>-</v>
      </c>
      <c r="N54" s="701"/>
      <c r="O54" s="672"/>
      <c r="P54" s="673"/>
      <c r="Q54" s="673"/>
      <c r="R54" s="673"/>
      <c r="S54" s="672"/>
      <c r="T54" s="673"/>
      <c r="U54" s="673"/>
      <c r="V54" s="674"/>
      <c r="W54" s="434"/>
      <c r="X54" s="434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401" t="str">
        <f t="shared" si="11"/>
        <v>-</v>
      </c>
      <c r="BD54" s="429" t="str">
        <f>$B50</f>
        <v>Drive Mode 3</v>
      </c>
      <c r="BE54" s="435" t="str">
        <f t="shared" ref="BE54:BL54" si="57">F53</f>
        <v>-</v>
      </c>
      <c r="BF54" s="435" t="str">
        <f t="shared" si="57"/>
        <v>-</v>
      </c>
      <c r="BG54" s="435" t="str">
        <f t="shared" si="57"/>
        <v>-</v>
      </c>
      <c r="BH54" s="435" t="str">
        <f t="shared" si="57"/>
        <v>-</v>
      </c>
      <c r="BI54" s="435" t="str">
        <f t="shared" si="57"/>
        <v>-</v>
      </c>
      <c r="BJ54" s="435" t="str">
        <f t="shared" si="57"/>
        <v>-</v>
      </c>
      <c r="BK54" s="435" t="str">
        <f t="shared" si="57"/>
        <v>-</v>
      </c>
      <c r="BL54" s="435" t="str">
        <f t="shared" si="57"/>
        <v>-</v>
      </c>
    </row>
    <row r="55" spans="1:64" ht="15" customHeight="1" outlineLevel="1" x14ac:dyDescent="0.25">
      <c r="A55" s="404"/>
      <c r="B55" s="679" t="str">
        <f>'Variant 4 - MIDC'!B55:B59</f>
        <v>Drive Mode 4</v>
      </c>
      <c r="C55" s="684" t="s">
        <v>114</v>
      </c>
      <c r="D55" s="684" t="s">
        <v>113</v>
      </c>
      <c r="E55" s="453" t="s">
        <v>94</v>
      </c>
      <c r="F55" s="437" t="s">
        <v>5</v>
      </c>
      <c r="G55" s="437" t="s">
        <v>5</v>
      </c>
      <c r="H55" s="437" t="s">
        <v>5</v>
      </c>
      <c r="I55" s="437" t="s">
        <v>5</v>
      </c>
      <c r="J55" s="437" t="s">
        <v>5</v>
      </c>
      <c r="K55" s="438" t="s">
        <v>5</v>
      </c>
      <c r="L55" s="438" t="s">
        <v>5</v>
      </c>
      <c r="M55" s="438" t="s">
        <v>5</v>
      </c>
      <c r="N55" s="437" t="s">
        <v>5</v>
      </c>
      <c r="O55" s="672"/>
      <c r="P55" s="673"/>
      <c r="Q55" s="673"/>
      <c r="R55" s="673"/>
      <c r="S55" s="672"/>
      <c r="T55" s="673"/>
      <c r="U55" s="673"/>
      <c r="V55" s="674"/>
      <c r="W55" s="434"/>
      <c r="X55" s="434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401" t="str">
        <f t="shared" si="11"/>
        <v>-</v>
      </c>
      <c r="BD55" s="429" t="str">
        <f>$B55</f>
        <v>Drive Mode 4</v>
      </c>
      <c r="BE55" s="435" t="str">
        <f t="shared" ref="BE55:BL55" si="58">F58</f>
        <v>-</v>
      </c>
      <c r="BF55" s="435" t="str">
        <f t="shared" si="58"/>
        <v>-</v>
      </c>
      <c r="BG55" s="435" t="str">
        <f t="shared" si="58"/>
        <v>-</v>
      </c>
      <c r="BH55" s="435" t="str">
        <f t="shared" si="58"/>
        <v>-</v>
      </c>
      <c r="BI55" s="435" t="str">
        <f t="shared" si="58"/>
        <v>-</v>
      </c>
      <c r="BJ55" s="435" t="str">
        <f t="shared" si="58"/>
        <v>-</v>
      </c>
      <c r="BK55" s="435" t="str">
        <f t="shared" si="58"/>
        <v>-</v>
      </c>
      <c r="BL55" s="435" t="str">
        <f t="shared" si="58"/>
        <v>-</v>
      </c>
    </row>
    <row r="56" spans="1:64" s="405" customFormat="1" ht="15" customHeight="1" outlineLevel="1" thickBot="1" x14ac:dyDescent="0.3">
      <c r="A56" s="454"/>
      <c r="B56" s="680"/>
      <c r="C56" s="702"/>
      <c r="D56" s="685"/>
      <c r="E56" s="440" t="s">
        <v>95</v>
      </c>
      <c r="F56" s="441" t="s">
        <v>5</v>
      </c>
      <c r="G56" s="441" t="s">
        <v>5</v>
      </c>
      <c r="H56" s="441" t="s">
        <v>5</v>
      </c>
      <c r="I56" s="441" t="s">
        <v>5</v>
      </c>
      <c r="J56" s="441" t="s">
        <v>5</v>
      </c>
      <c r="K56" s="442" t="s">
        <v>5</v>
      </c>
      <c r="L56" s="442" t="s">
        <v>5</v>
      </c>
      <c r="M56" s="442" t="s">
        <v>5</v>
      </c>
      <c r="N56" s="441" t="s">
        <v>5</v>
      </c>
      <c r="O56" s="672"/>
      <c r="P56" s="673"/>
      <c r="Q56" s="673"/>
      <c r="R56" s="673"/>
      <c r="S56" s="672"/>
      <c r="T56" s="673"/>
      <c r="U56" s="673"/>
      <c r="V56" s="674"/>
      <c r="W56" s="443"/>
      <c r="X56" s="443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401" t="str">
        <f t="shared" si="11"/>
        <v>-</v>
      </c>
      <c r="BD56" s="429" t="str">
        <f>$B60</f>
        <v>Drive Mode 5</v>
      </c>
      <c r="BE56" s="435" t="str">
        <f t="shared" ref="BE56:BL56" si="59">F63</f>
        <v>-</v>
      </c>
      <c r="BF56" s="435" t="str">
        <f t="shared" si="59"/>
        <v>-</v>
      </c>
      <c r="BG56" s="435" t="str">
        <f t="shared" si="59"/>
        <v>-</v>
      </c>
      <c r="BH56" s="435" t="str">
        <f t="shared" si="59"/>
        <v>-</v>
      </c>
      <c r="BI56" s="435" t="str">
        <f t="shared" si="59"/>
        <v>-</v>
      </c>
      <c r="BJ56" s="435" t="str">
        <f t="shared" si="59"/>
        <v>-</v>
      </c>
      <c r="BK56" s="435" t="str">
        <f t="shared" si="59"/>
        <v>-</v>
      </c>
      <c r="BL56" s="435" t="str">
        <f t="shared" si="59"/>
        <v>-</v>
      </c>
    </row>
    <row r="57" spans="1:64" ht="15" customHeight="1" outlineLevel="1" thickBot="1" x14ac:dyDescent="0.3">
      <c r="A57" s="404"/>
      <c r="B57" s="680"/>
      <c r="C57" s="686">
        <v>1</v>
      </c>
      <c r="D57" s="689" t="str">
        <f>IF(AND(F58="-",G58="-",H58="-",I58="-",J58="-",K58="-",L58="-",M58="-"),"-",MAX(F58,G58,H58,I58,J58,K58,L58,M58))</f>
        <v>-</v>
      </c>
      <c r="E57" s="444" t="s">
        <v>96</v>
      </c>
      <c r="F57" s="445" t="str">
        <f t="shared" ref="F57:N57" si="60">IF(OR(F56="-",F56=""),IF(OR(F55="-",F55=""),"-",F55),IF(OR(F55="-",F55=""),F56,(F55+F56)/2))</f>
        <v>-</v>
      </c>
      <c r="G57" s="445" t="str">
        <f t="shared" si="60"/>
        <v>-</v>
      </c>
      <c r="H57" s="445" t="str">
        <f t="shared" si="60"/>
        <v>-</v>
      </c>
      <c r="I57" s="445" t="str">
        <f t="shared" si="60"/>
        <v>-</v>
      </c>
      <c r="J57" s="445" t="str">
        <f t="shared" si="60"/>
        <v>-</v>
      </c>
      <c r="K57" s="446" t="str">
        <f t="shared" si="60"/>
        <v>-</v>
      </c>
      <c r="L57" s="446" t="str">
        <f t="shared" si="60"/>
        <v>-</v>
      </c>
      <c r="M57" s="446" t="str">
        <f t="shared" si="60"/>
        <v>-</v>
      </c>
      <c r="N57" s="445" t="str">
        <f t="shared" si="60"/>
        <v>-</v>
      </c>
      <c r="O57" s="672"/>
      <c r="P57" s="673"/>
      <c r="Q57" s="673"/>
      <c r="R57" s="673"/>
      <c r="S57" s="672"/>
      <c r="T57" s="673"/>
      <c r="U57" s="673"/>
      <c r="V57" s="674"/>
      <c r="W57" s="434"/>
      <c r="X57" s="434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401" t="str">
        <f t="shared" si="11"/>
        <v>-</v>
      </c>
      <c r="BD57" s="429" t="str">
        <f>$B65</f>
        <v>Drive Mode 6</v>
      </c>
      <c r="BE57" s="435" t="str">
        <f t="shared" ref="BE57:BL57" si="61">F68</f>
        <v>-</v>
      </c>
      <c r="BF57" s="435" t="str">
        <f t="shared" si="61"/>
        <v>-</v>
      </c>
      <c r="BG57" s="435" t="str">
        <f t="shared" si="61"/>
        <v>-</v>
      </c>
      <c r="BH57" s="435" t="str">
        <f t="shared" si="61"/>
        <v>-</v>
      </c>
      <c r="BI57" s="435" t="str">
        <f t="shared" si="61"/>
        <v>-</v>
      </c>
      <c r="BJ57" s="435" t="str">
        <f t="shared" si="61"/>
        <v>-</v>
      </c>
      <c r="BK57" s="435" t="str">
        <f t="shared" si="61"/>
        <v>-</v>
      </c>
      <c r="BL57" s="435" t="str">
        <f t="shared" si="61"/>
        <v>-</v>
      </c>
    </row>
    <row r="58" spans="1:64" ht="15" customHeight="1" outlineLevel="1" thickBot="1" x14ac:dyDescent="0.3">
      <c r="A58" s="404"/>
      <c r="B58" s="680"/>
      <c r="C58" s="687"/>
      <c r="D58" s="690"/>
      <c r="E58" s="447" t="s">
        <v>97</v>
      </c>
      <c r="F58" s="448" t="str">
        <f t="shared" ref="F58:N58" si="62">IF(OR($C57="-",$C57="CET",$C57=""),"-",IF(AND(NOT(F57="-"),NOT(F$5="-"),NOT(F$5="")),F57/F$5,"-"))</f>
        <v>-</v>
      </c>
      <c r="G58" s="448" t="str">
        <f t="shared" si="62"/>
        <v>-</v>
      </c>
      <c r="H58" s="448" t="str">
        <f t="shared" si="62"/>
        <v>-</v>
      </c>
      <c r="I58" s="448" t="str">
        <f t="shared" si="62"/>
        <v>-</v>
      </c>
      <c r="J58" s="448" t="str">
        <f t="shared" si="62"/>
        <v>-</v>
      </c>
      <c r="K58" s="449" t="str">
        <f t="shared" si="62"/>
        <v>-</v>
      </c>
      <c r="L58" s="449" t="str">
        <f t="shared" si="62"/>
        <v>-</v>
      </c>
      <c r="M58" s="449" t="str">
        <f t="shared" si="62"/>
        <v>-</v>
      </c>
      <c r="N58" s="448" t="str">
        <f t="shared" si="62"/>
        <v>-</v>
      </c>
      <c r="O58" s="672"/>
      <c r="P58" s="673"/>
      <c r="Q58" s="673"/>
      <c r="R58" s="673"/>
      <c r="S58" s="672"/>
      <c r="T58" s="673"/>
      <c r="U58" s="673"/>
      <c r="V58" s="674"/>
      <c r="W58" s="434"/>
      <c r="X58" s="434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401" t="str">
        <f t="shared" si="11"/>
        <v>-</v>
      </c>
      <c r="BD58" s="429" t="str">
        <f>"IEF " &amp;B40</f>
        <v>IEF Drive Mode 1</v>
      </c>
      <c r="BE58" s="435">
        <f t="shared" ref="BE58:BL58" si="63">IF(OR($C42="CET",$C42="-",$C42=""),"-",$C42)</f>
        <v>1</v>
      </c>
      <c r="BF58" s="435">
        <f t="shared" si="63"/>
        <v>1</v>
      </c>
      <c r="BG58" s="435">
        <f t="shared" si="63"/>
        <v>1</v>
      </c>
      <c r="BH58" s="435">
        <f t="shared" si="63"/>
        <v>1</v>
      </c>
      <c r="BI58" s="435">
        <f t="shared" si="63"/>
        <v>1</v>
      </c>
      <c r="BJ58" s="435">
        <f t="shared" si="63"/>
        <v>1</v>
      </c>
      <c r="BK58" s="435">
        <f t="shared" si="63"/>
        <v>1</v>
      </c>
      <c r="BL58" s="435">
        <f t="shared" si="63"/>
        <v>1</v>
      </c>
    </row>
    <row r="59" spans="1:64" ht="15" customHeight="1" outlineLevel="1" thickBot="1" x14ac:dyDescent="0.3">
      <c r="A59" s="404"/>
      <c r="B59" s="681"/>
      <c r="C59" s="688"/>
      <c r="D59" s="691"/>
      <c r="E59" s="451" t="s">
        <v>30</v>
      </c>
      <c r="F59" s="451" t="str">
        <f t="shared" ref="F59:M59" si="64">IF(AND(OR(F55="-",F55=""),OR(F56="-",F56="")),"-",IF(OR($C57="-",$C57="",$C57="CET"),"-",IF($R$36="not listed","-",IF(NOT(F$5="-"),IF(AND(AND(NOT(F55=0),NOT(F55="-"),NOT(F55="")),AND(NOT(F56="-"),NOT(F56=0),NOT(F56=""))),IF(AND((F55+F56)/2&lt;1*F$5*IF(OR($C57="CET",$C57="-",$C57=""),"-",$C57),F55&lt;1.1*F$5*IF(OR($C57="CET",$C57="-",$C57=""),"-",$C57),F56&lt;1.1*F$5*IF(OR($C57="CET",$C57="-",$C57=""),"-",$C57)),"passed","refused"),IF(IF(OR(F55="-",F55=""),F56,F55)&lt;0.7*F$5*IF(OR($C57="CET",$C57="-",$C57=""),"-",$C57),"passed",IF(IF(OR(F55="-",F55=""),F56,F55)&lt;1.1*IF(OR($C57="CET",$C57="-",$C57=""),"-",$C57)*F$5,"failed","refused"))),"-"))))</f>
        <v>-</v>
      </c>
      <c r="G59" s="451" t="str">
        <f t="shared" si="64"/>
        <v>-</v>
      </c>
      <c r="H59" s="451" t="str">
        <f t="shared" si="64"/>
        <v>-</v>
      </c>
      <c r="I59" s="451" t="str">
        <f t="shared" si="64"/>
        <v>-</v>
      </c>
      <c r="J59" s="451" t="str">
        <f t="shared" si="64"/>
        <v>-</v>
      </c>
      <c r="K59" s="452" t="str">
        <f t="shared" si="64"/>
        <v>-</v>
      </c>
      <c r="L59" s="452" t="str">
        <f t="shared" si="64"/>
        <v>-</v>
      </c>
      <c r="M59" s="452" t="str">
        <f t="shared" si="64"/>
        <v>-</v>
      </c>
      <c r="N59" s="451" t="str">
        <f>IF(AND(OR(N55="-",N55=""),OR(N56="-",N56="")),"-",IF(OR($C57="-",$C57="",$C57="CET"),"-",IF($R$36="not listed","-",IF(NOT(N$5="-"),IF(AND(AND(NOT(N55=0),NOT(N55="-"),NOT(N55="")),AND(NOT(N56="-"),NOT(N56=0),NOT(N56=""))),IF(AND((N55+N56)/2&lt;1*N$5*IF(OR($C57="CET",$C57="-",$C57=""),"-",$C57),N55&lt;1.1*N$5*IF(OR($C57="CET",$C57="-",$C57=""),"-",$C57),N56&lt;1.1*N$5*IF(OR($C57="CET",$C57="-",$C57=""),"-",$C57)),"passed","refused"),IF(IF(OR(N55="-",N55=""),N56,N55)&lt;0.7*N$5*IF(OR($C57="CET",$C57="-",$C57=""),"-",$C57),"passed",IF(IF(OR(N55="-",N55=""),N56,N55)&lt;1.1*IF(OR($C57="CET",$C57="-",$C57=""),"-",$C57)*N$5,"failed","refused"))),"-"))))</f>
        <v>-</v>
      </c>
      <c r="O59" s="672"/>
      <c r="P59" s="673"/>
      <c r="Q59" s="673"/>
      <c r="R59" s="673"/>
      <c r="S59" s="672"/>
      <c r="T59" s="673"/>
      <c r="U59" s="673"/>
      <c r="V59" s="674"/>
      <c r="W59" s="434"/>
      <c r="X59" s="434"/>
      <c r="Y59" s="678"/>
      <c r="Z59" s="678"/>
      <c r="AA59" s="678"/>
      <c r="AB59" s="678"/>
      <c r="AC59" s="678"/>
      <c r="AD59" s="678"/>
      <c r="AE59" s="678"/>
      <c r="AF59" s="678"/>
      <c r="AG59" s="678"/>
      <c r="AH59" s="678"/>
      <c r="BC59" s="401" t="str">
        <f t="shared" si="11"/>
        <v>-</v>
      </c>
      <c r="BD59" s="429" t="str">
        <f>"IEF " &amp; B45</f>
        <v>IEF Drive Mode 2</v>
      </c>
      <c r="BE59" s="435">
        <f t="shared" ref="BE59:BL59" si="65">IF(OR($C47="CET",$C47="-",$C47=""),"-",$C47)</f>
        <v>1</v>
      </c>
      <c r="BF59" s="435">
        <f t="shared" si="65"/>
        <v>1</v>
      </c>
      <c r="BG59" s="435">
        <f t="shared" si="65"/>
        <v>1</v>
      </c>
      <c r="BH59" s="435">
        <f t="shared" si="65"/>
        <v>1</v>
      </c>
      <c r="BI59" s="435">
        <f t="shared" si="65"/>
        <v>1</v>
      </c>
      <c r="BJ59" s="435">
        <f t="shared" si="65"/>
        <v>1</v>
      </c>
      <c r="BK59" s="435">
        <f t="shared" si="65"/>
        <v>1</v>
      </c>
      <c r="BL59" s="435">
        <f t="shared" si="65"/>
        <v>1</v>
      </c>
    </row>
    <row r="60" spans="1:64" ht="15" customHeight="1" outlineLevel="1" x14ac:dyDescent="0.25">
      <c r="A60" s="404"/>
      <c r="B60" s="679" t="str">
        <f>'Variant 4 - MIDC'!B60:B64</f>
        <v>Drive Mode 5</v>
      </c>
      <c r="C60" s="684" t="s">
        <v>114</v>
      </c>
      <c r="D60" s="684" t="s">
        <v>113</v>
      </c>
      <c r="E60" s="453" t="s">
        <v>94</v>
      </c>
      <c r="F60" s="437" t="s">
        <v>5</v>
      </c>
      <c r="G60" s="437" t="s">
        <v>5</v>
      </c>
      <c r="H60" s="437" t="s">
        <v>5</v>
      </c>
      <c r="I60" s="437" t="s">
        <v>5</v>
      </c>
      <c r="J60" s="437" t="s">
        <v>5</v>
      </c>
      <c r="K60" s="438" t="s">
        <v>5</v>
      </c>
      <c r="L60" s="438" t="s">
        <v>5</v>
      </c>
      <c r="M60" s="438" t="s">
        <v>5</v>
      </c>
      <c r="N60" s="437" t="s">
        <v>5</v>
      </c>
      <c r="O60" s="672"/>
      <c r="P60" s="673"/>
      <c r="Q60" s="673"/>
      <c r="R60" s="673"/>
      <c r="S60" s="672"/>
      <c r="T60" s="673"/>
      <c r="U60" s="673"/>
      <c r="V60" s="674"/>
      <c r="W60" s="434"/>
      <c r="X60" s="434"/>
      <c r="Y60" s="678"/>
      <c r="Z60" s="678"/>
      <c r="AA60" s="678"/>
      <c r="AB60" s="678"/>
      <c r="AC60" s="678"/>
      <c r="AD60" s="678"/>
      <c r="AE60" s="678"/>
      <c r="AF60" s="678"/>
      <c r="AG60" s="678"/>
      <c r="AH60" s="678"/>
      <c r="BC60" s="401" t="str">
        <f t="shared" si="11"/>
        <v>-</v>
      </c>
      <c r="BD60" s="429" t="str">
        <f>"IEF " &amp; B50</f>
        <v>IEF Drive Mode 3</v>
      </c>
      <c r="BE60" s="435">
        <f t="shared" ref="BE60:BL60" si="66">IF(OR($C52="CET",$C52="-",$C52=""),"-",$C52)</f>
        <v>1</v>
      </c>
      <c r="BF60" s="435">
        <f t="shared" si="66"/>
        <v>1</v>
      </c>
      <c r="BG60" s="435">
        <f t="shared" si="66"/>
        <v>1</v>
      </c>
      <c r="BH60" s="435">
        <f t="shared" si="66"/>
        <v>1</v>
      </c>
      <c r="BI60" s="435">
        <f t="shared" si="66"/>
        <v>1</v>
      </c>
      <c r="BJ60" s="435">
        <f t="shared" si="66"/>
        <v>1</v>
      </c>
      <c r="BK60" s="435">
        <f t="shared" si="66"/>
        <v>1</v>
      </c>
      <c r="BL60" s="435">
        <f t="shared" si="66"/>
        <v>1</v>
      </c>
    </row>
    <row r="61" spans="1:64" s="405" customFormat="1" ht="15" customHeight="1" outlineLevel="1" thickBot="1" x14ac:dyDescent="0.3">
      <c r="A61" s="454"/>
      <c r="B61" s="680"/>
      <c r="C61" s="702"/>
      <c r="D61" s="685"/>
      <c r="E61" s="440" t="s">
        <v>95</v>
      </c>
      <c r="F61" s="441" t="s">
        <v>5</v>
      </c>
      <c r="G61" s="441" t="s">
        <v>5</v>
      </c>
      <c r="H61" s="441" t="s">
        <v>5</v>
      </c>
      <c r="I61" s="441" t="s">
        <v>5</v>
      </c>
      <c r="J61" s="441" t="s">
        <v>5</v>
      </c>
      <c r="K61" s="442" t="s">
        <v>5</v>
      </c>
      <c r="L61" s="442" t="s">
        <v>5</v>
      </c>
      <c r="M61" s="442" t="s">
        <v>5</v>
      </c>
      <c r="N61" s="441" t="s">
        <v>5</v>
      </c>
      <c r="O61" s="672"/>
      <c r="P61" s="673"/>
      <c r="Q61" s="673"/>
      <c r="R61" s="673"/>
      <c r="S61" s="672"/>
      <c r="T61" s="673"/>
      <c r="U61" s="673"/>
      <c r="V61" s="674"/>
      <c r="W61" s="443"/>
      <c r="X61" s="443"/>
      <c r="Y61" s="678"/>
      <c r="Z61" s="678"/>
      <c r="AA61" s="678"/>
      <c r="AB61" s="678"/>
      <c r="AC61" s="678"/>
      <c r="AD61" s="678"/>
      <c r="AE61" s="678"/>
      <c r="AF61" s="678"/>
      <c r="AG61" s="678"/>
      <c r="AH61" s="678"/>
      <c r="BC61" s="401" t="str">
        <f t="shared" si="11"/>
        <v>-</v>
      </c>
      <c r="BD61" s="429" t="str">
        <f>"IEF " &amp; B55</f>
        <v>IEF Drive Mode 4</v>
      </c>
      <c r="BE61" s="435">
        <f t="shared" ref="BE61:BL61" si="67">IF(OR($C57="CET",$C57="-",$C57=""),"-",$C57)</f>
        <v>1</v>
      </c>
      <c r="BF61" s="435">
        <f t="shared" si="67"/>
        <v>1</v>
      </c>
      <c r="BG61" s="435">
        <f t="shared" si="67"/>
        <v>1</v>
      </c>
      <c r="BH61" s="435">
        <f t="shared" si="67"/>
        <v>1</v>
      </c>
      <c r="BI61" s="435">
        <f t="shared" si="67"/>
        <v>1</v>
      </c>
      <c r="BJ61" s="435">
        <f t="shared" si="67"/>
        <v>1</v>
      </c>
      <c r="BK61" s="435">
        <f t="shared" si="67"/>
        <v>1</v>
      </c>
      <c r="BL61" s="435">
        <f t="shared" si="67"/>
        <v>1</v>
      </c>
    </row>
    <row r="62" spans="1:64" ht="15" customHeight="1" outlineLevel="1" thickBot="1" x14ac:dyDescent="0.3">
      <c r="A62" s="404"/>
      <c r="B62" s="680"/>
      <c r="C62" s="686">
        <v>1</v>
      </c>
      <c r="D62" s="689" t="str">
        <f>IF(AND(F63="-",G63="-",H63="-",I63="-",J63="-",K63="-",L63="-",M63="-"),"-",MAX(F63,G63,H63,I63,J63,K63,L63,M63))</f>
        <v>-</v>
      </c>
      <c r="E62" s="444" t="s">
        <v>96</v>
      </c>
      <c r="F62" s="445" t="str">
        <f t="shared" ref="F62:N62" si="68">IF(OR(F61="-",F61=""),IF(OR(F60="-",F60=""),"-",F60),IF(OR(F60="-",F60=""),F61,(F60+F61)/2))</f>
        <v>-</v>
      </c>
      <c r="G62" s="445" t="str">
        <f t="shared" si="68"/>
        <v>-</v>
      </c>
      <c r="H62" s="445" t="str">
        <f t="shared" si="68"/>
        <v>-</v>
      </c>
      <c r="I62" s="445" t="str">
        <f t="shared" si="68"/>
        <v>-</v>
      </c>
      <c r="J62" s="445" t="str">
        <f t="shared" si="68"/>
        <v>-</v>
      </c>
      <c r="K62" s="446" t="str">
        <f t="shared" si="68"/>
        <v>-</v>
      </c>
      <c r="L62" s="446" t="str">
        <f t="shared" si="68"/>
        <v>-</v>
      </c>
      <c r="M62" s="446" t="str">
        <f t="shared" si="68"/>
        <v>-</v>
      </c>
      <c r="N62" s="445" t="str">
        <f t="shared" si="68"/>
        <v>-</v>
      </c>
      <c r="O62" s="672"/>
      <c r="P62" s="673"/>
      <c r="Q62" s="673"/>
      <c r="R62" s="673"/>
      <c r="S62" s="672"/>
      <c r="T62" s="673"/>
      <c r="U62" s="673"/>
      <c r="V62" s="674"/>
      <c r="W62" s="434"/>
      <c r="X62" s="434"/>
      <c r="Y62" s="678"/>
      <c r="Z62" s="678"/>
      <c r="AA62" s="678"/>
      <c r="AB62" s="678"/>
      <c r="AC62" s="678"/>
      <c r="AD62" s="678"/>
      <c r="AE62" s="678"/>
      <c r="AF62" s="678"/>
      <c r="AG62" s="678"/>
      <c r="AH62" s="678"/>
      <c r="BC62" s="401" t="str">
        <f t="shared" si="11"/>
        <v>-</v>
      </c>
      <c r="BD62" s="429" t="str">
        <f>"IEF " &amp; B60</f>
        <v>IEF Drive Mode 5</v>
      </c>
      <c r="BE62" s="435">
        <f t="shared" ref="BE62:BL62" si="69">IF(OR($C62="CET",$C62="-",$C62=""),"-",$C62)</f>
        <v>1</v>
      </c>
      <c r="BF62" s="435">
        <f t="shared" si="69"/>
        <v>1</v>
      </c>
      <c r="BG62" s="435">
        <f t="shared" si="69"/>
        <v>1</v>
      </c>
      <c r="BH62" s="435">
        <f t="shared" si="69"/>
        <v>1</v>
      </c>
      <c r="BI62" s="435">
        <f t="shared" si="69"/>
        <v>1</v>
      </c>
      <c r="BJ62" s="435">
        <f t="shared" si="69"/>
        <v>1</v>
      </c>
      <c r="BK62" s="435">
        <f t="shared" si="69"/>
        <v>1</v>
      </c>
      <c r="BL62" s="435">
        <f t="shared" si="69"/>
        <v>1</v>
      </c>
    </row>
    <row r="63" spans="1:64" ht="15" customHeight="1" outlineLevel="1" thickBot="1" x14ac:dyDescent="0.3">
      <c r="A63" s="404"/>
      <c r="B63" s="680"/>
      <c r="C63" s="687"/>
      <c r="D63" s="690"/>
      <c r="E63" s="447" t="s">
        <v>97</v>
      </c>
      <c r="F63" s="448" t="str">
        <f t="shared" ref="F63:N63" si="70">IF(OR($C62="-",$C62="CET",$C62=""),"-",IF(AND(NOT(F62="-"),NOT(F$5="-"),NOT(F$5="")),F62/F$5,"-"))</f>
        <v>-</v>
      </c>
      <c r="G63" s="448" t="str">
        <f t="shared" si="70"/>
        <v>-</v>
      </c>
      <c r="H63" s="448" t="str">
        <f t="shared" si="70"/>
        <v>-</v>
      </c>
      <c r="I63" s="448" t="str">
        <f t="shared" si="70"/>
        <v>-</v>
      </c>
      <c r="J63" s="448" t="str">
        <f t="shared" si="70"/>
        <v>-</v>
      </c>
      <c r="K63" s="449" t="str">
        <f t="shared" si="70"/>
        <v>-</v>
      </c>
      <c r="L63" s="449" t="str">
        <f t="shared" si="70"/>
        <v>-</v>
      </c>
      <c r="M63" s="449" t="str">
        <f t="shared" si="70"/>
        <v>-</v>
      </c>
      <c r="N63" s="448" t="str">
        <f t="shared" si="70"/>
        <v>-</v>
      </c>
      <c r="O63" s="672"/>
      <c r="P63" s="673"/>
      <c r="Q63" s="673"/>
      <c r="R63" s="673"/>
      <c r="S63" s="672"/>
      <c r="T63" s="673"/>
      <c r="U63" s="673"/>
      <c r="V63" s="674"/>
      <c r="W63" s="434"/>
      <c r="X63" s="434"/>
      <c r="Y63" s="678"/>
      <c r="Z63" s="678"/>
      <c r="AA63" s="678"/>
      <c r="AB63" s="678"/>
      <c r="AC63" s="678"/>
      <c r="AD63" s="678"/>
      <c r="AE63" s="678"/>
      <c r="AF63" s="678"/>
      <c r="AG63" s="678"/>
      <c r="AH63" s="678"/>
      <c r="BC63" s="401" t="str">
        <f t="shared" si="11"/>
        <v>-</v>
      </c>
      <c r="BD63" s="429" t="str">
        <f>"IEF " &amp; B65</f>
        <v>IEF Drive Mode 6</v>
      </c>
      <c r="BE63" s="435">
        <f t="shared" ref="BE63:BL63" si="71">IF(OR($C67="CET",$C67="-",$C67=""),"-",$C67)</f>
        <v>1</v>
      </c>
      <c r="BF63" s="435">
        <f t="shared" si="71"/>
        <v>1</v>
      </c>
      <c r="BG63" s="435">
        <f t="shared" si="71"/>
        <v>1</v>
      </c>
      <c r="BH63" s="435">
        <f t="shared" si="71"/>
        <v>1</v>
      </c>
      <c r="BI63" s="435">
        <f t="shared" si="71"/>
        <v>1</v>
      </c>
      <c r="BJ63" s="435">
        <f t="shared" si="71"/>
        <v>1</v>
      </c>
      <c r="BK63" s="435">
        <f t="shared" si="71"/>
        <v>1</v>
      </c>
      <c r="BL63" s="435">
        <f t="shared" si="71"/>
        <v>1</v>
      </c>
    </row>
    <row r="64" spans="1:64" ht="15" customHeight="1" outlineLevel="1" thickBot="1" x14ac:dyDescent="0.3">
      <c r="A64" s="404"/>
      <c r="B64" s="681"/>
      <c r="C64" s="688"/>
      <c r="D64" s="691"/>
      <c r="E64" s="451" t="s">
        <v>30</v>
      </c>
      <c r="F64" s="451" t="str">
        <f t="shared" ref="F64:M64" si="72">IF(AND(OR(F60="-",F60=""),OR(F61="-",F61="")),"-",IF(OR($C62="-",$C62="",$C62="CET"),"-",IF($R$36="not listed","-",IF(NOT(F$5="-"),IF(AND(AND(NOT(F60=0),NOT(F60="-"),NOT(F60="")),AND(NOT(F61="-"),NOT(F61=0),NOT(F61=""))),IF(AND((F60+F61)/2&lt;1*F$5*IF(OR($C62="CET",$C62="-",$C62=""),"-",$C62),F60&lt;1.1*F$5*IF(OR($C62="CET",$C62="-",$C62=""),"-",$C62),F61&lt;1.1*F$5*IF(OR($C62="CET",$C62="-",$C62=""),"-",$C62)),"passed","refused"),IF(IF(OR(F60="-",F60=""),F61,F60)&lt;0.7*F$5*IF(OR($C62="CET",$C62="-",$C62=""),"-",$C62),"passed",IF(IF(OR(F60="-",F60=""),F61,F60)&lt;1.1*IF(OR($C62="CET",$C62="-",$C62=""),"-",$C62)*F$5,"failed","refused"))),"-"))))</f>
        <v>-</v>
      </c>
      <c r="G64" s="451" t="str">
        <f t="shared" si="72"/>
        <v>-</v>
      </c>
      <c r="H64" s="451" t="str">
        <f t="shared" si="72"/>
        <v>-</v>
      </c>
      <c r="I64" s="451" t="str">
        <f t="shared" si="72"/>
        <v>-</v>
      </c>
      <c r="J64" s="451" t="str">
        <f t="shared" si="72"/>
        <v>-</v>
      </c>
      <c r="K64" s="452" t="str">
        <f t="shared" si="72"/>
        <v>-</v>
      </c>
      <c r="L64" s="452" t="str">
        <f t="shared" si="72"/>
        <v>-</v>
      </c>
      <c r="M64" s="452" t="str">
        <f t="shared" si="72"/>
        <v>-</v>
      </c>
      <c r="N64" s="451" t="str">
        <f>IF(AND(OR(N60="-",N60=""),OR(N61="-",N61="")),"-",IF(OR($C62="-",$C62="",$C62="CET"),"-",IF($R$36="not listed","-",IF(NOT(N$5="-"),IF(AND(AND(NOT(N60=0),NOT(N60="-"),NOT(N60="")),AND(NOT(N61="-"),NOT(N61=0),NOT(N61=""))),IF(AND((N60+N61)/2&lt;1*N$5*IF(OR($C62="CET",$C62="-",$C62=""),"-",$C62),N60&lt;1.1*N$5*IF(OR($C62="CET",$C62="-",$C62=""),"-",$C62),N61&lt;1.1*N$5*IF(OR($C62="CET",$C62="-",$C62=""),"-",$C62)),"passed","refused"),IF(IF(OR(N60="-",N60=""),N61,N60)&lt;0.7*N$5*IF(OR($C62="CET",$C62="-",$C62=""),"-",$C62),"passed",IF(IF(OR(N60="-",N60=""),N61,N60)&lt;1.1*IF(OR($C62="CET",$C62="-",$C62=""),"-",$C62)*N$5,"failed","refused"))),"-"))))</f>
        <v>-</v>
      </c>
      <c r="O64" s="672"/>
      <c r="P64" s="673"/>
      <c r="Q64" s="673"/>
      <c r="R64" s="673"/>
      <c r="S64" s="672"/>
      <c r="T64" s="673"/>
      <c r="U64" s="673"/>
      <c r="V64" s="674"/>
      <c r="W64" s="434"/>
      <c r="X64" s="434"/>
      <c r="Y64" s="678"/>
      <c r="Z64" s="678"/>
      <c r="AA64" s="678"/>
      <c r="AB64" s="678"/>
      <c r="AC64" s="678"/>
      <c r="AD64" s="678"/>
      <c r="AE64" s="678"/>
      <c r="AF64" s="678"/>
      <c r="AG64" s="678"/>
      <c r="AH64" s="678"/>
      <c r="BC64" s="401" t="str">
        <f t="shared" si="11"/>
        <v>-</v>
      </c>
    </row>
    <row r="65" spans="1:64" ht="15" customHeight="1" outlineLevel="1" x14ac:dyDescent="0.25">
      <c r="A65" s="404"/>
      <c r="B65" s="679" t="str">
        <f>'Variant 4 - MIDC'!B65:B69</f>
        <v>Drive Mode 6</v>
      </c>
      <c r="C65" s="713" t="s">
        <v>114</v>
      </c>
      <c r="D65" s="684" t="s">
        <v>113</v>
      </c>
      <c r="E65" s="453" t="s">
        <v>94</v>
      </c>
      <c r="F65" s="437" t="s">
        <v>5</v>
      </c>
      <c r="G65" s="437" t="s">
        <v>5</v>
      </c>
      <c r="H65" s="437" t="s">
        <v>5</v>
      </c>
      <c r="I65" s="437" t="s">
        <v>5</v>
      </c>
      <c r="J65" s="437" t="s">
        <v>5</v>
      </c>
      <c r="K65" s="438" t="s">
        <v>5</v>
      </c>
      <c r="L65" s="438" t="s">
        <v>5</v>
      </c>
      <c r="M65" s="438" t="s">
        <v>5</v>
      </c>
      <c r="N65" s="437" t="s">
        <v>5</v>
      </c>
      <c r="O65" s="672"/>
      <c r="P65" s="673"/>
      <c r="Q65" s="673"/>
      <c r="R65" s="673"/>
      <c r="S65" s="672"/>
      <c r="T65" s="673"/>
      <c r="U65" s="673"/>
      <c r="V65" s="674"/>
      <c r="W65" s="434"/>
      <c r="X65" s="434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BC65" s="401" t="str">
        <f t="shared" si="11"/>
        <v>-</v>
      </c>
      <c r="BD65" s="459"/>
      <c r="BE65" s="459"/>
      <c r="BF65" s="459"/>
      <c r="BG65" s="459"/>
      <c r="BH65" s="459"/>
      <c r="BI65" s="459"/>
      <c r="BJ65" s="459"/>
      <c r="BK65" s="459"/>
      <c r="BL65" s="459"/>
    </row>
    <row r="66" spans="1:64" s="405" customFormat="1" ht="15" customHeight="1" outlineLevel="1" thickBot="1" x14ac:dyDescent="0.3">
      <c r="A66" s="454"/>
      <c r="B66" s="680"/>
      <c r="C66" s="714"/>
      <c r="D66" s="685"/>
      <c r="E66" s="440" t="s">
        <v>95</v>
      </c>
      <c r="F66" s="441" t="s">
        <v>5</v>
      </c>
      <c r="G66" s="441" t="s">
        <v>5</v>
      </c>
      <c r="H66" s="441" t="s">
        <v>5</v>
      </c>
      <c r="I66" s="441" t="s">
        <v>5</v>
      </c>
      <c r="J66" s="441" t="s">
        <v>5</v>
      </c>
      <c r="K66" s="442" t="s">
        <v>5</v>
      </c>
      <c r="L66" s="442" t="s">
        <v>5</v>
      </c>
      <c r="M66" s="442" t="s">
        <v>5</v>
      </c>
      <c r="N66" s="441" t="s">
        <v>5</v>
      </c>
      <c r="O66" s="672"/>
      <c r="P66" s="673"/>
      <c r="Q66" s="673"/>
      <c r="R66" s="673"/>
      <c r="S66" s="672"/>
      <c r="T66" s="673"/>
      <c r="U66" s="673"/>
      <c r="V66" s="674"/>
      <c r="W66" s="443"/>
      <c r="X66" s="443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BC66" s="401" t="str">
        <f t="shared" si="11"/>
        <v>-</v>
      </c>
      <c r="BD66" s="459"/>
      <c r="BE66" s="459"/>
      <c r="BF66" s="459"/>
      <c r="BG66" s="459"/>
      <c r="BH66" s="459"/>
      <c r="BI66" s="459"/>
      <c r="BJ66" s="459"/>
      <c r="BK66" s="459"/>
      <c r="BL66" s="459"/>
    </row>
    <row r="67" spans="1:64" ht="15" customHeight="1" outlineLevel="1" thickBot="1" x14ac:dyDescent="0.3">
      <c r="A67" s="404"/>
      <c r="B67" s="680"/>
      <c r="C67" s="715">
        <v>1</v>
      </c>
      <c r="D67" s="689" t="str">
        <f>IF(AND(F68="-",G68="-",H68="-",I68="-",J68="-",K68="-",L68="-",M68="-"),"-",MAX(F68,G68,H68,I68,J68,K68,L68,M68))</f>
        <v>-</v>
      </c>
      <c r="E67" s="444" t="s">
        <v>96</v>
      </c>
      <c r="F67" s="445" t="str">
        <f t="shared" ref="F67:N67" si="73">IF(OR(F66="-",F66=""),IF(OR(F65="-",F65=""),"-",F65),IF(OR(F65="-",F65=""),F66,(F65+F66)/2))</f>
        <v>-</v>
      </c>
      <c r="G67" s="445" t="str">
        <f t="shared" si="73"/>
        <v>-</v>
      </c>
      <c r="H67" s="445" t="str">
        <f t="shared" si="73"/>
        <v>-</v>
      </c>
      <c r="I67" s="445" t="str">
        <f t="shared" si="73"/>
        <v>-</v>
      </c>
      <c r="J67" s="445" t="str">
        <f t="shared" si="73"/>
        <v>-</v>
      </c>
      <c r="K67" s="446" t="str">
        <f t="shared" si="73"/>
        <v>-</v>
      </c>
      <c r="L67" s="446" t="str">
        <f t="shared" si="73"/>
        <v>-</v>
      </c>
      <c r="M67" s="446" t="str">
        <f t="shared" si="73"/>
        <v>-</v>
      </c>
      <c r="N67" s="445" t="str">
        <f t="shared" si="73"/>
        <v>-</v>
      </c>
      <c r="O67" s="672"/>
      <c r="P67" s="673"/>
      <c r="Q67" s="673"/>
      <c r="R67" s="673"/>
      <c r="S67" s="672"/>
      <c r="T67" s="673"/>
      <c r="U67" s="673"/>
      <c r="V67" s="674"/>
      <c r="W67" s="434"/>
      <c r="X67" s="434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BC67" s="401" t="str">
        <f t="shared" si="11"/>
        <v>-</v>
      </c>
      <c r="BD67" s="460"/>
      <c r="BE67" s="460"/>
      <c r="BF67" s="460"/>
      <c r="BG67" s="460"/>
      <c r="BH67" s="460"/>
      <c r="BI67" s="460"/>
      <c r="BJ67" s="460"/>
      <c r="BK67" s="460"/>
      <c r="BL67" s="460"/>
    </row>
    <row r="68" spans="1:64" ht="15" customHeight="1" outlineLevel="1" thickBot="1" x14ac:dyDescent="0.3">
      <c r="A68" s="404"/>
      <c r="B68" s="680"/>
      <c r="C68" s="716"/>
      <c r="D68" s="690"/>
      <c r="E68" s="447" t="s">
        <v>97</v>
      </c>
      <c r="F68" s="448" t="str">
        <f t="shared" ref="F68:N68" si="74">IF(OR($C67="-",$C67="CET",$C67=""),"-",IF(AND(NOT(F67="-"),NOT(F$5="-"),NOT(F$5="")),F67/F$5,"-"))</f>
        <v>-</v>
      </c>
      <c r="G68" s="448" t="str">
        <f t="shared" si="74"/>
        <v>-</v>
      </c>
      <c r="H68" s="448" t="str">
        <f t="shared" si="74"/>
        <v>-</v>
      </c>
      <c r="I68" s="448" t="str">
        <f t="shared" si="74"/>
        <v>-</v>
      </c>
      <c r="J68" s="448" t="str">
        <f t="shared" si="74"/>
        <v>-</v>
      </c>
      <c r="K68" s="449" t="str">
        <f t="shared" si="74"/>
        <v>-</v>
      </c>
      <c r="L68" s="449" t="str">
        <f t="shared" si="74"/>
        <v>-</v>
      </c>
      <c r="M68" s="449" t="str">
        <f t="shared" si="74"/>
        <v>-</v>
      </c>
      <c r="N68" s="448" t="str">
        <f t="shared" si="74"/>
        <v>-</v>
      </c>
      <c r="O68" s="672"/>
      <c r="P68" s="673"/>
      <c r="Q68" s="673"/>
      <c r="R68" s="673"/>
      <c r="S68" s="672"/>
      <c r="T68" s="673"/>
      <c r="U68" s="673"/>
      <c r="V68" s="674"/>
      <c r="W68" s="434"/>
      <c r="X68" s="434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1"/>
        <v>-</v>
      </c>
      <c r="BD68" s="460"/>
      <c r="BE68" s="460"/>
      <c r="BF68" s="460"/>
      <c r="BG68" s="460"/>
      <c r="BH68" s="460"/>
      <c r="BI68" s="460"/>
      <c r="BJ68" s="460"/>
      <c r="BK68" s="460"/>
      <c r="BL68" s="460"/>
    </row>
    <row r="69" spans="1:64" ht="15.75" outlineLevel="1" thickBot="1" x14ac:dyDescent="0.3">
      <c r="B69" s="681"/>
      <c r="C69" s="717"/>
      <c r="D69" s="691"/>
      <c r="E69" s="451" t="s">
        <v>30</v>
      </c>
      <c r="F69" s="451" t="str">
        <f t="shared" ref="F69:M69" si="75">IF(AND(OR(F65="-",F65=""),OR(F66="-",F66="")),"-",IF(OR($C67="-",$C67="",$C67="CET"),"-",IF($R$36="not listed","-",IF(NOT(F$5="-"),IF(AND(AND(NOT(F65=0),NOT(F65="-"),NOT(F65="")),AND(NOT(F66="-"),NOT(F66=0),NOT(F66=""))),IF(AND((F65+F66)/2&lt;1*F$5*IF(OR($C67="CET",$C67="-",$C67=""),"-",$C67),F65&lt;1.1*F$5*IF(OR($C67="CET",$C67="-",$C67=""),"-",$C67),F66&lt;1.1*F$5*IF(OR($C67="CET",$C67="-",$C67=""),"-",$C67)),"passed","refused"),IF(IF(OR(F65="-",F65=""),F66,F65)&lt;0.7*F$5*IF(OR($C67="CET",$C67="-",$C67=""),"-",$C67),"passed",IF(IF(OR(F65="-",F65=""),F66,F65)&lt;1.1*IF(OR($C67="CET",$C67="-",$C67=""),"-",$C67)*F$5,"failed","refused"))),"-"))))</f>
        <v>-</v>
      </c>
      <c r="G69" s="451" t="str">
        <f t="shared" si="75"/>
        <v>-</v>
      </c>
      <c r="H69" s="451" t="str">
        <f t="shared" si="75"/>
        <v>-</v>
      </c>
      <c r="I69" s="451" t="str">
        <f t="shared" si="75"/>
        <v>-</v>
      </c>
      <c r="J69" s="451" t="str">
        <f t="shared" si="75"/>
        <v>-</v>
      </c>
      <c r="K69" s="452" t="str">
        <f t="shared" si="75"/>
        <v>-</v>
      </c>
      <c r="L69" s="452" t="str">
        <f t="shared" si="75"/>
        <v>-</v>
      </c>
      <c r="M69" s="452" t="str">
        <f t="shared" si="75"/>
        <v>-</v>
      </c>
      <c r="N69" s="451" t="str">
        <f>IF(AND(OR(N65="-",N65=""),OR(N66="-",N66="")),"-",IF(OR($C67="-",$C67="",$C67="CET"),"-",IF($R$36="not listed","-",IF(NOT(N$5="-"),IF(AND(AND(NOT(N65=0),NOT(N65="-"),NOT(N65="")),AND(NOT(N66="-"),NOT(N66=0),NOT(N66=""))),IF(AND((N65+N66)/2&lt;1*N$5*IF(OR($C67="CET",$C67="-",$C67=""),"-",$C67),N65&lt;1.1*N$5*IF(OR($C67="CET",$C67="-",$C67=""),"-",$C67),N66&lt;1.1*N$5*IF(OR($C67="CET",$C67="-",$C67=""),"-",$C67)),"passed","refused"),IF(IF(OR(N65="-",N65=""),N66,N65)&lt;0.7*N$5*IF(OR($C67="CET",$C67="-",$C67=""),"-",$C67),"passed",IF(IF(OR(N65="-",N65=""),N66,N65)&lt;1.1*IF(OR($C67="CET",$C67="-",$C67=""),"-",$C67)*N$5,"failed","refused"))),"-"))))</f>
        <v>-</v>
      </c>
      <c r="O69" s="675"/>
      <c r="P69" s="676"/>
      <c r="Q69" s="676"/>
      <c r="R69" s="676"/>
      <c r="S69" s="675"/>
      <c r="T69" s="676"/>
      <c r="U69" s="676"/>
      <c r="V69" s="677"/>
      <c r="BC69" s="401" t="str">
        <f t="shared" si="11"/>
        <v>-</v>
      </c>
      <c r="BD69" s="460"/>
      <c r="BE69" s="460"/>
      <c r="BF69" s="460"/>
      <c r="BG69" s="460"/>
      <c r="BH69" s="460"/>
      <c r="BI69" s="460"/>
      <c r="BJ69" s="460"/>
      <c r="BK69" s="460"/>
      <c r="BL69" s="460"/>
    </row>
    <row r="70" spans="1:64" ht="15" customHeight="1" x14ac:dyDescent="0.25">
      <c r="BC70" s="401" t="str">
        <f t="shared" si="11"/>
        <v>-</v>
      </c>
      <c r="BD70" s="459"/>
      <c r="BE70" s="459"/>
      <c r="BF70" s="459"/>
      <c r="BG70" s="459"/>
      <c r="BH70" s="459"/>
      <c r="BI70" s="459"/>
      <c r="BJ70" s="459"/>
      <c r="BK70" s="459"/>
      <c r="BL70" s="459"/>
    </row>
    <row r="71" spans="1:64" ht="15" customHeight="1" x14ac:dyDescent="0.25">
      <c r="BC71" s="401" t="str">
        <f t="shared" si="11"/>
        <v>-</v>
      </c>
      <c r="BD71" s="459"/>
      <c r="BE71" s="459"/>
      <c r="BF71" s="459"/>
      <c r="BG71" s="459"/>
      <c r="BH71" s="459"/>
      <c r="BI71" s="459"/>
      <c r="BJ71" s="459"/>
      <c r="BK71" s="459"/>
      <c r="BL71" s="459"/>
    </row>
    <row r="72" spans="1:64" ht="15" customHeight="1" thickBot="1" x14ac:dyDescent="0.3">
      <c r="A72" s="396"/>
      <c r="W72" s="414"/>
      <c r="X72" s="414"/>
      <c r="Y72" s="414"/>
      <c r="Z72" s="414"/>
      <c r="AA72" s="414"/>
      <c r="AB72" s="414"/>
      <c r="AC72" s="414"/>
      <c r="AD72" s="414"/>
      <c r="AE72" s="414"/>
      <c r="AF72" s="414"/>
      <c r="AG72" s="414"/>
      <c r="AH72" s="414"/>
      <c r="BC72" s="401" t="str">
        <f t="shared" si="11"/>
        <v>-</v>
      </c>
      <c r="BD72" s="459"/>
      <c r="BE72" s="459"/>
      <c r="BF72" s="459"/>
      <c r="BG72" s="459"/>
      <c r="BH72" s="459"/>
      <c r="BI72" s="459"/>
      <c r="BJ72" s="459"/>
      <c r="BK72" s="459"/>
      <c r="BL72" s="459"/>
    </row>
    <row r="73" spans="1:64" ht="24.95" customHeight="1" thickBot="1" x14ac:dyDescent="0.3">
      <c r="A73" s="396"/>
      <c r="B73" s="415">
        <v>3</v>
      </c>
      <c r="C73" s="706" t="s">
        <v>102</v>
      </c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8"/>
      <c r="O73" s="416" t="s">
        <v>117</v>
      </c>
      <c r="P73" s="398" t="str">
        <f>IF(COUNTIF(F81:N96,"refused")&gt;0,"refused",IF(COUNTIF(F81:N96,"failed")&gt;0,"failed",IF(COUNTIF(F81:N96,"passed")&gt;0,"passed","-")))</f>
        <v>-</v>
      </c>
      <c r="Q73" s="399" t="s">
        <v>80</v>
      </c>
      <c r="R73" s="399" t="str">
        <f>IF(COUNT(F77:M78)&gt;0,"listed","not listed")</f>
        <v>not listed</v>
      </c>
      <c r="S73" s="427"/>
      <c r="T73" s="418"/>
      <c r="U73" s="418"/>
      <c r="V73" s="419"/>
      <c r="W73" s="414"/>
      <c r="X73" s="414"/>
      <c r="Y73" s="414"/>
      <c r="Z73" s="414"/>
      <c r="AA73" s="414"/>
      <c r="AB73" s="414"/>
      <c r="AC73" s="414"/>
      <c r="AD73" s="414"/>
      <c r="AE73" s="414"/>
      <c r="AF73" s="414"/>
      <c r="AG73" s="414"/>
      <c r="AH73" s="414"/>
      <c r="BC73" s="401" t="str">
        <f t="shared" si="11"/>
        <v>-</v>
      </c>
    </row>
    <row r="74" spans="1:64" ht="15" customHeight="1" outlineLevel="1" thickBot="1" x14ac:dyDescent="0.3">
      <c r="A74" s="396"/>
      <c r="B74" s="456"/>
      <c r="C74" s="457"/>
      <c r="D74" s="457"/>
      <c r="E74" s="457"/>
      <c r="F74" s="457"/>
      <c r="G74" s="457"/>
      <c r="H74" s="457"/>
      <c r="I74" s="457"/>
      <c r="J74" s="457"/>
      <c r="K74" s="421"/>
      <c r="L74" s="421"/>
      <c r="M74" s="421"/>
      <c r="N74" s="457"/>
      <c r="O74" s="457"/>
      <c r="P74" s="457"/>
      <c r="Q74" s="457"/>
      <c r="R74" s="457"/>
      <c r="S74" s="457"/>
      <c r="T74" s="422"/>
      <c r="U74" s="422"/>
      <c r="V74" s="423"/>
      <c r="W74" s="424"/>
      <c r="X74" s="424"/>
      <c r="Y74" s="698"/>
      <c r="Z74" s="698"/>
      <c r="AA74" s="698"/>
      <c r="AB74" s="698"/>
      <c r="AC74" s="698"/>
      <c r="AD74" s="698"/>
      <c r="AE74" s="698"/>
      <c r="AF74" s="698"/>
      <c r="AG74" s="698"/>
      <c r="AH74" s="698"/>
      <c r="BC74" s="401" t="str">
        <f t="shared" si="11"/>
        <v>-</v>
      </c>
    </row>
    <row r="75" spans="1:64" ht="15" customHeight="1" outlineLevel="1" thickBot="1" x14ac:dyDescent="0.3">
      <c r="A75" s="396"/>
      <c r="B75" s="695" t="s">
        <v>81</v>
      </c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7"/>
      <c r="O75" s="695" t="s">
        <v>82</v>
      </c>
      <c r="P75" s="696"/>
      <c r="Q75" s="696"/>
      <c r="R75" s="697"/>
      <c r="S75" s="695" t="s">
        <v>83</v>
      </c>
      <c r="T75" s="696"/>
      <c r="U75" s="696"/>
      <c r="V75" s="697"/>
      <c r="W75" s="434"/>
      <c r="X75" s="434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BC75" s="401" t="str">
        <f t="shared" si="11"/>
        <v>-</v>
      </c>
    </row>
    <row r="76" spans="1:64" ht="35.1" customHeight="1" outlineLevel="1" thickBot="1" x14ac:dyDescent="0.3">
      <c r="A76" s="396"/>
      <c r="B76" s="731" t="s">
        <v>84</v>
      </c>
      <c r="C76" s="732"/>
      <c r="D76" s="732"/>
      <c r="E76" s="733"/>
      <c r="F76" s="425" t="str">
        <f>F$4</f>
        <v>NMHC 
[g/km]</v>
      </c>
      <c r="G76" s="425" t="str">
        <f t="shared" ref="G76:N76" si="76">G$4</f>
        <v>THC
[g/km]</v>
      </c>
      <c r="H76" s="425" t="str">
        <f t="shared" si="76"/>
        <v>CO
[g/km]</v>
      </c>
      <c r="I76" s="425" t="str">
        <f t="shared" si="76"/>
        <v>NOx
[g/km]</v>
      </c>
      <c r="J76" s="425" t="str">
        <f t="shared" si="76"/>
        <v>PM
[mg/km]</v>
      </c>
      <c r="K76" s="425" t="str">
        <f t="shared" si="76"/>
        <v>PN
[#/km]</v>
      </c>
      <c r="L76" s="426" t="str">
        <f t="shared" si="76"/>
        <v>Additional
component</v>
      </c>
      <c r="M76" s="426" t="str">
        <f t="shared" si="76"/>
        <v>Additional
component 2</v>
      </c>
      <c r="N76" s="425" t="str">
        <f t="shared" si="76"/>
        <v>CO2
[g/km]</v>
      </c>
      <c r="O76" s="669"/>
      <c r="P76" s="670"/>
      <c r="Q76" s="670"/>
      <c r="R76" s="671"/>
      <c r="S76" s="669"/>
      <c r="T76" s="670"/>
      <c r="U76" s="670"/>
      <c r="V76" s="671"/>
      <c r="W76" s="434"/>
      <c r="X76" s="434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BC76" s="401" t="str">
        <f t="shared" si="11"/>
        <v>-</v>
      </c>
    </row>
    <row r="77" spans="1:64" ht="15" customHeight="1" outlineLevel="1" x14ac:dyDescent="0.25">
      <c r="A77" s="396"/>
      <c r="B77" s="724" t="s">
        <v>162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4"/>
      <c r="S77" s="672"/>
      <c r="T77" s="673"/>
      <c r="U77" s="673"/>
      <c r="V77" s="674"/>
      <c r="W77" s="434"/>
      <c r="X77" s="434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BC77" s="401" t="str">
        <f t="shared" si="11"/>
        <v>-</v>
      </c>
    </row>
    <row r="78" spans="1:64" s="405" customFormat="1" ht="15" customHeight="1" outlineLevel="1" thickBot="1" x14ac:dyDescent="0.3">
      <c r="A78" s="439"/>
      <c r="B78" s="725"/>
      <c r="C78" s="702"/>
      <c r="D78" s="685"/>
      <c r="E78" s="461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4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1"/>
        <v>-</v>
      </c>
    </row>
    <row r="79" spans="1:64" ht="15" customHeight="1" outlineLevel="1" thickBot="1" x14ac:dyDescent="0.3">
      <c r="A79" s="396"/>
      <c r="B79" s="725"/>
      <c r="C79" s="686">
        <v>1</v>
      </c>
      <c r="D79" s="689" t="str">
        <f>IF(AND(F80="-",G80="-",H80="-",I80="-",J80="-",K80="-",L80="-",M80="-"),"-",MAX(F80,G80,H80,I80,J80,K80,L80,M80))</f>
        <v>-</v>
      </c>
      <c r="E79" s="462" t="s">
        <v>96</v>
      </c>
      <c r="F79" s="445" t="str">
        <f t="shared" ref="F79:N79" si="77">IF(OR(F78="-",F78=""),IF(OR(F77="-",F77=""),"-",F77),IF(OR(F77="-",F77=""),F78,(F77+F78)/2))</f>
        <v>-</v>
      </c>
      <c r="G79" s="445" t="str">
        <f t="shared" si="77"/>
        <v>-</v>
      </c>
      <c r="H79" s="445" t="str">
        <f t="shared" si="77"/>
        <v>-</v>
      </c>
      <c r="I79" s="445" t="str">
        <f t="shared" si="77"/>
        <v>-</v>
      </c>
      <c r="J79" s="445" t="str">
        <f t="shared" si="77"/>
        <v>-</v>
      </c>
      <c r="K79" s="446" t="str">
        <f t="shared" si="77"/>
        <v>-</v>
      </c>
      <c r="L79" s="446" t="str">
        <f t="shared" si="77"/>
        <v>-</v>
      </c>
      <c r="M79" s="446" t="str">
        <f t="shared" si="77"/>
        <v>-</v>
      </c>
      <c r="N79" s="445" t="str">
        <f t="shared" si="77"/>
        <v>-</v>
      </c>
      <c r="O79" s="672"/>
      <c r="P79" s="673"/>
      <c r="Q79" s="673"/>
      <c r="R79" s="674"/>
      <c r="S79" s="672"/>
      <c r="T79" s="673"/>
      <c r="U79" s="673"/>
      <c r="V79" s="674"/>
      <c r="W79" s="434"/>
      <c r="X79" s="434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BC79" s="401" t="str">
        <f t="shared" si="11"/>
        <v>-</v>
      </c>
    </row>
    <row r="80" spans="1:64" ht="15" customHeight="1" outlineLevel="1" thickBot="1" x14ac:dyDescent="0.3">
      <c r="A80" s="396"/>
      <c r="B80" s="725"/>
      <c r="C80" s="687"/>
      <c r="D80" s="690"/>
      <c r="E80" s="447" t="s">
        <v>97</v>
      </c>
      <c r="F80" s="448" t="str">
        <f t="shared" ref="F80:N80" si="78">IF(OR($C79="-",$C79="CET",$C79=""),"-",IF(AND(NOT(F79="-"),NOT(F$5="-"),NOT(F$5="")),F79/F$5,"-"))</f>
        <v>-</v>
      </c>
      <c r="G80" s="448" t="str">
        <f t="shared" si="78"/>
        <v>-</v>
      </c>
      <c r="H80" s="448" t="str">
        <f t="shared" si="78"/>
        <v>-</v>
      </c>
      <c r="I80" s="448" t="str">
        <f t="shared" si="78"/>
        <v>-</v>
      </c>
      <c r="J80" s="448" t="str">
        <f t="shared" si="78"/>
        <v>-</v>
      </c>
      <c r="K80" s="449" t="str">
        <f t="shared" si="78"/>
        <v>-</v>
      </c>
      <c r="L80" s="449" t="str">
        <f t="shared" si="78"/>
        <v>-</v>
      </c>
      <c r="M80" s="449" t="str">
        <f t="shared" si="78"/>
        <v>-</v>
      </c>
      <c r="N80" s="448" t="str">
        <f t="shared" si="78"/>
        <v>-</v>
      </c>
      <c r="O80" s="672"/>
      <c r="P80" s="673"/>
      <c r="Q80" s="673"/>
      <c r="R80" s="674"/>
      <c r="S80" s="672"/>
      <c r="T80" s="673"/>
      <c r="U80" s="673"/>
      <c r="V80" s="674"/>
      <c r="W80" s="434"/>
      <c r="X80" s="434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BC80" s="401" t="str">
        <f t="shared" si="11"/>
        <v>-</v>
      </c>
    </row>
    <row r="81" spans="1:64" ht="15" customHeight="1" outlineLevel="1" thickBot="1" x14ac:dyDescent="0.3">
      <c r="A81" s="396"/>
      <c r="B81" s="726"/>
      <c r="C81" s="688"/>
      <c r="D81" s="691"/>
      <c r="E81" s="451" t="s">
        <v>30</v>
      </c>
      <c r="F81" s="451" t="str">
        <f t="shared" ref="F81:M81" si="79">IF(AND(OR(F77="-",F77=""),OR(F78="-",F78="")),"-",IF(OR($C79="-",$C79="",$C79="CET"),"-",IF($R$73="not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79"/>
        <v>-</v>
      </c>
      <c r="H81" s="451" t="str">
        <f t="shared" si="79"/>
        <v>-</v>
      </c>
      <c r="I81" s="451" t="str">
        <f t="shared" si="79"/>
        <v>-</v>
      </c>
      <c r="J81" s="451" t="str">
        <f t="shared" si="79"/>
        <v>-</v>
      </c>
      <c r="K81" s="452" t="str">
        <f t="shared" si="79"/>
        <v>-</v>
      </c>
      <c r="L81" s="452" t="str">
        <f t="shared" si="79"/>
        <v>-</v>
      </c>
      <c r="M81" s="452" t="str">
        <f t="shared" si="79"/>
        <v>-</v>
      </c>
      <c r="N81" s="451" t="str">
        <f>IF(AND(OR(N77="-",N77=""),OR(N78="-",N78="")),"-",IF(OR($C79="-",$C79="",$C79="CET"),"-",IF($R$73="not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672"/>
      <c r="P81" s="673"/>
      <c r="Q81" s="673"/>
      <c r="R81" s="674"/>
      <c r="S81" s="672"/>
      <c r="T81" s="673"/>
      <c r="U81" s="673"/>
      <c r="V81" s="674"/>
      <c r="W81" s="434"/>
      <c r="X81" s="434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BC81" s="401" t="str">
        <f t="shared" si="11"/>
        <v>-</v>
      </c>
      <c r="BD81" s="429" t="s">
        <v>85</v>
      </c>
      <c r="BE81" s="430" t="str">
        <f>F$4</f>
        <v>NMHC 
[g/km]</v>
      </c>
      <c r="BF81" s="430" t="str">
        <f t="shared" ref="BF81:BL81" si="80">G$4</f>
        <v>THC
[g/km]</v>
      </c>
      <c r="BG81" s="430" t="str">
        <f t="shared" si="80"/>
        <v>CO
[g/km]</v>
      </c>
      <c r="BH81" s="430" t="str">
        <f t="shared" si="80"/>
        <v>NOx
[g/km]</v>
      </c>
      <c r="BI81" s="430" t="str">
        <f t="shared" si="80"/>
        <v>PM
[mg/km]</v>
      </c>
      <c r="BJ81" s="430" t="str">
        <f t="shared" si="80"/>
        <v>PN
[#/km]</v>
      </c>
      <c r="BK81" s="430" t="str">
        <f t="shared" si="80"/>
        <v>Additional
component</v>
      </c>
      <c r="BL81" s="430" t="str">
        <f t="shared" si="80"/>
        <v>Additional
component 2</v>
      </c>
    </row>
    <row r="82" spans="1:64" ht="15" customHeight="1" outlineLevel="1" x14ac:dyDescent="0.25">
      <c r="A82" s="396"/>
      <c r="B82" s="721"/>
      <c r="C82" s="668"/>
      <c r="D82" s="411"/>
      <c r="E82" s="411"/>
      <c r="F82" s="463"/>
      <c r="G82" s="463"/>
      <c r="H82" s="463"/>
      <c r="I82" s="463"/>
      <c r="J82" s="463"/>
      <c r="K82" s="464"/>
      <c r="L82" s="464"/>
      <c r="M82" s="464"/>
      <c r="N82" s="465"/>
      <c r="O82" s="672"/>
      <c r="P82" s="673"/>
      <c r="Q82" s="673"/>
      <c r="R82" s="674"/>
      <c r="S82" s="672"/>
      <c r="T82" s="673"/>
      <c r="U82" s="673"/>
      <c r="V82" s="674"/>
      <c r="W82" s="434"/>
      <c r="X82" s="434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BC82" s="401" t="str">
        <f t="shared" ref="BC82:BC145" si="81">IF(COUNTIF(F82:M82,"refused")&gt;0,"refused",IF(COUNTIF(F82:M82,"failed")&gt;0,"failed",IF(COUNTIF(F82:M82,"passed")&gt;0,"passed","-")))</f>
        <v>-</v>
      </c>
      <c r="BD82" s="429" t="str">
        <f>$E$4</f>
        <v>BS 6</v>
      </c>
      <c r="BE82" s="435">
        <v>1</v>
      </c>
      <c r="BF82" s="435">
        <v>1</v>
      </c>
      <c r="BG82" s="435">
        <v>1</v>
      </c>
      <c r="BH82" s="435">
        <v>1</v>
      </c>
      <c r="BI82" s="435">
        <v>1</v>
      </c>
      <c r="BJ82" s="435">
        <v>1</v>
      </c>
      <c r="BK82" s="435">
        <v>1</v>
      </c>
      <c r="BL82" s="435">
        <v>1</v>
      </c>
    </row>
    <row r="83" spans="1:64" ht="15" customHeight="1" outlineLevel="1" x14ac:dyDescent="0.25">
      <c r="A83" s="396"/>
      <c r="B83" s="721"/>
      <c r="C83" s="668"/>
      <c r="D83" s="411"/>
      <c r="E83" s="411"/>
      <c r="F83" s="463"/>
      <c r="G83" s="463"/>
      <c r="H83" s="463"/>
      <c r="I83" s="463"/>
      <c r="J83" s="463"/>
      <c r="K83" s="464"/>
      <c r="L83" s="464"/>
      <c r="M83" s="464"/>
      <c r="N83" s="465"/>
      <c r="O83" s="672"/>
      <c r="P83" s="673"/>
      <c r="Q83" s="673"/>
      <c r="R83" s="674"/>
      <c r="S83" s="672"/>
      <c r="T83" s="673"/>
      <c r="U83" s="673"/>
      <c r="V83" s="674"/>
      <c r="W83" s="434"/>
      <c r="X83" s="434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81"/>
        <v>-</v>
      </c>
      <c r="BD83" s="429" t="str">
        <f>"1st " &amp;  B77</f>
        <v>1st WLTC 20°C
(3 Phases)</v>
      </c>
      <c r="BE83" s="435" t="str">
        <f t="shared" ref="BE83:BL83" si="82">IF((OR($C79="-",$C79="CET",$C79="")),"-",IF(AND(OR(F77="-",F77=""),OR(F78="-",F78="")),"-",IF(NOT(OR(F77="-",F77="")),F77/F$5,F78/F$5)))</f>
        <v>-</v>
      </c>
      <c r="BF83" s="435" t="str">
        <f t="shared" si="82"/>
        <v>-</v>
      </c>
      <c r="BG83" s="435" t="str">
        <f t="shared" si="82"/>
        <v>-</v>
      </c>
      <c r="BH83" s="435" t="str">
        <f t="shared" si="82"/>
        <v>-</v>
      </c>
      <c r="BI83" s="435" t="str">
        <f t="shared" si="82"/>
        <v>-</v>
      </c>
      <c r="BJ83" s="435" t="str">
        <f t="shared" si="82"/>
        <v>-</v>
      </c>
      <c r="BK83" s="435" t="str">
        <f t="shared" si="82"/>
        <v>-</v>
      </c>
      <c r="BL83" s="435" t="str">
        <f t="shared" si="82"/>
        <v>-</v>
      </c>
    </row>
    <row r="84" spans="1:64" ht="15" customHeight="1" outlineLevel="1" x14ac:dyDescent="0.25">
      <c r="A84" s="396"/>
      <c r="B84" s="721"/>
      <c r="C84" s="668"/>
      <c r="D84" s="411"/>
      <c r="E84" s="411"/>
      <c r="F84" s="466"/>
      <c r="G84" s="466"/>
      <c r="H84" s="466"/>
      <c r="I84" s="466"/>
      <c r="J84" s="466"/>
      <c r="K84" s="464"/>
      <c r="L84" s="464"/>
      <c r="M84" s="464"/>
      <c r="N84" s="467"/>
      <c r="O84" s="672"/>
      <c r="P84" s="673"/>
      <c r="Q84" s="673"/>
      <c r="R84" s="674"/>
      <c r="S84" s="672"/>
      <c r="T84" s="673"/>
      <c r="U84" s="673"/>
      <c r="V84" s="674"/>
      <c r="W84" s="434"/>
      <c r="X84" s="434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BC84" s="401" t="str">
        <f t="shared" si="81"/>
        <v>-</v>
      </c>
      <c r="BD84" s="429"/>
      <c r="BE84" s="435"/>
      <c r="BF84" s="435"/>
      <c r="BG84" s="435"/>
      <c r="BH84" s="435"/>
      <c r="BI84" s="435"/>
      <c r="BJ84" s="435"/>
      <c r="BK84" s="435"/>
      <c r="BL84" s="435"/>
    </row>
    <row r="85" spans="1:64" ht="15" customHeight="1" outlineLevel="1" x14ac:dyDescent="0.25">
      <c r="A85" s="396"/>
      <c r="B85" s="721"/>
      <c r="C85" s="668"/>
      <c r="D85" s="411"/>
      <c r="E85" s="411"/>
      <c r="F85" s="466"/>
      <c r="G85" s="466"/>
      <c r="H85" s="466"/>
      <c r="I85" s="466"/>
      <c r="J85" s="466"/>
      <c r="K85" s="464"/>
      <c r="L85" s="464"/>
      <c r="M85" s="464"/>
      <c r="N85" s="467"/>
      <c r="O85" s="672"/>
      <c r="P85" s="673"/>
      <c r="Q85" s="673"/>
      <c r="R85" s="674"/>
      <c r="S85" s="672"/>
      <c r="T85" s="673"/>
      <c r="U85" s="673"/>
      <c r="V85" s="674"/>
      <c r="W85" s="434"/>
      <c r="X85" s="434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BC85" s="401" t="str">
        <f t="shared" si="81"/>
        <v>-</v>
      </c>
      <c r="BD85" s="429"/>
      <c r="BE85" s="435"/>
      <c r="BF85" s="435"/>
      <c r="BG85" s="435"/>
      <c r="BH85" s="435"/>
      <c r="BI85" s="435"/>
      <c r="BJ85" s="435"/>
      <c r="BK85" s="435"/>
      <c r="BL85" s="435"/>
    </row>
    <row r="86" spans="1:64" ht="15" customHeight="1" outlineLevel="1" x14ac:dyDescent="0.25">
      <c r="A86" s="404"/>
      <c r="B86" s="721"/>
      <c r="C86" s="668"/>
      <c r="D86" s="411"/>
      <c r="E86" s="411"/>
      <c r="F86" s="411"/>
      <c r="G86" s="411"/>
      <c r="H86" s="411"/>
      <c r="I86" s="411"/>
      <c r="J86" s="411"/>
      <c r="K86" s="464"/>
      <c r="L86" s="464"/>
      <c r="M86" s="464"/>
      <c r="N86" s="468"/>
      <c r="O86" s="672"/>
      <c r="P86" s="673"/>
      <c r="Q86" s="673"/>
      <c r="R86" s="674"/>
      <c r="S86" s="672"/>
      <c r="T86" s="673"/>
      <c r="U86" s="673"/>
      <c r="V86" s="674"/>
      <c r="W86" s="434"/>
      <c r="X86" s="434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BC86" s="401" t="str">
        <f t="shared" si="81"/>
        <v>-</v>
      </c>
      <c r="BD86" s="429"/>
      <c r="BE86" s="435"/>
      <c r="BF86" s="435"/>
      <c r="BG86" s="435"/>
      <c r="BH86" s="435"/>
      <c r="BI86" s="435"/>
      <c r="BJ86" s="435"/>
      <c r="BK86" s="435"/>
      <c r="BL86" s="435"/>
    </row>
    <row r="87" spans="1:64" ht="15" customHeight="1" outlineLevel="1" x14ac:dyDescent="0.25">
      <c r="A87" s="404"/>
      <c r="B87" s="721"/>
      <c r="C87" s="668"/>
      <c r="D87" s="411"/>
      <c r="E87" s="411"/>
      <c r="F87" s="463"/>
      <c r="G87" s="463"/>
      <c r="H87" s="463"/>
      <c r="I87" s="463"/>
      <c r="J87" s="463"/>
      <c r="K87" s="464"/>
      <c r="L87" s="464"/>
      <c r="M87" s="464"/>
      <c r="N87" s="465"/>
      <c r="O87" s="672"/>
      <c r="P87" s="673"/>
      <c r="Q87" s="673"/>
      <c r="R87" s="674"/>
      <c r="S87" s="672"/>
      <c r="T87" s="673"/>
      <c r="U87" s="673"/>
      <c r="V87" s="674"/>
      <c r="W87" s="434"/>
      <c r="X87" s="434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BC87" s="401" t="str">
        <f t="shared" si="81"/>
        <v>-</v>
      </c>
      <c r="BD87" s="429" t="str">
        <f>"0.7*IEF " &amp; (B77)</f>
        <v>0.7*IEF WLTC 20°C
(3 Phases)</v>
      </c>
      <c r="BE87" s="435">
        <f t="shared" ref="BE87:BL87" si="83">IF(OR($C79="-",$C79="CET",$C79=""),"-",0.7*$C79)</f>
        <v>0.7</v>
      </c>
      <c r="BF87" s="435">
        <f t="shared" si="83"/>
        <v>0.7</v>
      </c>
      <c r="BG87" s="435">
        <f t="shared" si="83"/>
        <v>0.7</v>
      </c>
      <c r="BH87" s="435">
        <f t="shared" si="83"/>
        <v>0.7</v>
      </c>
      <c r="BI87" s="435">
        <f t="shared" si="83"/>
        <v>0.7</v>
      </c>
      <c r="BJ87" s="435">
        <f t="shared" si="83"/>
        <v>0.7</v>
      </c>
      <c r="BK87" s="435">
        <f t="shared" si="83"/>
        <v>0.7</v>
      </c>
      <c r="BL87" s="435">
        <f t="shared" si="83"/>
        <v>0.7</v>
      </c>
    </row>
    <row r="88" spans="1:64" ht="15" customHeight="1" outlineLevel="1" x14ac:dyDescent="0.25">
      <c r="A88" s="404"/>
      <c r="B88" s="721"/>
      <c r="C88" s="668"/>
      <c r="D88" s="411"/>
      <c r="E88" s="411"/>
      <c r="F88" s="463"/>
      <c r="G88" s="463"/>
      <c r="H88" s="463"/>
      <c r="I88" s="463"/>
      <c r="J88" s="463"/>
      <c r="K88" s="464"/>
      <c r="L88" s="464"/>
      <c r="M88" s="464"/>
      <c r="N88" s="465"/>
      <c r="O88" s="672"/>
      <c r="P88" s="673"/>
      <c r="Q88" s="673"/>
      <c r="R88" s="674"/>
      <c r="S88" s="672"/>
      <c r="T88" s="673"/>
      <c r="U88" s="673"/>
      <c r="V88" s="674"/>
      <c r="W88" s="434"/>
      <c r="X88" s="434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81"/>
        <v>-</v>
      </c>
      <c r="BD88" s="429"/>
      <c r="BE88" s="435"/>
      <c r="BF88" s="435"/>
      <c r="BG88" s="435"/>
      <c r="BH88" s="435"/>
      <c r="BI88" s="435"/>
      <c r="BJ88" s="435"/>
      <c r="BK88" s="435"/>
      <c r="BL88" s="435"/>
    </row>
    <row r="89" spans="1:64" ht="15" customHeight="1" outlineLevel="1" x14ac:dyDescent="0.25">
      <c r="A89" s="404"/>
      <c r="B89" s="721"/>
      <c r="C89" s="668"/>
      <c r="D89" s="411"/>
      <c r="E89" s="411"/>
      <c r="F89" s="466"/>
      <c r="G89" s="466"/>
      <c r="H89" s="466"/>
      <c r="I89" s="466"/>
      <c r="J89" s="466"/>
      <c r="K89" s="464"/>
      <c r="L89" s="464"/>
      <c r="M89" s="464"/>
      <c r="N89" s="467"/>
      <c r="O89" s="672"/>
      <c r="P89" s="673"/>
      <c r="Q89" s="673"/>
      <c r="R89" s="674"/>
      <c r="S89" s="672"/>
      <c r="T89" s="673"/>
      <c r="U89" s="673"/>
      <c r="V89" s="674"/>
      <c r="W89" s="434"/>
      <c r="X89" s="434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BC89" s="401" t="str">
        <f t="shared" si="81"/>
        <v>-</v>
      </c>
      <c r="BD89" s="429"/>
      <c r="BE89" s="435"/>
      <c r="BF89" s="435"/>
      <c r="BG89" s="435"/>
      <c r="BH89" s="435"/>
      <c r="BI89" s="435"/>
      <c r="BJ89" s="435"/>
      <c r="BK89" s="435"/>
      <c r="BL89" s="435"/>
    </row>
    <row r="90" spans="1:64" ht="15" customHeight="1" outlineLevel="1" x14ac:dyDescent="0.25">
      <c r="A90" s="404"/>
      <c r="B90" s="721"/>
      <c r="C90" s="668"/>
      <c r="D90" s="411"/>
      <c r="E90" s="411"/>
      <c r="F90" s="466"/>
      <c r="G90" s="466"/>
      <c r="H90" s="466"/>
      <c r="I90" s="466"/>
      <c r="J90" s="466"/>
      <c r="K90" s="464"/>
      <c r="L90" s="464"/>
      <c r="M90" s="464"/>
      <c r="N90" s="467"/>
      <c r="O90" s="672"/>
      <c r="P90" s="673"/>
      <c r="Q90" s="673"/>
      <c r="R90" s="674"/>
      <c r="S90" s="672"/>
      <c r="T90" s="673"/>
      <c r="U90" s="673"/>
      <c r="V90" s="674"/>
      <c r="W90" s="434"/>
      <c r="X90" s="434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BC90" s="401" t="str">
        <f t="shared" si="81"/>
        <v>-</v>
      </c>
      <c r="BD90" s="429"/>
      <c r="BE90" s="435"/>
      <c r="BF90" s="435"/>
      <c r="BG90" s="435"/>
      <c r="BH90" s="435"/>
      <c r="BI90" s="435"/>
      <c r="BJ90" s="435"/>
      <c r="BK90" s="435"/>
      <c r="BL90" s="435"/>
    </row>
    <row r="91" spans="1:64" ht="15" customHeight="1" outlineLevel="1" x14ac:dyDescent="0.25">
      <c r="A91" s="404"/>
      <c r="B91" s="721"/>
      <c r="C91" s="668"/>
      <c r="D91" s="411"/>
      <c r="E91" s="411"/>
      <c r="F91" s="411"/>
      <c r="G91" s="411"/>
      <c r="H91" s="411"/>
      <c r="I91" s="411"/>
      <c r="J91" s="411"/>
      <c r="K91" s="464"/>
      <c r="L91" s="464"/>
      <c r="M91" s="464"/>
      <c r="N91" s="468"/>
      <c r="O91" s="672"/>
      <c r="P91" s="673"/>
      <c r="Q91" s="673"/>
      <c r="R91" s="674"/>
      <c r="S91" s="672"/>
      <c r="T91" s="673"/>
      <c r="U91" s="673"/>
      <c r="V91" s="674"/>
      <c r="W91" s="434"/>
      <c r="X91" s="434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BC91" s="401" t="str">
        <f t="shared" si="81"/>
        <v>-</v>
      </c>
      <c r="BD91" s="429" t="str">
        <f>B77</f>
        <v>WLTC 20°C
(3 Phases)</v>
      </c>
      <c r="BE91" s="435" t="str">
        <f t="shared" ref="BE91:BL91" si="84">F80</f>
        <v>-</v>
      </c>
      <c r="BF91" s="435" t="str">
        <f t="shared" si="84"/>
        <v>-</v>
      </c>
      <c r="BG91" s="435" t="str">
        <f t="shared" si="84"/>
        <v>-</v>
      </c>
      <c r="BH91" s="435" t="str">
        <f t="shared" si="84"/>
        <v>-</v>
      </c>
      <c r="BI91" s="435" t="str">
        <f t="shared" si="84"/>
        <v>-</v>
      </c>
      <c r="BJ91" s="435" t="str">
        <f t="shared" si="84"/>
        <v>-</v>
      </c>
      <c r="BK91" s="435" t="str">
        <f t="shared" si="84"/>
        <v>-</v>
      </c>
      <c r="BL91" s="435" t="str">
        <f t="shared" si="84"/>
        <v>-</v>
      </c>
    </row>
    <row r="92" spans="1:64" ht="15" customHeight="1" outlineLevel="1" x14ac:dyDescent="0.25">
      <c r="A92" s="404"/>
      <c r="B92" s="721"/>
      <c r="C92" s="668"/>
      <c r="D92" s="411"/>
      <c r="E92" s="411"/>
      <c r="F92" s="463"/>
      <c r="G92" s="463"/>
      <c r="H92" s="463"/>
      <c r="I92" s="463"/>
      <c r="J92" s="463"/>
      <c r="K92" s="464"/>
      <c r="L92" s="464"/>
      <c r="M92" s="464"/>
      <c r="N92" s="465"/>
      <c r="O92" s="672"/>
      <c r="P92" s="673"/>
      <c r="Q92" s="673"/>
      <c r="R92" s="674"/>
      <c r="S92" s="672"/>
      <c r="T92" s="673"/>
      <c r="U92" s="673"/>
      <c r="V92" s="674"/>
      <c r="W92" s="434"/>
      <c r="X92" s="434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BC92" s="401" t="str">
        <f t="shared" si="81"/>
        <v>-</v>
      </c>
      <c r="BD92" s="429"/>
      <c r="BE92" s="435"/>
      <c r="BF92" s="435"/>
      <c r="BG92" s="435"/>
      <c r="BH92" s="435"/>
      <c r="BI92" s="435"/>
      <c r="BJ92" s="435"/>
      <c r="BK92" s="435"/>
      <c r="BL92" s="435"/>
    </row>
    <row r="93" spans="1:64" ht="15" customHeight="1" outlineLevel="1" x14ac:dyDescent="0.25">
      <c r="A93" s="404"/>
      <c r="B93" s="721"/>
      <c r="C93" s="668"/>
      <c r="D93" s="411"/>
      <c r="E93" s="411"/>
      <c r="F93" s="463"/>
      <c r="G93" s="463"/>
      <c r="H93" s="463"/>
      <c r="I93" s="463"/>
      <c r="J93" s="463"/>
      <c r="K93" s="464"/>
      <c r="L93" s="464"/>
      <c r="M93" s="464"/>
      <c r="N93" s="465"/>
      <c r="O93" s="672"/>
      <c r="P93" s="673"/>
      <c r="Q93" s="673"/>
      <c r="R93" s="674"/>
      <c r="S93" s="672"/>
      <c r="T93" s="673"/>
      <c r="U93" s="673"/>
      <c r="V93" s="674"/>
      <c r="W93" s="434"/>
      <c r="X93" s="434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81"/>
        <v>-</v>
      </c>
      <c r="BD93" s="429"/>
      <c r="BE93" s="435"/>
      <c r="BF93" s="435"/>
      <c r="BG93" s="435"/>
      <c r="BH93" s="435"/>
      <c r="BI93" s="435"/>
      <c r="BJ93" s="435"/>
      <c r="BK93" s="435"/>
      <c r="BL93" s="435"/>
    </row>
    <row r="94" spans="1:64" ht="15" customHeight="1" outlineLevel="1" x14ac:dyDescent="0.25">
      <c r="A94" s="404"/>
      <c r="B94" s="721"/>
      <c r="C94" s="668"/>
      <c r="D94" s="411"/>
      <c r="E94" s="411"/>
      <c r="F94" s="466"/>
      <c r="G94" s="466"/>
      <c r="H94" s="466"/>
      <c r="I94" s="466"/>
      <c r="J94" s="466"/>
      <c r="K94" s="464"/>
      <c r="L94" s="464"/>
      <c r="M94" s="464"/>
      <c r="N94" s="467"/>
      <c r="O94" s="672"/>
      <c r="P94" s="673"/>
      <c r="Q94" s="673"/>
      <c r="R94" s="674"/>
      <c r="S94" s="672"/>
      <c r="T94" s="673"/>
      <c r="U94" s="673"/>
      <c r="V94" s="674"/>
      <c r="W94" s="434"/>
      <c r="X94" s="434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BC94" s="401" t="str">
        <f t="shared" si="81"/>
        <v>-</v>
      </c>
      <c r="BD94" s="429"/>
      <c r="BE94" s="435"/>
      <c r="BF94" s="435"/>
      <c r="BG94" s="435"/>
      <c r="BH94" s="435"/>
      <c r="BI94" s="435"/>
      <c r="BJ94" s="435"/>
      <c r="BK94" s="435"/>
      <c r="BL94" s="435"/>
    </row>
    <row r="95" spans="1:64" ht="15" customHeight="1" outlineLevel="1" x14ac:dyDescent="0.25">
      <c r="A95" s="404"/>
      <c r="B95" s="721"/>
      <c r="C95" s="668"/>
      <c r="D95" s="411"/>
      <c r="E95" s="411"/>
      <c r="F95" s="466"/>
      <c r="G95" s="466"/>
      <c r="H95" s="466"/>
      <c r="I95" s="466"/>
      <c r="J95" s="466"/>
      <c r="K95" s="464"/>
      <c r="L95" s="464"/>
      <c r="M95" s="464"/>
      <c r="N95" s="467"/>
      <c r="O95" s="672"/>
      <c r="P95" s="673"/>
      <c r="Q95" s="673"/>
      <c r="R95" s="674"/>
      <c r="S95" s="672"/>
      <c r="T95" s="673"/>
      <c r="U95" s="673"/>
      <c r="V95" s="674"/>
      <c r="W95" s="434"/>
      <c r="X95" s="434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BC95" s="401" t="str">
        <f t="shared" si="81"/>
        <v>-</v>
      </c>
      <c r="BD95" s="429" t="str">
        <f>"IEF " &amp;B77</f>
        <v>IEF WLTC 20°C
(3 Phases)</v>
      </c>
      <c r="BE95" s="435">
        <f t="shared" ref="BE95:BL95" si="85">IF(OR($C79="CET",$C79="-",$C79=""),"-",$C79)</f>
        <v>1</v>
      </c>
      <c r="BF95" s="435">
        <f t="shared" si="85"/>
        <v>1</v>
      </c>
      <c r="BG95" s="435">
        <f t="shared" si="85"/>
        <v>1</v>
      </c>
      <c r="BH95" s="435">
        <f t="shared" si="85"/>
        <v>1</v>
      </c>
      <c r="BI95" s="435">
        <f t="shared" si="85"/>
        <v>1</v>
      </c>
      <c r="BJ95" s="435">
        <f t="shared" si="85"/>
        <v>1</v>
      </c>
      <c r="BK95" s="435">
        <f t="shared" si="85"/>
        <v>1</v>
      </c>
      <c r="BL95" s="435">
        <f t="shared" si="85"/>
        <v>1</v>
      </c>
    </row>
    <row r="96" spans="1:64" ht="15.75" outlineLevel="1" thickBot="1" x14ac:dyDescent="0.3">
      <c r="B96" s="722"/>
      <c r="C96" s="723"/>
      <c r="D96" s="469"/>
      <c r="E96" s="469"/>
      <c r="F96" s="469"/>
      <c r="G96" s="469"/>
      <c r="H96" s="469"/>
      <c r="I96" s="469"/>
      <c r="J96" s="469"/>
      <c r="K96" s="470"/>
      <c r="L96" s="470"/>
      <c r="M96" s="470"/>
      <c r="N96" s="471"/>
      <c r="O96" s="675"/>
      <c r="P96" s="676"/>
      <c r="Q96" s="676"/>
      <c r="R96" s="677"/>
      <c r="S96" s="675"/>
      <c r="T96" s="676"/>
      <c r="U96" s="676"/>
      <c r="V96" s="677"/>
      <c r="BC96" s="401" t="str">
        <f t="shared" si="81"/>
        <v>-</v>
      </c>
      <c r="BD96" s="459"/>
      <c r="BE96" s="459"/>
      <c r="BF96" s="459"/>
      <c r="BG96" s="459"/>
      <c r="BH96" s="459"/>
      <c r="BI96" s="459"/>
      <c r="BJ96" s="459"/>
      <c r="BK96" s="459"/>
      <c r="BL96" s="459"/>
    </row>
    <row r="97" spans="1:64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BC97" s="401" t="str">
        <f t="shared" si="81"/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BC98" s="401" t="str">
        <f t="shared" si="81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BC99" s="401" t="str">
        <f t="shared" si="81"/>
        <v>-</v>
      </c>
    </row>
    <row r="100" spans="1:64" ht="24.95" customHeight="1" thickBot="1" x14ac:dyDescent="0.3">
      <c r="A100" s="396"/>
      <c r="B100" s="415">
        <v>5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427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BC100" s="401" t="str">
        <f t="shared" si="81"/>
        <v>-</v>
      </c>
    </row>
    <row r="101" spans="1:64" ht="15" customHeight="1" outlineLevel="1" thickBot="1" x14ac:dyDescent="0.3">
      <c r="A101" s="396"/>
      <c r="B101" s="456"/>
      <c r="C101" s="457"/>
      <c r="D101" s="457"/>
      <c r="E101" s="457"/>
      <c r="F101" s="457"/>
      <c r="G101" s="457"/>
      <c r="H101" s="457"/>
      <c r="I101" s="457"/>
      <c r="J101" s="457"/>
      <c r="K101" s="421"/>
      <c r="L101" s="421"/>
      <c r="M101" s="421"/>
      <c r="N101" s="457"/>
      <c r="O101" s="457"/>
      <c r="P101" s="457"/>
      <c r="Q101" s="457"/>
      <c r="R101" s="457"/>
      <c r="S101" s="457"/>
      <c r="T101" s="422"/>
      <c r="U101" s="422"/>
      <c r="V101" s="423"/>
      <c r="W101" s="434"/>
      <c r="X101" s="434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BC101" s="401" t="str">
        <f t="shared" si="81"/>
        <v>-</v>
      </c>
    </row>
    <row r="102" spans="1:64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434"/>
      <c r="X102" s="434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BC102" s="401" t="str">
        <f t="shared" si="81"/>
        <v>-</v>
      </c>
    </row>
    <row r="103" spans="1:64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86">G$4</f>
        <v>THC
[g/km]</v>
      </c>
      <c r="H103" s="425" t="str">
        <f t="shared" si="86"/>
        <v>CO
[g/km]</v>
      </c>
      <c r="I103" s="425" t="str">
        <f t="shared" si="86"/>
        <v>NOx
[g/km]</v>
      </c>
      <c r="J103" s="425" t="str">
        <f t="shared" si="86"/>
        <v>PM
[mg/km]</v>
      </c>
      <c r="K103" s="425" t="str">
        <f t="shared" si="86"/>
        <v>PN
[#/km]</v>
      </c>
      <c r="L103" s="426" t="str">
        <f t="shared" si="86"/>
        <v>Additional
component</v>
      </c>
      <c r="M103" s="426" t="str">
        <f t="shared" si="86"/>
        <v>Additional
component 2</v>
      </c>
      <c r="N103" s="425" t="str">
        <f t="shared" si="8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434"/>
      <c r="X103" s="434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BC103" s="401" t="str">
        <f t="shared" si="81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81"/>
        <v>-</v>
      </c>
    </row>
    <row r="105" spans="1:64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434"/>
      <c r="X105" s="434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401" t="str">
        <f t="shared" si="81"/>
        <v>-</v>
      </c>
    </row>
    <row r="106" spans="1:64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87">IF(OR(F105="-",F105=""),IF(OR(F104="-",F104=""),"-",F104),IF(OR(F104="-",F104=""),F105,(F104+F105)/2))</f>
        <v>-</v>
      </c>
      <c r="G106" s="445" t="str">
        <f t="shared" si="87"/>
        <v>-</v>
      </c>
      <c r="H106" s="445" t="str">
        <f t="shared" si="87"/>
        <v>-</v>
      </c>
      <c r="I106" s="445" t="str">
        <f t="shared" si="87"/>
        <v>-</v>
      </c>
      <c r="J106" s="445" t="str">
        <f t="shared" si="87"/>
        <v>-</v>
      </c>
      <c r="K106" s="446" t="str">
        <f t="shared" si="87"/>
        <v>-</v>
      </c>
      <c r="L106" s="446" t="str">
        <f t="shared" si="87"/>
        <v>-</v>
      </c>
      <c r="M106" s="446" t="str">
        <f t="shared" si="87"/>
        <v>-</v>
      </c>
      <c r="N106" s="445" t="str">
        <f t="shared" si="87"/>
        <v>-</v>
      </c>
      <c r="O106" s="672"/>
      <c r="P106" s="673"/>
      <c r="Q106" s="673"/>
      <c r="R106" s="674"/>
      <c r="S106" s="672"/>
      <c r="T106" s="673"/>
      <c r="U106" s="673"/>
      <c r="V106" s="674"/>
      <c r="W106" s="434"/>
      <c r="X106" s="434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BC106" s="401" t="str">
        <f t="shared" si="81"/>
        <v>-</v>
      </c>
    </row>
    <row r="107" spans="1:64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88">IF(OR($C106="-",$C106="CET",$C106=""),"-",IF(AND(NOT(F106="-"),NOT(F$5="-"),NOT(F$5="")),F106/F$5,"-"))</f>
        <v>-</v>
      </c>
      <c r="G107" s="448" t="str">
        <f t="shared" si="88"/>
        <v>-</v>
      </c>
      <c r="H107" s="448" t="str">
        <f t="shared" si="88"/>
        <v>-</v>
      </c>
      <c r="I107" s="448" t="str">
        <f t="shared" si="88"/>
        <v>-</v>
      </c>
      <c r="J107" s="448" t="str">
        <f t="shared" si="88"/>
        <v>-</v>
      </c>
      <c r="K107" s="449" t="str">
        <f t="shared" si="88"/>
        <v>-</v>
      </c>
      <c r="L107" s="449" t="str">
        <f t="shared" si="88"/>
        <v>-</v>
      </c>
      <c r="M107" s="449" t="str">
        <f t="shared" si="88"/>
        <v>-</v>
      </c>
      <c r="N107" s="448" t="str">
        <f t="shared" si="88"/>
        <v>-</v>
      </c>
      <c r="O107" s="672"/>
      <c r="P107" s="673"/>
      <c r="Q107" s="673"/>
      <c r="R107" s="674"/>
      <c r="S107" s="672"/>
      <c r="T107" s="673"/>
      <c r="U107" s="673"/>
      <c r="V107" s="674"/>
      <c r="W107" s="434"/>
      <c r="X107" s="434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BC107" s="401" t="str">
        <f t="shared" si="81"/>
        <v>-</v>
      </c>
      <c r="BD107" s="429" t="s">
        <v>85</v>
      </c>
      <c r="BE107" s="430" t="str">
        <f>F$4</f>
        <v>NMHC 
[g/km]</v>
      </c>
      <c r="BF107" s="430" t="str">
        <f t="shared" ref="BF107:BL107" si="89">G$4</f>
        <v>THC
[g/km]</v>
      </c>
      <c r="BG107" s="430" t="str">
        <f t="shared" si="89"/>
        <v>CO
[g/km]</v>
      </c>
      <c r="BH107" s="430" t="str">
        <f t="shared" si="89"/>
        <v>NOx
[g/km]</v>
      </c>
      <c r="BI107" s="430" t="str">
        <f t="shared" si="89"/>
        <v>PM
[mg/km]</v>
      </c>
      <c r="BJ107" s="430" t="str">
        <f t="shared" si="89"/>
        <v>PN
[#/km]</v>
      </c>
      <c r="BK107" s="430" t="str">
        <f t="shared" si="89"/>
        <v>Additional
component</v>
      </c>
      <c r="BL107" s="430" t="str">
        <f t="shared" si="89"/>
        <v>Additional
component 2</v>
      </c>
    </row>
    <row r="108" spans="1:64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9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90"/>
        <v>-</v>
      </c>
      <c r="H108" s="451" t="str">
        <f t="shared" si="90"/>
        <v>-</v>
      </c>
      <c r="I108" s="451" t="str">
        <f t="shared" si="90"/>
        <v>-</v>
      </c>
      <c r="J108" s="451" t="str">
        <f t="shared" si="90"/>
        <v>-</v>
      </c>
      <c r="K108" s="452" t="str">
        <f t="shared" si="90"/>
        <v>-</v>
      </c>
      <c r="L108" s="452" t="str">
        <f t="shared" si="90"/>
        <v>-</v>
      </c>
      <c r="M108" s="452" t="str">
        <f t="shared" si="90"/>
        <v>-</v>
      </c>
      <c r="N108" s="451" t="str">
        <f t="shared" si="90"/>
        <v>-</v>
      </c>
      <c r="O108" s="672"/>
      <c r="P108" s="673"/>
      <c r="Q108" s="673"/>
      <c r="R108" s="674"/>
      <c r="S108" s="672"/>
      <c r="T108" s="673"/>
      <c r="U108" s="673"/>
      <c r="V108" s="674"/>
      <c r="W108" s="434"/>
      <c r="X108" s="434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BC108" s="401" t="str">
        <f t="shared" si="81"/>
        <v>-</v>
      </c>
      <c r="BD108" s="429" t="str">
        <f>$E$4</f>
        <v>BS 6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ht="15" customHeight="1" outlineLevel="1" x14ac:dyDescent="0.25">
      <c r="A109" s="396"/>
      <c r="B109" s="721"/>
      <c r="C109" s="668"/>
      <c r="D109" s="411"/>
      <c r="E109" s="411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434"/>
      <c r="X109" s="434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BC109" s="401" t="str">
        <f t="shared" si="81"/>
        <v>-</v>
      </c>
      <c r="BD109" s="429" t="str">
        <f>"1st " &amp;  B104</f>
        <v>1st s.s.e.t.</v>
      </c>
      <c r="BE109" s="435" t="str">
        <f t="shared" ref="BE109:BL109" si="91">IF((OR($C106="-",$C106="CET",$C106="")),"-",IF(AND(OR(F104="-",F104=""),OR(F105="-",F105="")),"-",IF(NOT(OR(F104="-",F104="")),F104/F$5,F105/F$5)))</f>
        <v>-</v>
      </c>
      <c r="BF109" s="435" t="str">
        <f t="shared" si="91"/>
        <v>-</v>
      </c>
      <c r="BG109" s="435" t="str">
        <f t="shared" si="91"/>
        <v>-</v>
      </c>
      <c r="BH109" s="435" t="str">
        <f t="shared" si="91"/>
        <v>-</v>
      </c>
      <c r="BI109" s="435" t="str">
        <f t="shared" si="91"/>
        <v>-</v>
      </c>
      <c r="BJ109" s="435" t="str">
        <f t="shared" si="91"/>
        <v>-</v>
      </c>
      <c r="BK109" s="435" t="str">
        <f t="shared" si="91"/>
        <v>-</v>
      </c>
      <c r="BL109" s="435" t="str">
        <f t="shared" si="91"/>
        <v>-</v>
      </c>
    </row>
    <row r="110" spans="1:64" ht="15" customHeight="1" outlineLevel="1" x14ac:dyDescent="0.25">
      <c r="A110" s="396"/>
      <c r="B110" s="721"/>
      <c r="C110" s="668"/>
      <c r="D110" s="411"/>
      <c r="E110" s="411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434"/>
      <c r="X110" s="434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BC110" s="401" t="str">
        <f t="shared" si="81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ht="15" customHeight="1" outlineLevel="1" x14ac:dyDescent="0.25">
      <c r="A111" s="396"/>
      <c r="B111" s="721"/>
      <c r="C111" s="668"/>
      <c r="D111" s="411"/>
      <c r="E111" s="411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434"/>
      <c r="X111" s="434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BC111" s="401" t="str">
        <f t="shared" si="81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ht="15" customHeight="1" outlineLevel="1" x14ac:dyDescent="0.25">
      <c r="A112" s="404"/>
      <c r="B112" s="721"/>
      <c r="C112" s="668"/>
      <c r="D112" s="411"/>
      <c r="E112" s="411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434"/>
      <c r="X112" s="434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BC112" s="401" t="str">
        <f t="shared" si="81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ht="15" customHeight="1" outlineLevel="1" x14ac:dyDescent="0.25">
      <c r="A113" s="404"/>
      <c r="B113" s="721"/>
      <c r="C113" s="668"/>
      <c r="D113" s="411"/>
      <c r="E113" s="411"/>
      <c r="F113" s="411"/>
      <c r="G113" s="411"/>
      <c r="H113" s="411"/>
      <c r="I113" s="411"/>
      <c r="J113" s="411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434"/>
      <c r="X113" s="434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BC113" s="401" t="str">
        <f t="shared" si="81"/>
        <v>-</v>
      </c>
      <c r="BD113" s="429" t="str">
        <f>"0.7*IEF " &amp; (B104)</f>
        <v>0.7*IEF s.s.e.t.</v>
      </c>
      <c r="BE113" s="435" t="str">
        <f t="shared" ref="BE113:BL113" si="92">IF(OR($C106="-",$C106="CET",$C106=""),"-",0.7*$C106)</f>
        <v>-</v>
      </c>
      <c r="BF113" s="435" t="str">
        <f t="shared" si="92"/>
        <v>-</v>
      </c>
      <c r="BG113" s="435" t="str">
        <f t="shared" si="92"/>
        <v>-</v>
      </c>
      <c r="BH113" s="435" t="str">
        <f t="shared" si="92"/>
        <v>-</v>
      </c>
      <c r="BI113" s="435" t="str">
        <f t="shared" si="92"/>
        <v>-</v>
      </c>
      <c r="BJ113" s="435" t="str">
        <f t="shared" si="92"/>
        <v>-</v>
      </c>
      <c r="BK113" s="435" t="str">
        <f t="shared" si="92"/>
        <v>-</v>
      </c>
      <c r="BL113" s="435" t="str">
        <f t="shared" si="92"/>
        <v>-</v>
      </c>
    </row>
    <row r="114" spans="1:64" ht="15" customHeight="1" outlineLevel="1" x14ac:dyDescent="0.25">
      <c r="A114" s="404"/>
      <c r="B114" s="721"/>
      <c r="C114" s="668"/>
      <c r="D114" s="411"/>
      <c r="E114" s="411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434"/>
      <c r="X114" s="434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BC114" s="401" t="str">
        <f t="shared" si="81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ht="15" customHeight="1" outlineLevel="1" x14ac:dyDescent="0.25">
      <c r="A115" s="404"/>
      <c r="B115" s="721"/>
      <c r="C115" s="668"/>
      <c r="D115" s="411"/>
      <c r="E115" s="411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434"/>
      <c r="X115" s="434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BC115" s="401" t="str">
        <f t="shared" si="81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ht="15" customHeight="1" outlineLevel="1" x14ac:dyDescent="0.25">
      <c r="A116" s="404"/>
      <c r="B116" s="721"/>
      <c r="C116" s="668"/>
      <c r="D116" s="411"/>
      <c r="E116" s="411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434"/>
      <c r="X116" s="434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BC116" s="401" t="str">
        <f t="shared" si="81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ht="15" customHeight="1" outlineLevel="1" x14ac:dyDescent="0.25">
      <c r="A117" s="404"/>
      <c r="B117" s="721"/>
      <c r="C117" s="668"/>
      <c r="D117" s="411"/>
      <c r="E117" s="411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434"/>
      <c r="X117" s="434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BC117" s="401" t="str">
        <f t="shared" si="81"/>
        <v>-</v>
      </c>
      <c r="BD117" s="429" t="str">
        <f>B104</f>
        <v>s.s.e.t.</v>
      </c>
      <c r="BE117" s="477" t="str">
        <f t="shared" ref="BE117:BL117" si="93">F107</f>
        <v>-</v>
      </c>
      <c r="BF117" s="435" t="str">
        <f t="shared" si="93"/>
        <v>-</v>
      </c>
      <c r="BG117" s="435" t="str">
        <f t="shared" si="93"/>
        <v>-</v>
      </c>
      <c r="BH117" s="435" t="str">
        <f t="shared" si="93"/>
        <v>-</v>
      </c>
      <c r="BI117" s="435" t="str">
        <f t="shared" si="93"/>
        <v>-</v>
      </c>
      <c r="BJ117" s="435" t="str">
        <f t="shared" si="93"/>
        <v>-</v>
      </c>
      <c r="BK117" s="435" t="str">
        <f t="shared" si="93"/>
        <v>-</v>
      </c>
      <c r="BL117" s="435" t="str">
        <f t="shared" si="93"/>
        <v>-</v>
      </c>
    </row>
    <row r="118" spans="1:64" ht="15" customHeight="1" outlineLevel="1" x14ac:dyDescent="0.25">
      <c r="A118" s="404"/>
      <c r="B118" s="721"/>
      <c r="C118" s="668"/>
      <c r="D118" s="411"/>
      <c r="E118" s="411"/>
      <c r="F118" s="411"/>
      <c r="G118" s="411"/>
      <c r="H118" s="411"/>
      <c r="I118" s="411"/>
      <c r="J118" s="411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434"/>
      <c r="X118" s="434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BC118" s="401" t="str">
        <f t="shared" si="81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ht="15" customHeight="1" outlineLevel="1" x14ac:dyDescent="0.25">
      <c r="A119" s="404"/>
      <c r="B119" s="721"/>
      <c r="C119" s="668"/>
      <c r="D119" s="411"/>
      <c r="E119" s="411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434"/>
      <c r="X119" s="434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BC119" s="401" t="str">
        <f t="shared" si="81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ht="15" customHeight="1" outlineLevel="1" x14ac:dyDescent="0.25">
      <c r="A120" s="404"/>
      <c r="B120" s="721"/>
      <c r="C120" s="668"/>
      <c r="D120" s="411"/>
      <c r="E120" s="411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434"/>
      <c r="X120" s="434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BC120" s="401" t="str">
        <f t="shared" si="81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ht="15" customHeight="1" outlineLevel="1" x14ac:dyDescent="0.25">
      <c r="A121" s="404"/>
      <c r="B121" s="721"/>
      <c r="C121" s="668"/>
      <c r="D121" s="411"/>
      <c r="E121" s="411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434"/>
      <c r="X121" s="434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BC121" s="401" t="str">
        <f t="shared" si="81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L121" si="94">IF(OR($C106="-",$C106="CET",$C106=""),"-",$C106)</f>
        <v>-</v>
      </c>
      <c r="BG121" s="435" t="str">
        <f t="shared" si="94"/>
        <v>-</v>
      </c>
      <c r="BH121" s="435" t="str">
        <f t="shared" si="94"/>
        <v>-</v>
      </c>
      <c r="BI121" s="435" t="str">
        <f t="shared" si="94"/>
        <v>-</v>
      </c>
      <c r="BJ121" s="435" t="str">
        <f t="shared" si="94"/>
        <v>-</v>
      </c>
      <c r="BK121" s="435" t="str">
        <f t="shared" si="94"/>
        <v>-</v>
      </c>
      <c r="BL121" s="435" t="str">
        <f t="shared" si="94"/>
        <v>-</v>
      </c>
    </row>
    <row r="122" spans="1:64" outlineLevel="1" x14ac:dyDescent="0.25">
      <c r="B122" s="721"/>
      <c r="C122" s="668"/>
      <c r="D122" s="411"/>
      <c r="E122" s="411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BC122" s="401" t="str">
        <f t="shared" si="81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ht="15.75" outlineLevel="1" thickBot="1" x14ac:dyDescent="0.3">
      <c r="B123" s="722"/>
      <c r="C123" s="723"/>
      <c r="D123" s="469"/>
      <c r="E123" s="469"/>
      <c r="F123" s="469"/>
      <c r="G123" s="469"/>
      <c r="H123" s="469"/>
      <c r="I123" s="469"/>
      <c r="J123" s="469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BC123" s="401" t="str">
        <f t="shared" si="81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ht="15" customHeight="1" x14ac:dyDescent="0.25">
      <c r="A124" s="396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BC124" s="401" t="str">
        <f t="shared" si="81"/>
        <v>-</v>
      </c>
    </row>
    <row r="125" spans="1:64" ht="15" customHeight="1" x14ac:dyDescent="0.25">
      <c r="A125" s="396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BC125" s="401" t="str">
        <f t="shared" si="81"/>
        <v>-</v>
      </c>
    </row>
    <row r="126" spans="1:64" ht="15" customHeight="1" thickBot="1" x14ac:dyDescent="0.3">
      <c r="A126" s="396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BC126" s="401" t="str">
        <f t="shared" si="81"/>
        <v>-</v>
      </c>
    </row>
    <row r="127" spans="1:64" ht="24.95" customHeight="1" thickBot="1" x14ac:dyDescent="0.3">
      <c r="A127" s="396"/>
      <c r="B127" s="415">
        <v>6</v>
      </c>
      <c r="C127" s="706" t="s">
        <v>118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427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BC127" s="401" t="str">
        <f t="shared" si="81"/>
        <v>-</v>
      </c>
    </row>
    <row r="128" spans="1:64" ht="15" customHeight="1" outlineLevel="1" thickBot="1" x14ac:dyDescent="0.3">
      <c r="A128" s="396"/>
      <c r="B128" s="456"/>
      <c r="C128" s="457"/>
      <c r="D128" s="457"/>
      <c r="E128" s="457"/>
      <c r="F128" s="457"/>
      <c r="G128" s="457"/>
      <c r="H128" s="457"/>
      <c r="I128" s="457"/>
      <c r="J128" s="457"/>
      <c r="K128" s="421"/>
      <c r="L128" s="421"/>
      <c r="M128" s="421"/>
      <c r="N128" s="457"/>
      <c r="O128" s="457"/>
      <c r="P128" s="457"/>
      <c r="Q128" s="457"/>
      <c r="R128" s="457"/>
      <c r="S128" s="457"/>
      <c r="T128" s="422"/>
      <c r="U128" s="422"/>
      <c r="V128" s="423"/>
      <c r="W128" s="434"/>
      <c r="X128" s="434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BC128" s="401" t="str">
        <f t="shared" si="81"/>
        <v>-</v>
      </c>
      <c r="BD128" s="429" t="s">
        <v>85</v>
      </c>
      <c r="BE128" s="430" t="str">
        <f>F$4</f>
        <v>NMHC 
[g/km]</v>
      </c>
      <c r="BF128" s="430" t="str">
        <f t="shared" ref="BF128:BL128" si="95">G$4</f>
        <v>THC
[g/km]</v>
      </c>
      <c r="BG128" s="430" t="str">
        <f t="shared" si="95"/>
        <v>CO
[g/km]</v>
      </c>
      <c r="BH128" s="430" t="str">
        <f t="shared" si="95"/>
        <v>NOx
[g/km]</v>
      </c>
      <c r="BI128" s="430" t="str">
        <f t="shared" si="95"/>
        <v>PM
[mg/km]</v>
      </c>
      <c r="BJ128" s="430" t="str">
        <f t="shared" si="95"/>
        <v>PN
[#/km]</v>
      </c>
      <c r="BK128" s="430" t="str">
        <f t="shared" si="95"/>
        <v>Additional
component</v>
      </c>
      <c r="BL128" s="430" t="str">
        <f t="shared" si="95"/>
        <v>Additional
component 2</v>
      </c>
    </row>
    <row r="129" spans="1:64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434"/>
      <c r="X129" s="434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BC129" s="401" t="str">
        <f t="shared" si="81"/>
        <v>-</v>
      </c>
      <c r="BD129" s="429" t="str">
        <f>$E$4</f>
        <v>BS 6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96">G$4</f>
        <v>THC
[g/km]</v>
      </c>
      <c r="H130" s="425" t="str">
        <f t="shared" si="96"/>
        <v>CO
[g/km]</v>
      </c>
      <c r="I130" s="425" t="str">
        <f t="shared" si="96"/>
        <v>NOx
[g/km]</v>
      </c>
      <c r="J130" s="425" t="str">
        <f t="shared" si="96"/>
        <v>PM
[mg/km]</v>
      </c>
      <c r="K130" s="425" t="str">
        <f t="shared" si="96"/>
        <v>PN
[#/km]</v>
      </c>
      <c r="L130" s="426" t="str">
        <f t="shared" si="96"/>
        <v>Additional
component</v>
      </c>
      <c r="M130" s="426" t="str">
        <f t="shared" si="96"/>
        <v>Additional
component 2</v>
      </c>
      <c r="N130" s="425" t="str">
        <f t="shared" si="96"/>
        <v>CO2
[g/km]</v>
      </c>
      <c r="O130" s="669"/>
      <c r="P130" s="670"/>
      <c r="Q130" s="670"/>
      <c r="R130" s="671"/>
      <c r="S130" s="669"/>
      <c r="T130" s="670"/>
      <c r="U130" s="670"/>
      <c r="V130" s="671"/>
      <c r="W130" s="434"/>
      <c r="X130" s="434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401" t="str">
        <f t="shared" si="81"/>
        <v>-</v>
      </c>
      <c r="BD130" s="429" t="str">
        <f>"1st " &amp;  B131</f>
        <v>1st normal</v>
      </c>
      <c r="BE130" s="435" t="str">
        <f t="shared" ref="BE130:BL130" si="97">IF((OR($C133="-",$C133="CET",$C133="")),"-",IF(AND(OR(F131="-",F131=""),OR(F132="-",F132="")),"-",IF(NOT(OR(F131="-",F131="")),F131/F$5,F132/F$5)))</f>
        <v>-</v>
      </c>
      <c r="BF130" s="435" t="str">
        <f t="shared" si="97"/>
        <v>-</v>
      </c>
      <c r="BG130" s="435" t="str">
        <f t="shared" si="97"/>
        <v>-</v>
      </c>
      <c r="BH130" s="435" t="str">
        <f t="shared" si="97"/>
        <v>-</v>
      </c>
      <c r="BI130" s="435" t="str">
        <f t="shared" si="97"/>
        <v>-</v>
      </c>
      <c r="BJ130" s="435" t="str">
        <f t="shared" si="97"/>
        <v>-</v>
      </c>
      <c r="BK130" s="435" t="str">
        <f t="shared" si="97"/>
        <v>-</v>
      </c>
      <c r="BL130" s="435" t="str">
        <f t="shared" si="97"/>
        <v>-</v>
      </c>
    </row>
    <row r="131" spans="1:64" s="405" customFormat="1" ht="15" customHeight="1" outlineLevel="1" x14ac:dyDescent="0.25">
      <c r="A131" s="439"/>
      <c r="B131" s="724" t="s">
        <v>116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81"/>
        <v>-</v>
      </c>
      <c r="BD131" s="429" t="str">
        <f>"1st " &amp; B136</f>
        <v>1st aggressive</v>
      </c>
      <c r="BE131" s="435" t="str">
        <f t="shared" ref="BE131:BL131" si="98">IF((OR($C138="-",$C138="CET",$C138="")),"-",IF(AND(OR(F136="-",F136=""),OR(F137="-",F137="")),"-",IF(NOT(OR(F136="-",F136="")),F136/F$5,F137/F$5)))</f>
        <v>-</v>
      </c>
      <c r="BF131" s="435" t="str">
        <f t="shared" si="98"/>
        <v>-</v>
      </c>
      <c r="BG131" s="435" t="str">
        <f t="shared" si="98"/>
        <v>-</v>
      </c>
      <c r="BH131" s="435" t="str">
        <f t="shared" si="98"/>
        <v>-</v>
      </c>
      <c r="BI131" s="435" t="str">
        <f t="shared" si="98"/>
        <v>-</v>
      </c>
      <c r="BJ131" s="435" t="str">
        <f t="shared" si="98"/>
        <v>-</v>
      </c>
      <c r="BK131" s="435" t="str">
        <f t="shared" si="98"/>
        <v>-</v>
      </c>
      <c r="BL131" s="435" t="str">
        <f t="shared" si="98"/>
        <v>-</v>
      </c>
    </row>
    <row r="132" spans="1:64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434"/>
      <c r="X132" s="434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BC132" s="401" t="str">
        <f t="shared" si="81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ht="15" customHeight="1" outlineLevel="1" thickBot="1" x14ac:dyDescent="0.3">
      <c r="A133" s="396"/>
      <c r="B133" s="725"/>
      <c r="C133" s="686">
        <v>2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99">IF(OR(F132="-",F132=""),IF(OR(F131="-",F131=""),"-",F131),IF(OR(F131="-",F131=""),F132,(F131+F132)/2))</f>
        <v>-</v>
      </c>
      <c r="G133" s="445" t="str">
        <f t="shared" si="99"/>
        <v>-</v>
      </c>
      <c r="H133" s="445" t="str">
        <f t="shared" si="99"/>
        <v>-</v>
      </c>
      <c r="I133" s="445" t="str">
        <f t="shared" si="99"/>
        <v>-</v>
      </c>
      <c r="J133" s="445" t="str">
        <f t="shared" si="99"/>
        <v>-</v>
      </c>
      <c r="K133" s="446" t="str">
        <f t="shared" si="99"/>
        <v>-</v>
      </c>
      <c r="L133" s="446" t="str">
        <f t="shared" si="99"/>
        <v>-</v>
      </c>
      <c r="M133" s="446" t="str">
        <f t="shared" si="99"/>
        <v>-</v>
      </c>
      <c r="N133" s="445" t="str">
        <f t="shared" si="99"/>
        <v>-</v>
      </c>
      <c r="O133" s="672"/>
      <c r="P133" s="673"/>
      <c r="Q133" s="673"/>
      <c r="R133" s="674"/>
      <c r="S133" s="672"/>
      <c r="T133" s="673"/>
      <c r="U133" s="673"/>
      <c r="V133" s="674"/>
      <c r="W133" s="434"/>
      <c r="X133" s="434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BC133" s="401" t="str">
        <f t="shared" si="81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100">IF(OR($C133="-",$C133="CET",$C133=""),"-",IF(AND(NOT(F133="-"),NOT(F$5="-"),NOT(F$5="")),F133/F$5,"-"))</f>
        <v>-</v>
      </c>
      <c r="G134" s="448" t="str">
        <f t="shared" si="100"/>
        <v>-</v>
      </c>
      <c r="H134" s="448" t="str">
        <f t="shared" si="100"/>
        <v>-</v>
      </c>
      <c r="I134" s="448" t="str">
        <f t="shared" si="100"/>
        <v>-</v>
      </c>
      <c r="J134" s="448" t="str">
        <f t="shared" si="100"/>
        <v>-</v>
      </c>
      <c r="K134" s="449" t="str">
        <f t="shared" si="100"/>
        <v>-</v>
      </c>
      <c r="L134" s="449" t="str">
        <f t="shared" si="100"/>
        <v>-</v>
      </c>
      <c r="M134" s="449" t="str">
        <f t="shared" si="100"/>
        <v>-</v>
      </c>
      <c r="N134" s="448" t="str">
        <f t="shared" si="100"/>
        <v>-</v>
      </c>
      <c r="O134" s="672"/>
      <c r="P134" s="673"/>
      <c r="Q134" s="673"/>
      <c r="R134" s="674"/>
      <c r="S134" s="672"/>
      <c r="T134" s="673"/>
      <c r="U134" s="673"/>
      <c r="V134" s="674"/>
      <c r="W134" s="434"/>
      <c r="X134" s="434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BC134" s="401" t="str">
        <f t="shared" si="81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ht="15" customHeight="1" outlineLevel="1" thickBot="1" x14ac:dyDescent="0.3">
      <c r="A135" s="396"/>
      <c r="B135" s="726"/>
      <c r="C135" s="688"/>
      <c r="D135" s="691"/>
      <c r="E135" s="450" t="s">
        <v>30</v>
      </c>
      <c r="F135" s="451" t="str">
        <f t="shared" ref="F135:N135" si="101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101"/>
        <v>-</v>
      </c>
      <c r="H135" s="451" t="str">
        <f t="shared" si="101"/>
        <v>-</v>
      </c>
      <c r="I135" s="451" t="str">
        <f t="shared" si="101"/>
        <v>-</v>
      </c>
      <c r="J135" s="451" t="str">
        <f t="shared" si="101"/>
        <v>-</v>
      </c>
      <c r="K135" s="452" t="str">
        <f t="shared" si="101"/>
        <v>-</v>
      </c>
      <c r="L135" s="452" t="str">
        <f t="shared" si="101"/>
        <v>-</v>
      </c>
      <c r="M135" s="452" t="str">
        <f t="shared" si="101"/>
        <v>-</v>
      </c>
      <c r="N135" s="451" t="str">
        <f t="shared" si="101"/>
        <v>-</v>
      </c>
      <c r="O135" s="672"/>
      <c r="P135" s="673"/>
      <c r="Q135" s="673"/>
      <c r="R135" s="674"/>
      <c r="S135" s="672"/>
      <c r="T135" s="673"/>
      <c r="U135" s="673"/>
      <c r="V135" s="674"/>
      <c r="W135" s="434"/>
      <c r="X135" s="434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BC135" s="401" t="str">
        <f t="shared" si="81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4" t="s">
        <v>115</v>
      </c>
      <c r="C136" s="684" t="s">
        <v>114</v>
      </c>
      <c r="D136" s="684" t="s">
        <v>113</v>
      </c>
      <c r="E136" s="453" t="s">
        <v>94</v>
      </c>
      <c r="F136" s="473" t="s">
        <v>5</v>
      </c>
      <c r="G136" s="473" t="s">
        <v>5</v>
      </c>
      <c r="H136" s="473" t="s">
        <v>5</v>
      </c>
      <c r="I136" s="473" t="s">
        <v>5</v>
      </c>
      <c r="J136" s="473" t="s">
        <v>5</v>
      </c>
      <c r="K136" s="474" t="s">
        <v>5</v>
      </c>
      <c r="L136" s="474" t="s">
        <v>5</v>
      </c>
      <c r="M136" s="474" t="s">
        <v>5</v>
      </c>
      <c r="N136" s="473" t="s">
        <v>5</v>
      </c>
      <c r="O136" s="672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81"/>
        <v>-</v>
      </c>
      <c r="BD136" s="429" t="str">
        <f>"0.7*IEF " &amp; (B131)</f>
        <v>0.7*IEF normal</v>
      </c>
      <c r="BE136" s="435">
        <f t="shared" ref="BE136:BL136" si="102">IF(OR($C133="-",$C133="CET",$C133=""),"-",0.7*$C133)</f>
        <v>1.4</v>
      </c>
      <c r="BF136" s="435">
        <f t="shared" si="102"/>
        <v>1.4</v>
      </c>
      <c r="BG136" s="435">
        <f t="shared" si="102"/>
        <v>1.4</v>
      </c>
      <c r="BH136" s="435">
        <f t="shared" si="102"/>
        <v>1.4</v>
      </c>
      <c r="BI136" s="435">
        <f t="shared" si="102"/>
        <v>1.4</v>
      </c>
      <c r="BJ136" s="435">
        <f t="shared" si="102"/>
        <v>1.4</v>
      </c>
      <c r="BK136" s="435">
        <f t="shared" si="102"/>
        <v>1.4</v>
      </c>
      <c r="BL136" s="435">
        <f t="shared" si="102"/>
        <v>1.4</v>
      </c>
    </row>
    <row r="137" spans="1:64" ht="15" customHeight="1" outlineLevel="1" thickBot="1" x14ac:dyDescent="0.3">
      <c r="A137" s="396"/>
      <c r="B137" s="725"/>
      <c r="C137" s="702"/>
      <c r="D137" s="685"/>
      <c r="E137" s="440" t="s">
        <v>95</v>
      </c>
      <c r="F137" s="475" t="s">
        <v>5</v>
      </c>
      <c r="G137" s="475" t="s">
        <v>5</v>
      </c>
      <c r="H137" s="475" t="s">
        <v>5</v>
      </c>
      <c r="I137" s="475" t="s">
        <v>5</v>
      </c>
      <c r="J137" s="475" t="s">
        <v>5</v>
      </c>
      <c r="K137" s="476" t="s">
        <v>5</v>
      </c>
      <c r="L137" s="476" t="s">
        <v>5</v>
      </c>
      <c r="M137" s="476" t="s">
        <v>5</v>
      </c>
      <c r="N137" s="475" t="s">
        <v>5</v>
      </c>
      <c r="O137" s="672"/>
      <c r="P137" s="673"/>
      <c r="Q137" s="673"/>
      <c r="R137" s="674"/>
      <c r="S137" s="672"/>
      <c r="T137" s="673"/>
      <c r="U137" s="673"/>
      <c r="V137" s="674"/>
      <c r="W137" s="434"/>
      <c r="X137" s="434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BC137" s="401" t="str">
        <f t="shared" si="81"/>
        <v>-</v>
      </c>
      <c r="BD137" s="429" t="str">
        <f>"0.7*IEF " &amp; B136</f>
        <v>0.7*IEF aggressive</v>
      </c>
      <c r="BE137" s="435">
        <f t="shared" ref="BE137:BL137" si="103">IF(OR($C138="-",$C138="CET",$C138=""),"-",0.7*$C138)</f>
        <v>2.8</v>
      </c>
      <c r="BF137" s="435">
        <f t="shared" si="103"/>
        <v>2.8</v>
      </c>
      <c r="BG137" s="435">
        <f t="shared" si="103"/>
        <v>2.8</v>
      </c>
      <c r="BH137" s="435">
        <f t="shared" si="103"/>
        <v>2.8</v>
      </c>
      <c r="BI137" s="435">
        <f t="shared" si="103"/>
        <v>2.8</v>
      </c>
      <c r="BJ137" s="435">
        <f t="shared" si="103"/>
        <v>2.8</v>
      </c>
      <c r="BK137" s="435">
        <f t="shared" si="103"/>
        <v>2.8</v>
      </c>
      <c r="BL137" s="435">
        <f t="shared" si="103"/>
        <v>2.8</v>
      </c>
    </row>
    <row r="138" spans="1:64" ht="15" customHeight="1" outlineLevel="1" thickBot="1" x14ac:dyDescent="0.3">
      <c r="A138" s="396"/>
      <c r="B138" s="725"/>
      <c r="C138" s="686">
        <v>4</v>
      </c>
      <c r="D138" s="689" t="str">
        <f>IF(AND(F139="-",G139="-",H139="-",I139="-",J139="-",K139="-",L139="-",M139="-"),"-",MAX(F139,G139,H139,I139,J139,K139,L139,M139))</f>
        <v>-</v>
      </c>
      <c r="E138" s="444" t="s">
        <v>96</v>
      </c>
      <c r="F138" s="445" t="str">
        <f t="shared" ref="F138:N138" si="104">IF(OR(F137="-",F137=""),IF(OR(F136="-",F136=""),"-",F136),IF(OR(F136="-",F136=""),F137,(F136+F137)/2))</f>
        <v>-</v>
      </c>
      <c r="G138" s="445" t="str">
        <f t="shared" si="104"/>
        <v>-</v>
      </c>
      <c r="H138" s="445" t="str">
        <f t="shared" si="104"/>
        <v>-</v>
      </c>
      <c r="I138" s="445" t="str">
        <f t="shared" si="104"/>
        <v>-</v>
      </c>
      <c r="J138" s="445" t="str">
        <f t="shared" si="104"/>
        <v>-</v>
      </c>
      <c r="K138" s="446" t="str">
        <f t="shared" si="104"/>
        <v>-</v>
      </c>
      <c r="L138" s="446" t="str">
        <f t="shared" si="104"/>
        <v>-</v>
      </c>
      <c r="M138" s="446" t="str">
        <f t="shared" si="104"/>
        <v>-</v>
      </c>
      <c r="N138" s="445" t="str">
        <f t="shared" si="104"/>
        <v>-</v>
      </c>
      <c r="O138" s="672"/>
      <c r="P138" s="673"/>
      <c r="Q138" s="673"/>
      <c r="R138" s="674"/>
      <c r="S138" s="672"/>
      <c r="T138" s="673"/>
      <c r="U138" s="673"/>
      <c r="V138" s="674"/>
      <c r="W138" s="434"/>
      <c r="X138" s="434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BC138" s="401" t="str">
        <f t="shared" si="81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ht="15" customHeight="1" outlineLevel="1" thickBot="1" x14ac:dyDescent="0.3">
      <c r="A139" s="404"/>
      <c r="B139" s="725"/>
      <c r="C139" s="687"/>
      <c r="D139" s="690"/>
      <c r="E139" s="447" t="s">
        <v>97</v>
      </c>
      <c r="F139" s="448" t="str">
        <f t="shared" ref="F139:N139" si="105">IF(OR($C138="-",$C138="CET",$C138=""),"-",IF(AND(NOT(F138="-"),NOT(F$5="-"),NOT(F$5="")),F138/F$5,"-"))</f>
        <v>-</v>
      </c>
      <c r="G139" s="448" t="str">
        <f t="shared" si="105"/>
        <v>-</v>
      </c>
      <c r="H139" s="448" t="str">
        <f t="shared" si="105"/>
        <v>-</v>
      </c>
      <c r="I139" s="448" t="str">
        <f t="shared" si="105"/>
        <v>-</v>
      </c>
      <c r="J139" s="448" t="str">
        <f t="shared" si="105"/>
        <v>-</v>
      </c>
      <c r="K139" s="449" t="str">
        <f t="shared" si="105"/>
        <v>-</v>
      </c>
      <c r="L139" s="449" t="str">
        <f t="shared" si="105"/>
        <v>-</v>
      </c>
      <c r="M139" s="449" t="str">
        <f t="shared" si="105"/>
        <v>-</v>
      </c>
      <c r="N139" s="448" t="str">
        <f t="shared" si="105"/>
        <v>-</v>
      </c>
      <c r="O139" s="672"/>
      <c r="P139" s="673"/>
      <c r="Q139" s="673"/>
      <c r="R139" s="674"/>
      <c r="S139" s="672"/>
      <c r="T139" s="673"/>
      <c r="U139" s="673"/>
      <c r="V139" s="674"/>
      <c r="W139" s="434"/>
      <c r="X139" s="434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BC139" s="401" t="str">
        <f t="shared" si="81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ht="15" customHeight="1" outlineLevel="1" thickBot="1" x14ac:dyDescent="0.3">
      <c r="A140" s="404"/>
      <c r="B140" s="726"/>
      <c r="C140" s="688"/>
      <c r="D140" s="691"/>
      <c r="E140" s="451" t="s">
        <v>30</v>
      </c>
      <c r="F140" s="451" t="str">
        <f t="shared" ref="F140:N140" si="106">IF(AND(OR(F136="-",F136=""),OR(F137="-",F137="")),"-",IF(OR($C138="-",$C138="",$C138="CET"),"-",IF($R$127="not listed","-",IF(NOT(F$5="-"),IF(AND(AND(NOT(F136=0),NOT(F136="-"),NOT(F136="")),AND(NOT(F137="-"),NOT(F137=0),NOT(F137=""))),IF(AND((F136+F137)/2&lt;1*F$5*IF(OR($C138="CET",$C138="-",$C138=""),"-",$C138),F136&lt;1.1*F$5*IF(OR($C138="CET",$C138="-",$C138=""),"-",$C138),F137&lt;1.1*F$5*IF(OR($C138="CET",$C138="-",$C138=""),"-",$C138)),"passed","refused"),IF(IF(OR(F136="-",F136=""),F137,F136)&lt;0.7*F$5*IF(OR($C138="CET",$C138="-",$C138=""),"-",$C138),"passed",IF(IF(OR(F136="-",F136=""),F137,F136)&lt;1.1*IF(OR($C138="CET",$C138="-",$C138=""),"-",$C138)*F$5,"failed","refused"))),"-"))))</f>
        <v>-</v>
      </c>
      <c r="G140" s="451" t="str">
        <f t="shared" si="106"/>
        <v>-</v>
      </c>
      <c r="H140" s="451" t="str">
        <f t="shared" si="106"/>
        <v>-</v>
      </c>
      <c r="I140" s="451" t="str">
        <f t="shared" si="106"/>
        <v>-</v>
      </c>
      <c r="J140" s="451" t="str">
        <f t="shared" si="106"/>
        <v>-</v>
      </c>
      <c r="K140" s="452" t="str">
        <f t="shared" si="106"/>
        <v>-</v>
      </c>
      <c r="L140" s="452" t="str">
        <f t="shared" si="106"/>
        <v>-</v>
      </c>
      <c r="M140" s="452" t="str">
        <f t="shared" si="106"/>
        <v>-</v>
      </c>
      <c r="N140" s="451" t="str">
        <f t="shared" si="106"/>
        <v>-</v>
      </c>
      <c r="O140" s="672"/>
      <c r="P140" s="673"/>
      <c r="Q140" s="673"/>
      <c r="R140" s="674"/>
      <c r="S140" s="672"/>
      <c r="T140" s="673"/>
      <c r="U140" s="673"/>
      <c r="V140" s="674"/>
      <c r="W140" s="434"/>
      <c r="X140" s="434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BC140" s="401" t="str">
        <f t="shared" si="81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78"/>
      <c r="C141" s="479"/>
      <c r="D141" s="479"/>
      <c r="E141" s="480"/>
      <c r="F141" s="481"/>
      <c r="G141" s="481"/>
      <c r="H141" s="481"/>
      <c r="I141" s="481"/>
      <c r="J141" s="481"/>
      <c r="K141" s="482"/>
      <c r="L141" s="482"/>
      <c r="M141" s="482"/>
      <c r="N141" s="483"/>
      <c r="O141" s="672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81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434"/>
      <c r="X142" s="434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BC142" s="401" t="str">
        <f t="shared" si="81"/>
        <v>-</v>
      </c>
      <c r="BD142" s="429" t="str">
        <f>$B131</f>
        <v>normal</v>
      </c>
      <c r="BE142" s="435" t="str">
        <f t="shared" ref="BE142:BL142" si="107">F134</f>
        <v>-</v>
      </c>
      <c r="BF142" s="435" t="str">
        <f t="shared" si="107"/>
        <v>-</v>
      </c>
      <c r="BG142" s="435" t="str">
        <f t="shared" si="107"/>
        <v>-</v>
      </c>
      <c r="BH142" s="435" t="str">
        <f t="shared" si="107"/>
        <v>-</v>
      </c>
      <c r="BI142" s="435" t="str">
        <f t="shared" si="107"/>
        <v>-</v>
      </c>
      <c r="BJ142" s="435" t="str">
        <f t="shared" si="107"/>
        <v>-</v>
      </c>
      <c r="BK142" s="435" t="str">
        <f t="shared" si="107"/>
        <v>-</v>
      </c>
      <c r="BL142" s="435" t="str">
        <f t="shared" si="107"/>
        <v>-</v>
      </c>
    </row>
    <row r="143" spans="1:64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2"/>
      <c r="P143" s="673"/>
      <c r="Q143" s="673"/>
      <c r="R143" s="674"/>
      <c r="S143" s="672"/>
      <c r="T143" s="673"/>
      <c r="U143" s="673"/>
      <c r="V143" s="674"/>
      <c r="W143" s="434"/>
      <c r="X143" s="434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BC143" s="401" t="str">
        <f t="shared" si="81"/>
        <v>-</v>
      </c>
      <c r="BD143" s="429" t="str">
        <f>$B136</f>
        <v>aggressive</v>
      </c>
      <c r="BE143" s="435" t="str">
        <f t="shared" ref="BE143:BL143" si="108">F139</f>
        <v>-</v>
      </c>
      <c r="BF143" s="435" t="str">
        <f t="shared" si="108"/>
        <v>-</v>
      </c>
      <c r="BG143" s="435" t="str">
        <f t="shared" si="108"/>
        <v>-</v>
      </c>
      <c r="BH143" s="435" t="str">
        <f t="shared" si="108"/>
        <v>-</v>
      </c>
      <c r="BI143" s="435" t="str">
        <f t="shared" si="108"/>
        <v>-</v>
      </c>
      <c r="BJ143" s="435" t="str">
        <f t="shared" si="108"/>
        <v>-</v>
      </c>
      <c r="BK143" s="435" t="str">
        <f t="shared" si="108"/>
        <v>-</v>
      </c>
      <c r="BL143" s="435" t="str">
        <f t="shared" si="108"/>
        <v>-</v>
      </c>
    </row>
    <row r="144" spans="1:64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2"/>
      <c r="P144" s="673"/>
      <c r="Q144" s="673"/>
      <c r="R144" s="674"/>
      <c r="S144" s="672"/>
      <c r="T144" s="673"/>
      <c r="U144" s="673"/>
      <c r="V144" s="674"/>
      <c r="W144" s="434"/>
      <c r="X144" s="434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BC144" s="401" t="str">
        <f t="shared" si="81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2"/>
      <c r="P145" s="673"/>
      <c r="Q145" s="673"/>
      <c r="R145" s="674"/>
      <c r="S145" s="672"/>
      <c r="T145" s="673"/>
      <c r="U145" s="673"/>
      <c r="V145" s="674"/>
      <c r="W145" s="434"/>
      <c r="X145" s="434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BC145" s="401" t="str">
        <f t="shared" si="81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ref="BC146:BC187" si="109">IF(COUNTIF(F146:M146,"refused")&gt;0,"refused",IF(COUNTIF(F146:M146,"failed")&gt;0,"failed",IF(COUNTIF(F146:M146,"passed")&gt;0,"passed","-")))</f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434"/>
      <c r="X147" s="434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BC147" s="401" t="str">
        <f t="shared" si="109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2"/>
      <c r="P148" s="673"/>
      <c r="Q148" s="673"/>
      <c r="R148" s="674"/>
      <c r="S148" s="672"/>
      <c r="T148" s="673"/>
      <c r="U148" s="673"/>
      <c r="V148" s="674"/>
      <c r="W148" s="434"/>
      <c r="X148" s="434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BC148" s="401" t="str">
        <f t="shared" si="109"/>
        <v>-</v>
      </c>
      <c r="BD148" s="429" t="str">
        <f>"IEF " &amp;B131</f>
        <v>IEF normal</v>
      </c>
      <c r="BE148" s="435">
        <f t="shared" ref="BE148:BL148" si="110">IF(OR($C133="-",$C133="CET",$C133=""),"-",$C133)</f>
        <v>2</v>
      </c>
      <c r="BF148" s="435">
        <f t="shared" si="110"/>
        <v>2</v>
      </c>
      <c r="BG148" s="435">
        <f t="shared" si="110"/>
        <v>2</v>
      </c>
      <c r="BH148" s="435">
        <f t="shared" si="110"/>
        <v>2</v>
      </c>
      <c r="BI148" s="435">
        <f t="shared" si="110"/>
        <v>2</v>
      </c>
      <c r="BJ148" s="435">
        <f t="shared" si="110"/>
        <v>2</v>
      </c>
      <c r="BK148" s="435">
        <f t="shared" si="110"/>
        <v>2</v>
      </c>
      <c r="BL148" s="435">
        <f t="shared" si="110"/>
        <v>2</v>
      </c>
    </row>
    <row r="149" spans="1:64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2"/>
      <c r="P149" s="673"/>
      <c r="Q149" s="673"/>
      <c r="R149" s="674"/>
      <c r="S149" s="672"/>
      <c r="T149" s="673"/>
      <c r="U149" s="673"/>
      <c r="V149" s="674"/>
      <c r="W149" s="434"/>
      <c r="X149" s="434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BC149" s="401" t="str">
        <f t="shared" si="109"/>
        <v>-</v>
      </c>
      <c r="BD149" s="429" t="str">
        <f>"IEF " &amp; B136</f>
        <v>IEF aggressive</v>
      </c>
      <c r="BE149" s="435">
        <f t="shared" ref="BE149:BL149" si="111">IF(OR($C138="-",$C138="CET",$C138=""),"-",$C138)</f>
        <v>4</v>
      </c>
      <c r="BF149" s="435">
        <f t="shared" si="111"/>
        <v>4</v>
      </c>
      <c r="BG149" s="435">
        <f t="shared" si="111"/>
        <v>4</v>
      </c>
      <c r="BH149" s="435">
        <f t="shared" si="111"/>
        <v>4</v>
      </c>
      <c r="BI149" s="435">
        <f t="shared" si="111"/>
        <v>4</v>
      </c>
      <c r="BJ149" s="435">
        <f t="shared" si="111"/>
        <v>4</v>
      </c>
      <c r="BK149" s="435">
        <f t="shared" si="111"/>
        <v>4</v>
      </c>
      <c r="BL149" s="435">
        <f t="shared" si="111"/>
        <v>4</v>
      </c>
    </row>
    <row r="150" spans="1:64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5"/>
      <c r="P150" s="676"/>
      <c r="Q150" s="676"/>
      <c r="R150" s="677"/>
      <c r="S150" s="675"/>
      <c r="T150" s="676"/>
      <c r="U150" s="676"/>
      <c r="V150" s="677"/>
      <c r="W150" s="434"/>
      <c r="X150" s="434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BC150" s="401" t="str">
        <f t="shared" si="109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109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434"/>
      <c r="X152" s="434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BC152" s="401" t="str">
        <f t="shared" si="109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ht="15" customHeight="1" thickBot="1" x14ac:dyDescent="0.3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434"/>
      <c r="X153" s="434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BC153" s="401" t="str">
        <f t="shared" si="109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  <row r="154" spans="1:64" ht="24.95" customHeight="1" thickBot="1" x14ac:dyDescent="0.3">
      <c r="A154" s="396"/>
      <c r="B154" s="415">
        <v>7</v>
      </c>
      <c r="C154" s="706" t="s">
        <v>52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79</v>
      </c>
      <c r="P154" s="398" t="str">
        <f>IF(COUNTIF(F162:N187,"refused")&gt;0,"refused",IF(COUNTIF(F162:N187,"failed")&gt;0,"failed",IF(COUNTIF(F162:N187,"passed")&gt;0,"passed","-")))</f>
        <v>-</v>
      </c>
      <c r="Q154" s="399" t="s">
        <v>80</v>
      </c>
      <c r="R154" s="399" t="str">
        <f>IF(COUNT(F158:M159,F163:M164,F168:M169,F173:M174,F178:M179,F183:M184)&gt;0,"listed","not listed")</f>
        <v>not listed</v>
      </c>
      <c r="S154" s="502">
        <f>MAX(D160,D165,D170,D175,D180,D185)</f>
        <v>0</v>
      </c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BC154" s="401" t="str">
        <f t="shared" si="109"/>
        <v>-</v>
      </c>
    </row>
    <row r="155" spans="1:64" ht="15" customHeight="1" outlineLevel="1" thickBot="1" x14ac:dyDescent="0.3">
      <c r="A155" s="396"/>
      <c r="B155" s="456"/>
      <c r="C155" s="457"/>
      <c r="D155" s="457"/>
      <c r="E155" s="457"/>
      <c r="F155" s="457"/>
      <c r="G155" s="457"/>
      <c r="H155" s="457"/>
      <c r="I155" s="457"/>
      <c r="J155" s="457"/>
      <c r="K155" s="421"/>
      <c r="L155" s="421"/>
      <c r="M155" s="421"/>
      <c r="N155" s="457"/>
      <c r="O155" s="457"/>
      <c r="P155" s="457"/>
      <c r="Q155" s="457"/>
      <c r="R155" s="457"/>
      <c r="S155" s="457"/>
      <c r="T155" s="422"/>
      <c r="U155" s="422"/>
      <c r="V155" s="423"/>
      <c r="W155" s="434"/>
      <c r="X155" s="434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BC155" s="401" t="str">
        <f t="shared" si="109"/>
        <v>-</v>
      </c>
      <c r="BD155" s="429" t="s">
        <v>85</v>
      </c>
      <c r="BE155" s="430" t="str">
        <f>F$4</f>
        <v>NMHC 
[g/km]</v>
      </c>
      <c r="BF155" s="430" t="str">
        <f t="shared" ref="BF155:BL155" si="112">G$4</f>
        <v>THC
[g/km]</v>
      </c>
      <c r="BG155" s="430" t="str">
        <f t="shared" si="112"/>
        <v>CO
[g/km]</v>
      </c>
      <c r="BH155" s="430" t="str">
        <f t="shared" si="112"/>
        <v>NOx
[g/km]</v>
      </c>
      <c r="BI155" s="430" t="str">
        <f t="shared" si="112"/>
        <v>PM
[mg/km]</v>
      </c>
      <c r="BJ155" s="430" t="str">
        <f t="shared" si="112"/>
        <v>PN
[#/km]</v>
      </c>
      <c r="BK155" s="430" t="str">
        <f t="shared" si="112"/>
        <v>Additional
component</v>
      </c>
      <c r="BL155" s="430" t="str">
        <f t="shared" si="112"/>
        <v>Additional
component 2</v>
      </c>
    </row>
    <row r="156" spans="1:64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434"/>
      <c r="X156" s="434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BC156" s="401" t="str">
        <f t="shared" si="109"/>
        <v>-</v>
      </c>
      <c r="BD156" s="429" t="str">
        <f>$E$4</f>
        <v>BS 6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1</v>
      </c>
      <c r="BL156" s="435">
        <v>1</v>
      </c>
    </row>
    <row r="157" spans="1:64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tr">
        <f>F$4</f>
        <v>NMHC 
[g/km]</v>
      </c>
      <c r="G157" s="425" t="str">
        <f t="shared" ref="G157:N157" si="113">G$4</f>
        <v>THC
[g/km]</v>
      </c>
      <c r="H157" s="425" t="str">
        <f t="shared" si="113"/>
        <v>CO
[g/km]</v>
      </c>
      <c r="I157" s="425" t="str">
        <f t="shared" si="113"/>
        <v>NOx
[g/km]</v>
      </c>
      <c r="J157" s="425" t="str">
        <f t="shared" si="113"/>
        <v>PM
[mg/km]</v>
      </c>
      <c r="K157" s="425" t="str">
        <f t="shared" si="113"/>
        <v>PN
[#/km]</v>
      </c>
      <c r="L157" s="426" t="str">
        <f t="shared" si="113"/>
        <v>Additional
component</v>
      </c>
      <c r="M157" s="426" t="str">
        <f t="shared" si="113"/>
        <v>Additional
component 2</v>
      </c>
      <c r="N157" s="425" t="str">
        <f t="shared" si="113"/>
        <v>CO2
[g/km]</v>
      </c>
      <c r="O157" s="669"/>
      <c r="P157" s="670"/>
      <c r="Q157" s="670"/>
      <c r="R157" s="670"/>
      <c r="S157" s="669"/>
      <c r="T157" s="670"/>
      <c r="U157" s="670"/>
      <c r="V157" s="671"/>
      <c r="W157" s="434"/>
      <c r="X157" s="434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BC157" s="401" t="str">
        <f t="shared" si="109"/>
        <v>-</v>
      </c>
      <c r="BD157" s="429" t="str">
        <f>"1st " &amp;  B158</f>
        <v>1st City (unweighted)</v>
      </c>
      <c r="BE157" s="435" t="str">
        <f t="shared" ref="BE157:BL157" si="114">IF((OR($C160="-",$C160="CET",$C160="")),"-",IF(AND(OR(F158="-",F158=""),OR(F159="-",F159="")),"-",IF(NOT(OR(F158="-",F158="")),F158/F$5,F159/F$5)))</f>
        <v>-</v>
      </c>
      <c r="BF157" s="435" t="str">
        <f t="shared" si="114"/>
        <v>-</v>
      </c>
      <c r="BG157" s="435" t="str">
        <f t="shared" si="114"/>
        <v>-</v>
      </c>
      <c r="BH157" s="435" t="str">
        <f t="shared" si="114"/>
        <v>-</v>
      </c>
      <c r="BI157" s="435" t="str">
        <f t="shared" si="114"/>
        <v>-</v>
      </c>
      <c r="BJ157" s="435" t="str">
        <f t="shared" si="114"/>
        <v>-</v>
      </c>
      <c r="BK157" s="435" t="str">
        <f t="shared" si="114"/>
        <v>-</v>
      </c>
      <c r="BL157" s="435" t="str">
        <f t="shared" si="114"/>
        <v>-</v>
      </c>
    </row>
    <row r="158" spans="1:64" s="405" customFormat="1" ht="15" customHeight="1" outlineLevel="1" x14ac:dyDescent="0.25">
      <c r="A158" s="439"/>
      <c r="B158" s="724" t="s">
        <v>107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3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401" t="str">
        <f t="shared" si="109"/>
        <v>-</v>
      </c>
      <c r="BD158" s="429" t="str">
        <f>"1st " &amp; B163</f>
        <v>1st City (EMROAD)</v>
      </c>
      <c r="BE158" s="435" t="str">
        <f t="shared" ref="BE158:BL158" si="115">IF((OR($C165="-",$C165="CET",$C165="")),"-",IF(AND(OR(F163="-",F163=""),OR(F164="-",F164="")),"-",IF(NOT(OR(F163="-",F163="")),F163/F$5,F164/F$5)))</f>
        <v>-</v>
      </c>
      <c r="BF158" s="435" t="str">
        <f t="shared" si="115"/>
        <v>-</v>
      </c>
      <c r="BG158" s="435" t="str">
        <f t="shared" si="115"/>
        <v>-</v>
      </c>
      <c r="BH158" s="435" t="str">
        <f t="shared" si="115"/>
        <v>-</v>
      </c>
      <c r="BI158" s="435" t="str">
        <f t="shared" si="115"/>
        <v>-</v>
      </c>
      <c r="BJ158" s="435" t="str">
        <f t="shared" si="115"/>
        <v>-</v>
      </c>
      <c r="BK158" s="435" t="str">
        <f t="shared" si="115"/>
        <v>-</v>
      </c>
      <c r="BL158" s="435" t="str">
        <f t="shared" si="115"/>
        <v>-</v>
      </c>
    </row>
    <row r="159" spans="1:64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3"/>
      <c r="S159" s="672"/>
      <c r="T159" s="673"/>
      <c r="U159" s="673"/>
      <c r="V159" s="674"/>
      <c r="W159" s="434"/>
      <c r="X159" s="434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BC159" s="401" t="str">
        <f t="shared" si="109"/>
        <v>-</v>
      </c>
      <c r="BD159" s="429" t="str">
        <f>"1st " &amp; B168</f>
        <v>1st City
 (SPF)</v>
      </c>
      <c r="BE159" s="435" t="str">
        <f t="shared" ref="BE159:BL159" si="116">IF((OR($C170="-",$C170="CET",$C170="")),"-",IF(AND(OR(F168="-",F168=""),OR(F169="-",F169="")),"-",IF(NOT(OR(F168="-",F168="")),F168/F$5,F169/F$5)))</f>
        <v>-</v>
      </c>
      <c r="BF159" s="435" t="str">
        <f t="shared" si="116"/>
        <v>-</v>
      </c>
      <c r="BG159" s="435" t="str">
        <f t="shared" si="116"/>
        <v>-</v>
      </c>
      <c r="BH159" s="435" t="str">
        <f t="shared" si="116"/>
        <v>-</v>
      </c>
      <c r="BI159" s="435" t="str">
        <f t="shared" si="116"/>
        <v>-</v>
      </c>
      <c r="BJ159" s="435" t="str">
        <f t="shared" si="116"/>
        <v>-</v>
      </c>
      <c r="BK159" s="435" t="str">
        <f t="shared" si="116"/>
        <v>-</v>
      </c>
      <c r="BL159" s="435" t="str">
        <f t="shared" si="116"/>
        <v>-</v>
      </c>
    </row>
    <row r="160" spans="1:64" ht="15" customHeight="1" outlineLevel="1" thickBot="1" x14ac:dyDescent="0.3">
      <c r="A160" s="396"/>
      <c r="B160" s="725"/>
      <c r="C160" s="686">
        <v>4</v>
      </c>
      <c r="D160" s="689" t="str">
        <f>IF(AND(F161="-",G161="-",H161="-",I161="-",J161="-",K161="-",L161="-",M161="-"),"-",MAX(F161,G161,H161,I161,J161,K161,L161,M161))</f>
        <v>-</v>
      </c>
      <c r="E160" s="444" t="s">
        <v>96</v>
      </c>
      <c r="F160" s="445" t="str">
        <f t="shared" ref="F160:N160" si="117">IF(OR(F159="-",F159=""),IF(OR(F158="-",F158=""),"-",F158),IF(OR(F158="-",F158=""),F159,(F158+F159)/2))</f>
        <v>-</v>
      </c>
      <c r="G160" s="445" t="str">
        <f t="shared" si="117"/>
        <v>-</v>
      </c>
      <c r="H160" s="445" t="str">
        <f t="shared" si="117"/>
        <v>-</v>
      </c>
      <c r="I160" s="445" t="str">
        <f t="shared" si="117"/>
        <v>-</v>
      </c>
      <c r="J160" s="445" t="str">
        <f t="shared" si="117"/>
        <v>-</v>
      </c>
      <c r="K160" s="446" t="str">
        <f t="shared" si="117"/>
        <v>-</v>
      </c>
      <c r="L160" s="446" t="str">
        <f t="shared" si="117"/>
        <v>-</v>
      </c>
      <c r="M160" s="446" t="str">
        <f t="shared" si="117"/>
        <v>-</v>
      </c>
      <c r="N160" s="445" t="str">
        <f t="shared" si="117"/>
        <v>-</v>
      </c>
      <c r="O160" s="672"/>
      <c r="P160" s="673"/>
      <c r="Q160" s="673"/>
      <c r="R160" s="673"/>
      <c r="S160" s="672"/>
      <c r="T160" s="673"/>
      <c r="U160" s="673"/>
      <c r="V160" s="674"/>
      <c r="W160" s="434"/>
      <c r="X160" s="434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BC160" s="401" t="str">
        <f t="shared" si="109"/>
        <v>-</v>
      </c>
      <c r="BD160" s="429" t="str">
        <f>"1st " &amp; B173</f>
        <v>1st Total (unweighted)</v>
      </c>
      <c r="BE160" s="435" t="str">
        <f t="shared" ref="BE160:BL160" si="118">IF((OR($C175="-",$C175="CET",$C175="")),"-",IF(AND(OR(F173="-",F173=""),OR(F174="-",F174="")),"-",IF(NOT(OR(F173="-",F173="")),F173/F$5,F174/F$5)))</f>
        <v>-</v>
      </c>
      <c r="BF160" s="435" t="str">
        <f t="shared" si="118"/>
        <v>-</v>
      </c>
      <c r="BG160" s="435" t="str">
        <f t="shared" si="118"/>
        <v>-</v>
      </c>
      <c r="BH160" s="435" t="str">
        <f t="shared" si="118"/>
        <v>-</v>
      </c>
      <c r="BI160" s="435" t="str">
        <f t="shared" si="118"/>
        <v>-</v>
      </c>
      <c r="BJ160" s="435" t="str">
        <f t="shared" si="118"/>
        <v>-</v>
      </c>
      <c r="BK160" s="435" t="str">
        <f t="shared" si="118"/>
        <v>-</v>
      </c>
      <c r="BL160" s="435" t="str">
        <f t="shared" si="118"/>
        <v>-</v>
      </c>
    </row>
    <row r="161" spans="1:64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str">
        <f t="shared" ref="F161:N161" si="119">IF(OR($C160="-",$C160="CET",$C160=""),"-",IF(AND(NOT(F160="-"),NOT(F$5="-"),NOT(F$5="")),F160/F$5,"-"))</f>
        <v>-</v>
      </c>
      <c r="G161" s="448" t="str">
        <f t="shared" si="119"/>
        <v>-</v>
      </c>
      <c r="H161" s="448" t="str">
        <f t="shared" si="119"/>
        <v>-</v>
      </c>
      <c r="I161" s="448" t="str">
        <f t="shared" si="119"/>
        <v>-</v>
      </c>
      <c r="J161" s="448" t="str">
        <f t="shared" si="119"/>
        <v>-</v>
      </c>
      <c r="K161" s="449" t="str">
        <f t="shared" si="119"/>
        <v>-</v>
      </c>
      <c r="L161" s="449" t="str">
        <f t="shared" si="119"/>
        <v>-</v>
      </c>
      <c r="M161" s="449" t="str">
        <f t="shared" si="119"/>
        <v>-</v>
      </c>
      <c r="N161" s="448" t="str">
        <f t="shared" si="119"/>
        <v>-</v>
      </c>
      <c r="O161" s="672"/>
      <c r="P161" s="673"/>
      <c r="Q161" s="673"/>
      <c r="R161" s="673"/>
      <c r="S161" s="672"/>
      <c r="T161" s="673"/>
      <c r="U161" s="673"/>
      <c r="V161" s="674"/>
      <c r="W161" s="434"/>
      <c r="X161" s="434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BC161" s="401" t="str">
        <f t="shared" si="109"/>
        <v>-</v>
      </c>
      <c r="BD161" s="429" t="str">
        <f>"1st " &amp; B178</f>
        <v>1st Total (EMROAD)</v>
      </c>
      <c r="BE161" s="435" t="str">
        <f t="shared" ref="BE161:BL161" si="120">IF((OR($C180="-",$C180="CET",$C180="")),"-",IF(AND(OR(F178="-",F178=""),OR(F179="-",F179="")),"-",IF(NOT(OR(F178="-",F178="")),F178/F$5,F179/F$5)))</f>
        <v>-</v>
      </c>
      <c r="BF161" s="435" t="str">
        <f t="shared" si="120"/>
        <v>-</v>
      </c>
      <c r="BG161" s="435" t="str">
        <f t="shared" si="120"/>
        <v>-</v>
      </c>
      <c r="BH161" s="435" t="str">
        <f t="shared" si="120"/>
        <v>-</v>
      </c>
      <c r="BI161" s="435" t="str">
        <f t="shared" si="120"/>
        <v>-</v>
      </c>
      <c r="BJ161" s="435" t="str">
        <f t="shared" si="120"/>
        <v>-</v>
      </c>
      <c r="BK161" s="435" t="str">
        <f t="shared" si="120"/>
        <v>-</v>
      </c>
      <c r="BL161" s="435" t="str">
        <f t="shared" si="120"/>
        <v>-</v>
      </c>
    </row>
    <row r="162" spans="1:64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N162" si="121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121"/>
        <v>-</v>
      </c>
      <c r="H162" s="451" t="str">
        <f t="shared" si="121"/>
        <v>-</v>
      </c>
      <c r="I162" s="451" t="str">
        <f t="shared" si="121"/>
        <v>-</v>
      </c>
      <c r="J162" s="451" t="str">
        <f t="shared" si="121"/>
        <v>-</v>
      </c>
      <c r="K162" s="452" t="str">
        <f t="shared" si="121"/>
        <v>-</v>
      </c>
      <c r="L162" s="452" t="str">
        <f t="shared" si="121"/>
        <v>-</v>
      </c>
      <c r="M162" s="452" t="str">
        <f t="shared" si="121"/>
        <v>-</v>
      </c>
      <c r="N162" s="451" t="str">
        <f t="shared" si="121"/>
        <v>-</v>
      </c>
      <c r="O162" s="672"/>
      <c r="P162" s="673"/>
      <c r="Q162" s="673"/>
      <c r="R162" s="673"/>
      <c r="S162" s="672"/>
      <c r="T162" s="673"/>
      <c r="U162" s="673"/>
      <c r="V162" s="674"/>
      <c r="W162" s="434"/>
      <c r="X162" s="434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BC162" s="401" t="str">
        <f t="shared" si="109"/>
        <v>-</v>
      </c>
      <c r="BD162" s="429" t="str">
        <f>"1st " &amp; B183</f>
        <v>1st Total (SPF)</v>
      </c>
      <c r="BE162" s="435" t="str">
        <f t="shared" ref="BE162:BL162" si="122">IF((OR($C185="-",$C185="CET",$C185="")),"-",IF(AND(OR(F183="-",F183=""),OR(F184="-",F184="")),"-",IF(NOT(OR(F183="-",F183="")),F183/F$5,F184/F$5)))</f>
        <v>-</v>
      </c>
      <c r="BF162" s="435" t="str">
        <f t="shared" si="122"/>
        <v>-</v>
      </c>
      <c r="BG162" s="435" t="str">
        <f t="shared" si="122"/>
        <v>-</v>
      </c>
      <c r="BH162" s="435" t="str">
        <f t="shared" si="122"/>
        <v>-</v>
      </c>
      <c r="BI162" s="435" t="str">
        <f t="shared" si="122"/>
        <v>-</v>
      </c>
      <c r="BJ162" s="435" t="str">
        <f t="shared" si="122"/>
        <v>-</v>
      </c>
      <c r="BK162" s="435" t="str">
        <f t="shared" si="122"/>
        <v>-</v>
      </c>
      <c r="BL162" s="435" t="str">
        <f t="shared" si="122"/>
        <v>-</v>
      </c>
    </row>
    <row r="163" spans="1:64" s="405" customFormat="1" ht="15" customHeight="1" outlineLevel="1" x14ac:dyDescent="0.25">
      <c r="A163" s="439"/>
      <c r="B163" s="724" t="s">
        <v>106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3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401" t="str">
        <f t="shared" si="109"/>
        <v>-</v>
      </c>
      <c r="BD163" s="429" t="str">
        <f>"0.7*IEF " &amp; (B158)</f>
        <v>0.7*IEF City (unweighted)</v>
      </c>
      <c r="BE163" s="435">
        <f t="shared" ref="BE163:BL163" si="123">IF(OR($C160="-",$C160="CET",$C160=""),"-",0.7*$C160)</f>
        <v>2.8</v>
      </c>
      <c r="BF163" s="435">
        <f t="shared" si="123"/>
        <v>2.8</v>
      </c>
      <c r="BG163" s="435">
        <f t="shared" si="123"/>
        <v>2.8</v>
      </c>
      <c r="BH163" s="435">
        <f t="shared" si="123"/>
        <v>2.8</v>
      </c>
      <c r="BI163" s="435">
        <f t="shared" si="123"/>
        <v>2.8</v>
      </c>
      <c r="BJ163" s="435">
        <f t="shared" si="123"/>
        <v>2.8</v>
      </c>
      <c r="BK163" s="435">
        <f t="shared" si="123"/>
        <v>2.8</v>
      </c>
      <c r="BL163" s="435">
        <f t="shared" si="123"/>
        <v>2.8</v>
      </c>
    </row>
    <row r="164" spans="1:64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3"/>
      <c r="S164" s="672"/>
      <c r="T164" s="673"/>
      <c r="U164" s="673"/>
      <c r="V164" s="674"/>
      <c r="W164" s="434"/>
      <c r="X164" s="434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BC164" s="401" t="str">
        <f t="shared" si="109"/>
        <v>-</v>
      </c>
      <c r="BD164" s="429" t="str">
        <f>"0.7*IEF " &amp; B163</f>
        <v>0.7*IEF City (EMROAD)</v>
      </c>
      <c r="BE164" s="435">
        <f t="shared" ref="BE164:BL164" si="124">IF(OR($C165="-",$C165="CET",$C165=""),"-",0.7*$C165)</f>
        <v>2.8</v>
      </c>
      <c r="BF164" s="435">
        <f t="shared" si="124"/>
        <v>2.8</v>
      </c>
      <c r="BG164" s="435">
        <f t="shared" si="124"/>
        <v>2.8</v>
      </c>
      <c r="BH164" s="435">
        <f t="shared" si="124"/>
        <v>2.8</v>
      </c>
      <c r="BI164" s="435">
        <f t="shared" si="124"/>
        <v>2.8</v>
      </c>
      <c r="BJ164" s="435">
        <f t="shared" si="124"/>
        <v>2.8</v>
      </c>
      <c r="BK164" s="435">
        <f t="shared" si="124"/>
        <v>2.8</v>
      </c>
      <c r="BL164" s="435">
        <f t="shared" si="124"/>
        <v>2.8</v>
      </c>
    </row>
    <row r="165" spans="1:64" ht="15" customHeight="1" outlineLevel="1" thickBot="1" x14ac:dyDescent="0.3">
      <c r="A165" s="396"/>
      <c r="B165" s="725"/>
      <c r="C165" s="686">
        <v>4</v>
      </c>
      <c r="D165" s="689" t="str">
        <f>IF(AND(F166="-",G166="-",H166="-",I166="-",J166="-",K166="-",L166="-",M166="-"),"-",MAX(F166,G166,H166,I166,J166,K166,L166,M166))</f>
        <v>-</v>
      </c>
      <c r="E165" s="444" t="s">
        <v>96</v>
      </c>
      <c r="F165" s="445" t="str">
        <f t="shared" ref="F165:N165" si="125">IF(OR(F164="-",F164=""),IF(OR(F163="-",F163=""),"-",F163),IF(OR(F163="-",F163=""),F164,(F163+F164)/2))</f>
        <v>-</v>
      </c>
      <c r="G165" s="445" t="str">
        <f t="shared" si="125"/>
        <v>-</v>
      </c>
      <c r="H165" s="445" t="str">
        <f t="shared" si="125"/>
        <v>-</v>
      </c>
      <c r="I165" s="445" t="str">
        <f t="shared" si="125"/>
        <v>-</v>
      </c>
      <c r="J165" s="445" t="str">
        <f t="shared" si="125"/>
        <v>-</v>
      </c>
      <c r="K165" s="446" t="str">
        <f t="shared" si="125"/>
        <v>-</v>
      </c>
      <c r="L165" s="446" t="str">
        <f t="shared" si="125"/>
        <v>-</v>
      </c>
      <c r="M165" s="446" t="str">
        <f t="shared" si="125"/>
        <v>-</v>
      </c>
      <c r="N165" s="445" t="str">
        <f t="shared" si="125"/>
        <v>-</v>
      </c>
      <c r="O165" s="672"/>
      <c r="P165" s="673"/>
      <c r="Q165" s="673"/>
      <c r="R165" s="673"/>
      <c r="S165" s="672"/>
      <c r="T165" s="673"/>
      <c r="U165" s="673"/>
      <c r="V165" s="674"/>
      <c r="W165" s="434"/>
      <c r="X165" s="434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BC165" s="401" t="str">
        <f t="shared" si="109"/>
        <v>-</v>
      </c>
      <c r="BD165" s="429" t="str">
        <f>"0.7*IEF " &amp; B168</f>
        <v>0.7*IEF City
 (SPF)</v>
      </c>
      <c r="BE165" s="435">
        <f t="shared" ref="BE165:BL165" si="126">IF(OR($C170="-",$C170="CET",$C170=""),"-",0.7*$C170)</f>
        <v>2.8</v>
      </c>
      <c r="BF165" s="435">
        <f t="shared" si="126"/>
        <v>2.8</v>
      </c>
      <c r="BG165" s="435">
        <f t="shared" si="126"/>
        <v>2.8</v>
      </c>
      <c r="BH165" s="435">
        <f t="shared" si="126"/>
        <v>2.8</v>
      </c>
      <c r="BI165" s="435">
        <f t="shared" si="126"/>
        <v>2.8</v>
      </c>
      <c r="BJ165" s="435">
        <f t="shared" si="126"/>
        <v>2.8</v>
      </c>
      <c r="BK165" s="435">
        <f t="shared" si="126"/>
        <v>2.8</v>
      </c>
      <c r="BL165" s="435">
        <f t="shared" si="126"/>
        <v>2.8</v>
      </c>
    </row>
    <row r="166" spans="1:64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str">
        <f t="shared" ref="F166:N166" si="127">IF(OR($C165="-",$C165="CET",$C165=""),"-",IF(AND(NOT(F165="-"),NOT(F$5="-"),NOT(F$5="")),F165/F$5,"-"))</f>
        <v>-</v>
      </c>
      <c r="G166" s="448" t="str">
        <f t="shared" si="127"/>
        <v>-</v>
      </c>
      <c r="H166" s="448" t="str">
        <f t="shared" si="127"/>
        <v>-</v>
      </c>
      <c r="I166" s="448" t="str">
        <f t="shared" si="127"/>
        <v>-</v>
      </c>
      <c r="J166" s="448" t="str">
        <f t="shared" si="127"/>
        <v>-</v>
      </c>
      <c r="K166" s="449" t="str">
        <f t="shared" si="127"/>
        <v>-</v>
      </c>
      <c r="L166" s="449" t="str">
        <f t="shared" si="127"/>
        <v>-</v>
      </c>
      <c r="M166" s="449" t="str">
        <f t="shared" si="127"/>
        <v>-</v>
      </c>
      <c r="N166" s="448" t="str">
        <f t="shared" si="127"/>
        <v>-</v>
      </c>
      <c r="O166" s="672"/>
      <c r="P166" s="673"/>
      <c r="Q166" s="673"/>
      <c r="R166" s="673"/>
      <c r="S166" s="672"/>
      <c r="T166" s="673"/>
      <c r="U166" s="673"/>
      <c r="V166" s="674"/>
      <c r="W166" s="434"/>
      <c r="X166" s="434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BC166" s="401" t="str">
        <f t="shared" si="109"/>
        <v>-</v>
      </c>
      <c r="BD166" s="429" t="str">
        <f>"0.7*IEF " &amp; B173</f>
        <v>0.7*IEF Total (unweighted)</v>
      </c>
      <c r="BE166" s="435">
        <f t="shared" ref="BE166:BL166" si="128">IF(OR($C175="-",$C175="CET",$C175=""),"-",0.7*$C175)</f>
        <v>2.8</v>
      </c>
      <c r="BF166" s="435">
        <f t="shared" si="128"/>
        <v>2.8</v>
      </c>
      <c r="BG166" s="435">
        <f t="shared" si="128"/>
        <v>2.8</v>
      </c>
      <c r="BH166" s="435">
        <f t="shared" si="128"/>
        <v>2.8</v>
      </c>
      <c r="BI166" s="435">
        <f t="shared" si="128"/>
        <v>2.8</v>
      </c>
      <c r="BJ166" s="435">
        <f t="shared" si="128"/>
        <v>2.8</v>
      </c>
      <c r="BK166" s="435">
        <f t="shared" si="128"/>
        <v>2.8</v>
      </c>
      <c r="BL166" s="435">
        <f t="shared" si="128"/>
        <v>2.8</v>
      </c>
    </row>
    <row r="167" spans="1:64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N167" si="129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129"/>
        <v>-</v>
      </c>
      <c r="H167" s="451" t="str">
        <f t="shared" si="129"/>
        <v>-</v>
      </c>
      <c r="I167" s="451" t="str">
        <f t="shared" si="129"/>
        <v>-</v>
      </c>
      <c r="J167" s="451" t="str">
        <f t="shared" si="129"/>
        <v>-</v>
      </c>
      <c r="K167" s="452" t="str">
        <f t="shared" si="129"/>
        <v>-</v>
      </c>
      <c r="L167" s="452" t="str">
        <f t="shared" si="129"/>
        <v>-</v>
      </c>
      <c r="M167" s="452" t="str">
        <f t="shared" si="129"/>
        <v>-</v>
      </c>
      <c r="N167" s="451" t="str">
        <f t="shared" si="129"/>
        <v>-</v>
      </c>
      <c r="O167" s="672"/>
      <c r="P167" s="673"/>
      <c r="Q167" s="673"/>
      <c r="R167" s="673"/>
      <c r="S167" s="672"/>
      <c r="T167" s="673"/>
      <c r="U167" s="673"/>
      <c r="V167" s="674"/>
      <c r="W167" s="434"/>
      <c r="X167" s="434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BC167" s="401" t="str">
        <f t="shared" si="109"/>
        <v>-</v>
      </c>
      <c r="BD167" s="429" t="str">
        <f>"0.7*IEF " &amp; B178</f>
        <v>0.7*IEF Total (EMROAD)</v>
      </c>
      <c r="BE167" s="435">
        <f t="shared" ref="BE167:BL167" si="130">IF(OR($C180="-",$C180="CET",$C180=""),"-",0.7*$C180)</f>
        <v>2.8</v>
      </c>
      <c r="BF167" s="435">
        <f t="shared" si="130"/>
        <v>2.8</v>
      </c>
      <c r="BG167" s="435">
        <f t="shared" si="130"/>
        <v>2.8</v>
      </c>
      <c r="BH167" s="435">
        <f t="shared" si="130"/>
        <v>2.8</v>
      </c>
      <c r="BI167" s="435">
        <f t="shared" si="130"/>
        <v>2.8</v>
      </c>
      <c r="BJ167" s="435">
        <f t="shared" si="130"/>
        <v>2.8</v>
      </c>
      <c r="BK167" s="435">
        <f t="shared" si="130"/>
        <v>2.8</v>
      </c>
      <c r="BL167" s="435">
        <f t="shared" si="130"/>
        <v>2.8</v>
      </c>
    </row>
    <row r="168" spans="1:64" s="405" customFormat="1" ht="15" customHeight="1" outlineLevel="1" x14ac:dyDescent="0.25">
      <c r="A168" s="454"/>
      <c r="B168" s="718" t="s">
        <v>141</v>
      </c>
      <c r="C168" s="684" t="s">
        <v>114</v>
      </c>
      <c r="D168" s="684" t="s">
        <v>113</v>
      </c>
      <c r="E168" s="453" t="s">
        <v>94</v>
      </c>
      <c r="F168" s="473" t="s">
        <v>5</v>
      </c>
      <c r="G168" s="473" t="s">
        <v>5</v>
      </c>
      <c r="H168" s="473" t="s">
        <v>5</v>
      </c>
      <c r="I168" s="473" t="s">
        <v>5</v>
      </c>
      <c r="J168" s="473" t="s">
        <v>5</v>
      </c>
      <c r="K168" s="474" t="s">
        <v>5</v>
      </c>
      <c r="L168" s="474" t="s">
        <v>5</v>
      </c>
      <c r="M168" s="474" t="s">
        <v>5</v>
      </c>
      <c r="N168" s="473" t="s">
        <v>5</v>
      </c>
      <c r="O168" s="672"/>
      <c r="P168" s="673"/>
      <c r="Q168" s="673"/>
      <c r="R168" s="673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C168" s="401" t="str">
        <f t="shared" si="109"/>
        <v>-</v>
      </c>
      <c r="BD168" s="429" t="str">
        <f>"0.7*IEF " &amp; B183</f>
        <v>0.7*IEF Total (SPF)</v>
      </c>
      <c r="BE168" s="435">
        <f t="shared" ref="BE168:BL168" si="131">IF(OR($C185="-",$C185="CET",$C185=""),"-",0.7*$C185)</f>
        <v>2.8</v>
      </c>
      <c r="BF168" s="435">
        <f t="shared" si="131"/>
        <v>2.8</v>
      </c>
      <c r="BG168" s="435">
        <f t="shared" si="131"/>
        <v>2.8</v>
      </c>
      <c r="BH168" s="435">
        <f t="shared" si="131"/>
        <v>2.8</v>
      </c>
      <c r="BI168" s="435">
        <f t="shared" si="131"/>
        <v>2.8</v>
      </c>
      <c r="BJ168" s="435">
        <f t="shared" si="131"/>
        <v>2.8</v>
      </c>
      <c r="BK168" s="435">
        <f t="shared" si="131"/>
        <v>2.8</v>
      </c>
      <c r="BL168" s="435">
        <f t="shared" si="131"/>
        <v>2.8</v>
      </c>
    </row>
    <row r="169" spans="1:64" ht="15" customHeight="1" outlineLevel="1" thickBot="1" x14ac:dyDescent="0.3">
      <c r="A169" s="404"/>
      <c r="B169" s="719"/>
      <c r="C169" s="702"/>
      <c r="D169" s="685"/>
      <c r="E169" s="440" t="s">
        <v>95</v>
      </c>
      <c r="F169" s="475" t="s">
        <v>5</v>
      </c>
      <c r="G169" s="475" t="s">
        <v>5</v>
      </c>
      <c r="H169" s="475" t="s">
        <v>5</v>
      </c>
      <c r="I169" s="475" t="s">
        <v>5</v>
      </c>
      <c r="J169" s="475" t="s">
        <v>5</v>
      </c>
      <c r="K169" s="476" t="s">
        <v>5</v>
      </c>
      <c r="L169" s="476" t="s">
        <v>5</v>
      </c>
      <c r="M169" s="476" t="s">
        <v>5</v>
      </c>
      <c r="N169" s="475" t="s">
        <v>5</v>
      </c>
      <c r="O169" s="672"/>
      <c r="P169" s="673"/>
      <c r="Q169" s="673"/>
      <c r="R169" s="673"/>
      <c r="S169" s="672"/>
      <c r="T169" s="673"/>
      <c r="U169" s="673"/>
      <c r="V169" s="674"/>
      <c r="W169" s="434"/>
      <c r="X169" s="434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BC169" s="401" t="str">
        <f t="shared" si="109"/>
        <v>-</v>
      </c>
      <c r="BD169" s="429" t="str">
        <f>$B158</f>
        <v>City (unweighted)</v>
      </c>
      <c r="BE169" s="435" t="str">
        <f t="shared" ref="BE169:BL169" si="132">F161</f>
        <v>-</v>
      </c>
      <c r="BF169" s="435" t="str">
        <f t="shared" si="132"/>
        <v>-</v>
      </c>
      <c r="BG169" s="435" t="str">
        <f t="shared" si="132"/>
        <v>-</v>
      </c>
      <c r="BH169" s="435" t="str">
        <f t="shared" si="132"/>
        <v>-</v>
      </c>
      <c r="BI169" s="435" t="str">
        <f t="shared" si="132"/>
        <v>-</v>
      </c>
      <c r="BJ169" s="435" t="str">
        <f t="shared" si="132"/>
        <v>-</v>
      </c>
      <c r="BK169" s="435" t="str">
        <f t="shared" si="132"/>
        <v>-</v>
      </c>
      <c r="BL169" s="435" t="str">
        <f t="shared" si="132"/>
        <v>-</v>
      </c>
    </row>
    <row r="170" spans="1:64" ht="15" customHeight="1" outlineLevel="1" thickBot="1" x14ac:dyDescent="0.3">
      <c r="A170" s="404"/>
      <c r="B170" s="719"/>
      <c r="C170" s="686">
        <v>4</v>
      </c>
      <c r="D170" s="689" t="str">
        <f>IF(AND(F171="-",G171="-",H171="-",I171="-",J171="-",K171="-",L171="-",M171="-"),"-",MAX(F171,G171,H171,I171,J171,K171,L171,M171))</f>
        <v>-</v>
      </c>
      <c r="E170" s="444" t="s">
        <v>96</v>
      </c>
      <c r="F170" s="445" t="str">
        <f t="shared" ref="F170:N170" si="133">IF(OR(F169="-",F169=""),IF(OR(F168="-",F168=""),"-",F168),IF(OR(F168="-",F168=""),F169,(F168+F169)/2))</f>
        <v>-</v>
      </c>
      <c r="G170" s="445" t="str">
        <f t="shared" si="133"/>
        <v>-</v>
      </c>
      <c r="H170" s="445" t="str">
        <f t="shared" si="133"/>
        <v>-</v>
      </c>
      <c r="I170" s="445" t="str">
        <f t="shared" si="133"/>
        <v>-</v>
      </c>
      <c r="J170" s="445" t="str">
        <f t="shared" si="133"/>
        <v>-</v>
      </c>
      <c r="K170" s="446" t="str">
        <f t="shared" si="133"/>
        <v>-</v>
      </c>
      <c r="L170" s="446" t="str">
        <f t="shared" si="133"/>
        <v>-</v>
      </c>
      <c r="M170" s="446" t="str">
        <f t="shared" si="133"/>
        <v>-</v>
      </c>
      <c r="N170" s="445" t="str">
        <f t="shared" si="133"/>
        <v>-</v>
      </c>
      <c r="O170" s="672"/>
      <c r="P170" s="673"/>
      <c r="Q170" s="673"/>
      <c r="R170" s="673"/>
      <c r="S170" s="672"/>
      <c r="T170" s="673"/>
      <c r="U170" s="673"/>
      <c r="V170" s="674"/>
      <c r="W170" s="434"/>
      <c r="X170" s="434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BC170" s="401" t="str">
        <f t="shared" si="109"/>
        <v>-</v>
      </c>
      <c r="BD170" s="429" t="str">
        <f>$B163</f>
        <v>City (EMROAD)</v>
      </c>
      <c r="BE170" s="435" t="str">
        <f t="shared" ref="BE170:BL170" si="134">F166</f>
        <v>-</v>
      </c>
      <c r="BF170" s="435" t="str">
        <f t="shared" si="134"/>
        <v>-</v>
      </c>
      <c r="BG170" s="435" t="str">
        <f t="shared" si="134"/>
        <v>-</v>
      </c>
      <c r="BH170" s="435" t="str">
        <f t="shared" si="134"/>
        <v>-</v>
      </c>
      <c r="BI170" s="435" t="str">
        <f t="shared" si="134"/>
        <v>-</v>
      </c>
      <c r="BJ170" s="435" t="str">
        <f t="shared" si="134"/>
        <v>-</v>
      </c>
      <c r="BK170" s="435" t="str">
        <f t="shared" si="134"/>
        <v>-</v>
      </c>
      <c r="BL170" s="435" t="str">
        <f t="shared" si="134"/>
        <v>-</v>
      </c>
    </row>
    <row r="171" spans="1:64" ht="15" customHeight="1" outlineLevel="1" thickBot="1" x14ac:dyDescent="0.3">
      <c r="A171" s="404"/>
      <c r="B171" s="719"/>
      <c r="C171" s="687"/>
      <c r="D171" s="690"/>
      <c r="E171" s="447" t="s">
        <v>97</v>
      </c>
      <c r="F171" s="448" t="str">
        <f t="shared" ref="F171:N171" si="135">IF(OR($C170="-",$C170="CET",$C170=""),"-",IF(AND(NOT(F170="-"),NOT(F$5="-"),NOT(F$5="")),F170/F$5,"-"))</f>
        <v>-</v>
      </c>
      <c r="G171" s="448" t="str">
        <f t="shared" si="135"/>
        <v>-</v>
      </c>
      <c r="H171" s="448" t="str">
        <f t="shared" si="135"/>
        <v>-</v>
      </c>
      <c r="I171" s="448" t="str">
        <f t="shared" si="135"/>
        <v>-</v>
      </c>
      <c r="J171" s="448" t="str">
        <f t="shared" si="135"/>
        <v>-</v>
      </c>
      <c r="K171" s="449" t="str">
        <f t="shared" si="135"/>
        <v>-</v>
      </c>
      <c r="L171" s="449" t="str">
        <f t="shared" si="135"/>
        <v>-</v>
      </c>
      <c r="M171" s="449" t="str">
        <f t="shared" si="135"/>
        <v>-</v>
      </c>
      <c r="N171" s="448" t="str">
        <f t="shared" si="135"/>
        <v>-</v>
      </c>
      <c r="O171" s="672"/>
      <c r="P171" s="673"/>
      <c r="Q171" s="673"/>
      <c r="R171" s="673"/>
      <c r="S171" s="672"/>
      <c r="T171" s="673"/>
      <c r="U171" s="673"/>
      <c r="V171" s="674"/>
      <c r="W171" s="434"/>
      <c r="X171" s="434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BC171" s="401" t="str">
        <f t="shared" si="109"/>
        <v>-</v>
      </c>
      <c r="BD171" s="429" t="str">
        <f>$B168</f>
        <v>City
 (SPF)</v>
      </c>
      <c r="BE171" s="435" t="str">
        <f t="shared" ref="BE171:BL171" si="136">F171</f>
        <v>-</v>
      </c>
      <c r="BF171" s="435" t="str">
        <f t="shared" si="136"/>
        <v>-</v>
      </c>
      <c r="BG171" s="435" t="str">
        <f t="shared" si="136"/>
        <v>-</v>
      </c>
      <c r="BH171" s="435" t="str">
        <f t="shared" si="136"/>
        <v>-</v>
      </c>
      <c r="BI171" s="435" t="str">
        <f t="shared" si="136"/>
        <v>-</v>
      </c>
      <c r="BJ171" s="435" t="str">
        <f t="shared" si="136"/>
        <v>-</v>
      </c>
      <c r="BK171" s="435" t="str">
        <f t="shared" si="136"/>
        <v>-</v>
      </c>
      <c r="BL171" s="435" t="str">
        <f t="shared" si="136"/>
        <v>-</v>
      </c>
    </row>
    <row r="172" spans="1:64" ht="15" customHeight="1" outlineLevel="1" thickBot="1" x14ac:dyDescent="0.3">
      <c r="A172" s="404"/>
      <c r="B172" s="720"/>
      <c r="C172" s="688"/>
      <c r="D172" s="691"/>
      <c r="E172" s="451" t="s">
        <v>30</v>
      </c>
      <c r="F172" s="451" t="str">
        <f t="shared" ref="F172:N172" si="137">IF(AND(OR(F168="-",F168=""),OR(F169="-",F169="")),"-",IF(OR($C170="-",$C170="",$C170="CET"),"-",IF($R$154="not listed","-",IF(NOT(F$5="-"),IF(AND(AND(NOT(F168=0),NOT(F168="-"),NOT(F168="")),AND(NOT(F169="-"),NOT(F169=0),NOT(F169=""))),IF(AND((F168+F169)/2&lt;1*F$5*IF(OR($C170="CET",$C170="-",$C170=""),"-",$C170),F168&lt;1.1*F$5*IF(OR($C170="CET",$C170="-",$C170=""),"-",$C170),F169&lt;1.1*F$5*IF(OR($C170="CET",$C170="-",$C170=""),"-",$C170)),"passed","refused"),IF(IF(OR(F168="-",F168=""),F169,F168)&lt;0.7*F$5*IF(OR($C170="CET",$C170="-",$C170=""),"-",$C170),"passed",IF(IF(OR(F168="-",F168=""),F169,F168)&lt;1.1*IF(OR($C170="CET",$C170="-",$C170=""),"-",$C170)*F$5,"failed","refused"))),"-"))))</f>
        <v>-</v>
      </c>
      <c r="G172" s="451" t="str">
        <f t="shared" si="137"/>
        <v>-</v>
      </c>
      <c r="H172" s="451" t="str">
        <f t="shared" si="137"/>
        <v>-</v>
      </c>
      <c r="I172" s="451" t="str">
        <f t="shared" si="137"/>
        <v>-</v>
      </c>
      <c r="J172" s="451" t="str">
        <f t="shared" si="137"/>
        <v>-</v>
      </c>
      <c r="K172" s="452" t="str">
        <f t="shared" si="137"/>
        <v>-</v>
      </c>
      <c r="L172" s="452" t="str">
        <f t="shared" si="137"/>
        <v>-</v>
      </c>
      <c r="M172" s="452" t="str">
        <f t="shared" si="137"/>
        <v>-</v>
      </c>
      <c r="N172" s="451" t="str">
        <f t="shared" si="137"/>
        <v>-</v>
      </c>
      <c r="O172" s="672"/>
      <c r="P172" s="673"/>
      <c r="Q172" s="673"/>
      <c r="R172" s="673"/>
      <c r="S172" s="672"/>
      <c r="T172" s="673"/>
      <c r="U172" s="673"/>
      <c r="V172" s="674"/>
      <c r="W172" s="434"/>
      <c r="X172" s="434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BC172" s="401" t="str">
        <f t="shared" si="109"/>
        <v>-</v>
      </c>
      <c r="BD172" s="429" t="str">
        <f>$B173</f>
        <v>Total (unweighted)</v>
      </c>
      <c r="BE172" s="435" t="str">
        <f t="shared" ref="BE172:BL172" si="138">F176</f>
        <v>-</v>
      </c>
      <c r="BF172" s="435" t="str">
        <f t="shared" si="138"/>
        <v>-</v>
      </c>
      <c r="BG172" s="435" t="str">
        <f t="shared" si="138"/>
        <v>-</v>
      </c>
      <c r="BH172" s="435" t="str">
        <f t="shared" si="138"/>
        <v>-</v>
      </c>
      <c r="BI172" s="435" t="str">
        <f t="shared" si="138"/>
        <v>-</v>
      </c>
      <c r="BJ172" s="435" t="str">
        <f t="shared" si="138"/>
        <v>-</v>
      </c>
      <c r="BK172" s="435" t="str">
        <f t="shared" si="138"/>
        <v>-</v>
      </c>
      <c r="BL172" s="435" t="str">
        <f t="shared" si="138"/>
        <v>-</v>
      </c>
    </row>
    <row r="173" spans="1:64" s="405" customFormat="1" ht="15" customHeight="1" outlineLevel="1" x14ac:dyDescent="0.25">
      <c r="A173" s="454"/>
      <c r="B173" s="724" t="s">
        <v>105</v>
      </c>
      <c r="C173" s="684" t="s">
        <v>114</v>
      </c>
      <c r="D173" s="684" t="s">
        <v>113</v>
      </c>
      <c r="E173" s="453" t="s">
        <v>94</v>
      </c>
      <c r="F173" s="473" t="s">
        <v>5</v>
      </c>
      <c r="G173" s="473" t="s">
        <v>5</v>
      </c>
      <c r="H173" s="473" t="s">
        <v>5</v>
      </c>
      <c r="I173" s="473" t="s">
        <v>5</v>
      </c>
      <c r="J173" s="473" t="s">
        <v>5</v>
      </c>
      <c r="K173" s="474" t="s">
        <v>5</v>
      </c>
      <c r="L173" s="474" t="s">
        <v>5</v>
      </c>
      <c r="M173" s="474" t="s">
        <v>5</v>
      </c>
      <c r="N173" s="473" t="s">
        <v>5</v>
      </c>
      <c r="O173" s="672"/>
      <c r="P173" s="673"/>
      <c r="Q173" s="673"/>
      <c r="R173" s="673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C173" s="401" t="str">
        <f t="shared" si="109"/>
        <v>-</v>
      </c>
      <c r="BD173" s="429" t="str">
        <f>$B178</f>
        <v>Total (EMROAD)</v>
      </c>
      <c r="BE173" s="435" t="str">
        <f t="shared" ref="BE173:BL173" si="139">F181</f>
        <v>-</v>
      </c>
      <c r="BF173" s="435" t="str">
        <f t="shared" si="139"/>
        <v>-</v>
      </c>
      <c r="BG173" s="435" t="str">
        <f t="shared" si="139"/>
        <v>-</v>
      </c>
      <c r="BH173" s="435" t="str">
        <f t="shared" si="139"/>
        <v>-</v>
      </c>
      <c r="BI173" s="435" t="str">
        <f t="shared" si="139"/>
        <v>-</v>
      </c>
      <c r="BJ173" s="435" t="str">
        <f t="shared" si="139"/>
        <v>-</v>
      </c>
      <c r="BK173" s="435" t="str">
        <f t="shared" si="139"/>
        <v>-</v>
      </c>
      <c r="BL173" s="435" t="str">
        <f t="shared" si="139"/>
        <v>-</v>
      </c>
    </row>
    <row r="174" spans="1:64" ht="15" customHeight="1" outlineLevel="1" thickBot="1" x14ac:dyDescent="0.3">
      <c r="A174" s="404"/>
      <c r="B174" s="725"/>
      <c r="C174" s="702"/>
      <c r="D174" s="685"/>
      <c r="E174" s="440" t="s">
        <v>95</v>
      </c>
      <c r="F174" s="475" t="s">
        <v>5</v>
      </c>
      <c r="G174" s="475" t="s">
        <v>5</v>
      </c>
      <c r="H174" s="475" t="s">
        <v>5</v>
      </c>
      <c r="I174" s="475" t="s">
        <v>5</v>
      </c>
      <c r="J174" s="475" t="s">
        <v>5</v>
      </c>
      <c r="K174" s="476" t="s">
        <v>5</v>
      </c>
      <c r="L174" s="476" t="s">
        <v>5</v>
      </c>
      <c r="M174" s="476" t="s">
        <v>5</v>
      </c>
      <c r="N174" s="475" t="s">
        <v>5</v>
      </c>
      <c r="O174" s="672"/>
      <c r="P174" s="673"/>
      <c r="Q174" s="673"/>
      <c r="R174" s="673"/>
      <c r="S174" s="672"/>
      <c r="T174" s="673"/>
      <c r="U174" s="673"/>
      <c r="V174" s="674"/>
      <c r="W174" s="434"/>
      <c r="X174" s="434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BC174" s="401" t="str">
        <f t="shared" si="109"/>
        <v>-</v>
      </c>
      <c r="BD174" s="429" t="str">
        <f>$B183</f>
        <v>Total (SPF)</v>
      </c>
      <c r="BE174" s="435" t="str">
        <f t="shared" ref="BE174:BL174" si="140">F186</f>
        <v>-</v>
      </c>
      <c r="BF174" s="435" t="str">
        <f t="shared" si="140"/>
        <v>-</v>
      </c>
      <c r="BG174" s="435" t="str">
        <f t="shared" si="140"/>
        <v>-</v>
      </c>
      <c r="BH174" s="435" t="str">
        <f t="shared" si="140"/>
        <v>-</v>
      </c>
      <c r="BI174" s="435" t="str">
        <f t="shared" si="140"/>
        <v>-</v>
      </c>
      <c r="BJ174" s="435" t="str">
        <f t="shared" si="140"/>
        <v>-</v>
      </c>
      <c r="BK174" s="435" t="str">
        <f t="shared" si="140"/>
        <v>-</v>
      </c>
      <c r="BL174" s="435" t="str">
        <f t="shared" si="140"/>
        <v>-</v>
      </c>
    </row>
    <row r="175" spans="1:64" ht="15" customHeight="1" outlineLevel="1" thickBot="1" x14ac:dyDescent="0.3">
      <c r="A175" s="404"/>
      <c r="B175" s="725"/>
      <c r="C175" s="686">
        <v>4</v>
      </c>
      <c r="D175" s="689" t="str">
        <f>IF(AND(F176="-",G176="-",H176="-",I176="-",J176="-",K176="-",L176="-",M176="-"),"-",MAX(F176,G176,H176,I176,J176,K176,L176,M176))</f>
        <v>-</v>
      </c>
      <c r="E175" s="444" t="s">
        <v>96</v>
      </c>
      <c r="F175" s="445" t="str">
        <f t="shared" ref="F175:N175" si="141">IF(OR(F174="-",F174=""),IF(OR(F173="-",F173=""),"-",F173),IF(OR(F173="-",F173=""),F174,(F173+F174)/2))</f>
        <v>-</v>
      </c>
      <c r="G175" s="445" t="str">
        <f t="shared" si="141"/>
        <v>-</v>
      </c>
      <c r="H175" s="445" t="str">
        <f t="shared" si="141"/>
        <v>-</v>
      </c>
      <c r="I175" s="445" t="str">
        <f t="shared" si="141"/>
        <v>-</v>
      </c>
      <c r="J175" s="445" t="str">
        <f t="shared" si="141"/>
        <v>-</v>
      </c>
      <c r="K175" s="446" t="str">
        <f t="shared" si="141"/>
        <v>-</v>
      </c>
      <c r="L175" s="446" t="str">
        <f t="shared" si="141"/>
        <v>-</v>
      </c>
      <c r="M175" s="446" t="str">
        <f t="shared" si="141"/>
        <v>-</v>
      </c>
      <c r="N175" s="445" t="str">
        <f t="shared" si="141"/>
        <v>-</v>
      </c>
      <c r="O175" s="672"/>
      <c r="P175" s="673"/>
      <c r="Q175" s="673"/>
      <c r="R175" s="673"/>
      <c r="S175" s="672"/>
      <c r="T175" s="673"/>
      <c r="U175" s="673"/>
      <c r="V175" s="674"/>
      <c r="W175" s="434"/>
      <c r="X175" s="434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BC175" s="401" t="str">
        <f t="shared" si="109"/>
        <v>-</v>
      </c>
      <c r="BD175" s="429" t="str">
        <f>"IEF " &amp;B158</f>
        <v>IEF City (unweighted)</v>
      </c>
      <c r="BE175" s="435">
        <f t="shared" ref="BE175:BL175" si="142">IF(OR($C160="-",$C160="CET",$C160=""),"-",$C160)</f>
        <v>4</v>
      </c>
      <c r="BF175" s="435">
        <f t="shared" si="142"/>
        <v>4</v>
      </c>
      <c r="BG175" s="435">
        <f t="shared" si="142"/>
        <v>4</v>
      </c>
      <c r="BH175" s="435">
        <f t="shared" si="142"/>
        <v>4</v>
      </c>
      <c r="BI175" s="435">
        <f t="shared" si="142"/>
        <v>4</v>
      </c>
      <c r="BJ175" s="435">
        <f t="shared" si="142"/>
        <v>4</v>
      </c>
      <c r="BK175" s="435">
        <f t="shared" si="142"/>
        <v>4</v>
      </c>
      <c r="BL175" s="435">
        <f t="shared" si="142"/>
        <v>4</v>
      </c>
    </row>
    <row r="176" spans="1:64" ht="15" customHeight="1" outlineLevel="1" thickBot="1" x14ac:dyDescent="0.3">
      <c r="A176" s="404"/>
      <c r="B176" s="725"/>
      <c r="C176" s="687"/>
      <c r="D176" s="690"/>
      <c r="E176" s="447" t="s">
        <v>97</v>
      </c>
      <c r="F176" s="448" t="str">
        <f t="shared" ref="F176:N176" si="143">IF(OR($C175="-",$C175="CET",$C175=""),"-",IF(AND(NOT(F175="-"),NOT(F$5="-"),NOT(F$5="")),F175/F$5,"-"))</f>
        <v>-</v>
      </c>
      <c r="G176" s="448" t="str">
        <f t="shared" si="143"/>
        <v>-</v>
      </c>
      <c r="H176" s="448" t="str">
        <f t="shared" si="143"/>
        <v>-</v>
      </c>
      <c r="I176" s="448" t="str">
        <f t="shared" si="143"/>
        <v>-</v>
      </c>
      <c r="J176" s="448" t="str">
        <f t="shared" si="143"/>
        <v>-</v>
      </c>
      <c r="K176" s="449" t="str">
        <f t="shared" si="143"/>
        <v>-</v>
      </c>
      <c r="L176" s="449" t="str">
        <f t="shared" si="143"/>
        <v>-</v>
      </c>
      <c r="M176" s="449" t="str">
        <f t="shared" si="143"/>
        <v>-</v>
      </c>
      <c r="N176" s="448" t="str">
        <f t="shared" si="143"/>
        <v>-</v>
      </c>
      <c r="O176" s="672"/>
      <c r="P176" s="673"/>
      <c r="Q176" s="673"/>
      <c r="R176" s="673"/>
      <c r="S176" s="672"/>
      <c r="T176" s="673"/>
      <c r="U176" s="673"/>
      <c r="V176" s="674"/>
      <c r="W176" s="434"/>
      <c r="X176" s="434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BC176" s="401" t="str">
        <f t="shared" si="109"/>
        <v>-</v>
      </c>
      <c r="BD176" s="429" t="str">
        <f>"IEF " &amp; B163</f>
        <v>IEF City (EMROAD)</v>
      </c>
      <c r="BE176" s="435">
        <f t="shared" ref="BE176:BL176" si="144">IF(OR($C165="-",$C165="CET",$C165=""),"-",$C165)</f>
        <v>4</v>
      </c>
      <c r="BF176" s="435">
        <f t="shared" si="144"/>
        <v>4</v>
      </c>
      <c r="BG176" s="435">
        <f t="shared" si="144"/>
        <v>4</v>
      </c>
      <c r="BH176" s="435">
        <f t="shared" si="144"/>
        <v>4</v>
      </c>
      <c r="BI176" s="435">
        <f t="shared" si="144"/>
        <v>4</v>
      </c>
      <c r="BJ176" s="435">
        <f t="shared" si="144"/>
        <v>4</v>
      </c>
      <c r="BK176" s="435">
        <f t="shared" si="144"/>
        <v>4</v>
      </c>
      <c r="BL176" s="435">
        <f t="shared" si="144"/>
        <v>4</v>
      </c>
    </row>
    <row r="177" spans="1:64" ht="15" customHeight="1" outlineLevel="1" thickBot="1" x14ac:dyDescent="0.3">
      <c r="A177" s="404"/>
      <c r="B177" s="726"/>
      <c r="C177" s="688"/>
      <c r="D177" s="691"/>
      <c r="E177" s="451" t="s">
        <v>30</v>
      </c>
      <c r="F177" s="451" t="str">
        <f t="shared" ref="F177:N177" si="145">IF(AND(OR(F173="-",F173=""),OR(F174="-",F174="")),"-",IF(OR($C175="-",$C175="",$C175="CET"),"-",IF($R$154="not listed","-",IF(NOT(F$5="-"),IF(AND(AND(NOT(F173=0),NOT(F173="-"),NOT(F173="")),AND(NOT(F174="-"),NOT(F174=0),NOT(F174=""))),IF(AND((F173+F174)/2&lt;1*F$5*IF(OR($C175="CET",$C175="-",$C175=""),"-",$C175),F173&lt;1.1*F$5*IF(OR($C175="CET",$C175="-",$C175=""),"-",$C175),F174&lt;1.1*F$5*IF(OR($C175="CET",$C175="-",$C175=""),"-",$C175)),"passed","refused"),IF(IF(OR(F173="-",F173=""),F174,F173)&lt;0.7*F$5*IF(OR($C175="CET",$C175="-",$C175=""),"-",$C175),"passed",IF(IF(OR(F173="-",F173=""),F174,F173)&lt;1.1*IF(OR($C175="CET",$C175="-",$C175=""),"-",$C175)*F$5,"failed","refused"))),"-"))))</f>
        <v>-</v>
      </c>
      <c r="G177" s="451" t="str">
        <f t="shared" si="145"/>
        <v>-</v>
      </c>
      <c r="H177" s="451" t="str">
        <f t="shared" si="145"/>
        <v>-</v>
      </c>
      <c r="I177" s="451" t="str">
        <f t="shared" si="145"/>
        <v>-</v>
      </c>
      <c r="J177" s="451" t="str">
        <f t="shared" si="145"/>
        <v>-</v>
      </c>
      <c r="K177" s="452" t="str">
        <f t="shared" si="145"/>
        <v>-</v>
      </c>
      <c r="L177" s="452" t="str">
        <f t="shared" si="145"/>
        <v>-</v>
      </c>
      <c r="M177" s="452" t="str">
        <f t="shared" si="145"/>
        <v>-</v>
      </c>
      <c r="N177" s="451" t="str">
        <f t="shared" si="145"/>
        <v>-</v>
      </c>
      <c r="O177" s="672"/>
      <c r="P177" s="673"/>
      <c r="Q177" s="673"/>
      <c r="R177" s="673"/>
      <c r="S177" s="672"/>
      <c r="T177" s="673"/>
      <c r="U177" s="673"/>
      <c r="V177" s="674"/>
      <c r="W177" s="434"/>
      <c r="X177" s="434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BC177" s="401" t="str">
        <f t="shared" si="109"/>
        <v>-</v>
      </c>
      <c r="BD177" s="429" t="str">
        <f>"IEF " &amp; B168</f>
        <v>IEF City
 (SPF)</v>
      </c>
      <c r="BE177" s="435">
        <f t="shared" ref="BE177:BL177" si="146">IF(OR($C170="-",$C170="CET",$C170=""),"-",$C170)</f>
        <v>4</v>
      </c>
      <c r="BF177" s="435">
        <f t="shared" si="146"/>
        <v>4</v>
      </c>
      <c r="BG177" s="435">
        <f t="shared" si="146"/>
        <v>4</v>
      </c>
      <c r="BH177" s="435">
        <f t="shared" si="146"/>
        <v>4</v>
      </c>
      <c r="BI177" s="435">
        <f t="shared" si="146"/>
        <v>4</v>
      </c>
      <c r="BJ177" s="435">
        <f t="shared" si="146"/>
        <v>4</v>
      </c>
      <c r="BK177" s="435">
        <f t="shared" si="146"/>
        <v>4</v>
      </c>
      <c r="BL177" s="435">
        <f t="shared" si="146"/>
        <v>4</v>
      </c>
    </row>
    <row r="178" spans="1:64" s="405" customFormat="1" ht="15" customHeight="1" outlineLevel="1" x14ac:dyDescent="0.25">
      <c r="A178" s="454"/>
      <c r="B178" s="724" t="s">
        <v>104</v>
      </c>
      <c r="C178" s="684" t="s">
        <v>114</v>
      </c>
      <c r="D178" s="684" t="s">
        <v>113</v>
      </c>
      <c r="E178" s="453" t="s">
        <v>94</v>
      </c>
      <c r="F178" s="473" t="s">
        <v>5</v>
      </c>
      <c r="G178" s="473" t="s">
        <v>5</v>
      </c>
      <c r="H178" s="473" t="s">
        <v>5</v>
      </c>
      <c r="I178" s="473" t="s">
        <v>5</v>
      </c>
      <c r="J178" s="473" t="s">
        <v>5</v>
      </c>
      <c r="K178" s="474" t="s">
        <v>5</v>
      </c>
      <c r="L178" s="474" t="s">
        <v>5</v>
      </c>
      <c r="M178" s="474" t="s">
        <v>5</v>
      </c>
      <c r="N178" s="473" t="s">
        <v>5</v>
      </c>
      <c r="O178" s="672"/>
      <c r="P178" s="673"/>
      <c r="Q178" s="673"/>
      <c r="R178" s="673"/>
      <c r="S178" s="672"/>
      <c r="T178" s="673"/>
      <c r="U178" s="673"/>
      <c r="V178" s="674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C178" s="401" t="str">
        <f t="shared" si="109"/>
        <v>-</v>
      </c>
      <c r="BD178" s="429" t="str">
        <f>"IEF " &amp; B173</f>
        <v>IEF Total (unweighted)</v>
      </c>
      <c r="BE178" s="435">
        <f t="shared" ref="BE178:BL178" si="147">IF(OR($C175="-",$C175="CET",$C175=""),"-",$C175)</f>
        <v>4</v>
      </c>
      <c r="BF178" s="435">
        <f t="shared" si="147"/>
        <v>4</v>
      </c>
      <c r="BG178" s="435">
        <f t="shared" si="147"/>
        <v>4</v>
      </c>
      <c r="BH178" s="435">
        <f t="shared" si="147"/>
        <v>4</v>
      </c>
      <c r="BI178" s="435">
        <f t="shared" si="147"/>
        <v>4</v>
      </c>
      <c r="BJ178" s="435">
        <f t="shared" si="147"/>
        <v>4</v>
      </c>
      <c r="BK178" s="435">
        <f t="shared" si="147"/>
        <v>4</v>
      </c>
      <c r="BL178" s="435">
        <f t="shared" si="147"/>
        <v>4</v>
      </c>
    </row>
    <row r="179" spans="1:64" ht="15" customHeight="1" outlineLevel="1" thickBot="1" x14ac:dyDescent="0.3">
      <c r="A179" s="404"/>
      <c r="B179" s="725"/>
      <c r="C179" s="702"/>
      <c r="D179" s="685"/>
      <c r="E179" s="440" t="s">
        <v>95</v>
      </c>
      <c r="F179" s="475" t="s">
        <v>5</v>
      </c>
      <c r="G179" s="475" t="s">
        <v>5</v>
      </c>
      <c r="H179" s="475" t="s">
        <v>5</v>
      </c>
      <c r="I179" s="475" t="s">
        <v>5</v>
      </c>
      <c r="J179" s="475" t="s">
        <v>5</v>
      </c>
      <c r="K179" s="476" t="s">
        <v>5</v>
      </c>
      <c r="L179" s="476" t="s">
        <v>5</v>
      </c>
      <c r="M179" s="476" t="s">
        <v>5</v>
      </c>
      <c r="N179" s="475" t="s">
        <v>5</v>
      </c>
      <c r="O179" s="672"/>
      <c r="P179" s="673"/>
      <c r="Q179" s="673"/>
      <c r="R179" s="673"/>
      <c r="S179" s="672"/>
      <c r="T179" s="673"/>
      <c r="U179" s="673"/>
      <c r="V179" s="674"/>
      <c r="W179" s="434"/>
      <c r="X179" s="434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BC179" s="401" t="str">
        <f t="shared" si="109"/>
        <v>-</v>
      </c>
      <c r="BD179" s="429" t="str">
        <f>"IEF " &amp; B178</f>
        <v>IEF Total (EMROAD)</v>
      </c>
      <c r="BE179" s="435">
        <f t="shared" ref="BE179:BL179" si="148">IF(OR($C180="-",$C180="CET",$C180=""),"-",$C180)</f>
        <v>4</v>
      </c>
      <c r="BF179" s="435">
        <f t="shared" si="148"/>
        <v>4</v>
      </c>
      <c r="BG179" s="435">
        <f t="shared" si="148"/>
        <v>4</v>
      </c>
      <c r="BH179" s="435">
        <f t="shared" si="148"/>
        <v>4</v>
      </c>
      <c r="BI179" s="435">
        <f t="shared" si="148"/>
        <v>4</v>
      </c>
      <c r="BJ179" s="435">
        <f t="shared" si="148"/>
        <v>4</v>
      </c>
      <c r="BK179" s="435">
        <f t="shared" si="148"/>
        <v>4</v>
      </c>
      <c r="BL179" s="435">
        <f t="shared" si="148"/>
        <v>4</v>
      </c>
    </row>
    <row r="180" spans="1:64" ht="15" customHeight="1" outlineLevel="1" thickBot="1" x14ac:dyDescent="0.3">
      <c r="A180" s="404"/>
      <c r="B180" s="725"/>
      <c r="C180" s="686">
        <v>4</v>
      </c>
      <c r="D180" s="689" t="str">
        <f>IF(AND(F181="-",G181="-",H181="-",I181="-",J181="-",K181="-",L181="-",M181="-"),"-",MAX(F181,G181,H181,I181,J181,K181,L181,M181))</f>
        <v>-</v>
      </c>
      <c r="E180" s="444" t="s">
        <v>96</v>
      </c>
      <c r="F180" s="445" t="str">
        <f t="shared" ref="F180:N180" si="149">IF(OR(F179="-",F179=""),IF(OR(F178="-",F178=""),"-",F178),IF(OR(F178="-",F178=""),F179,(F178+F179)/2))</f>
        <v>-</v>
      </c>
      <c r="G180" s="445" t="str">
        <f t="shared" si="149"/>
        <v>-</v>
      </c>
      <c r="H180" s="445" t="str">
        <f t="shared" si="149"/>
        <v>-</v>
      </c>
      <c r="I180" s="445" t="str">
        <f t="shared" si="149"/>
        <v>-</v>
      </c>
      <c r="J180" s="445" t="str">
        <f t="shared" si="149"/>
        <v>-</v>
      </c>
      <c r="K180" s="446" t="str">
        <f t="shared" si="149"/>
        <v>-</v>
      </c>
      <c r="L180" s="446" t="str">
        <f t="shared" si="149"/>
        <v>-</v>
      </c>
      <c r="M180" s="446" t="str">
        <f t="shared" si="149"/>
        <v>-</v>
      </c>
      <c r="N180" s="445" t="str">
        <f t="shared" si="149"/>
        <v>-</v>
      </c>
      <c r="O180" s="672"/>
      <c r="P180" s="673"/>
      <c r="Q180" s="673"/>
      <c r="R180" s="673"/>
      <c r="S180" s="672"/>
      <c r="T180" s="673"/>
      <c r="U180" s="673"/>
      <c r="V180" s="674"/>
      <c r="W180" s="434"/>
      <c r="X180" s="434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BC180" s="401" t="str">
        <f t="shared" si="109"/>
        <v>-</v>
      </c>
      <c r="BD180" s="429" t="str">
        <f>"IEF " &amp; B183</f>
        <v>IEF Total (SPF)</v>
      </c>
      <c r="BE180" s="435">
        <f t="shared" ref="BE180:BL180" si="150">IF(OR($C185="-",$C185="CET",$C185=""),"-",$C185)</f>
        <v>4</v>
      </c>
      <c r="BF180" s="435">
        <f t="shared" si="150"/>
        <v>4</v>
      </c>
      <c r="BG180" s="435">
        <f t="shared" si="150"/>
        <v>4</v>
      </c>
      <c r="BH180" s="435">
        <f t="shared" si="150"/>
        <v>4</v>
      </c>
      <c r="BI180" s="435">
        <f t="shared" si="150"/>
        <v>4</v>
      </c>
      <c r="BJ180" s="435">
        <f t="shared" si="150"/>
        <v>4</v>
      </c>
      <c r="BK180" s="435">
        <f t="shared" si="150"/>
        <v>4</v>
      </c>
      <c r="BL180" s="435">
        <f t="shared" si="150"/>
        <v>4</v>
      </c>
    </row>
    <row r="181" spans="1:64" ht="15" customHeight="1" outlineLevel="1" thickBot="1" x14ac:dyDescent="0.3">
      <c r="A181" s="404"/>
      <c r="B181" s="725"/>
      <c r="C181" s="687"/>
      <c r="D181" s="690"/>
      <c r="E181" s="447" t="s">
        <v>97</v>
      </c>
      <c r="F181" s="448" t="str">
        <f t="shared" ref="F181:N181" si="151">IF(OR($C180="-",$C180="CET",$C180=""),"-",IF(AND(NOT(F180="-"),NOT(F$5="-"),NOT(F$5="")),F180/F$5,"-"))</f>
        <v>-</v>
      </c>
      <c r="G181" s="448" t="str">
        <f t="shared" si="151"/>
        <v>-</v>
      </c>
      <c r="H181" s="448" t="str">
        <f t="shared" si="151"/>
        <v>-</v>
      </c>
      <c r="I181" s="448" t="str">
        <f t="shared" si="151"/>
        <v>-</v>
      </c>
      <c r="J181" s="448" t="str">
        <f t="shared" si="151"/>
        <v>-</v>
      </c>
      <c r="K181" s="449" t="str">
        <f t="shared" si="151"/>
        <v>-</v>
      </c>
      <c r="L181" s="449" t="str">
        <f t="shared" si="151"/>
        <v>-</v>
      </c>
      <c r="M181" s="449" t="str">
        <f t="shared" si="151"/>
        <v>-</v>
      </c>
      <c r="N181" s="448" t="str">
        <f t="shared" si="151"/>
        <v>-</v>
      </c>
      <c r="O181" s="672"/>
      <c r="P181" s="673"/>
      <c r="Q181" s="673"/>
      <c r="R181" s="673"/>
      <c r="S181" s="672"/>
      <c r="T181" s="673"/>
      <c r="U181" s="673"/>
      <c r="V181" s="674"/>
      <c r="W181" s="434"/>
      <c r="X181" s="434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BC181" s="401" t="str">
        <f t="shared" si="109"/>
        <v>-</v>
      </c>
    </row>
    <row r="182" spans="1:64" ht="15" customHeight="1" outlineLevel="1" thickBot="1" x14ac:dyDescent="0.3">
      <c r="A182" s="404"/>
      <c r="B182" s="726"/>
      <c r="C182" s="688"/>
      <c r="D182" s="691"/>
      <c r="E182" s="451" t="s">
        <v>30</v>
      </c>
      <c r="F182" s="451" t="str">
        <f t="shared" ref="F182:N182" si="152">IF(AND(OR(F178="-",F178=""),OR(F179="-",F179="")),"-",IF(OR($C180="-",$C180="",$C180="CET"),"-",IF($R$154="not listed","-",IF(NOT(F$5="-"),IF(AND(AND(NOT(F178=0),NOT(F178="-"),NOT(F178="")),AND(NOT(F179="-"),NOT(F179=0),NOT(F179=""))),IF(AND((F178+F179)/2&lt;1*F$5*IF(OR($C180="CET",$C180="-",$C180=""),"-",$C180),F178&lt;1.1*F$5*IF(OR($C180="CET",$C180="-",$C180=""),"-",$C180),F179&lt;1.1*F$5*IF(OR($C180="CET",$C180="-",$C180=""),"-",$C180)),"passed","refused"),IF(IF(OR(F178="-",F178=""),F179,F178)&lt;0.7*F$5*IF(OR($C180="CET",$C180="-",$C180=""),"-",$C180),"passed",IF(IF(OR(F178="-",F178=""),F179,F178)&lt;1.1*IF(OR($C180="CET",$C180="-",$C180=""),"-",$C180)*F$5,"failed","refused"))),"-"))))</f>
        <v>-</v>
      </c>
      <c r="G182" s="451" t="str">
        <f t="shared" si="152"/>
        <v>-</v>
      </c>
      <c r="H182" s="451" t="str">
        <f t="shared" si="152"/>
        <v>-</v>
      </c>
      <c r="I182" s="451" t="str">
        <f t="shared" si="152"/>
        <v>-</v>
      </c>
      <c r="J182" s="451" t="str">
        <f t="shared" si="152"/>
        <v>-</v>
      </c>
      <c r="K182" s="452" t="str">
        <f t="shared" si="152"/>
        <v>-</v>
      </c>
      <c r="L182" s="452" t="str">
        <f t="shared" si="152"/>
        <v>-</v>
      </c>
      <c r="M182" s="452" t="str">
        <f t="shared" si="152"/>
        <v>-</v>
      </c>
      <c r="N182" s="451" t="str">
        <f t="shared" si="152"/>
        <v>-</v>
      </c>
      <c r="O182" s="672"/>
      <c r="P182" s="673"/>
      <c r="Q182" s="673"/>
      <c r="R182" s="673"/>
      <c r="S182" s="672"/>
      <c r="T182" s="673"/>
      <c r="U182" s="673"/>
      <c r="V182" s="674"/>
      <c r="W182" s="434"/>
      <c r="X182" s="434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BC182" s="401" t="str">
        <f t="shared" si="109"/>
        <v>-</v>
      </c>
      <c r="BD182" s="459"/>
      <c r="BE182" s="459"/>
      <c r="BF182" s="459"/>
      <c r="BG182" s="459"/>
      <c r="BH182" s="459"/>
      <c r="BI182" s="459"/>
      <c r="BJ182" s="459"/>
      <c r="BK182" s="459"/>
      <c r="BL182" s="459"/>
    </row>
    <row r="183" spans="1:64" s="405" customFormat="1" ht="15" customHeight="1" outlineLevel="1" x14ac:dyDescent="0.25">
      <c r="A183" s="454"/>
      <c r="B183" s="718" t="s">
        <v>140</v>
      </c>
      <c r="C183" s="684" t="s">
        <v>114</v>
      </c>
      <c r="D183" s="684" t="s">
        <v>113</v>
      </c>
      <c r="E183" s="453" t="s">
        <v>94</v>
      </c>
      <c r="F183" s="473" t="s">
        <v>5</v>
      </c>
      <c r="G183" s="473" t="s">
        <v>5</v>
      </c>
      <c r="H183" s="473" t="s">
        <v>5</v>
      </c>
      <c r="I183" s="473" t="s">
        <v>5</v>
      </c>
      <c r="J183" s="473" t="s">
        <v>5</v>
      </c>
      <c r="K183" s="474" t="s">
        <v>5</v>
      </c>
      <c r="L183" s="474" t="s">
        <v>5</v>
      </c>
      <c r="M183" s="474" t="s">
        <v>5</v>
      </c>
      <c r="N183" s="473" t="s">
        <v>5</v>
      </c>
      <c r="O183" s="672"/>
      <c r="P183" s="673"/>
      <c r="Q183" s="673"/>
      <c r="R183" s="673"/>
      <c r="S183" s="672"/>
      <c r="T183" s="673"/>
      <c r="U183" s="673"/>
      <c r="V183" s="674"/>
      <c r="W183" s="443"/>
      <c r="X183" s="443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BC183" s="401" t="str">
        <f t="shared" si="109"/>
        <v>-</v>
      </c>
      <c r="BD183" s="459"/>
      <c r="BE183" s="459"/>
      <c r="BF183" s="459"/>
      <c r="BG183" s="459"/>
      <c r="BH183" s="459"/>
      <c r="BI183" s="459"/>
      <c r="BJ183" s="459"/>
      <c r="BK183" s="459"/>
      <c r="BL183" s="459"/>
    </row>
    <row r="184" spans="1:64" ht="15" customHeight="1" outlineLevel="1" thickBot="1" x14ac:dyDescent="0.3">
      <c r="A184" s="404"/>
      <c r="B184" s="719"/>
      <c r="C184" s="702"/>
      <c r="D184" s="685"/>
      <c r="E184" s="440" t="s">
        <v>95</v>
      </c>
      <c r="F184" s="475" t="s">
        <v>5</v>
      </c>
      <c r="G184" s="475" t="s">
        <v>5</v>
      </c>
      <c r="H184" s="475" t="s">
        <v>5</v>
      </c>
      <c r="I184" s="475" t="s">
        <v>5</v>
      </c>
      <c r="J184" s="475" t="s">
        <v>5</v>
      </c>
      <c r="K184" s="476" t="s">
        <v>5</v>
      </c>
      <c r="L184" s="476" t="s">
        <v>5</v>
      </c>
      <c r="M184" s="476" t="s">
        <v>5</v>
      </c>
      <c r="N184" s="475" t="s">
        <v>5</v>
      </c>
      <c r="O184" s="672"/>
      <c r="P184" s="673"/>
      <c r="Q184" s="673"/>
      <c r="R184" s="673"/>
      <c r="S184" s="672"/>
      <c r="T184" s="673"/>
      <c r="U184" s="673"/>
      <c r="V184" s="674"/>
      <c r="W184" s="434"/>
      <c r="X184" s="434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BC184" s="401" t="str">
        <f t="shared" si="109"/>
        <v>-</v>
      </c>
      <c r="BD184" s="460"/>
      <c r="BE184" s="460"/>
      <c r="BF184" s="460"/>
      <c r="BG184" s="460"/>
      <c r="BH184" s="460"/>
      <c r="BI184" s="460"/>
      <c r="BJ184" s="460"/>
      <c r="BK184" s="460"/>
      <c r="BL184" s="460"/>
    </row>
    <row r="185" spans="1:64" ht="15" customHeight="1" outlineLevel="1" thickBot="1" x14ac:dyDescent="0.3">
      <c r="A185" s="404"/>
      <c r="B185" s="719"/>
      <c r="C185" s="686">
        <v>4</v>
      </c>
      <c r="D185" s="689" t="str">
        <f>IF(AND(F186="-",G186="-",H186="-",I186="-",J186="-",K186="-",L186="-",M186="-"),"-",MAX(F186,G186,H186,I186,J186,K186,L186,M186))</f>
        <v>-</v>
      </c>
      <c r="E185" s="444" t="s">
        <v>96</v>
      </c>
      <c r="F185" s="445" t="str">
        <f t="shared" ref="F185:N185" si="153">IF(OR(F184="-",F184=""),IF(OR(F183="-",F183=""),"-",F183),IF(OR(F183="-",F183=""),F184,(F183+F184)/2))</f>
        <v>-</v>
      </c>
      <c r="G185" s="445" t="str">
        <f t="shared" si="153"/>
        <v>-</v>
      </c>
      <c r="H185" s="445" t="str">
        <f t="shared" si="153"/>
        <v>-</v>
      </c>
      <c r="I185" s="445" t="str">
        <f t="shared" si="153"/>
        <v>-</v>
      </c>
      <c r="J185" s="445" t="str">
        <f t="shared" si="153"/>
        <v>-</v>
      </c>
      <c r="K185" s="446" t="str">
        <f t="shared" si="153"/>
        <v>-</v>
      </c>
      <c r="L185" s="446" t="str">
        <f t="shared" si="153"/>
        <v>-</v>
      </c>
      <c r="M185" s="446" t="str">
        <f t="shared" si="153"/>
        <v>-</v>
      </c>
      <c r="N185" s="445" t="str">
        <f t="shared" si="153"/>
        <v>-</v>
      </c>
      <c r="O185" s="672"/>
      <c r="P185" s="673"/>
      <c r="Q185" s="673"/>
      <c r="R185" s="673"/>
      <c r="S185" s="672"/>
      <c r="T185" s="673"/>
      <c r="U185" s="673"/>
      <c r="V185" s="674"/>
      <c r="W185" s="434"/>
      <c r="X185" s="434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401" t="str">
        <f t="shared" si="109"/>
        <v>-</v>
      </c>
      <c r="BD185" s="460"/>
      <c r="BE185" s="460"/>
      <c r="BF185" s="460"/>
      <c r="BG185" s="460"/>
      <c r="BH185" s="460"/>
      <c r="BI185" s="460"/>
      <c r="BJ185" s="460"/>
      <c r="BK185" s="460"/>
      <c r="BL185" s="460"/>
    </row>
    <row r="186" spans="1:64" ht="15.75" outlineLevel="1" thickBot="1" x14ac:dyDescent="0.3">
      <c r="B186" s="719"/>
      <c r="C186" s="687"/>
      <c r="D186" s="690"/>
      <c r="E186" s="447" t="s">
        <v>97</v>
      </c>
      <c r="F186" s="448" t="str">
        <f t="shared" ref="F186:N186" si="154">IF(OR($C185="-",$C185="CET",$C185=""),"-",IF(AND(NOT(F185="-"),NOT(F$5="-"),NOT(F$5="")),F185/F$5,"-"))</f>
        <v>-</v>
      </c>
      <c r="G186" s="448" t="str">
        <f t="shared" si="154"/>
        <v>-</v>
      </c>
      <c r="H186" s="448" t="str">
        <f t="shared" si="154"/>
        <v>-</v>
      </c>
      <c r="I186" s="448" t="str">
        <f t="shared" si="154"/>
        <v>-</v>
      </c>
      <c r="J186" s="448" t="str">
        <f t="shared" si="154"/>
        <v>-</v>
      </c>
      <c r="K186" s="449" t="str">
        <f t="shared" si="154"/>
        <v>-</v>
      </c>
      <c r="L186" s="449" t="str">
        <f t="shared" si="154"/>
        <v>-</v>
      </c>
      <c r="M186" s="449" t="str">
        <f t="shared" si="154"/>
        <v>-</v>
      </c>
      <c r="N186" s="448" t="str">
        <f t="shared" si="154"/>
        <v>-</v>
      </c>
      <c r="O186" s="672"/>
      <c r="P186" s="673"/>
      <c r="Q186" s="673"/>
      <c r="R186" s="673"/>
      <c r="S186" s="672"/>
      <c r="T186" s="673"/>
      <c r="U186" s="673"/>
      <c r="V186" s="674"/>
      <c r="BC186" s="401" t="str">
        <f t="shared" si="109"/>
        <v>-</v>
      </c>
    </row>
    <row r="187" spans="1:64" ht="15.75" outlineLevel="1" thickBot="1" x14ac:dyDescent="0.3">
      <c r="B187" s="720"/>
      <c r="C187" s="688"/>
      <c r="D187" s="691"/>
      <c r="E187" s="451" t="s">
        <v>30</v>
      </c>
      <c r="F187" s="451" t="str">
        <f t="shared" ref="F187:N187" si="155">IF(AND(OR(F183="-",F183=""),OR(F184="-",F184="")),"-",IF(OR($C185="-",$C185="",$C185="CET"),"-",IF($R$154="not listed","-",IF(NOT(F$5="-"),IF(AND(AND(NOT(F183=0),NOT(F183="-"),NOT(F183="")),AND(NOT(F184="-"),NOT(F184=0),NOT(F184=""))),IF(AND((F183+F184)/2&lt;1*F$5*IF(OR($C185="CET",$C185="-",$C185=""),"-",$C185),F183&lt;1.1*F$5*IF(OR($C185="CET",$C185="-",$C185=""),"-",$C185),F184&lt;1.1*F$5*IF(OR($C185="CET",$C185="-",$C185=""),"-",$C185)),"passed","refused"),IF(IF(OR(F183="-",F183=""),F184,F183)&lt;0.7*F$5*IF(OR($C185="CET",$C185="-",$C185=""),"-",$C185),"passed",IF(IF(OR(F183="-",F183=""),F184,F183)&lt;1.1*IF(OR($C185="CET",$C185="-",$C185=""),"-",$C185)*F$5,"failed","refused"))),"-"))))</f>
        <v>-</v>
      </c>
      <c r="G187" s="451" t="str">
        <f t="shared" si="155"/>
        <v>-</v>
      </c>
      <c r="H187" s="451" t="str">
        <f t="shared" si="155"/>
        <v>-</v>
      </c>
      <c r="I187" s="451" t="str">
        <f t="shared" si="155"/>
        <v>-</v>
      </c>
      <c r="J187" s="451" t="str">
        <f t="shared" si="155"/>
        <v>-</v>
      </c>
      <c r="K187" s="452" t="str">
        <f t="shared" si="155"/>
        <v>-</v>
      </c>
      <c r="L187" s="452" t="str">
        <f t="shared" si="155"/>
        <v>-</v>
      </c>
      <c r="M187" s="452" t="str">
        <f t="shared" si="155"/>
        <v>-</v>
      </c>
      <c r="N187" s="451" t="str">
        <f t="shared" si="155"/>
        <v>-</v>
      </c>
      <c r="O187" s="675"/>
      <c r="P187" s="676"/>
      <c r="Q187" s="676"/>
      <c r="R187" s="676"/>
      <c r="S187" s="675"/>
      <c r="T187" s="676"/>
      <c r="U187" s="676"/>
      <c r="V187" s="677"/>
      <c r="BC187" s="401" t="str">
        <f t="shared" si="109"/>
        <v>-</v>
      </c>
    </row>
  </sheetData>
  <sheetProtection selectLockedCells="1"/>
  <mergeCells count="187">
    <mergeCell ref="B183:B187"/>
    <mergeCell ref="C183:C184"/>
    <mergeCell ref="D183:D184"/>
    <mergeCell ref="C185:C187"/>
    <mergeCell ref="D185:D187"/>
    <mergeCell ref="B173:B177"/>
    <mergeCell ref="C173:C174"/>
    <mergeCell ref="D173:D174"/>
    <mergeCell ref="C175:C177"/>
    <mergeCell ref="D175:D177"/>
    <mergeCell ref="B178:B182"/>
    <mergeCell ref="C178:C179"/>
    <mergeCell ref="D178:D179"/>
    <mergeCell ref="C180:C182"/>
    <mergeCell ref="D180:D182"/>
    <mergeCell ref="C154:N154"/>
    <mergeCell ref="Y154:AH154"/>
    <mergeCell ref="Y155:AH185"/>
    <mergeCell ref="B156:N156"/>
    <mergeCell ref="O156:R156"/>
    <mergeCell ref="S156:V156"/>
    <mergeCell ref="B157:E157"/>
    <mergeCell ref="O157:R187"/>
    <mergeCell ref="S157:V187"/>
    <mergeCell ref="B158:B162"/>
    <mergeCell ref="C158:C159"/>
    <mergeCell ref="D158:D159"/>
    <mergeCell ref="C160:C162"/>
    <mergeCell ref="D160:D162"/>
    <mergeCell ref="B163:B167"/>
    <mergeCell ref="C163:C164"/>
    <mergeCell ref="D163:D164"/>
    <mergeCell ref="C165:C167"/>
    <mergeCell ref="D165:D167"/>
    <mergeCell ref="B168:B172"/>
    <mergeCell ref="C168:C169"/>
    <mergeCell ref="D168:D169"/>
    <mergeCell ref="C170:C172"/>
    <mergeCell ref="D170:D172"/>
    <mergeCell ref="C127:N127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  <mergeCell ref="C100:N100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B114:B118"/>
    <mergeCell ref="C114:C115"/>
    <mergeCell ref="C116:C118"/>
    <mergeCell ref="B119:B123"/>
    <mergeCell ref="C119:C120"/>
    <mergeCell ref="C121:C123"/>
    <mergeCell ref="C104:C105"/>
    <mergeCell ref="D104:D105"/>
    <mergeCell ref="C106:C108"/>
    <mergeCell ref="D106:D108"/>
    <mergeCell ref="B109:B113"/>
    <mergeCell ref="C109:C110"/>
    <mergeCell ref="C111:C113"/>
    <mergeCell ref="Y74:AH74"/>
    <mergeCell ref="B75:N75"/>
    <mergeCell ref="O75:R75"/>
    <mergeCell ref="S75:V75"/>
    <mergeCell ref="Y75:AH95"/>
    <mergeCell ref="B76:E76"/>
    <mergeCell ref="O76:R96"/>
    <mergeCell ref="S76:V96"/>
    <mergeCell ref="B77:B81"/>
    <mergeCell ref="C77:C78"/>
    <mergeCell ref="B87:B91"/>
    <mergeCell ref="C87:C88"/>
    <mergeCell ref="C89:C91"/>
    <mergeCell ref="B92:B96"/>
    <mergeCell ref="C92:C93"/>
    <mergeCell ref="C94:C96"/>
    <mergeCell ref="D77:D78"/>
    <mergeCell ref="C79:C81"/>
    <mergeCell ref="D79:D81"/>
    <mergeCell ref="B82:B86"/>
    <mergeCell ref="C82:C83"/>
    <mergeCell ref="C84:C86"/>
    <mergeCell ref="D45:D46"/>
    <mergeCell ref="C47:C49"/>
    <mergeCell ref="D47:D49"/>
    <mergeCell ref="B65:B69"/>
    <mergeCell ref="C65:C66"/>
    <mergeCell ref="D65:D66"/>
    <mergeCell ref="C67:C69"/>
    <mergeCell ref="D67:D69"/>
    <mergeCell ref="C73:N73"/>
    <mergeCell ref="B55:B59"/>
    <mergeCell ref="C55:C56"/>
    <mergeCell ref="D55:D56"/>
    <mergeCell ref="C57:C59"/>
    <mergeCell ref="D57:D59"/>
    <mergeCell ref="B60:B64"/>
    <mergeCell ref="C60:C61"/>
    <mergeCell ref="D60:D61"/>
    <mergeCell ref="C62:C64"/>
    <mergeCell ref="D62:D64"/>
    <mergeCell ref="C36:N36"/>
    <mergeCell ref="Y37:AH37"/>
    <mergeCell ref="B38:N38"/>
    <mergeCell ref="O38:R38"/>
    <mergeCell ref="S38:V38"/>
    <mergeCell ref="Y38:AH68"/>
    <mergeCell ref="B39:E39"/>
    <mergeCell ref="O39:R69"/>
    <mergeCell ref="S39:V69"/>
    <mergeCell ref="B40:B44"/>
    <mergeCell ref="N47:N49"/>
    <mergeCell ref="B50:B54"/>
    <mergeCell ref="C50:C51"/>
    <mergeCell ref="D50:D51"/>
    <mergeCell ref="C52:C54"/>
    <mergeCell ref="D52:D54"/>
    <mergeCell ref="N52:N54"/>
    <mergeCell ref="C40:C41"/>
    <mergeCell ref="D40:D41"/>
    <mergeCell ref="C42:C44"/>
    <mergeCell ref="D42:D44"/>
    <mergeCell ref="N42:N44"/>
    <mergeCell ref="B45:B49"/>
    <mergeCell ref="C45:C46"/>
    <mergeCell ref="C20:C22"/>
    <mergeCell ref="D20:D22"/>
    <mergeCell ref="N20:N22"/>
    <mergeCell ref="B11:E11"/>
    <mergeCell ref="O11:R32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A1:J2"/>
    <mergeCell ref="K1:Q2"/>
    <mergeCell ref="B4:D4"/>
    <mergeCell ref="O4:P4"/>
    <mergeCell ref="B5:E5"/>
    <mergeCell ref="O5:P5"/>
    <mergeCell ref="S11:V32"/>
    <mergeCell ref="Y11:AH31"/>
    <mergeCell ref="B12:B17"/>
    <mergeCell ref="D12:E12"/>
    <mergeCell ref="C13:C14"/>
    <mergeCell ref="D13:D14"/>
    <mergeCell ref="C15:C17"/>
    <mergeCell ref="D15:D17"/>
    <mergeCell ref="B6:E6"/>
    <mergeCell ref="C8:N8"/>
    <mergeCell ref="B10:N10"/>
    <mergeCell ref="O10:R10"/>
    <mergeCell ref="S10:V10"/>
    <mergeCell ref="Y10:AH10"/>
    <mergeCell ref="N15:N17"/>
    <mergeCell ref="B18:B22"/>
    <mergeCell ref="C18:C19"/>
    <mergeCell ref="D18:D19"/>
  </mergeCells>
  <conditionalFormatting sqref="A3 F150:N150 F145:N145 F17:M17 F22:M22 F27:M27 F32:M32 F162:N162 F167:N167 F172:N172 F177:N177 F182:N182 F187:N187 F135:N135 F140:N140 F108:N108 F81:N81 F44:M44 F49:M49 F54:M54 F59:N59 F64:N64 F69:N69">
    <cfRule type="containsText" dxfId="2131" priority="79" operator="containsText" text="passed">
      <formula>NOT(ISERROR(SEARCH("passed",A3)))</formula>
    </cfRule>
    <cfRule type="containsText" dxfId="2130" priority="80" operator="containsText" text="failed">
      <formula>NOT(ISERROR(SEARCH("failed",A3)))</formula>
    </cfRule>
    <cfRule type="containsText" dxfId="2129" priority="81" operator="containsText" text="refused">
      <formula>NOT(ISERROR(SEARCH("refused",A3)))</formula>
    </cfRule>
  </conditionalFormatting>
  <conditionalFormatting sqref="N13:N14">
    <cfRule type="expression" dxfId="2128" priority="78">
      <formula>IF(AND(NOT(N13=""),NOT(N13="-")),N13&gt;=1.1*N$5*BL$25,"-")</formula>
    </cfRule>
  </conditionalFormatting>
  <conditionalFormatting sqref="N18:N19">
    <cfRule type="expression" dxfId="2127" priority="77">
      <formula>IF(AND(NOT(N18=""),NOT(N18="-")),N18&gt;=1.1*N$5*BL$26,"-")</formula>
    </cfRule>
  </conditionalFormatting>
  <conditionalFormatting sqref="N23:N24">
    <cfRule type="expression" dxfId="2126" priority="76">
      <formula>IF(AND(NOT(N23=""),NOT(N23="-")),N23&gt;=1.1*N$5*BL$27,"-")</formula>
    </cfRule>
  </conditionalFormatting>
  <conditionalFormatting sqref="N28:N29">
    <cfRule type="expression" dxfId="2125" priority="75">
      <formula>IF(AND(NOT(N28=""),NOT(N28="-")),N28&gt;=1.1*N$5*BL$28,"-")</formula>
    </cfRule>
  </conditionalFormatting>
  <conditionalFormatting sqref="N40:N41">
    <cfRule type="expression" dxfId="2124" priority="74">
      <formula>IF(AND(NOT(N40=""),NOT(N40="-")),N40&gt;=1.1*N$5*BL$58,"-")</formula>
    </cfRule>
  </conditionalFormatting>
  <conditionalFormatting sqref="N50:N51">
    <cfRule type="expression" dxfId="2123" priority="73">
      <formula>IF(AND(NOT(N50=""),NOT(N50="-")),N50&gt;=1.1*N$5*BL$60,"-")</formula>
    </cfRule>
  </conditionalFormatting>
  <conditionalFormatting sqref="N55:N56">
    <cfRule type="expression" dxfId="2122" priority="72">
      <formula>IF(AND(NOT(N55=""),NOT(N55="-")),N55&gt;=1.1*N$5*BL$61,"-")</formula>
    </cfRule>
  </conditionalFormatting>
  <conditionalFormatting sqref="N45:N46">
    <cfRule type="expression" dxfId="2121" priority="71">
      <formula>IF(AND(NOT(N45=""),NOT(N45="-")),N45&gt;=1.1*N$5*BL$59,"-")</formula>
    </cfRule>
  </conditionalFormatting>
  <conditionalFormatting sqref="N60:N61">
    <cfRule type="expression" dxfId="2120" priority="70">
      <formula>IF(AND(NOT(N60=""),NOT(N60="-")),N60&gt;=1.1*N$5*BL$62,"-")</formula>
    </cfRule>
  </conditionalFormatting>
  <conditionalFormatting sqref="N65:N66">
    <cfRule type="expression" dxfId="2119" priority="69">
      <formula>IF(AND(NOT(N65=""),NOT(N65="-")),N65&gt;=1.1*N$5*BL$63,"-")</formula>
    </cfRule>
  </conditionalFormatting>
  <conditionalFormatting sqref="N77:N78">
    <cfRule type="expression" dxfId="2118" priority="68">
      <formula>IF(AND(NOT(N77=""),NOT(N77="-")),N77&gt;=1.1*N$5*BL$95,"-")</formula>
    </cfRule>
  </conditionalFormatting>
  <conditionalFormatting sqref="N163:N164">
    <cfRule type="expression" dxfId="2117" priority="67">
      <formula>IF(AND(NOT(N163=""),NOT(N163="-")),N163&gt;=1.1*N$5*BL$176,"-")</formula>
    </cfRule>
  </conditionalFormatting>
  <conditionalFormatting sqref="N158:N159">
    <cfRule type="expression" dxfId="2116" priority="66">
      <formula>IF(AND(NOT(N158=""),NOT(N158="-")),N158&gt;=1.1*N$5*BL$175,"-")</formula>
    </cfRule>
  </conditionalFormatting>
  <conditionalFormatting sqref="N131:N132">
    <cfRule type="expression" dxfId="2115" priority="65">
      <formula>IF(AND(NOT(N131=""),NOT(N131="-")),N131&gt;=1.1*N$5*BL$148,"-")</formula>
    </cfRule>
  </conditionalFormatting>
  <conditionalFormatting sqref="P8">
    <cfRule type="containsText" dxfId="2114" priority="62" operator="containsText" text="passed">
      <formula>NOT(ISERROR(SEARCH("passed",P8)))</formula>
    </cfRule>
    <cfRule type="containsText" dxfId="2113" priority="63" operator="containsText" text="failed">
      <formula>NOT(ISERROR(SEARCH("failed",P8)))</formula>
    </cfRule>
    <cfRule type="containsText" dxfId="2112" priority="64" operator="containsText" text="refused">
      <formula>NOT(ISERROR(SEARCH("refused",P8)))</formula>
    </cfRule>
  </conditionalFormatting>
  <conditionalFormatting sqref="F13:K14">
    <cfRule type="expression" dxfId="2111" priority="61">
      <formula>IF(AND(NOT(F13=""),NOT(F13="-")),F13&gt;=1.1*F$5*BE$25,"-")</formula>
    </cfRule>
  </conditionalFormatting>
  <conditionalFormatting sqref="F18:K19">
    <cfRule type="expression" dxfId="2110" priority="60">
      <formula>IF(AND(NOT(F18=""),NOT(F18="-")),F18&gt;=1.1*F$5*BE$26,"-")</formula>
    </cfRule>
  </conditionalFormatting>
  <conditionalFormatting sqref="F23:K24">
    <cfRule type="expression" dxfId="2109" priority="59">
      <formula>IF(AND(NOT(F23=""),NOT(F23="-")),F23&gt;=1.1*F$5*BE$27,"-")</formula>
    </cfRule>
  </conditionalFormatting>
  <conditionalFormatting sqref="F28:K29">
    <cfRule type="expression" dxfId="2108" priority="58">
      <formula>IF(AND(NOT(F28=""),NOT(F28="-")),F28&gt;=1.1*F$5*BE$28,"-")</formula>
    </cfRule>
  </conditionalFormatting>
  <conditionalFormatting sqref="F40:K41">
    <cfRule type="expression" dxfId="2107" priority="57">
      <formula>IF(AND(NOT(F40=""),NOT(F40="-")),F40&gt;=1.1*F$5*BE$58,"-")</formula>
    </cfRule>
  </conditionalFormatting>
  <conditionalFormatting sqref="F50:K51">
    <cfRule type="expression" dxfId="2106" priority="56">
      <formula>IF(AND(NOT(F50=""),NOT(F50="-")),F50&gt;=1.1*F$5*BE$60,"-")</formula>
    </cfRule>
  </conditionalFormatting>
  <conditionalFormatting sqref="F55:K56">
    <cfRule type="expression" dxfId="2105" priority="55">
      <formula>IF(AND(NOT(F55=""),NOT(F55="-")),F55&gt;=1.1*F$5*BE$61,"-")</formula>
    </cfRule>
  </conditionalFormatting>
  <conditionalFormatting sqref="F45:K46">
    <cfRule type="expression" dxfId="2104" priority="54">
      <formula>IF(AND(NOT(F45=""),NOT(F45="-")),F45&gt;=1.1*F$5*BE$59,"-")</formula>
    </cfRule>
  </conditionalFormatting>
  <conditionalFormatting sqref="F60:K61">
    <cfRule type="expression" dxfId="2103" priority="53">
      <formula>IF(AND(NOT(F60=""),NOT(F60="-")),F60&gt;=1.1*F$5*BE$62,"-")</formula>
    </cfRule>
  </conditionalFormatting>
  <conditionalFormatting sqref="F65:K66">
    <cfRule type="expression" dxfId="2102" priority="52">
      <formula>IF(AND(NOT(F65=""),NOT(F65="-")),F65&gt;=1.1*F$5*BE$63,"-")</formula>
    </cfRule>
  </conditionalFormatting>
  <conditionalFormatting sqref="F77:K78">
    <cfRule type="expression" dxfId="2101" priority="51">
      <formula>IF(AND(NOT(F77=""),NOT(F77="-")),F77&gt;=1.1*F$5*BE$95,"-")</formula>
    </cfRule>
  </conditionalFormatting>
  <conditionalFormatting sqref="F163:K164">
    <cfRule type="expression" dxfId="2100" priority="50">
      <formula>IF(AND(NOT(F163=""),NOT(F163="-")),F163&gt;=1.1*F$5*BE$176,"-")</formula>
    </cfRule>
  </conditionalFormatting>
  <conditionalFormatting sqref="F158:K159">
    <cfRule type="expression" dxfId="2099" priority="49">
      <formula>IF(AND(NOT(F158=""),NOT(F158="-")),F158&gt;=1.1*F$5*BE$175,"-")</formula>
    </cfRule>
  </conditionalFormatting>
  <conditionalFormatting sqref="F131:K132">
    <cfRule type="expression" dxfId="2098" priority="48">
      <formula>IF(AND(NOT(F131=""),NOT(F131="-")),F131&gt;=1.1*F$5*BE$148,"-")</formula>
    </cfRule>
  </conditionalFormatting>
  <conditionalFormatting sqref="N136:N137">
    <cfRule type="expression" dxfId="2097" priority="47">
      <formula>IF(AND(NOT(N136=""),NOT(N136="-")),N136&gt;=1.1*N$5*BL$149,"-")</formula>
    </cfRule>
  </conditionalFormatting>
  <conditionalFormatting sqref="N168:N169">
    <cfRule type="expression" dxfId="2096" priority="46">
      <formula>IF(AND(NOT(N168=""),NOT(N168="-")),N168&gt;=1.1*N$5*BL$177,"-")</formula>
    </cfRule>
  </conditionalFormatting>
  <conditionalFormatting sqref="N104:N105">
    <cfRule type="expression" dxfId="2095" priority="45">
      <formula>IF(AND(NOT(N104=""),NOT(N104="-")),N104&gt;=1.1*N$5*BL$121,"-")</formula>
    </cfRule>
  </conditionalFormatting>
  <conditionalFormatting sqref="N173:N174">
    <cfRule type="expression" dxfId="2094" priority="44">
      <formula>IF(AND(NOT(N173=""),NOT(N173="-")),N173&gt;=1.1*N$5*BL$178,"-")</formula>
    </cfRule>
  </conditionalFormatting>
  <conditionalFormatting sqref="N178:N179">
    <cfRule type="expression" dxfId="2093" priority="43">
      <formula>IF(AND(NOT(N178=""),NOT(N178="-")),N178&gt;=1.1*N$5*BL$179,"-")</formula>
    </cfRule>
  </conditionalFormatting>
  <conditionalFormatting sqref="N183:N184">
    <cfRule type="expression" dxfId="2092" priority="42">
      <formula>IF(AND(NOT(N183=""),NOT(N183="-")),N183&gt;=1.1*N$5*BL$180,"-")</formula>
    </cfRule>
  </conditionalFormatting>
  <conditionalFormatting sqref="F136:K137">
    <cfRule type="expression" dxfId="2091" priority="41">
      <formula>IF(AND(NOT(F136=""),NOT(F136="-")),F136&gt;=1.1*F$5*BE$149,"-")</formula>
    </cfRule>
  </conditionalFormatting>
  <conditionalFormatting sqref="F168:K169">
    <cfRule type="expression" dxfId="2090" priority="40">
      <formula>IF(AND(NOT(F168=""),NOT(F168="-")),F168&gt;=1.1*F$5*BE$177,"-")</formula>
    </cfRule>
  </conditionalFormatting>
  <conditionalFormatting sqref="F104:K105">
    <cfRule type="expression" dxfId="2089" priority="39">
      <formula>IF(AND(NOT(F104=""),NOT(F104="-")),F104&gt;=1.1*F$5*BE$121,"-")</formula>
    </cfRule>
  </conditionalFormatting>
  <conditionalFormatting sqref="F173:K174">
    <cfRule type="expression" dxfId="2088" priority="38">
      <formula>IF(AND(NOT(F173=""),NOT(F173="-")),F173&gt;=1.1*F$5*BE$178,"-")</formula>
    </cfRule>
  </conditionalFormatting>
  <conditionalFormatting sqref="F178:K179">
    <cfRule type="expression" dxfId="2087" priority="37">
      <formula>IF(AND(NOT(F178=""),NOT(F178="-")),F178&gt;=1.1*F$5*BE$179,"-")</formula>
    </cfRule>
  </conditionalFormatting>
  <conditionalFormatting sqref="F183:K184">
    <cfRule type="expression" dxfId="2086" priority="36">
      <formula>IF(AND(NOT(F183=""),NOT(F183="-")),F183&gt;=1.1*F$5*BE$180,"-")</formula>
    </cfRule>
  </conditionalFormatting>
  <conditionalFormatting sqref="P36">
    <cfRule type="containsText" dxfId="2085" priority="33" operator="containsText" text="passed">
      <formula>NOT(ISERROR(SEARCH("passed",P36)))</formula>
    </cfRule>
    <cfRule type="containsText" dxfId="2084" priority="34" operator="containsText" text="failed">
      <formula>NOT(ISERROR(SEARCH("failed",P36)))</formula>
    </cfRule>
    <cfRule type="containsText" dxfId="2083" priority="35" operator="containsText" text="refused">
      <formula>NOT(ISERROR(SEARCH("refused",P36)))</formula>
    </cfRule>
  </conditionalFormatting>
  <conditionalFormatting sqref="P73">
    <cfRule type="containsText" dxfId="2082" priority="30" operator="containsText" text="passed">
      <formula>NOT(ISERROR(SEARCH("passed",P73)))</formula>
    </cfRule>
    <cfRule type="containsText" dxfId="2081" priority="31" operator="containsText" text="failed">
      <formula>NOT(ISERROR(SEARCH("failed",P73)))</formula>
    </cfRule>
    <cfRule type="containsText" dxfId="2080" priority="32" operator="containsText" text="refused">
      <formula>NOT(ISERROR(SEARCH("refused",P73)))</formula>
    </cfRule>
  </conditionalFormatting>
  <conditionalFormatting sqref="P100">
    <cfRule type="containsText" dxfId="2079" priority="27" operator="containsText" text="passed">
      <formula>NOT(ISERROR(SEARCH("passed",P100)))</formula>
    </cfRule>
    <cfRule type="containsText" dxfId="2078" priority="28" operator="containsText" text="failed">
      <formula>NOT(ISERROR(SEARCH("failed",P100)))</formula>
    </cfRule>
    <cfRule type="containsText" dxfId="2077" priority="29" operator="containsText" text="refused">
      <formula>NOT(ISERROR(SEARCH("refused",P100)))</formula>
    </cfRule>
  </conditionalFormatting>
  <conditionalFormatting sqref="P127">
    <cfRule type="containsText" dxfId="2076" priority="24" operator="containsText" text="passed">
      <formula>NOT(ISERROR(SEARCH("passed",P127)))</formula>
    </cfRule>
    <cfRule type="containsText" dxfId="2075" priority="25" operator="containsText" text="failed">
      <formula>NOT(ISERROR(SEARCH("failed",P127)))</formula>
    </cfRule>
    <cfRule type="containsText" dxfId="2074" priority="26" operator="containsText" text="refused">
      <formula>NOT(ISERROR(SEARCH("refused",P127)))</formula>
    </cfRule>
  </conditionalFormatting>
  <conditionalFormatting sqref="P154">
    <cfRule type="containsText" dxfId="2073" priority="21" operator="containsText" text="passed">
      <formula>NOT(ISERROR(SEARCH("passed",P154)))</formula>
    </cfRule>
    <cfRule type="containsText" dxfId="2072" priority="22" operator="containsText" text="failed">
      <formula>NOT(ISERROR(SEARCH("failed",P154)))</formula>
    </cfRule>
    <cfRule type="containsText" dxfId="2071" priority="23" operator="containsText" text="refused">
      <formula>NOT(ISERROR(SEARCH("refused",P154)))</formula>
    </cfRule>
  </conditionalFormatting>
  <conditionalFormatting sqref="L13:M14">
    <cfRule type="expression" dxfId="2070" priority="20">
      <formula>IF(AND(NOT(L13=""),NOT(L13="-")),L13&gt;=1.1*L$5*BL$25,"-")</formula>
    </cfRule>
  </conditionalFormatting>
  <conditionalFormatting sqref="L18:M19">
    <cfRule type="expression" dxfId="2069" priority="19">
      <formula>IF(AND(NOT(L18=""),NOT(L18="-")),L18&gt;=1.1*L$5*BL$26,"-")</formula>
    </cfRule>
  </conditionalFormatting>
  <conditionalFormatting sqref="L23:M24">
    <cfRule type="expression" dxfId="2068" priority="18">
      <formula>IF(AND(NOT(L23=""),NOT(L23="-")),L23&gt;=1.1*L$5*BL$27,"-")</formula>
    </cfRule>
  </conditionalFormatting>
  <conditionalFormatting sqref="L28:M29">
    <cfRule type="expression" dxfId="2067" priority="17">
      <formula>IF(AND(NOT(L28=""),NOT(L28="-")),L28&gt;=1.1*L$5*BL$28,"-")</formula>
    </cfRule>
  </conditionalFormatting>
  <conditionalFormatting sqref="L40:M41">
    <cfRule type="expression" dxfId="2066" priority="16">
      <formula>IF(AND(NOT(L40=""),NOT(L40="-")),L40&gt;=1.1*L$5*BL$58,"-")</formula>
    </cfRule>
  </conditionalFormatting>
  <conditionalFormatting sqref="L50:M51">
    <cfRule type="expression" dxfId="2065" priority="15">
      <formula>IF(AND(NOT(L50=""),NOT(L50="-")),L50&gt;=1.1*L$5*BL$60,"-")</formula>
    </cfRule>
  </conditionalFormatting>
  <conditionalFormatting sqref="L55:M56">
    <cfRule type="expression" dxfId="2064" priority="14">
      <formula>IF(AND(NOT(L55=""),NOT(L55="-")),L55&gt;=1.1*L$5*BL$61,"-")</formula>
    </cfRule>
  </conditionalFormatting>
  <conditionalFormatting sqref="L45:M46">
    <cfRule type="expression" dxfId="2063" priority="13">
      <formula>IF(AND(NOT(L45=""),NOT(L45="-")),L45&gt;=1.1*L$5*BL$59,"-")</formula>
    </cfRule>
  </conditionalFormatting>
  <conditionalFormatting sqref="L60:M61">
    <cfRule type="expression" dxfId="2062" priority="12">
      <formula>IF(AND(NOT(L60=""),NOT(L60="-")),L60&gt;=1.1*L$5*BL$62,"-")</formula>
    </cfRule>
  </conditionalFormatting>
  <conditionalFormatting sqref="L65:M66">
    <cfRule type="expression" dxfId="2061" priority="11">
      <formula>IF(AND(NOT(L65=""),NOT(L65="-")),L65&gt;=1.1*L$5*BL$63,"-")</formula>
    </cfRule>
  </conditionalFormatting>
  <conditionalFormatting sqref="L77:M78">
    <cfRule type="expression" dxfId="2060" priority="10">
      <formula>IF(AND(NOT(L77=""),NOT(L77="-")),L77&gt;=1.1*L$5*BL$95,"-")</formula>
    </cfRule>
  </conditionalFormatting>
  <conditionalFormatting sqref="L163:M164">
    <cfRule type="expression" dxfId="2059" priority="9">
      <formula>IF(AND(NOT(L163=""),NOT(L163="-")),L163&gt;=1.1*L$5*BL$176,"-")</formula>
    </cfRule>
  </conditionalFormatting>
  <conditionalFormatting sqref="L158:M159">
    <cfRule type="expression" dxfId="2058" priority="8">
      <formula>IF(AND(NOT(L158=""),NOT(L158="-")),L158&gt;=1.1*L$5*BL$175,"-")</formula>
    </cfRule>
  </conditionalFormatting>
  <conditionalFormatting sqref="L131:M132">
    <cfRule type="expression" dxfId="2057" priority="7">
      <formula>IF(AND(NOT(L131=""),NOT(L131="-")),L131&gt;=1.1*L$5*BL$148,"-")</formula>
    </cfRule>
  </conditionalFormatting>
  <conditionalFormatting sqref="L136:M137">
    <cfRule type="expression" dxfId="2056" priority="6">
      <formula>IF(AND(NOT(L136=""),NOT(L136="-")),L136&gt;=1.1*L$5*BL$149,"-")</formula>
    </cfRule>
  </conditionalFormatting>
  <conditionalFormatting sqref="L168:M169">
    <cfRule type="expression" dxfId="2055" priority="5">
      <formula>IF(AND(NOT(L168=""),NOT(L168="-")),L168&gt;=1.1*L$5*BL$177,"-")</formula>
    </cfRule>
  </conditionalFormatting>
  <conditionalFormatting sqref="L104:M105">
    <cfRule type="expression" dxfId="2054" priority="4">
      <formula>IF(AND(NOT(L104=""),NOT(L104="-")),L104&gt;=1.1*L$5*BL$121,"-")</formula>
    </cfRule>
  </conditionalFormatting>
  <conditionalFormatting sqref="L173:M174">
    <cfRule type="expression" dxfId="2053" priority="3">
      <formula>IF(AND(NOT(L173=""),NOT(L173="-")),L173&gt;=1.1*L$5*BL$178,"-")</formula>
    </cfRule>
  </conditionalFormatting>
  <conditionalFormatting sqref="L178:M179">
    <cfRule type="expression" dxfId="2052" priority="2">
      <formula>IF(AND(NOT(L178=""),NOT(L178="-")),L178&gt;=1.1*L$5*BL$179,"-")</formula>
    </cfRule>
  </conditionalFormatting>
  <conditionalFormatting sqref="L183:M184">
    <cfRule type="expression" dxfId="2051" priority="1">
      <formula>IF(AND(NOT(L183=""),NOT(L183="-")),L183&gt;=1.1*L$5*BL$180,"-")</formula>
    </cfRule>
  </conditionalFormatting>
  <pageMargins left="0.7" right="0.7" top="0.75" bottom="0.75" header="0.3" footer="0.3"/>
  <pageSetup paperSize="9" scale="45" fitToHeight="0" orientation="landscape" r:id="rId1"/>
  <rowBreaks count="3" manualBreakCount="3">
    <brk id="71" max="19" man="1"/>
    <brk id="124" max="19" man="1"/>
    <brk id="151" max="19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1">
    <pageSetUpPr fitToPage="1"/>
  </sheetPr>
  <dimension ref="A1:BU187"/>
  <sheetViews>
    <sheetView showGridLines="0" topLeftCell="A27" zoomScaleNormal="100" workbookViewId="0">
      <selection activeCell="C47" sqref="C47:C49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.7109375" style="401" customWidth="1"/>
    <col min="56" max="56" width="25.85546875" style="405" bestFit="1" customWidth="1"/>
    <col min="57" max="57" width="6.5703125" style="405" customWidth="1"/>
    <col min="58" max="58" width="4.42578125" style="405" hidden="1" customWidth="1"/>
    <col min="59" max="59" width="4" style="405" customWidth="1"/>
    <col min="60" max="60" width="4.85546875" style="405" customWidth="1"/>
    <col min="61" max="61" width="4" style="405" customWidth="1"/>
    <col min="62" max="63" width="4" style="405" hidden="1" customWidth="1"/>
    <col min="64" max="64" width="4.5703125" style="405" hidden="1" customWidth="1"/>
    <col min="65" max="65" width="12.7109375" style="405" customWidth="1"/>
    <col min="66" max="67" width="10.7109375" style="405" hidden="1" customWidth="1"/>
    <col min="68" max="68" width="10.7109375" style="405" customWidth="1"/>
    <col min="69" max="72" width="10.7109375" style="405" hidden="1" customWidth="1"/>
    <col min="73" max="73" width="10.7109375" style="405" customWidth="1"/>
    <col min="74" max="16384" width="9.140625" style="401"/>
  </cols>
  <sheetData>
    <row r="1" spans="1:64" ht="24.95" customHeight="1" x14ac:dyDescent="0.25">
      <c r="A1" s="658" t="s">
        <v>126</v>
      </c>
      <c r="B1" s="659"/>
      <c r="C1" s="659"/>
      <c r="D1" s="659"/>
      <c r="E1" s="659"/>
      <c r="F1" s="659"/>
      <c r="G1" s="659"/>
      <c r="H1" s="659"/>
      <c r="I1" s="659"/>
      <c r="J1" s="660"/>
      <c r="K1" s="734" t="str">
        <f>'Variant 3 - JC08'!K1:Q2</f>
        <v>[e.g. Ferrari F150 MEDC17] [Chassis name] [Engine description]</v>
      </c>
      <c r="L1" s="735"/>
      <c r="M1" s="735"/>
      <c r="N1" s="735"/>
      <c r="O1" s="735"/>
      <c r="P1" s="735"/>
      <c r="Q1" s="736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</row>
    <row r="2" spans="1:64" ht="24.95" customHeight="1" thickBot="1" x14ac:dyDescent="0.3">
      <c r="A2" s="661"/>
      <c r="B2" s="662"/>
      <c r="C2" s="662"/>
      <c r="D2" s="662"/>
      <c r="E2" s="662"/>
      <c r="F2" s="662"/>
      <c r="G2" s="662"/>
      <c r="H2" s="662"/>
      <c r="I2" s="662"/>
      <c r="J2" s="663"/>
      <c r="K2" s="737"/>
      <c r="L2" s="738"/>
      <c r="M2" s="738"/>
      <c r="N2" s="738"/>
      <c r="O2" s="738"/>
      <c r="P2" s="738"/>
      <c r="Q2" s="739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64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64" ht="39.950000000000003" customHeight="1" thickBot="1" x14ac:dyDescent="0.3">
      <c r="A4" s="396"/>
      <c r="B4" s="664" t="s">
        <v>71</v>
      </c>
      <c r="C4" s="665"/>
      <c r="D4" s="666"/>
      <c r="E4" s="358" t="str">
        <f>'Variant 3 - JC08'!E4</f>
        <v>Post New Long Term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521" t="s">
        <v>284</v>
      </c>
      <c r="M4" s="367" t="s">
        <v>285</v>
      </c>
      <c r="N4" s="359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64" ht="24.95" customHeight="1" thickBot="1" x14ac:dyDescent="0.3">
      <c r="A5" s="396"/>
      <c r="B5" s="664" t="s">
        <v>143</v>
      </c>
      <c r="C5" s="665"/>
      <c r="D5" s="665"/>
      <c r="E5" s="666"/>
      <c r="F5" s="361">
        <f>'Variant 3 - JC08'!F5</f>
        <v>0.05</v>
      </c>
      <c r="G5" s="361" t="str">
        <f>'Variant 3 - JC08'!G5</f>
        <v>-</v>
      </c>
      <c r="H5" s="361">
        <f>'Variant 3 - JC08'!H5</f>
        <v>1.1499999999999999</v>
      </c>
      <c r="I5" s="361">
        <f>'Variant 3 - JC08'!I5</f>
        <v>0.08</v>
      </c>
      <c r="J5" s="361">
        <f>'Variant 3 - JC08'!J5</f>
        <v>5.0000000000000001E-3</v>
      </c>
      <c r="K5" s="361" t="str">
        <f>'Variant 3 - JC08'!K5</f>
        <v>-</v>
      </c>
      <c r="L5" s="363" t="str">
        <f>VLOOKUP(E4,'Daten Gasoline'!BN14:BV17,8,FALSE)</f>
        <v>-</v>
      </c>
      <c r="M5" s="363" t="str">
        <f>VLOOKUP(E4,'Daten Gasoline'!BN14:BV17,9,FALSE)</f>
        <v>-</v>
      </c>
      <c r="N5" s="361" t="s">
        <v>5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64" ht="24.95" customHeight="1" x14ac:dyDescent="0.25">
      <c r="A6" s="396"/>
      <c r="B6" s="667"/>
      <c r="C6" s="667"/>
      <c r="D6" s="667"/>
      <c r="E6" s="667"/>
      <c r="F6" s="412"/>
      <c r="G6" s="412"/>
      <c r="H6" s="412"/>
      <c r="I6" s="412"/>
      <c r="J6" s="412"/>
      <c r="K6" s="413"/>
      <c r="L6" s="413"/>
      <c r="M6" s="413"/>
      <c r="N6" s="412"/>
      <c r="O6" s="411"/>
      <c r="P6" s="411"/>
      <c r="Q6" s="396"/>
      <c r="R6" s="396"/>
      <c r="S6" s="396"/>
      <c r="T6" s="404"/>
      <c r="U6" s="404"/>
      <c r="V6" s="404"/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</row>
    <row r="7" spans="1:64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</row>
    <row r="8" spans="1:64" ht="24.95" customHeight="1" thickBot="1" x14ac:dyDescent="0.3">
      <c r="A8" s="396"/>
      <c r="B8" s="415">
        <v>1</v>
      </c>
      <c r="C8" s="692" t="s">
        <v>159</v>
      </c>
      <c r="D8" s="693"/>
      <c r="E8" s="693"/>
      <c r="F8" s="693"/>
      <c r="G8" s="693"/>
      <c r="H8" s="693"/>
      <c r="I8" s="693"/>
      <c r="J8" s="693"/>
      <c r="K8" s="693"/>
      <c r="L8" s="693"/>
      <c r="M8" s="693"/>
      <c r="N8" s="694"/>
      <c r="O8" s="416" t="s">
        <v>117</v>
      </c>
      <c r="P8" s="398" t="str">
        <f>IF(COUNTIF(F17:N32,"refused")&gt;0,"refused",IF(COUNTIF(F17:N32,"failed")&gt;0,"failed",IF(COUNTIF(F17:N32,"passed")&gt;0,"passed","-")))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427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</row>
    <row r="9" spans="1:64" ht="15" customHeight="1" outlineLevel="1" thickBot="1" x14ac:dyDescent="0.3">
      <c r="A9" s="396"/>
      <c r="B9" s="456"/>
      <c r="C9" s="457"/>
      <c r="D9" s="457"/>
      <c r="E9" s="457"/>
      <c r="F9" s="457"/>
      <c r="G9" s="457"/>
      <c r="H9" s="457"/>
      <c r="I9" s="457"/>
      <c r="J9" s="457"/>
      <c r="K9" s="421"/>
      <c r="L9" s="421"/>
      <c r="M9" s="421"/>
      <c r="N9" s="457"/>
      <c r="O9" s="457"/>
      <c r="P9" s="457"/>
      <c r="Q9" s="457"/>
      <c r="R9" s="457"/>
      <c r="S9" s="457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</row>
    <row r="10" spans="1:64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</row>
    <row r="11" spans="1:64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tr">
        <f>F$4</f>
        <v>NMHC 
[g/km]</v>
      </c>
      <c r="G11" s="425" t="str">
        <f t="shared" ref="G11:N11" si="0">G$4</f>
        <v>THC
[g/km]</v>
      </c>
      <c r="H11" s="425" t="str">
        <f t="shared" si="0"/>
        <v>CO
[g/km]</v>
      </c>
      <c r="I11" s="425" t="str">
        <f t="shared" si="0"/>
        <v>NOx
[g/km]</v>
      </c>
      <c r="J11" s="425" t="str">
        <f t="shared" si="0"/>
        <v>PM
[mg/km]</v>
      </c>
      <c r="K11" s="425" t="str">
        <f t="shared" si="0"/>
        <v>PN
[#/km]</v>
      </c>
      <c r="L11" s="426" t="str">
        <f t="shared" si="0"/>
        <v>Additional
component</v>
      </c>
      <c r="M11" s="426" t="str">
        <f t="shared" si="0"/>
        <v>Additional
component 2</v>
      </c>
      <c r="N11" s="425" t="str">
        <f t="shared" si="0"/>
        <v>CO2
[g/km]</v>
      </c>
      <c r="O11" s="669"/>
      <c r="P11" s="670"/>
      <c r="Q11" s="670"/>
      <c r="R11" s="671"/>
      <c r="S11" s="669"/>
      <c r="T11" s="670"/>
      <c r="U11" s="670"/>
      <c r="V11" s="671"/>
      <c r="W11" s="434"/>
      <c r="X11" s="434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BD11" s="429" t="s">
        <v>85</v>
      </c>
      <c r="BE11" s="430" t="str">
        <f>F$4</f>
        <v>NMHC 
[g/km]</v>
      </c>
      <c r="BF11" s="430" t="str">
        <f t="shared" ref="BF11:BL11" si="1">G4</f>
        <v>THC
[g/km]</v>
      </c>
      <c r="BG11" s="430" t="str">
        <f t="shared" si="1"/>
        <v>CO
[g/km]</v>
      </c>
      <c r="BH11" s="430" t="str">
        <f t="shared" si="1"/>
        <v>NOx
[g/km]</v>
      </c>
      <c r="BI11" s="430" t="str">
        <f t="shared" si="1"/>
        <v>PM
[mg/km]</v>
      </c>
      <c r="BJ11" s="430" t="str">
        <f t="shared" si="1"/>
        <v>PN
[#/km]</v>
      </c>
      <c r="BK11" s="430" t="str">
        <f t="shared" si="1"/>
        <v>Additional
component</v>
      </c>
      <c r="BL11" s="430" t="str">
        <f t="shared" si="1"/>
        <v>Additional
component 2</v>
      </c>
    </row>
    <row r="12" spans="1:64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434"/>
      <c r="X12" s="434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BD12" s="429" t="str">
        <f>$E$4</f>
        <v>Post New Long Term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</row>
    <row r="13" spans="1:64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434"/>
      <c r="X13" s="434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BD13" s="429" t="str">
        <f>"1st " &amp;  B12</f>
        <v>1st Cold</v>
      </c>
      <c r="BE13" s="435" t="str">
        <f t="shared" ref="BE13:BL13" si="2">IF(AND(OR($C15="-",$C15="CET",$C15=""),OR(F12="-",F12="CET",F12="")),"-",IF(AND(OR(F13="-",F13=""),OR(F14="-",F14="")),"-",IF(NOT(OR(F13="-",F13="")),F13/F$5,F14/F$5)))</f>
        <v>-</v>
      </c>
      <c r="BF13" s="435" t="str">
        <f t="shared" si="2"/>
        <v>-</v>
      </c>
      <c r="BG13" s="435" t="str">
        <f t="shared" si="2"/>
        <v>-</v>
      </c>
      <c r="BH13" s="435" t="str">
        <f t="shared" si="2"/>
        <v>-</v>
      </c>
      <c r="BI13" s="435" t="str">
        <f t="shared" si="2"/>
        <v>-</v>
      </c>
      <c r="BJ13" s="435" t="str">
        <f t="shared" si="2"/>
        <v>-</v>
      </c>
      <c r="BK13" s="435" t="str">
        <f t="shared" si="2"/>
        <v>-</v>
      </c>
      <c r="BL13" s="435" t="str">
        <f t="shared" si="2"/>
        <v>-</v>
      </c>
    </row>
    <row r="14" spans="1:64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D14" s="429" t="str">
        <f>"1st " &amp; B18</f>
        <v>1st Warm</v>
      </c>
      <c r="BE14" s="435" t="str">
        <f t="shared" ref="BE14:BL14" si="3">IF((OR($C20="-",$C20="CET",$C20="")),"-",IF(AND(OR(F18="-",F18=""),OR(F19="-",F19="")),"-",IF(NOT(OR(F18="-",F18="")),F18/F$5,F19/F$5)))</f>
        <v>-</v>
      </c>
      <c r="BF14" s="435" t="str">
        <f t="shared" si="3"/>
        <v>-</v>
      </c>
      <c r="BG14" s="435" t="str">
        <f t="shared" si="3"/>
        <v>-</v>
      </c>
      <c r="BH14" s="435" t="str">
        <f t="shared" si="3"/>
        <v>-</v>
      </c>
      <c r="BI14" s="435" t="str">
        <f t="shared" si="3"/>
        <v>-</v>
      </c>
      <c r="BJ14" s="435" t="str">
        <f t="shared" si="3"/>
        <v>-</v>
      </c>
      <c r="BK14" s="435" t="str">
        <f t="shared" si="3"/>
        <v>-</v>
      </c>
      <c r="BL14" s="435" t="str">
        <f t="shared" si="3"/>
        <v>-</v>
      </c>
    </row>
    <row r="15" spans="1:64" ht="15" customHeight="1" outlineLevel="1" thickBot="1" x14ac:dyDescent="0.3">
      <c r="A15" s="396"/>
      <c r="B15" s="680"/>
      <c r="C15" s="686" t="s">
        <v>64</v>
      </c>
      <c r="D15" s="689" t="str">
        <f>IF(AND(F16="-",G16="-",H16="-",I16="-",J16="-",K16="-",L16="-",M16="-"),"-",MAX(F16,G16,H16,I16,J16,K16,L16,M16))</f>
        <v>-</v>
      </c>
      <c r="E15" s="444" t="s">
        <v>96</v>
      </c>
      <c r="F15" s="445" t="str">
        <f t="shared" ref="F15:M15" si="4">IF(OR(F14="-",F14=""),IF(OR(F13="-",F13=""),"-",F13),IF(OR(F13="-",F13=""),F14,(F13+F14)/2))</f>
        <v>-</v>
      </c>
      <c r="G15" s="445" t="str">
        <f t="shared" si="4"/>
        <v>-</v>
      </c>
      <c r="H15" s="445" t="str">
        <f t="shared" si="4"/>
        <v>-</v>
      </c>
      <c r="I15" s="445" t="str">
        <f t="shared" si="4"/>
        <v>-</v>
      </c>
      <c r="J15" s="445" t="str">
        <f t="shared" si="4"/>
        <v>-</v>
      </c>
      <c r="K15" s="446" t="str">
        <f t="shared" si="4"/>
        <v>-</v>
      </c>
      <c r="L15" s="446" t="str">
        <f t="shared" si="4"/>
        <v>-</v>
      </c>
      <c r="M15" s="446" t="str">
        <f t="shared" si="4"/>
        <v>-</v>
      </c>
      <c r="N15" s="699"/>
      <c r="O15" s="672"/>
      <c r="P15" s="673"/>
      <c r="Q15" s="673"/>
      <c r="R15" s="674"/>
      <c r="S15" s="672"/>
      <c r="T15" s="673"/>
      <c r="U15" s="673"/>
      <c r="V15" s="674"/>
      <c r="W15" s="434"/>
      <c r="X15" s="434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BD15" s="429" t="str">
        <f>"1st " &amp; B23</f>
        <v>1st Hot 1</v>
      </c>
      <c r="BE15" s="435" t="str">
        <f t="shared" ref="BE15:BL15" si="5">IF((OR($C25="-",$C25="CET",$C25="")),"-",IF(AND(OR(F23="-",F23=""),OR(F24="-",F24="")),"-",IF(NOT(OR(F23="-",F23="")),F23/F$5,F24/F$5)))</f>
        <v>-</v>
      </c>
      <c r="BF15" s="435" t="str">
        <f t="shared" si="5"/>
        <v>-</v>
      </c>
      <c r="BG15" s="435" t="str">
        <f t="shared" si="5"/>
        <v>-</v>
      </c>
      <c r="BH15" s="435" t="str">
        <f t="shared" si="5"/>
        <v>-</v>
      </c>
      <c r="BI15" s="435" t="str">
        <f t="shared" si="5"/>
        <v>-</v>
      </c>
      <c r="BJ15" s="435" t="str">
        <f t="shared" si="5"/>
        <v>-</v>
      </c>
      <c r="BK15" s="435" t="str">
        <f t="shared" si="5"/>
        <v>-</v>
      </c>
      <c r="BL15" s="435" t="str">
        <f t="shared" si="5"/>
        <v>-</v>
      </c>
    </row>
    <row r="16" spans="1:64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K16" si="6">IF(AND(OR($C15="-",$C15="CET",$C15=""),OR(F12="-",F12="CET",F12="")),"-",IF(AND(NOT(F15="-"),NOT(F$5="-"),NOT(F$5="")),F15/F$5,"-"))</f>
        <v>-</v>
      </c>
      <c r="G16" s="448" t="str">
        <f t="shared" si="6"/>
        <v>-</v>
      </c>
      <c r="H16" s="448" t="str">
        <f t="shared" si="6"/>
        <v>-</v>
      </c>
      <c r="I16" s="448" t="str">
        <f t="shared" si="6"/>
        <v>-</v>
      </c>
      <c r="J16" s="448" t="str">
        <f t="shared" si="6"/>
        <v>-</v>
      </c>
      <c r="K16" s="449" t="str">
        <f t="shared" si="6"/>
        <v>-</v>
      </c>
      <c r="L16" s="449" t="str">
        <f>IF(AND(OR($C15="-",$C15="CET",$C15=""),OR(L12="-",L12="CET",L12="")),"-",IF(AND(NOT(L15="-"),NOT(L$5="-"),NOT(L$5="")),L15/L$5,"-"))</f>
        <v>-</v>
      </c>
      <c r="M16" s="449" t="str">
        <f t="shared" ref="M16" si="7">IF(AND(OR($C15="-",$C15="CET",$C15=""),OR(M12="-",M12="CET",M12="")),"-",IF(AND(NOT(M15="-"),NOT(M$5="-"),NOT(M$5="")),M15/M$5,"-"))</f>
        <v>-</v>
      </c>
      <c r="N16" s="700"/>
      <c r="O16" s="672"/>
      <c r="P16" s="673"/>
      <c r="Q16" s="673"/>
      <c r="R16" s="674"/>
      <c r="S16" s="672"/>
      <c r="T16" s="673"/>
      <c r="U16" s="673"/>
      <c r="V16" s="674"/>
      <c r="W16" s="434"/>
      <c r="X16" s="434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BD16" s="429" t="str">
        <f>"1st " &amp; B28</f>
        <v>1st Hot 2</v>
      </c>
      <c r="BE16" s="435" t="str">
        <f t="shared" ref="BE16:BL16" si="8">IF((OR($C30="-",$C30="CET",$C30="")),"-",IF(AND(OR(F28="-",F28=""),OR(F29="-",F29="")),"-",IF(NOT(OR(F28="-",F28="")),F28/F$5,F29/F$5)))</f>
        <v>-</v>
      </c>
      <c r="BF16" s="435" t="str">
        <f t="shared" si="8"/>
        <v>-</v>
      </c>
      <c r="BG16" s="435" t="str">
        <f t="shared" si="8"/>
        <v>-</v>
      </c>
      <c r="BH16" s="435" t="str">
        <f t="shared" si="8"/>
        <v>-</v>
      </c>
      <c r="BI16" s="435" t="str">
        <f t="shared" si="8"/>
        <v>-</v>
      </c>
      <c r="BJ16" s="435" t="str">
        <f t="shared" si="8"/>
        <v>-</v>
      </c>
      <c r="BK16" s="435" t="str">
        <f t="shared" si="8"/>
        <v>-</v>
      </c>
      <c r="BL16" s="435" t="str">
        <f t="shared" si="8"/>
        <v>-</v>
      </c>
    </row>
    <row r="17" spans="1:64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9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9"/>
        <v>-</v>
      </c>
      <c r="H17" s="451" t="str">
        <f t="shared" si="9"/>
        <v>-</v>
      </c>
      <c r="I17" s="451" t="str">
        <f t="shared" si="9"/>
        <v>-</v>
      </c>
      <c r="J17" s="451" t="str">
        <f t="shared" si="9"/>
        <v>-</v>
      </c>
      <c r="K17" s="452" t="str">
        <f t="shared" si="9"/>
        <v>-</v>
      </c>
      <c r="L17" s="452" t="str">
        <f t="shared" si="9"/>
        <v>-</v>
      </c>
      <c r="M17" s="452" t="str">
        <f t="shared" si="9"/>
        <v>-</v>
      </c>
      <c r="N17" s="701"/>
      <c r="O17" s="672"/>
      <c r="P17" s="673"/>
      <c r="Q17" s="673"/>
      <c r="R17" s="674"/>
      <c r="S17" s="672"/>
      <c r="T17" s="673"/>
      <c r="U17" s="673"/>
      <c r="V17" s="674"/>
      <c r="W17" s="434"/>
      <c r="X17" s="434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BC17" s="401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10">IF(AND(OR($C15="-",$C15="CET",$C15=""),OR(F12="-",F12="CET",F12="")),"-",0.7*IF(OR(F12="CET",F12="-",F12=""),IF(OR($C15="CET",$C15="-",$C15=""),"-",$C15),F12))</f>
        <v>-</v>
      </c>
      <c r="BF17" s="435" t="str">
        <f t="shared" si="10"/>
        <v>-</v>
      </c>
      <c r="BG17" s="435" t="str">
        <f t="shared" si="10"/>
        <v>-</v>
      </c>
      <c r="BH17" s="435" t="str">
        <f t="shared" si="10"/>
        <v>-</v>
      </c>
      <c r="BI17" s="435" t="str">
        <f t="shared" si="10"/>
        <v>-</v>
      </c>
      <c r="BJ17" s="435" t="str">
        <f t="shared" si="10"/>
        <v>-</v>
      </c>
      <c r="BK17" s="435" t="str">
        <f t="shared" si="10"/>
        <v>-</v>
      </c>
      <c r="BL17" s="435" t="str">
        <f t="shared" si="10"/>
        <v>-</v>
      </c>
    </row>
    <row r="18" spans="1:64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434"/>
      <c r="X18" s="434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BC18" s="401" t="str">
        <f t="shared" ref="BC18:BC81" si="11">IF(COUNTIF(F18:M18,"refused")&gt;0,"refused",IF(COUNTIF(F18:M18,"failed")&gt;0,"failed",IF(COUNTIF(F18:M18,"passed")&gt;0,"passed","-")))</f>
        <v>-</v>
      </c>
      <c r="BD18" s="429" t="str">
        <f>"0.7*IEF" &amp; B18</f>
        <v>0.7*IEFWarm</v>
      </c>
      <c r="BE18" s="435">
        <f t="shared" ref="BE18:BL18" si="12">IF(OR($C20="-",$C20="CET",$C20=""),"-",0.7*$C20)</f>
        <v>0.7</v>
      </c>
      <c r="BF18" s="435">
        <f t="shared" si="12"/>
        <v>0.7</v>
      </c>
      <c r="BG18" s="435">
        <f t="shared" si="12"/>
        <v>0.7</v>
      </c>
      <c r="BH18" s="435">
        <f t="shared" si="12"/>
        <v>0.7</v>
      </c>
      <c r="BI18" s="435">
        <f t="shared" si="12"/>
        <v>0.7</v>
      </c>
      <c r="BJ18" s="435">
        <f t="shared" si="12"/>
        <v>0.7</v>
      </c>
      <c r="BK18" s="435">
        <f t="shared" si="12"/>
        <v>0.7</v>
      </c>
      <c r="BL18" s="435">
        <f t="shared" si="12"/>
        <v>0.7</v>
      </c>
    </row>
    <row r="19" spans="1:64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401" t="str">
        <f t="shared" si="11"/>
        <v>-</v>
      </c>
      <c r="BD19" s="429" t="str">
        <f>"0.7*IEF " &amp; B23</f>
        <v>0.7*IEF Hot 1</v>
      </c>
      <c r="BE19" s="435">
        <f t="shared" ref="BE19:BL19" si="13">IF(OR($C25="-",$C25="CET",$C25=""),"-",0.7*$C25)</f>
        <v>0.7</v>
      </c>
      <c r="BF19" s="435">
        <f t="shared" si="13"/>
        <v>0.7</v>
      </c>
      <c r="BG19" s="435">
        <f t="shared" si="13"/>
        <v>0.7</v>
      </c>
      <c r="BH19" s="435">
        <f t="shared" si="13"/>
        <v>0.7</v>
      </c>
      <c r="BI19" s="435">
        <f t="shared" si="13"/>
        <v>0.7</v>
      </c>
      <c r="BJ19" s="435">
        <f t="shared" si="13"/>
        <v>0.7</v>
      </c>
      <c r="BK19" s="435">
        <f t="shared" si="13"/>
        <v>0.7</v>
      </c>
      <c r="BL19" s="435">
        <f t="shared" si="13"/>
        <v>0.7</v>
      </c>
    </row>
    <row r="20" spans="1:64" ht="15" customHeight="1" outlineLevel="1" thickBot="1" x14ac:dyDescent="0.3">
      <c r="A20" s="396"/>
      <c r="B20" s="680"/>
      <c r="C20" s="686">
        <v>1</v>
      </c>
      <c r="D20" s="689" t="str">
        <f>IF(AND(F21="-",G21="-",H21="-",I21="-",J21="-",K21="-",L21="-",M21="-"),"-",MAX(F21,G21,H21,I21,J21,K21,L21,M21))</f>
        <v>-</v>
      </c>
      <c r="E20" s="444" t="s">
        <v>96</v>
      </c>
      <c r="F20" s="445" t="str">
        <f t="shared" ref="F20:M20" si="14">IF(OR(F19="-",F19=""),IF(OR(F18="-",F18=""),"-",F18),IF(OR(F18="-",F18=""),F19,(F18+F19)/2))</f>
        <v>-</v>
      </c>
      <c r="G20" s="445" t="str">
        <f t="shared" si="14"/>
        <v>-</v>
      </c>
      <c r="H20" s="445" t="str">
        <f t="shared" si="14"/>
        <v>-</v>
      </c>
      <c r="I20" s="445" t="str">
        <f t="shared" si="14"/>
        <v>-</v>
      </c>
      <c r="J20" s="445" t="str">
        <f t="shared" si="14"/>
        <v>-</v>
      </c>
      <c r="K20" s="446" t="str">
        <f t="shared" si="14"/>
        <v>-</v>
      </c>
      <c r="L20" s="446" t="str">
        <f t="shared" si="14"/>
        <v>-</v>
      </c>
      <c r="M20" s="446" t="str">
        <f t="shared" si="14"/>
        <v>-</v>
      </c>
      <c r="N20" s="699"/>
      <c r="O20" s="672"/>
      <c r="P20" s="673"/>
      <c r="Q20" s="673"/>
      <c r="R20" s="674"/>
      <c r="S20" s="672"/>
      <c r="T20" s="673"/>
      <c r="U20" s="673"/>
      <c r="V20" s="674"/>
      <c r="W20" s="434"/>
      <c r="X20" s="434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BC20" s="401" t="str">
        <f t="shared" si="11"/>
        <v>-</v>
      </c>
      <c r="BD20" s="429" t="str">
        <f>"0.7*IEF " &amp; B28</f>
        <v>0.7*IEF Hot 2</v>
      </c>
      <c r="BE20" s="435">
        <f t="shared" ref="BE20:BL20" si="15">IF(OR($C30="-",$C30="CET",$C30=""),"-",0.7*$C30)</f>
        <v>0.7</v>
      </c>
      <c r="BF20" s="435">
        <f t="shared" si="15"/>
        <v>0.7</v>
      </c>
      <c r="BG20" s="435">
        <f t="shared" si="15"/>
        <v>0.7</v>
      </c>
      <c r="BH20" s="435">
        <f t="shared" si="15"/>
        <v>0.7</v>
      </c>
      <c r="BI20" s="435">
        <f t="shared" si="15"/>
        <v>0.7</v>
      </c>
      <c r="BJ20" s="435">
        <f t="shared" si="15"/>
        <v>0.7</v>
      </c>
      <c r="BK20" s="435">
        <f t="shared" si="15"/>
        <v>0.7</v>
      </c>
      <c r="BL20" s="435">
        <f t="shared" si="15"/>
        <v>0.7</v>
      </c>
    </row>
    <row r="21" spans="1:64" ht="15" customHeight="1" outlineLevel="1" thickBot="1" x14ac:dyDescent="0.3">
      <c r="A21" s="396"/>
      <c r="B21" s="680"/>
      <c r="C21" s="687"/>
      <c r="D21" s="690"/>
      <c r="E21" s="447" t="s">
        <v>97</v>
      </c>
      <c r="F21" s="448" t="str">
        <f t="shared" ref="F21:M21" si="16">IF(OR($C20="-",$C20="CET",$C20=""),"-",IF(AND(NOT(F20="-"),NOT(F$5="-"),NOT(F$5="")),F20/F$5,"-"))</f>
        <v>-</v>
      </c>
      <c r="G21" s="448" t="str">
        <f t="shared" si="16"/>
        <v>-</v>
      </c>
      <c r="H21" s="448" t="str">
        <f t="shared" si="16"/>
        <v>-</v>
      </c>
      <c r="I21" s="448" t="str">
        <f t="shared" si="16"/>
        <v>-</v>
      </c>
      <c r="J21" s="448" t="str">
        <f t="shared" si="16"/>
        <v>-</v>
      </c>
      <c r="K21" s="449" t="str">
        <f t="shared" si="16"/>
        <v>-</v>
      </c>
      <c r="L21" s="449" t="str">
        <f t="shared" si="16"/>
        <v>-</v>
      </c>
      <c r="M21" s="449" t="str">
        <f t="shared" si="16"/>
        <v>-</v>
      </c>
      <c r="N21" s="700"/>
      <c r="O21" s="672"/>
      <c r="P21" s="673"/>
      <c r="Q21" s="673"/>
      <c r="R21" s="674"/>
      <c r="S21" s="672"/>
      <c r="T21" s="673"/>
      <c r="U21" s="673"/>
      <c r="V21" s="674"/>
      <c r="W21" s="434"/>
      <c r="X21" s="434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BC21" s="401" t="str">
        <f t="shared" si="11"/>
        <v>-</v>
      </c>
      <c r="BD21" s="429" t="str">
        <f>B12</f>
        <v>Cold</v>
      </c>
      <c r="BE21" s="435" t="str">
        <f t="shared" ref="BE21:BL21" si="17">F16</f>
        <v>-</v>
      </c>
      <c r="BF21" s="435" t="str">
        <f t="shared" si="17"/>
        <v>-</v>
      </c>
      <c r="BG21" s="435" t="str">
        <f t="shared" si="17"/>
        <v>-</v>
      </c>
      <c r="BH21" s="435" t="str">
        <f t="shared" si="17"/>
        <v>-</v>
      </c>
      <c r="BI21" s="435" t="str">
        <f t="shared" si="17"/>
        <v>-</v>
      </c>
      <c r="BJ21" s="435" t="str">
        <f t="shared" si="17"/>
        <v>-</v>
      </c>
      <c r="BK21" s="435" t="str">
        <f t="shared" si="17"/>
        <v>-</v>
      </c>
      <c r="BL21" s="435" t="str">
        <f t="shared" si="17"/>
        <v>-</v>
      </c>
    </row>
    <row r="22" spans="1:64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8"/>
        <v>-</v>
      </c>
      <c r="H22" s="451" t="str">
        <f t="shared" si="18"/>
        <v>-</v>
      </c>
      <c r="I22" s="451" t="str">
        <f t="shared" si="18"/>
        <v>-</v>
      </c>
      <c r="J22" s="451" t="str">
        <f t="shared" si="18"/>
        <v>-</v>
      </c>
      <c r="K22" s="452" t="str">
        <f t="shared" si="18"/>
        <v>-</v>
      </c>
      <c r="L22" s="452" t="str">
        <f t="shared" si="18"/>
        <v>-</v>
      </c>
      <c r="M22" s="452" t="str">
        <f t="shared" si="18"/>
        <v>-</v>
      </c>
      <c r="N22" s="701"/>
      <c r="O22" s="672"/>
      <c r="P22" s="673"/>
      <c r="Q22" s="673"/>
      <c r="R22" s="674"/>
      <c r="S22" s="672"/>
      <c r="T22" s="673"/>
      <c r="U22" s="673"/>
      <c r="V22" s="674"/>
      <c r="W22" s="434"/>
      <c r="X22" s="434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BC22" s="401" t="str">
        <f t="shared" si="11"/>
        <v>-</v>
      </c>
      <c r="BD22" s="429" t="str">
        <f>B18</f>
        <v>Warm</v>
      </c>
      <c r="BE22" s="435" t="str">
        <f t="shared" ref="BE22:BL22" si="19">F21</f>
        <v>-</v>
      </c>
      <c r="BF22" s="435" t="str">
        <f t="shared" si="19"/>
        <v>-</v>
      </c>
      <c r="BG22" s="435" t="str">
        <f t="shared" si="19"/>
        <v>-</v>
      </c>
      <c r="BH22" s="435" t="str">
        <f t="shared" si="19"/>
        <v>-</v>
      </c>
      <c r="BI22" s="435" t="str">
        <f t="shared" si="19"/>
        <v>-</v>
      </c>
      <c r="BJ22" s="435" t="str">
        <f t="shared" si="19"/>
        <v>-</v>
      </c>
      <c r="BK22" s="435" t="str">
        <f t="shared" si="19"/>
        <v>-</v>
      </c>
      <c r="BL22" s="435" t="str">
        <f t="shared" si="19"/>
        <v>-</v>
      </c>
    </row>
    <row r="23" spans="1:64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434"/>
      <c r="X23" s="434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BC23" s="401" t="str">
        <f t="shared" si="11"/>
        <v>-</v>
      </c>
      <c r="BD23" s="429" t="str">
        <f>B23</f>
        <v>Hot 1</v>
      </c>
      <c r="BE23" s="435" t="str">
        <f t="shared" ref="BE23:BL23" si="20">F26</f>
        <v>-</v>
      </c>
      <c r="BF23" s="435" t="str">
        <f t="shared" si="20"/>
        <v>-</v>
      </c>
      <c r="BG23" s="435" t="str">
        <f t="shared" si="20"/>
        <v>-</v>
      </c>
      <c r="BH23" s="435" t="str">
        <f t="shared" si="20"/>
        <v>-</v>
      </c>
      <c r="BI23" s="435" t="str">
        <f t="shared" si="20"/>
        <v>-</v>
      </c>
      <c r="BJ23" s="435" t="str">
        <f t="shared" si="20"/>
        <v>-</v>
      </c>
      <c r="BK23" s="435" t="str">
        <f t="shared" si="20"/>
        <v>-</v>
      </c>
      <c r="BL23" s="435" t="str">
        <f t="shared" si="20"/>
        <v>-</v>
      </c>
    </row>
    <row r="24" spans="1:64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401" t="str">
        <f t="shared" si="11"/>
        <v>-</v>
      </c>
      <c r="BD24" s="429" t="str">
        <f>B28</f>
        <v>Hot 2</v>
      </c>
      <c r="BE24" s="435" t="str">
        <f t="shared" ref="BE24:BL24" si="21">F31</f>
        <v>-</v>
      </c>
      <c r="BF24" s="435" t="str">
        <f t="shared" si="21"/>
        <v>-</v>
      </c>
      <c r="BG24" s="435" t="str">
        <f t="shared" si="21"/>
        <v>-</v>
      </c>
      <c r="BH24" s="435" t="str">
        <f t="shared" si="21"/>
        <v>-</v>
      </c>
      <c r="BI24" s="435" t="str">
        <f t="shared" si="21"/>
        <v>-</v>
      </c>
      <c r="BJ24" s="435" t="str">
        <f t="shared" si="21"/>
        <v>-</v>
      </c>
      <c r="BK24" s="435" t="str">
        <f t="shared" si="21"/>
        <v>-</v>
      </c>
      <c r="BL24" s="435" t="str">
        <f t="shared" si="21"/>
        <v>-</v>
      </c>
    </row>
    <row r="25" spans="1:64" ht="15" customHeight="1" outlineLevel="1" thickBot="1" x14ac:dyDescent="0.3">
      <c r="A25" s="404"/>
      <c r="B25" s="680"/>
      <c r="C25" s="686">
        <v>1</v>
      </c>
      <c r="D25" s="689" t="str">
        <f>IF(AND(F26="-",G26="-",H26="-",I26="-",J26="-",K26="-",L26="-",M26="-"),"-",MAX(F26,G26,H26,I26,J26,K26,L26,M26))</f>
        <v>-</v>
      </c>
      <c r="E25" s="444" t="s">
        <v>96</v>
      </c>
      <c r="F25" s="445" t="str">
        <f t="shared" ref="F25:M25" si="22">IF(OR(F24="-",F24=""),IF(OR(F23="-",F23=""),"-",F23),IF(OR(F23="-",F23=""),F24,(F23+F24)/2))</f>
        <v>-</v>
      </c>
      <c r="G25" s="445" t="str">
        <f t="shared" si="22"/>
        <v>-</v>
      </c>
      <c r="H25" s="445" t="str">
        <f t="shared" si="22"/>
        <v>-</v>
      </c>
      <c r="I25" s="445" t="str">
        <f t="shared" si="22"/>
        <v>-</v>
      </c>
      <c r="J25" s="445" t="str">
        <f t="shared" si="22"/>
        <v>-</v>
      </c>
      <c r="K25" s="446" t="str">
        <f t="shared" si="22"/>
        <v>-</v>
      </c>
      <c r="L25" s="446" t="str">
        <f t="shared" si="22"/>
        <v>-</v>
      </c>
      <c r="M25" s="446" t="str">
        <f t="shared" si="22"/>
        <v>-</v>
      </c>
      <c r="N25" s="699"/>
      <c r="O25" s="672"/>
      <c r="P25" s="673"/>
      <c r="Q25" s="673"/>
      <c r="R25" s="674"/>
      <c r="S25" s="672"/>
      <c r="T25" s="673"/>
      <c r="U25" s="673"/>
      <c r="V25" s="674"/>
      <c r="W25" s="434"/>
      <c r="X25" s="434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BC25" s="401" t="str">
        <f t="shared" si="11"/>
        <v>-</v>
      </c>
      <c r="BD25" s="429" t="str">
        <f>"IEF " &amp;B12</f>
        <v>IEF Cold</v>
      </c>
      <c r="BE25" s="435" t="str">
        <f t="shared" ref="BE25:BL25" si="23">IF(AND(OR($C15="-",$C15="CET",$C15=""),OR(F12="-",F12="CET",F12="")),"-",IF(OR(F12="CET",F12="-",F12=""),IF(OR($C15="CET",$C15="-",$C15=""),"-",$C15),F12))</f>
        <v>-</v>
      </c>
      <c r="BF25" s="435" t="str">
        <f t="shared" si="23"/>
        <v>-</v>
      </c>
      <c r="BG25" s="435" t="str">
        <f t="shared" si="23"/>
        <v>-</v>
      </c>
      <c r="BH25" s="435" t="str">
        <f t="shared" si="23"/>
        <v>-</v>
      </c>
      <c r="BI25" s="435" t="str">
        <f t="shared" si="23"/>
        <v>-</v>
      </c>
      <c r="BJ25" s="435" t="str">
        <f t="shared" si="23"/>
        <v>-</v>
      </c>
      <c r="BK25" s="435" t="str">
        <f t="shared" si="23"/>
        <v>-</v>
      </c>
      <c r="BL25" s="435" t="str">
        <f t="shared" si="23"/>
        <v>-</v>
      </c>
    </row>
    <row r="26" spans="1:64" ht="15" customHeight="1" outlineLevel="1" thickBot="1" x14ac:dyDescent="0.3">
      <c r="A26" s="404"/>
      <c r="B26" s="680"/>
      <c r="C26" s="687"/>
      <c r="D26" s="690"/>
      <c r="E26" s="447" t="s">
        <v>97</v>
      </c>
      <c r="F26" s="448" t="str">
        <f t="shared" ref="F26:M26" si="24">IF(OR($C25="-",$C25="CET",$C25=""),"-",IF(AND(NOT(F25="-"),NOT(F$5="-"),NOT(F$5="")),F25/F$5,"-"))</f>
        <v>-</v>
      </c>
      <c r="G26" s="448" t="str">
        <f t="shared" si="24"/>
        <v>-</v>
      </c>
      <c r="H26" s="448" t="str">
        <f t="shared" si="24"/>
        <v>-</v>
      </c>
      <c r="I26" s="448" t="str">
        <f t="shared" si="24"/>
        <v>-</v>
      </c>
      <c r="J26" s="448" t="str">
        <f t="shared" si="24"/>
        <v>-</v>
      </c>
      <c r="K26" s="449" t="str">
        <f t="shared" si="24"/>
        <v>-</v>
      </c>
      <c r="L26" s="449" t="str">
        <f t="shared" si="24"/>
        <v>-</v>
      </c>
      <c r="M26" s="449" t="str">
        <f t="shared" si="24"/>
        <v>-</v>
      </c>
      <c r="N26" s="700"/>
      <c r="O26" s="672"/>
      <c r="P26" s="673"/>
      <c r="Q26" s="673"/>
      <c r="R26" s="674"/>
      <c r="S26" s="672"/>
      <c r="T26" s="673"/>
      <c r="U26" s="673"/>
      <c r="V26" s="674"/>
      <c r="W26" s="434"/>
      <c r="X26" s="434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BC26" s="401" t="str">
        <f t="shared" si="11"/>
        <v>-</v>
      </c>
      <c r="BD26" s="429" t="str">
        <f>"IEF " &amp; B18</f>
        <v>IEF Warm</v>
      </c>
      <c r="BE26" s="435">
        <f t="shared" ref="BE26:BL26" si="25">IF(OR($C20="CET",$C20="-",$C20=""),"-",$C20)</f>
        <v>1</v>
      </c>
      <c r="BF26" s="435">
        <f t="shared" si="25"/>
        <v>1</v>
      </c>
      <c r="BG26" s="435">
        <f t="shared" si="25"/>
        <v>1</v>
      </c>
      <c r="BH26" s="435">
        <f t="shared" si="25"/>
        <v>1</v>
      </c>
      <c r="BI26" s="435">
        <f t="shared" si="25"/>
        <v>1</v>
      </c>
      <c r="BJ26" s="435">
        <f t="shared" si="25"/>
        <v>1</v>
      </c>
      <c r="BK26" s="435">
        <f t="shared" si="25"/>
        <v>1</v>
      </c>
      <c r="BL26" s="435">
        <f t="shared" si="25"/>
        <v>1</v>
      </c>
    </row>
    <row r="27" spans="1:64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6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6"/>
        <v>-</v>
      </c>
      <c r="H27" s="451" t="str">
        <f t="shared" si="26"/>
        <v>-</v>
      </c>
      <c r="I27" s="451" t="str">
        <f t="shared" si="26"/>
        <v>-</v>
      </c>
      <c r="J27" s="451" t="str">
        <f t="shared" si="26"/>
        <v>-</v>
      </c>
      <c r="K27" s="452" t="str">
        <f t="shared" si="26"/>
        <v>-</v>
      </c>
      <c r="L27" s="452" t="str">
        <f t="shared" si="26"/>
        <v>-</v>
      </c>
      <c r="M27" s="452" t="str">
        <f t="shared" si="26"/>
        <v>-</v>
      </c>
      <c r="N27" s="701"/>
      <c r="O27" s="672"/>
      <c r="P27" s="673"/>
      <c r="Q27" s="673"/>
      <c r="R27" s="674"/>
      <c r="S27" s="672"/>
      <c r="T27" s="673"/>
      <c r="U27" s="673"/>
      <c r="V27" s="674"/>
      <c r="W27" s="434"/>
      <c r="X27" s="434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BC27" s="401" t="str">
        <f t="shared" si="11"/>
        <v>-</v>
      </c>
      <c r="BD27" s="429" t="str">
        <f>"IEF " &amp; B23</f>
        <v>IEF Hot 1</v>
      </c>
      <c r="BE27" s="435">
        <f t="shared" ref="BE27:BL27" si="27">IF(OR($C25="CET",$C25="-",$C25=""),"-",$C25)</f>
        <v>1</v>
      </c>
      <c r="BF27" s="435">
        <f t="shared" si="27"/>
        <v>1</v>
      </c>
      <c r="BG27" s="435">
        <f t="shared" si="27"/>
        <v>1</v>
      </c>
      <c r="BH27" s="435">
        <f t="shared" si="27"/>
        <v>1</v>
      </c>
      <c r="BI27" s="435">
        <f t="shared" si="27"/>
        <v>1</v>
      </c>
      <c r="BJ27" s="435">
        <f t="shared" si="27"/>
        <v>1</v>
      </c>
      <c r="BK27" s="435">
        <f t="shared" si="27"/>
        <v>1</v>
      </c>
      <c r="BL27" s="435">
        <f t="shared" si="27"/>
        <v>1</v>
      </c>
    </row>
    <row r="28" spans="1:64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434"/>
      <c r="X28" s="434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BC28" s="401" t="str">
        <f t="shared" si="11"/>
        <v>-</v>
      </c>
      <c r="BD28" s="429" t="str">
        <f>"IEF " &amp; B28</f>
        <v>IEF Hot 2</v>
      </c>
      <c r="BE28" s="435">
        <f t="shared" ref="BE28:BL28" si="28">IF(OR($C30="CET",$C30="-",$C30=""),"-",$C30)</f>
        <v>1</v>
      </c>
      <c r="BF28" s="435">
        <f t="shared" si="28"/>
        <v>1</v>
      </c>
      <c r="BG28" s="435">
        <f t="shared" si="28"/>
        <v>1</v>
      </c>
      <c r="BH28" s="435">
        <f t="shared" si="28"/>
        <v>1</v>
      </c>
      <c r="BI28" s="435">
        <f t="shared" si="28"/>
        <v>1</v>
      </c>
      <c r="BJ28" s="435">
        <f t="shared" si="28"/>
        <v>1</v>
      </c>
      <c r="BK28" s="435">
        <f t="shared" si="28"/>
        <v>1</v>
      </c>
      <c r="BL28" s="435">
        <f t="shared" si="28"/>
        <v>1</v>
      </c>
    </row>
    <row r="29" spans="1:64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401" t="str">
        <f t="shared" si="11"/>
        <v>-</v>
      </c>
    </row>
    <row r="30" spans="1:64" ht="15" customHeight="1" outlineLevel="1" thickBot="1" x14ac:dyDescent="0.3">
      <c r="A30" s="404"/>
      <c r="B30" s="680"/>
      <c r="C30" s="686">
        <v>1</v>
      </c>
      <c r="D30" s="689" t="str">
        <f>IF(AND(F31="-",G31="-",H31="-",I31="-",J31="-",K31="-",L31="-",M31="-"),"-",MAX(F31,G31,H31,I31,J31,K31,L31,M31))</f>
        <v>-</v>
      </c>
      <c r="E30" s="444" t="s">
        <v>96</v>
      </c>
      <c r="F30" s="445" t="str">
        <f t="shared" ref="F30:M30" si="29">IF(OR(F29="-",F29=""),IF(OR(F28="-",F28=""),"-",F28),IF(OR(F28="-",F28=""),F29,(F28+F29)/2))</f>
        <v>-</v>
      </c>
      <c r="G30" s="445" t="str">
        <f t="shared" si="29"/>
        <v>-</v>
      </c>
      <c r="H30" s="445" t="str">
        <f t="shared" si="29"/>
        <v>-</v>
      </c>
      <c r="I30" s="445" t="str">
        <f t="shared" si="29"/>
        <v>-</v>
      </c>
      <c r="J30" s="445" t="str">
        <f t="shared" si="29"/>
        <v>-</v>
      </c>
      <c r="K30" s="446" t="str">
        <f t="shared" si="29"/>
        <v>-</v>
      </c>
      <c r="L30" s="446" t="str">
        <f t="shared" si="29"/>
        <v>-</v>
      </c>
      <c r="M30" s="446" t="str">
        <f t="shared" si="29"/>
        <v>-</v>
      </c>
      <c r="N30" s="699"/>
      <c r="O30" s="672"/>
      <c r="P30" s="673"/>
      <c r="Q30" s="673"/>
      <c r="R30" s="674"/>
      <c r="S30" s="672"/>
      <c r="T30" s="673"/>
      <c r="U30" s="673"/>
      <c r="V30" s="674"/>
      <c r="W30" s="434"/>
      <c r="X30" s="434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BC30" s="401" t="str">
        <f t="shared" si="11"/>
        <v>-</v>
      </c>
    </row>
    <row r="31" spans="1:64" ht="15" customHeight="1" outlineLevel="1" thickBot="1" x14ac:dyDescent="0.3">
      <c r="A31" s="404"/>
      <c r="B31" s="680"/>
      <c r="C31" s="687"/>
      <c r="D31" s="690"/>
      <c r="E31" s="447" t="s">
        <v>97</v>
      </c>
      <c r="F31" s="448" t="str">
        <f t="shared" ref="F31:M31" si="30">IF(OR($C30="-",$C30="CET",$C30=""),"-",IF(AND(NOT(F30="-"),NOT(F$5="-"),NOT(F$5="")),F30/F$5,"-"))</f>
        <v>-</v>
      </c>
      <c r="G31" s="448" t="str">
        <f t="shared" si="30"/>
        <v>-</v>
      </c>
      <c r="H31" s="448" t="str">
        <f t="shared" si="30"/>
        <v>-</v>
      </c>
      <c r="I31" s="448" t="str">
        <f t="shared" si="30"/>
        <v>-</v>
      </c>
      <c r="J31" s="448" t="str">
        <f t="shared" si="30"/>
        <v>-</v>
      </c>
      <c r="K31" s="449" t="str">
        <f t="shared" si="30"/>
        <v>-</v>
      </c>
      <c r="L31" s="449" t="str">
        <f t="shared" si="30"/>
        <v>-</v>
      </c>
      <c r="M31" s="449" t="str">
        <f t="shared" si="30"/>
        <v>-</v>
      </c>
      <c r="N31" s="700"/>
      <c r="O31" s="672"/>
      <c r="P31" s="673"/>
      <c r="Q31" s="673"/>
      <c r="R31" s="674"/>
      <c r="S31" s="672"/>
      <c r="T31" s="673"/>
      <c r="U31" s="673"/>
      <c r="V31" s="674"/>
      <c r="W31" s="434"/>
      <c r="X31" s="434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BC31" s="401" t="str">
        <f t="shared" si="11"/>
        <v>-</v>
      </c>
    </row>
    <row r="32" spans="1:64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3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31"/>
        <v>-</v>
      </c>
      <c r="H32" s="451" t="str">
        <f t="shared" si="31"/>
        <v>-</v>
      </c>
      <c r="I32" s="451" t="str">
        <f t="shared" si="31"/>
        <v>-</v>
      </c>
      <c r="J32" s="451" t="str">
        <f t="shared" si="31"/>
        <v>-</v>
      </c>
      <c r="K32" s="452" t="str">
        <f t="shared" si="31"/>
        <v>-</v>
      </c>
      <c r="L32" s="452" t="str">
        <f t="shared" si="31"/>
        <v>-</v>
      </c>
      <c r="M32" s="452" t="str">
        <f t="shared" si="31"/>
        <v>-</v>
      </c>
      <c r="N32" s="701"/>
      <c r="O32" s="675"/>
      <c r="P32" s="676"/>
      <c r="Q32" s="676"/>
      <c r="R32" s="677"/>
      <c r="S32" s="675"/>
      <c r="T32" s="676"/>
      <c r="U32" s="676"/>
      <c r="V32" s="677"/>
      <c r="BC32" s="401" t="str">
        <f t="shared" si="11"/>
        <v>-</v>
      </c>
    </row>
    <row r="33" spans="1:64" ht="15" customHeight="1" x14ac:dyDescent="0.25">
      <c r="BC33" s="401" t="str">
        <f t="shared" si="11"/>
        <v>-</v>
      </c>
    </row>
    <row r="34" spans="1:64" ht="15" customHeight="1" x14ac:dyDescent="0.25">
      <c r="BC34" s="401" t="str">
        <f t="shared" si="11"/>
        <v>-</v>
      </c>
    </row>
    <row r="35" spans="1:64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  <c r="BC35" s="401" t="str">
        <f t="shared" si="11"/>
        <v>-</v>
      </c>
    </row>
    <row r="36" spans="1:64" ht="24.95" customHeight="1" thickBot="1" x14ac:dyDescent="0.3">
      <c r="A36" s="396"/>
      <c r="B36" s="415">
        <v>2</v>
      </c>
      <c r="C36" s="706" t="s">
        <v>160</v>
      </c>
      <c r="D36" s="707"/>
      <c r="E36" s="707"/>
      <c r="F36" s="707"/>
      <c r="G36" s="707"/>
      <c r="H36" s="707"/>
      <c r="I36" s="707"/>
      <c r="J36" s="707"/>
      <c r="K36" s="707"/>
      <c r="L36" s="707"/>
      <c r="M36" s="707"/>
      <c r="N36" s="708"/>
      <c r="O36" s="416" t="s">
        <v>117</v>
      </c>
      <c r="P36" s="398" t="str">
        <f>IF(COUNTIF(F44:N69,"refused")&gt;0,"refused",IF(COUNTIF(F44:N69,"failed")&gt;0,"failed",IF(COUNTIF(F44:N69,"passed")&gt;0,"passed","-")))</f>
        <v>-</v>
      </c>
      <c r="Q36" s="399" t="s">
        <v>80</v>
      </c>
      <c r="R36" s="399" t="str">
        <f>IF(COUNT(F40:M41,F45:M46,F50:M51,F55:M56,F60:M61,F65:M66)&gt;0,"listed","not listed")</f>
        <v>not listed</v>
      </c>
      <c r="S36" s="427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  <c r="BC36" s="401" t="str">
        <f t="shared" si="11"/>
        <v>-</v>
      </c>
    </row>
    <row r="37" spans="1:64" ht="15" customHeight="1" outlineLevel="1" thickBot="1" x14ac:dyDescent="0.3">
      <c r="A37" s="396"/>
      <c r="B37" s="456"/>
      <c r="C37" s="457"/>
      <c r="D37" s="457"/>
      <c r="E37" s="457"/>
      <c r="F37" s="457"/>
      <c r="G37" s="457"/>
      <c r="H37" s="457"/>
      <c r="I37" s="457"/>
      <c r="J37" s="457"/>
      <c r="K37" s="421"/>
      <c r="L37" s="421"/>
      <c r="M37" s="421"/>
      <c r="N37" s="457"/>
      <c r="O37" s="457"/>
      <c r="P37" s="457"/>
      <c r="Q37" s="457"/>
      <c r="R37" s="457"/>
      <c r="S37" s="457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  <c r="BC37" s="401" t="str">
        <f t="shared" si="11"/>
        <v>-</v>
      </c>
    </row>
    <row r="38" spans="1:64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434"/>
      <c r="X38" s="434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C38" s="401" t="str">
        <f t="shared" si="11"/>
        <v>-</v>
      </c>
      <c r="BD38" s="429" t="s">
        <v>85</v>
      </c>
      <c r="BE38" s="430" t="str">
        <f>F$4</f>
        <v>NMHC 
[g/km]</v>
      </c>
      <c r="BF38" s="430" t="str">
        <f t="shared" ref="BF38:BL38" si="32">G$4</f>
        <v>THC
[g/km]</v>
      </c>
      <c r="BG38" s="430" t="str">
        <f t="shared" si="32"/>
        <v>CO
[g/km]</v>
      </c>
      <c r="BH38" s="430" t="str">
        <f t="shared" si="32"/>
        <v>NOx
[g/km]</v>
      </c>
      <c r="BI38" s="430" t="str">
        <f t="shared" si="32"/>
        <v>PM
[mg/km]</v>
      </c>
      <c r="BJ38" s="430" t="str">
        <f t="shared" si="32"/>
        <v>PN
[#/km]</v>
      </c>
      <c r="BK38" s="430" t="str">
        <f t="shared" si="32"/>
        <v>Additional
component</v>
      </c>
      <c r="BL38" s="430" t="str">
        <f t="shared" si="32"/>
        <v>Additional
component 2</v>
      </c>
    </row>
    <row r="39" spans="1:64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tr">
        <f>F$4</f>
        <v>NMHC 
[g/km]</v>
      </c>
      <c r="G39" s="425" t="str">
        <f t="shared" ref="G39:M39" si="33">G$4</f>
        <v>THC
[g/km]</v>
      </c>
      <c r="H39" s="425" t="str">
        <f t="shared" si="33"/>
        <v>CO
[g/km]</v>
      </c>
      <c r="I39" s="425" t="str">
        <f t="shared" si="33"/>
        <v>NOx
[g/km]</v>
      </c>
      <c r="J39" s="425" t="str">
        <f t="shared" si="33"/>
        <v>PM
[mg/km]</v>
      </c>
      <c r="K39" s="425" t="str">
        <f t="shared" si="33"/>
        <v>PN
[#/km]</v>
      </c>
      <c r="L39" s="426" t="str">
        <f t="shared" si="33"/>
        <v>Additional
component</v>
      </c>
      <c r="M39" s="426" t="str">
        <f t="shared" si="33"/>
        <v>Additional
component 2</v>
      </c>
      <c r="N39" s="425" t="str">
        <f>N$4</f>
        <v>CO2
[g/km]</v>
      </c>
      <c r="O39" s="669"/>
      <c r="P39" s="670"/>
      <c r="Q39" s="670"/>
      <c r="R39" s="670"/>
      <c r="S39" s="669"/>
      <c r="T39" s="670"/>
      <c r="U39" s="670"/>
      <c r="V39" s="671"/>
      <c r="W39" s="434"/>
      <c r="X39" s="434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401" t="str">
        <f t="shared" si="11"/>
        <v>-</v>
      </c>
      <c r="BD39" s="429" t="str">
        <f>$E$4</f>
        <v>Post New Long Term</v>
      </c>
      <c r="BE39" s="435">
        <v>1</v>
      </c>
      <c r="BF39" s="435">
        <v>1</v>
      </c>
      <c r="BG39" s="435">
        <v>1</v>
      </c>
      <c r="BH39" s="435">
        <v>1</v>
      </c>
      <c r="BI39" s="435">
        <v>1</v>
      </c>
      <c r="BJ39" s="435">
        <v>1</v>
      </c>
      <c r="BK39" s="435">
        <v>1</v>
      </c>
      <c r="BL39" s="435">
        <v>1</v>
      </c>
    </row>
    <row r="40" spans="1:64" ht="15" customHeight="1" outlineLevel="1" x14ac:dyDescent="0.25">
      <c r="A40" s="396"/>
      <c r="B40" s="679" t="str">
        <f>'Variant 3 - JC08'!B40:B44</f>
        <v>Drive Mode 1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3"/>
      <c r="S40" s="672"/>
      <c r="T40" s="673"/>
      <c r="U40" s="673"/>
      <c r="V40" s="674"/>
      <c r="W40" s="434"/>
      <c r="X40" s="434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401" t="str">
        <f t="shared" si="11"/>
        <v>-</v>
      </c>
      <c r="BD40" s="429" t="str">
        <f>"1st " &amp;  B40</f>
        <v>1st Drive Mode 1</v>
      </c>
      <c r="BE40" s="435" t="str">
        <f t="shared" ref="BE40:BL40" si="34">IF((OR($C42="-",$C42="CET",$C42="")),"-",IF(AND(OR(F40="-",F40=""),OR(F41="-",F41="")),"-",IF(NOT(OR(F40="-",F40="")),F40/F$5,F41/F$5)))</f>
        <v>-</v>
      </c>
      <c r="BF40" s="435" t="str">
        <f t="shared" si="34"/>
        <v>-</v>
      </c>
      <c r="BG40" s="435" t="str">
        <f t="shared" si="34"/>
        <v>-</v>
      </c>
      <c r="BH40" s="435" t="str">
        <f t="shared" si="34"/>
        <v>-</v>
      </c>
      <c r="BI40" s="435" t="str">
        <f t="shared" si="34"/>
        <v>-</v>
      </c>
      <c r="BJ40" s="435" t="str">
        <f t="shared" si="34"/>
        <v>-</v>
      </c>
      <c r="BK40" s="435" t="str">
        <f t="shared" si="34"/>
        <v>-</v>
      </c>
      <c r="BL40" s="435" t="str">
        <f t="shared" si="34"/>
        <v>-</v>
      </c>
    </row>
    <row r="41" spans="1:64" s="405" customFormat="1" ht="15" customHeight="1" outlineLevel="1" thickBot="1" x14ac:dyDescent="0.3">
      <c r="A41" s="439"/>
      <c r="B41" s="680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3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401" t="str">
        <f t="shared" si="11"/>
        <v>-</v>
      </c>
      <c r="BD41" s="429" t="str">
        <f>"1st " &amp; B45</f>
        <v>1st Drive Mode 2</v>
      </c>
      <c r="BE41" s="435" t="str">
        <f t="shared" ref="BE41:BL41" si="35">IF((OR($C47="-",$C47="CET",$C47="")),"-",IF(AND(OR(F45="-",F45=""),OR(F46="-",F46="")),"-",IF(NOT(OR(F45="-",F45="")),F45/F$5,F46/F$5)))</f>
        <v>-</v>
      </c>
      <c r="BF41" s="435" t="str">
        <f t="shared" si="35"/>
        <v>-</v>
      </c>
      <c r="BG41" s="435" t="str">
        <f t="shared" si="35"/>
        <v>-</v>
      </c>
      <c r="BH41" s="435" t="str">
        <f t="shared" si="35"/>
        <v>-</v>
      </c>
      <c r="BI41" s="435" t="str">
        <f t="shared" si="35"/>
        <v>-</v>
      </c>
      <c r="BJ41" s="435" t="str">
        <f t="shared" si="35"/>
        <v>-</v>
      </c>
      <c r="BK41" s="435" t="str">
        <f t="shared" si="35"/>
        <v>-</v>
      </c>
      <c r="BL41" s="435" t="str">
        <f t="shared" si="35"/>
        <v>-</v>
      </c>
    </row>
    <row r="42" spans="1:64" ht="15" customHeight="1" outlineLevel="1" thickBot="1" x14ac:dyDescent="0.3">
      <c r="A42" s="396"/>
      <c r="B42" s="680"/>
      <c r="C42" s="686">
        <v>1</v>
      </c>
      <c r="D42" s="689" t="str">
        <f>IF(AND(F43="-",G43="-",H43="-",I43="-",J43="-",K43="-",L43="-",M43="-"),"-",MAX(F43,G43,H43,I43,J43,K43,L43,M43))</f>
        <v>-</v>
      </c>
      <c r="E42" s="444" t="s">
        <v>96</v>
      </c>
      <c r="F42" s="445" t="str">
        <f t="shared" ref="F42:M42" si="36">IF(OR(F41="-",F41=""),IF(OR(F40="-",F40=""),"-",F40),IF(OR(F40="-",F40=""),F41,(F40+F41)/2))</f>
        <v>-</v>
      </c>
      <c r="G42" s="445" t="str">
        <f t="shared" si="36"/>
        <v>-</v>
      </c>
      <c r="H42" s="445" t="str">
        <f t="shared" si="36"/>
        <v>-</v>
      </c>
      <c r="I42" s="445" t="str">
        <f t="shared" si="36"/>
        <v>-</v>
      </c>
      <c r="J42" s="445" t="str">
        <f t="shared" si="36"/>
        <v>-</v>
      </c>
      <c r="K42" s="446" t="str">
        <f t="shared" si="36"/>
        <v>-</v>
      </c>
      <c r="L42" s="446" t="str">
        <f t="shared" si="36"/>
        <v>-</v>
      </c>
      <c r="M42" s="446" t="str">
        <f t="shared" si="36"/>
        <v>-</v>
      </c>
      <c r="N42" s="699"/>
      <c r="O42" s="672"/>
      <c r="P42" s="673"/>
      <c r="Q42" s="673"/>
      <c r="R42" s="673"/>
      <c r="S42" s="672"/>
      <c r="T42" s="673"/>
      <c r="U42" s="673"/>
      <c r="V42" s="674"/>
      <c r="W42" s="434"/>
      <c r="X42" s="434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401" t="str">
        <f t="shared" si="11"/>
        <v>-</v>
      </c>
      <c r="BD42" s="429" t="str">
        <f>"1st " &amp; B50</f>
        <v>1st Drive Mode 3</v>
      </c>
      <c r="BE42" s="435" t="str">
        <f t="shared" ref="BE42:BL42" si="37">IF((OR($C52="-",$C52="CET",$C52="")),"-",IF(AND(OR(F50="-",F50=""),OR(F51="-",F51="")),"-",IF(NOT(OR(F50="-",F50="")),F50/F$5,F51/F$5)))</f>
        <v>-</v>
      </c>
      <c r="BF42" s="435" t="str">
        <f t="shared" si="37"/>
        <v>-</v>
      </c>
      <c r="BG42" s="435" t="str">
        <f t="shared" si="37"/>
        <v>-</v>
      </c>
      <c r="BH42" s="435" t="str">
        <f t="shared" si="37"/>
        <v>-</v>
      </c>
      <c r="BI42" s="435" t="str">
        <f t="shared" si="37"/>
        <v>-</v>
      </c>
      <c r="BJ42" s="435" t="str">
        <f t="shared" si="37"/>
        <v>-</v>
      </c>
      <c r="BK42" s="435" t="str">
        <f t="shared" si="37"/>
        <v>-</v>
      </c>
      <c r="BL42" s="435" t="str">
        <f t="shared" si="37"/>
        <v>-</v>
      </c>
    </row>
    <row r="43" spans="1:64" ht="15" customHeight="1" outlineLevel="1" thickBot="1" x14ac:dyDescent="0.3">
      <c r="A43" s="396"/>
      <c r="B43" s="680"/>
      <c r="C43" s="687"/>
      <c r="D43" s="690"/>
      <c r="E43" s="447" t="s">
        <v>97</v>
      </c>
      <c r="F43" s="448" t="str">
        <f t="shared" ref="F43:M43" si="38">IF(OR($C42="-",$C42="CET",$C42=""),"-",IF(AND(NOT(F42="-"),NOT(F$5="-"),NOT(F$5="")),F42/F$5,"-"))</f>
        <v>-</v>
      </c>
      <c r="G43" s="448" t="str">
        <f t="shared" si="38"/>
        <v>-</v>
      </c>
      <c r="H43" s="448" t="str">
        <f t="shared" si="38"/>
        <v>-</v>
      </c>
      <c r="I43" s="448" t="str">
        <f t="shared" si="38"/>
        <v>-</v>
      </c>
      <c r="J43" s="448" t="str">
        <f t="shared" si="38"/>
        <v>-</v>
      </c>
      <c r="K43" s="449" t="str">
        <f t="shared" si="38"/>
        <v>-</v>
      </c>
      <c r="L43" s="449" t="str">
        <f t="shared" si="38"/>
        <v>-</v>
      </c>
      <c r="M43" s="449" t="str">
        <f t="shared" si="38"/>
        <v>-</v>
      </c>
      <c r="N43" s="700"/>
      <c r="O43" s="672"/>
      <c r="P43" s="673"/>
      <c r="Q43" s="673"/>
      <c r="R43" s="673"/>
      <c r="S43" s="672"/>
      <c r="T43" s="673"/>
      <c r="U43" s="673"/>
      <c r="V43" s="674"/>
      <c r="W43" s="434"/>
      <c r="X43" s="434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401" t="str">
        <f t="shared" si="11"/>
        <v>-</v>
      </c>
      <c r="BD43" s="429" t="str">
        <f>"1st " &amp; B55</f>
        <v>1st Drive Mode 4</v>
      </c>
      <c r="BE43" s="435" t="str">
        <f t="shared" ref="BE43:BL43" si="39">IF((OR($C57="-",$C57="CET",$C57="")),"-",IF(AND(OR(F55="-",F55=""),OR(F56="-",F56="")),"-",IF(NOT(OR(F55="-",F55="")),F55/F$5,F56/F$5)))</f>
        <v>-</v>
      </c>
      <c r="BF43" s="435" t="str">
        <f t="shared" si="39"/>
        <v>-</v>
      </c>
      <c r="BG43" s="435" t="str">
        <f t="shared" si="39"/>
        <v>-</v>
      </c>
      <c r="BH43" s="435" t="str">
        <f t="shared" si="39"/>
        <v>-</v>
      </c>
      <c r="BI43" s="435" t="str">
        <f t="shared" si="39"/>
        <v>-</v>
      </c>
      <c r="BJ43" s="435" t="str">
        <f t="shared" si="39"/>
        <v>-</v>
      </c>
      <c r="BK43" s="435" t="str">
        <f t="shared" si="39"/>
        <v>-</v>
      </c>
      <c r="BL43" s="435" t="str">
        <f t="shared" si="39"/>
        <v>-</v>
      </c>
    </row>
    <row r="44" spans="1:64" ht="15" customHeight="1" outlineLevel="1" thickBot="1" x14ac:dyDescent="0.3">
      <c r="A44" s="396"/>
      <c r="B44" s="681"/>
      <c r="C44" s="688"/>
      <c r="D44" s="691"/>
      <c r="E44" s="450" t="s">
        <v>30</v>
      </c>
      <c r="F44" s="451" t="str">
        <f t="shared" ref="F44:M44" si="40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40"/>
        <v>-</v>
      </c>
      <c r="H44" s="451" t="str">
        <f t="shared" si="40"/>
        <v>-</v>
      </c>
      <c r="I44" s="451" t="str">
        <f t="shared" si="40"/>
        <v>-</v>
      </c>
      <c r="J44" s="451" t="str">
        <f t="shared" si="40"/>
        <v>-</v>
      </c>
      <c r="K44" s="452" t="str">
        <f t="shared" si="40"/>
        <v>-</v>
      </c>
      <c r="L44" s="452" t="str">
        <f t="shared" si="40"/>
        <v>-</v>
      </c>
      <c r="M44" s="452" t="str">
        <f t="shared" si="40"/>
        <v>-</v>
      </c>
      <c r="N44" s="701"/>
      <c r="O44" s="672"/>
      <c r="P44" s="673"/>
      <c r="Q44" s="673"/>
      <c r="R44" s="673"/>
      <c r="S44" s="672"/>
      <c r="T44" s="673"/>
      <c r="U44" s="673"/>
      <c r="V44" s="674"/>
      <c r="W44" s="434"/>
      <c r="X44" s="434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401" t="str">
        <f t="shared" si="11"/>
        <v>-</v>
      </c>
      <c r="BD44" s="429" t="str">
        <f>"1st " &amp; B60</f>
        <v>1st Drive Mode 5</v>
      </c>
      <c r="BE44" s="435" t="str">
        <f t="shared" ref="BE44:BL44" si="41">IF((OR($C62="-",$C62="CET",$C62="")),"-",IF(AND(OR(F60="-",F60=""),OR(F61="-",F61="")),"-",IF(NOT(OR(F60="-",F60="")),F60/F$5,F61/F$5)))</f>
        <v>-</v>
      </c>
      <c r="BF44" s="435" t="str">
        <f t="shared" si="41"/>
        <v>-</v>
      </c>
      <c r="BG44" s="435" t="str">
        <f t="shared" si="41"/>
        <v>-</v>
      </c>
      <c r="BH44" s="435" t="str">
        <f t="shared" si="41"/>
        <v>-</v>
      </c>
      <c r="BI44" s="435" t="str">
        <f t="shared" si="41"/>
        <v>-</v>
      </c>
      <c r="BJ44" s="435" t="str">
        <f t="shared" si="41"/>
        <v>-</v>
      </c>
      <c r="BK44" s="435" t="str">
        <f t="shared" si="41"/>
        <v>-</v>
      </c>
      <c r="BL44" s="435" t="str">
        <f t="shared" si="41"/>
        <v>-</v>
      </c>
    </row>
    <row r="45" spans="1:64" ht="15" customHeight="1" outlineLevel="1" x14ac:dyDescent="0.25">
      <c r="A45" s="396"/>
      <c r="B45" s="679" t="str">
        <f>'Variant 3 - JC08'!B45:B49</f>
        <v>Drive Mode 2</v>
      </c>
      <c r="C45" s="684" t="s">
        <v>114</v>
      </c>
      <c r="D45" s="684" t="s">
        <v>113</v>
      </c>
      <c r="E45" s="453" t="s">
        <v>94</v>
      </c>
      <c r="F45" s="437" t="s">
        <v>5</v>
      </c>
      <c r="G45" s="437" t="s">
        <v>5</v>
      </c>
      <c r="H45" s="437" t="s">
        <v>5</v>
      </c>
      <c r="I45" s="437" t="s">
        <v>5</v>
      </c>
      <c r="J45" s="437" t="s">
        <v>5</v>
      </c>
      <c r="K45" s="438" t="s">
        <v>5</v>
      </c>
      <c r="L45" s="438" t="s">
        <v>5</v>
      </c>
      <c r="M45" s="438" t="s">
        <v>5</v>
      </c>
      <c r="N45" s="437" t="s">
        <v>5</v>
      </c>
      <c r="O45" s="672"/>
      <c r="P45" s="673"/>
      <c r="Q45" s="673"/>
      <c r="R45" s="673"/>
      <c r="S45" s="672"/>
      <c r="T45" s="673"/>
      <c r="U45" s="673"/>
      <c r="V45" s="674"/>
      <c r="W45" s="434"/>
      <c r="X45" s="434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401" t="str">
        <f t="shared" si="11"/>
        <v>-</v>
      </c>
      <c r="BD45" s="429" t="str">
        <f>"1st " &amp; B65</f>
        <v>1st Drive Mode 6</v>
      </c>
      <c r="BE45" s="435" t="str">
        <f t="shared" ref="BE45:BL45" si="42">IF((OR($C67="-",$C67="CET",$C67="")),"-",IF(AND(OR(F65="-",F65=""),OR(F66="-",F66="")),"-",IF(NOT(OR(F65="-",F65="")),F65/F$5,F66/F$5)))</f>
        <v>-</v>
      </c>
      <c r="BF45" s="435" t="str">
        <f t="shared" si="42"/>
        <v>-</v>
      </c>
      <c r="BG45" s="435" t="str">
        <f t="shared" si="42"/>
        <v>-</v>
      </c>
      <c r="BH45" s="435" t="str">
        <f t="shared" si="42"/>
        <v>-</v>
      </c>
      <c r="BI45" s="435" t="str">
        <f t="shared" si="42"/>
        <v>-</v>
      </c>
      <c r="BJ45" s="435" t="str">
        <f t="shared" si="42"/>
        <v>-</v>
      </c>
      <c r="BK45" s="435" t="str">
        <f t="shared" si="42"/>
        <v>-</v>
      </c>
      <c r="BL45" s="435" t="str">
        <f t="shared" si="42"/>
        <v>-</v>
      </c>
    </row>
    <row r="46" spans="1:64" s="405" customFormat="1" ht="15" customHeight="1" outlineLevel="1" thickBot="1" x14ac:dyDescent="0.3">
      <c r="A46" s="439"/>
      <c r="B46" s="680"/>
      <c r="C46" s="702"/>
      <c r="D46" s="685"/>
      <c r="E46" s="440" t="s">
        <v>95</v>
      </c>
      <c r="F46" s="441" t="s">
        <v>5</v>
      </c>
      <c r="G46" s="441" t="s">
        <v>5</v>
      </c>
      <c r="H46" s="441" t="s">
        <v>5</v>
      </c>
      <c r="I46" s="441" t="s">
        <v>5</v>
      </c>
      <c r="J46" s="441" t="s">
        <v>5</v>
      </c>
      <c r="K46" s="442" t="s">
        <v>5</v>
      </c>
      <c r="L46" s="442" t="s">
        <v>5</v>
      </c>
      <c r="M46" s="442" t="s">
        <v>5</v>
      </c>
      <c r="N46" s="441" t="s">
        <v>5</v>
      </c>
      <c r="O46" s="672"/>
      <c r="P46" s="673"/>
      <c r="Q46" s="673"/>
      <c r="R46" s="673"/>
      <c r="S46" s="672"/>
      <c r="T46" s="673"/>
      <c r="U46" s="673"/>
      <c r="V46" s="674"/>
      <c r="W46" s="443"/>
      <c r="X46" s="443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401" t="str">
        <f t="shared" si="11"/>
        <v>-</v>
      </c>
      <c r="BD46" s="429" t="str">
        <f>"0.7*IEF " &amp; (B40)</f>
        <v>0.7*IEF Drive Mode 1</v>
      </c>
      <c r="BE46" s="435">
        <f t="shared" ref="BE46:BL46" si="43">IF(OR($C42="-",$C42="CET",$C42=""),"-",0.7*$C42)</f>
        <v>0.7</v>
      </c>
      <c r="BF46" s="435">
        <f t="shared" si="43"/>
        <v>0.7</v>
      </c>
      <c r="BG46" s="435">
        <f t="shared" si="43"/>
        <v>0.7</v>
      </c>
      <c r="BH46" s="435">
        <f t="shared" si="43"/>
        <v>0.7</v>
      </c>
      <c r="BI46" s="435">
        <f t="shared" si="43"/>
        <v>0.7</v>
      </c>
      <c r="BJ46" s="435">
        <f t="shared" si="43"/>
        <v>0.7</v>
      </c>
      <c r="BK46" s="435">
        <f t="shared" si="43"/>
        <v>0.7</v>
      </c>
      <c r="BL46" s="435">
        <f t="shared" si="43"/>
        <v>0.7</v>
      </c>
    </row>
    <row r="47" spans="1:64" ht="15" customHeight="1" outlineLevel="1" thickBot="1" x14ac:dyDescent="0.3">
      <c r="A47" s="396"/>
      <c r="B47" s="680"/>
      <c r="C47" s="686">
        <v>1</v>
      </c>
      <c r="D47" s="689" t="str">
        <f>IF(AND(F48="-",G48="-",H48="-",I48="-",J48="-",K48="-",L48="-",M48="-"),"-",MAX(F48,G48,H48,I48,J48,K48,L48,M48))</f>
        <v>-</v>
      </c>
      <c r="E47" s="444" t="s">
        <v>96</v>
      </c>
      <c r="F47" s="445" t="str">
        <f t="shared" ref="F47:M47" si="44">IF(OR(F46="-",F46=""),IF(OR(F45="-",F45=""),"-",F45),IF(OR(F45="-",F45=""),F46,(F45+F46)/2))</f>
        <v>-</v>
      </c>
      <c r="G47" s="445" t="str">
        <f t="shared" si="44"/>
        <v>-</v>
      </c>
      <c r="H47" s="445" t="str">
        <f t="shared" si="44"/>
        <v>-</v>
      </c>
      <c r="I47" s="445" t="str">
        <f t="shared" si="44"/>
        <v>-</v>
      </c>
      <c r="J47" s="445" t="str">
        <f t="shared" si="44"/>
        <v>-</v>
      </c>
      <c r="K47" s="446" t="str">
        <f t="shared" si="44"/>
        <v>-</v>
      </c>
      <c r="L47" s="446" t="str">
        <f t="shared" si="44"/>
        <v>-</v>
      </c>
      <c r="M47" s="446" t="str">
        <f t="shared" si="44"/>
        <v>-</v>
      </c>
      <c r="N47" s="699"/>
      <c r="O47" s="672"/>
      <c r="P47" s="673"/>
      <c r="Q47" s="673"/>
      <c r="R47" s="673"/>
      <c r="S47" s="672"/>
      <c r="T47" s="673"/>
      <c r="U47" s="673"/>
      <c r="V47" s="674"/>
      <c r="W47" s="434"/>
      <c r="X47" s="434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401" t="str">
        <f t="shared" si="11"/>
        <v>-</v>
      </c>
      <c r="BD47" s="429" t="str">
        <f>"0.7*IEF " &amp; B45</f>
        <v>0.7*IEF Drive Mode 2</v>
      </c>
      <c r="BE47" s="435">
        <f t="shared" ref="BE47:BL47" si="45">IF(OR($C47="-",$C47="CET",$C47=""),"-",0.7*$C47)</f>
        <v>0.7</v>
      </c>
      <c r="BF47" s="435">
        <f t="shared" si="45"/>
        <v>0.7</v>
      </c>
      <c r="BG47" s="435">
        <f t="shared" si="45"/>
        <v>0.7</v>
      </c>
      <c r="BH47" s="435">
        <f t="shared" si="45"/>
        <v>0.7</v>
      </c>
      <c r="BI47" s="435">
        <f t="shared" si="45"/>
        <v>0.7</v>
      </c>
      <c r="BJ47" s="435">
        <f t="shared" si="45"/>
        <v>0.7</v>
      </c>
      <c r="BK47" s="435">
        <f t="shared" si="45"/>
        <v>0.7</v>
      </c>
      <c r="BL47" s="435">
        <f t="shared" si="45"/>
        <v>0.7</v>
      </c>
    </row>
    <row r="48" spans="1:64" ht="15" customHeight="1" outlineLevel="1" thickBot="1" x14ac:dyDescent="0.3">
      <c r="A48" s="396"/>
      <c r="B48" s="680"/>
      <c r="C48" s="687"/>
      <c r="D48" s="690"/>
      <c r="E48" s="447" t="s">
        <v>97</v>
      </c>
      <c r="F48" s="448" t="str">
        <f t="shared" ref="F48:M48" si="46">IF(OR($C47="-",$C47="CET",$C47=""),"-",IF(AND(NOT(F47="-"),NOT(F$5="-"),NOT(F$5="")),F47/F$5,"-"))</f>
        <v>-</v>
      </c>
      <c r="G48" s="448" t="str">
        <f t="shared" si="46"/>
        <v>-</v>
      </c>
      <c r="H48" s="448" t="str">
        <f t="shared" si="46"/>
        <v>-</v>
      </c>
      <c r="I48" s="448" t="str">
        <f t="shared" si="46"/>
        <v>-</v>
      </c>
      <c r="J48" s="448" t="str">
        <f t="shared" si="46"/>
        <v>-</v>
      </c>
      <c r="K48" s="449" t="str">
        <f t="shared" si="46"/>
        <v>-</v>
      </c>
      <c r="L48" s="449" t="str">
        <f t="shared" si="46"/>
        <v>-</v>
      </c>
      <c r="M48" s="449" t="str">
        <f t="shared" si="46"/>
        <v>-</v>
      </c>
      <c r="N48" s="700"/>
      <c r="O48" s="672"/>
      <c r="P48" s="673"/>
      <c r="Q48" s="673"/>
      <c r="R48" s="673"/>
      <c r="S48" s="672"/>
      <c r="T48" s="673"/>
      <c r="U48" s="673"/>
      <c r="V48" s="674"/>
      <c r="W48" s="434"/>
      <c r="X48" s="434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401" t="str">
        <f t="shared" si="11"/>
        <v>-</v>
      </c>
      <c r="BD48" s="429" t="str">
        <f>"0.7*IEF " &amp; B50</f>
        <v>0.7*IEF Drive Mode 3</v>
      </c>
      <c r="BE48" s="435">
        <f t="shared" ref="BE48:BL48" si="47">IF(OR($C52="-",$C52="CET",$C52=""),"-",0.7*$C52)</f>
        <v>0.7</v>
      </c>
      <c r="BF48" s="435">
        <f t="shared" si="47"/>
        <v>0.7</v>
      </c>
      <c r="BG48" s="435">
        <f t="shared" si="47"/>
        <v>0.7</v>
      </c>
      <c r="BH48" s="435">
        <f t="shared" si="47"/>
        <v>0.7</v>
      </c>
      <c r="BI48" s="435">
        <f t="shared" si="47"/>
        <v>0.7</v>
      </c>
      <c r="BJ48" s="435">
        <f t="shared" si="47"/>
        <v>0.7</v>
      </c>
      <c r="BK48" s="435">
        <f t="shared" si="47"/>
        <v>0.7</v>
      </c>
      <c r="BL48" s="435">
        <f t="shared" si="47"/>
        <v>0.7</v>
      </c>
    </row>
    <row r="49" spans="1:64" ht="15" customHeight="1" outlineLevel="1" thickBot="1" x14ac:dyDescent="0.3">
      <c r="A49" s="404"/>
      <c r="B49" s="681"/>
      <c r="C49" s="688"/>
      <c r="D49" s="691"/>
      <c r="E49" s="451" t="s">
        <v>30</v>
      </c>
      <c r="F49" s="451" t="str">
        <f t="shared" ref="F49:M49" si="48">IF(AND(OR(F45="-",F45=""),OR(F46="-",F46="")),"-",IF(OR($C47="-",$C47="",$C47="CET"),"-",IF($R$36="not listed","-",IF(NOT(F$5="-"),IF(AND(AND(NOT(F45=0),NOT(F45="-"),NOT(F45="")),AND(NOT(F46="-"),NOT(F46=0),NOT(F46=""))),IF(AND((F45+F46)/2&lt;1*F$5*IF(OR($C47="CET",$C47="-",$C47=""),"-",$C47),F45&lt;1.1*F$5*IF(OR($C47="CET",$C47="-",$C47=""),"-",$C47),F46&lt;1.1*F$5*IF(OR($C47="CET",$C47="-",$C47=""),"-",$C47)),"passed","refused"),IF(IF(OR(F45="-",F45=""),F46,F45)&lt;0.7*F$5*IF(OR($C47="CET",$C47="-",$C47=""),"-",$C47),"passed",IF(IF(OR(F45="-",F45=""),F46,F45)&lt;1.1*IF(OR($C47="CET",$C47="-",$C47=""),"-",$C47)*F$5,"failed","refused"))),"-"))))</f>
        <v>-</v>
      </c>
      <c r="G49" s="451" t="str">
        <f t="shared" si="48"/>
        <v>-</v>
      </c>
      <c r="H49" s="451" t="str">
        <f t="shared" si="48"/>
        <v>-</v>
      </c>
      <c r="I49" s="451" t="str">
        <f t="shared" si="48"/>
        <v>-</v>
      </c>
      <c r="J49" s="451" t="str">
        <f t="shared" si="48"/>
        <v>-</v>
      </c>
      <c r="K49" s="452" t="str">
        <f t="shared" si="48"/>
        <v>-</v>
      </c>
      <c r="L49" s="452" t="str">
        <f t="shared" si="48"/>
        <v>-</v>
      </c>
      <c r="M49" s="452" t="str">
        <f t="shared" si="48"/>
        <v>-</v>
      </c>
      <c r="N49" s="701"/>
      <c r="O49" s="672"/>
      <c r="P49" s="673"/>
      <c r="Q49" s="673"/>
      <c r="R49" s="673"/>
      <c r="S49" s="672"/>
      <c r="T49" s="673"/>
      <c r="U49" s="673"/>
      <c r="V49" s="674"/>
      <c r="W49" s="434"/>
      <c r="X49" s="434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401" t="str">
        <f t="shared" si="11"/>
        <v>-</v>
      </c>
      <c r="BD49" s="429" t="str">
        <f>"0.7*IEF " &amp; B55</f>
        <v>0.7*IEF Drive Mode 4</v>
      </c>
      <c r="BE49" s="435">
        <f t="shared" ref="BE49:BL49" si="49">IF(OR($C57="-",$C57="CET",$C57=""),"-",0.7*$C57)</f>
        <v>0.7</v>
      </c>
      <c r="BF49" s="435">
        <f t="shared" si="49"/>
        <v>0.7</v>
      </c>
      <c r="BG49" s="435">
        <f t="shared" si="49"/>
        <v>0.7</v>
      </c>
      <c r="BH49" s="435">
        <f t="shared" si="49"/>
        <v>0.7</v>
      </c>
      <c r="BI49" s="435">
        <f t="shared" si="49"/>
        <v>0.7</v>
      </c>
      <c r="BJ49" s="435">
        <f t="shared" si="49"/>
        <v>0.7</v>
      </c>
      <c r="BK49" s="435">
        <f t="shared" si="49"/>
        <v>0.7</v>
      </c>
      <c r="BL49" s="435">
        <f t="shared" si="49"/>
        <v>0.7</v>
      </c>
    </row>
    <row r="50" spans="1:64" ht="15" customHeight="1" outlineLevel="1" x14ac:dyDescent="0.25">
      <c r="A50" s="404"/>
      <c r="B50" s="679" t="str">
        <f>'Variant 3 - JC08'!B50:B54</f>
        <v>Drive Mode 3</v>
      </c>
      <c r="C50" s="684" t="s">
        <v>114</v>
      </c>
      <c r="D50" s="684" t="s">
        <v>113</v>
      </c>
      <c r="E50" s="453" t="s">
        <v>94</v>
      </c>
      <c r="F50" s="437" t="s">
        <v>5</v>
      </c>
      <c r="G50" s="437" t="s">
        <v>5</v>
      </c>
      <c r="H50" s="437" t="s">
        <v>5</v>
      </c>
      <c r="I50" s="437" t="s">
        <v>5</v>
      </c>
      <c r="J50" s="437" t="s">
        <v>5</v>
      </c>
      <c r="K50" s="438" t="s">
        <v>5</v>
      </c>
      <c r="L50" s="438" t="s">
        <v>5</v>
      </c>
      <c r="M50" s="438" t="s">
        <v>5</v>
      </c>
      <c r="N50" s="437" t="s">
        <v>5</v>
      </c>
      <c r="O50" s="672"/>
      <c r="P50" s="673"/>
      <c r="Q50" s="673"/>
      <c r="R50" s="673"/>
      <c r="S50" s="672"/>
      <c r="T50" s="673"/>
      <c r="U50" s="673"/>
      <c r="V50" s="674"/>
      <c r="W50" s="434"/>
      <c r="X50" s="434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401" t="str">
        <f t="shared" si="11"/>
        <v>-</v>
      </c>
      <c r="BD50" s="429" t="str">
        <f>"0.7*IEF " &amp; B60</f>
        <v>0.7*IEF Drive Mode 5</v>
      </c>
      <c r="BE50" s="435">
        <f t="shared" ref="BE50:BL50" si="50">IF(OR($C62="-",$C62="CET",$C62=""),"-",0.7*$C62)</f>
        <v>0.7</v>
      </c>
      <c r="BF50" s="435">
        <f t="shared" si="50"/>
        <v>0.7</v>
      </c>
      <c r="BG50" s="435">
        <f t="shared" si="50"/>
        <v>0.7</v>
      </c>
      <c r="BH50" s="435">
        <f t="shared" si="50"/>
        <v>0.7</v>
      </c>
      <c r="BI50" s="435">
        <f t="shared" si="50"/>
        <v>0.7</v>
      </c>
      <c r="BJ50" s="435">
        <f t="shared" si="50"/>
        <v>0.7</v>
      </c>
      <c r="BK50" s="435">
        <f t="shared" si="50"/>
        <v>0.7</v>
      </c>
      <c r="BL50" s="435">
        <f t="shared" si="50"/>
        <v>0.7</v>
      </c>
    </row>
    <row r="51" spans="1:64" s="405" customFormat="1" ht="15" customHeight="1" outlineLevel="1" thickBot="1" x14ac:dyDescent="0.3">
      <c r="A51" s="454"/>
      <c r="B51" s="680"/>
      <c r="C51" s="702"/>
      <c r="D51" s="685"/>
      <c r="E51" s="440" t="s">
        <v>95</v>
      </c>
      <c r="F51" s="441" t="s">
        <v>5</v>
      </c>
      <c r="G51" s="441" t="s">
        <v>5</v>
      </c>
      <c r="H51" s="441" t="s">
        <v>5</v>
      </c>
      <c r="I51" s="441" t="s">
        <v>5</v>
      </c>
      <c r="J51" s="441" t="s">
        <v>5</v>
      </c>
      <c r="K51" s="442" t="s">
        <v>5</v>
      </c>
      <c r="L51" s="442" t="s">
        <v>5</v>
      </c>
      <c r="M51" s="442" t="s">
        <v>5</v>
      </c>
      <c r="N51" s="441" t="s">
        <v>5</v>
      </c>
      <c r="O51" s="672"/>
      <c r="P51" s="673"/>
      <c r="Q51" s="673"/>
      <c r="R51" s="673"/>
      <c r="S51" s="672"/>
      <c r="T51" s="673"/>
      <c r="U51" s="673"/>
      <c r="V51" s="674"/>
      <c r="W51" s="443"/>
      <c r="X51" s="443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401" t="str">
        <f t="shared" si="11"/>
        <v>-</v>
      </c>
      <c r="BD51" s="429" t="str">
        <f>"0.7*IEF " &amp; B65</f>
        <v>0.7*IEF Drive Mode 6</v>
      </c>
      <c r="BE51" s="435">
        <f t="shared" ref="BE51:BL51" si="51">IF(OR($C67="-",$C67="CET",$C67=""),"-",0.7*$C67)</f>
        <v>0.7</v>
      </c>
      <c r="BF51" s="435">
        <f t="shared" si="51"/>
        <v>0.7</v>
      </c>
      <c r="BG51" s="435">
        <f t="shared" si="51"/>
        <v>0.7</v>
      </c>
      <c r="BH51" s="435">
        <f t="shared" si="51"/>
        <v>0.7</v>
      </c>
      <c r="BI51" s="435">
        <f t="shared" si="51"/>
        <v>0.7</v>
      </c>
      <c r="BJ51" s="435">
        <f t="shared" si="51"/>
        <v>0.7</v>
      </c>
      <c r="BK51" s="435">
        <f t="shared" si="51"/>
        <v>0.7</v>
      </c>
      <c r="BL51" s="435">
        <f t="shared" si="51"/>
        <v>0.7</v>
      </c>
    </row>
    <row r="52" spans="1:64" ht="15" customHeight="1" outlineLevel="1" thickBot="1" x14ac:dyDescent="0.3">
      <c r="A52" s="404"/>
      <c r="B52" s="680"/>
      <c r="C52" s="686">
        <v>1</v>
      </c>
      <c r="D52" s="689" t="str">
        <f>IF(AND(F53="-",G53="-",H53="-",I53="-",J53="-",K53="-",L53="-",M53="-"),"-",MAX(F53,G53,H53,I53,J53,K53,L53,M53))</f>
        <v>-</v>
      </c>
      <c r="E52" s="444" t="s">
        <v>96</v>
      </c>
      <c r="F52" s="445" t="str">
        <f t="shared" ref="F52:M52" si="52">IF(OR(F51="-",F51=""),IF(OR(F50="-",F50=""),"-",F50),IF(OR(F50="-",F50=""),F51,(F50+F51)/2))</f>
        <v>-</v>
      </c>
      <c r="G52" s="445" t="str">
        <f t="shared" si="52"/>
        <v>-</v>
      </c>
      <c r="H52" s="445" t="str">
        <f t="shared" si="52"/>
        <v>-</v>
      </c>
      <c r="I52" s="445" t="str">
        <f t="shared" si="52"/>
        <v>-</v>
      </c>
      <c r="J52" s="445" t="str">
        <f t="shared" si="52"/>
        <v>-</v>
      </c>
      <c r="K52" s="446" t="str">
        <f t="shared" si="52"/>
        <v>-</v>
      </c>
      <c r="L52" s="446" t="str">
        <f t="shared" si="52"/>
        <v>-</v>
      </c>
      <c r="M52" s="446" t="str">
        <f t="shared" si="52"/>
        <v>-</v>
      </c>
      <c r="N52" s="699"/>
      <c r="O52" s="672"/>
      <c r="P52" s="673"/>
      <c r="Q52" s="673"/>
      <c r="R52" s="673"/>
      <c r="S52" s="672"/>
      <c r="T52" s="673"/>
      <c r="U52" s="673"/>
      <c r="V52" s="674"/>
      <c r="W52" s="434"/>
      <c r="X52" s="434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401" t="str">
        <f t="shared" si="11"/>
        <v>-</v>
      </c>
      <c r="BD52" s="429" t="str">
        <f>$B40</f>
        <v>Drive Mode 1</v>
      </c>
      <c r="BE52" s="435" t="str">
        <f t="shared" ref="BE52:BL52" si="53">F43</f>
        <v>-</v>
      </c>
      <c r="BF52" s="435" t="str">
        <f t="shared" si="53"/>
        <v>-</v>
      </c>
      <c r="BG52" s="435" t="str">
        <f t="shared" si="53"/>
        <v>-</v>
      </c>
      <c r="BH52" s="435" t="str">
        <f t="shared" si="53"/>
        <v>-</v>
      </c>
      <c r="BI52" s="435" t="str">
        <f t="shared" si="53"/>
        <v>-</v>
      </c>
      <c r="BJ52" s="435" t="str">
        <f t="shared" si="53"/>
        <v>-</v>
      </c>
      <c r="BK52" s="435" t="str">
        <f t="shared" si="53"/>
        <v>-</v>
      </c>
      <c r="BL52" s="435" t="str">
        <f t="shared" si="53"/>
        <v>-</v>
      </c>
    </row>
    <row r="53" spans="1:64" ht="15" customHeight="1" outlineLevel="1" thickBot="1" x14ac:dyDescent="0.3">
      <c r="A53" s="404"/>
      <c r="B53" s="680"/>
      <c r="C53" s="687"/>
      <c r="D53" s="690"/>
      <c r="E53" s="447" t="s">
        <v>97</v>
      </c>
      <c r="F53" s="448" t="str">
        <f t="shared" ref="F53:M53" si="54">IF(OR($C52="-",$C52="CET",$C52=""),"-",IF(AND(NOT(F52="-"),NOT(F$5="-"),NOT(F$5="")),F52/F$5,"-"))</f>
        <v>-</v>
      </c>
      <c r="G53" s="448" t="str">
        <f t="shared" si="54"/>
        <v>-</v>
      </c>
      <c r="H53" s="448" t="str">
        <f t="shared" si="54"/>
        <v>-</v>
      </c>
      <c r="I53" s="448" t="str">
        <f t="shared" si="54"/>
        <v>-</v>
      </c>
      <c r="J53" s="448" t="str">
        <f t="shared" si="54"/>
        <v>-</v>
      </c>
      <c r="K53" s="449" t="str">
        <f t="shared" si="54"/>
        <v>-</v>
      </c>
      <c r="L53" s="449" t="str">
        <f t="shared" si="54"/>
        <v>-</v>
      </c>
      <c r="M53" s="449" t="str">
        <f t="shared" si="54"/>
        <v>-</v>
      </c>
      <c r="N53" s="700"/>
      <c r="O53" s="672"/>
      <c r="P53" s="673"/>
      <c r="Q53" s="673"/>
      <c r="R53" s="673"/>
      <c r="S53" s="672"/>
      <c r="T53" s="673"/>
      <c r="U53" s="673"/>
      <c r="V53" s="674"/>
      <c r="W53" s="434"/>
      <c r="X53" s="434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401" t="str">
        <f t="shared" si="11"/>
        <v>-</v>
      </c>
      <c r="BD53" s="429" t="str">
        <f>$B45</f>
        <v>Drive Mode 2</v>
      </c>
      <c r="BE53" s="435" t="str">
        <f t="shared" ref="BE53:BL53" si="55">F48</f>
        <v>-</v>
      </c>
      <c r="BF53" s="435" t="str">
        <f t="shared" si="55"/>
        <v>-</v>
      </c>
      <c r="BG53" s="435" t="str">
        <f t="shared" si="55"/>
        <v>-</v>
      </c>
      <c r="BH53" s="435" t="str">
        <f t="shared" si="55"/>
        <v>-</v>
      </c>
      <c r="BI53" s="435" t="str">
        <f t="shared" si="55"/>
        <v>-</v>
      </c>
      <c r="BJ53" s="435" t="str">
        <f t="shared" si="55"/>
        <v>-</v>
      </c>
      <c r="BK53" s="435" t="str">
        <f t="shared" si="55"/>
        <v>-</v>
      </c>
      <c r="BL53" s="435" t="str">
        <f t="shared" si="55"/>
        <v>-</v>
      </c>
    </row>
    <row r="54" spans="1:64" ht="15" customHeight="1" outlineLevel="1" thickBot="1" x14ac:dyDescent="0.3">
      <c r="A54" s="404"/>
      <c r="B54" s="681"/>
      <c r="C54" s="688"/>
      <c r="D54" s="691"/>
      <c r="E54" s="451" t="s">
        <v>30</v>
      </c>
      <c r="F54" s="451" t="str">
        <f t="shared" ref="F54:M54" si="56">IF(AND(OR(F50="-",F50=""),OR(F51="-",F51="")),"-",IF(OR($C52="-",$C52="",$C52="CET"),"-",IF($R$36="not listed","-",IF(NOT(F$5="-"),IF(AND(AND(NOT(F50=0),NOT(F50="-"),NOT(F50="")),AND(NOT(F51="-"),NOT(F51=0),NOT(F51=""))),IF(AND((F50+F51)/2&lt;1*F$5*IF(OR($C52="CET",$C52="-",$C52=""),"-",$C52),F50&lt;1.1*F$5*IF(OR($C52="CET",$C52="-",$C52=""),"-",$C52),F51&lt;1.1*F$5*IF(OR($C52="CET",$C52="-",$C52=""),"-",$C52)),"passed","refused"),IF(IF(OR(F50="-",F50=""),F51,F50)&lt;0.7*F$5*IF(OR($C52="CET",$C52="-",$C52=""),"-",$C52),"passed",IF(IF(OR(F50="-",F50=""),F51,F50)&lt;1.1*IF(OR($C52="CET",$C52="-",$C52=""),"-",$C52)*F$5,"failed","refused"))),"-"))))</f>
        <v>-</v>
      </c>
      <c r="G54" s="451" t="str">
        <f t="shared" si="56"/>
        <v>-</v>
      </c>
      <c r="H54" s="451" t="str">
        <f t="shared" si="56"/>
        <v>-</v>
      </c>
      <c r="I54" s="451" t="str">
        <f t="shared" si="56"/>
        <v>-</v>
      </c>
      <c r="J54" s="451" t="str">
        <f t="shared" si="56"/>
        <v>-</v>
      </c>
      <c r="K54" s="452" t="str">
        <f t="shared" si="56"/>
        <v>-</v>
      </c>
      <c r="L54" s="452" t="str">
        <f t="shared" si="56"/>
        <v>-</v>
      </c>
      <c r="M54" s="452" t="str">
        <f t="shared" si="56"/>
        <v>-</v>
      </c>
      <c r="N54" s="701"/>
      <c r="O54" s="672"/>
      <c r="P54" s="673"/>
      <c r="Q54" s="673"/>
      <c r="R54" s="673"/>
      <c r="S54" s="672"/>
      <c r="T54" s="673"/>
      <c r="U54" s="673"/>
      <c r="V54" s="674"/>
      <c r="W54" s="434"/>
      <c r="X54" s="434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401" t="str">
        <f t="shared" si="11"/>
        <v>-</v>
      </c>
      <c r="BD54" s="429" t="str">
        <f>$B50</f>
        <v>Drive Mode 3</v>
      </c>
      <c r="BE54" s="435" t="str">
        <f t="shared" ref="BE54:BL54" si="57">F53</f>
        <v>-</v>
      </c>
      <c r="BF54" s="435" t="str">
        <f t="shared" si="57"/>
        <v>-</v>
      </c>
      <c r="BG54" s="435" t="str">
        <f t="shared" si="57"/>
        <v>-</v>
      </c>
      <c r="BH54" s="435" t="str">
        <f t="shared" si="57"/>
        <v>-</v>
      </c>
      <c r="BI54" s="435" t="str">
        <f t="shared" si="57"/>
        <v>-</v>
      </c>
      <c r="BJ54" s="435" t="str">
        <f t="shared" si="57"/>
        <v>-</v>
      </c>
      <c r="BK54" s="435" t="str">
        <f t="shared" si="57"/>
        <v>-</v>
      </c>
      <c r="BL54" s="435" t="str">
        <f t="shared" si="57"/>
        <v>-</v>
      </c>
    </row>
    <row r="55" spans="1:64" ht="15" customHeight="1" outlineLevel="1" x14ac:dyDescent="0.25">
      <c r="A55" s="404"/>
      <c r="B55" s="679" t="str">
        <f>'Variant 3 - JC08'!B55:B59</f>
        <v>Drive Mode 4</v>
      </c>
      <c r="C55" s="684" t="s">
        <v>114</v>
      </c>
      <c r="D55" s="684" t="s">
        <v>113</v>
      </c>
      <c r="E55" s="453" t="s">
        <v>94</v>
      </c>
      <c r="F55" s="437" t="s">
        <v>5</v>
      </c>
      <c r="G55" s="437" t="s">
        <v>5</v>
      </c>
      <c r="H55" s="437" t="s">
        <v>5</v>
      </c>
      <c r="I55" s="437" t="s">
        <v>5</v>
      </c>
      <c r="J55" s="437" t="s">
        <v>5</v>
      </c>
      <c r="K55" s="438" t="s">
        <v>5</v>
      </c>
      <c r="L55" s="438" t="s">
        <v>5</v>
      </c>
      <c r="M55" s="438" t="s">
        <v>5</v>
      </c>
      <c r="N55" s="437" t="s">
        <v>5</v>
      </c>
      <c r="O55" s="672"/>
      <c r="P55" s="673"/>
      <c r="Q55" s="673"/>
      <c r="R55" s="673"/>
      <c r="S55" s="672"/>
      <c r="T55" s="673"/>
      <c r="U55" s="673"/>
      <c r="V55" s="674"/>
      <c r="W55" s="434"/>
      <c r="X55" s="434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401" t="str">
        <f t="shared" si="11"/>
        <v>-</v>
      </c>
      <c r="BD55" s="429" t="str">
        <f>$B55</f>
        <v>Drive Mode 4</v>
      </c>
      <c r="BE55" s="435" t="str">
        <f t="shared" ref="BE55:BL55" si="58">F58</f>
        <v>-</v>
      </c>
      <c r="BF55" s="435" t="str">
        <f t="shared" si="58"/>
        <v>-</v>
      </c>
      <c r="BG55" s="435" t="str">
        <f t="shared" si="58"/>
        <v>-</v>
      </c>
      <c r="BH55" s="435" t="str">
        <f t="shared" si="58"/>
        <v>-</v>
      </c>
      <c r="BI55" s="435" t="str">
        <f t="shared" si="58"/>
        <v>-</v>
      </c>
      <c r="BJ55" s="435" t="str">
        <f t="shared" si="58"/>
        <v>-</v>
      </c>
      <c r="BK55" s="435" t="str">
        <f t="shared" si="58"/>
        <v>-</v>
      </c>
      <c r="BL55" s="435" t="str">
        <f t="shared" si="58"/>
        <v>-</v>
      </c>
    </row>
    <row r="56" spans="1:64" s="405" customFormat="1" ht="15" customHeight="1" outlineLevel="1" thickBot="1" x14ac:dyDescent="0.3">
      <c r="A56" s="454"/>
      <c r="B56" s="680"/>
      <c r="C56" s="702"/>
      <c r="D56" s="685"/>
      <c r="E56" s="440" t="s">
        <v>95</v>
      </c>
      <c r="F56" s="441" t="s">
        <v>5</v>
      </c>
      <c r="G56" s="441" t="s">
        <v>5</v>
      </c>
      <c r="H56" s="441" t="s">
        <v>5</v>
      </c>
      <c r="I56" s="441" t="s">
        <v>5</v>
      </c>
      <c r="J56" s="441" t="s">
        <v>5</v>
      </c>
      <c r="K56" s="442" t="s">
        <v>5</v>
      </c>
      <c r="L56" s="442" t="s">
        <v>5</v>
      </c>
      <c r="M56" s="442" t="s">
        <v>5</v>
      </c>
      <c r="N56" s="441" t="s">
        <v>5</v>
      </c>
      <c r="O56" s="672"/>
      <c r="P56" s="673"/>
      <c r="Q56" s="673"/>
      <c r="R56" s="673"/>
      <c r="S56" s="672"/>
      <c r="T56" s="673"/>
      <c r="U56" s="673"/>
      <c r="V56" s="674"/>
      <c r="W56" s="443"/>
      <c r="X56" s="443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401" t="str">
        <f t="shared" si="11"/>
        <v>-</v>
      </c>
      <c r="BD56" s="429" t="str">
        <f>$B60</f>
        <v>Drive Mode 5</v>
      </c>
      <c r="BE56" s="435" t="str">
        <f t="shared" ref="BE56:BL56" si="59">F63</f>
        <v>-</v>
      </c>
      <c r="BF56" s="435" t="str">
        <f t="shared" si="59"/>
        <v>-</v>
      </c>
      <c r="BG56" s="435" t="str">
        <f t="shared" si="59"/>
        <v>-</v>
      </c>
      <c r="BH56" s="435" t="str">
        <f t="shared" si="59"/>
        <v>-</v>
      </c>
      <c r="BI56" s="435" t="str">
        <f t="shared" si="59"/>
        <v>-</v>
      </c>
      <c r="BJ56" s="435" t="str">
        <f t="shared" si="59"/>
        <v>-</v>
      </c>
      <c r="BK56" s="435" t="str">
        <f t="shared" si="59"/>
        <v>-</v>
      </c>
      <c r="BL56" s="435" t="str">
        <f t="shared" si="59"/>
        <v>-</v>
      </c>
    </row>
    <row r="57" spans="1:64" ht="15" customHeight="1" outlineLevel="1" thickBot="1" x14ac:dyDescent="0.3">
      <c r="A57" s="404"/>
      <c r="B57" s="680"/>
      <c r="C57" s="686">
        <v>1</v>
      </c>
      <c r="D57" s="689" t="str">
        <f>IF(AND(F58="-",G58="-",H58="-",I58="-",J58="-",K58="-",L58="-",M58="-"),"-",MAX(F58,G58,H58,I58,J58,K58,L58,M58))</f>
        <v>-</v>
      </c>
      <c r="E57" s="444" t="s">
        <v>96</v>
      </c>
      <c r="F57" s="445" t="str">
        <f t="shared" ref="F57:N57" si="60">IF(OR(F56="-",F56=""),IF(OR(F55="-",F55=""),"-",F55),IF(OR(F55="-",F55=""),F56,(F55+F56)/2))</f>
        <v>-</v>
      </c>
      <c r="G57" s="445" t="str">
        <f t="shared" si="60"/>
        <v>-</v>
      </c>
      <c r="H57" s="445" t="str">
        <f t="shared" si="60"/>
        <v>-</v>
      </c>
      <c r="I57" s="445" t="str">
        <f t="shared" si="60"/>
        <v>-</v>
      </c>
      <c r="J57" s="445" t="str">
        <f t="shared" si="60"/>
        <v>-</v>
      </c>
      <c r="K57" s="446" t="str">
        <f t="shared" si="60"/>
        <v>-</v>
      </c>
      <c r="L57" s="446" t="str">
        <f t="shared" si="60"/>
        <v>-</v>
      </c>
      <c r="M57" s="446" t="str">
        <f t="shared" si="60"/>
        <v>-</v>
      </c>
      <c r="N57" s="445" t="str">
        <f t="shared" si="60"/>
        <v>-</v>
      </c>
      <c r="O57" s="672"/>
      <c r="P57" s="673"/>
      <c r="Q57" s="673"/>
      <c r="R57" s="673"/>
      <c r="S57" s="672"/>
      <c r="T57" s="673"/>
      <c r="U57" s="673"/>
      <c r="V57" s="674"/>
      <c r="W57" s="434"/>
      <c r="X57" s="434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401" t="str">
        <f t="shared" si="11"/>
        <v>-</v>
      </c>
      <c r="BD57" s="429" t="str">
        <f>$B65</f>
        <v>Drive Mode 6</v>
      </c>
      <c r="BE57" s="435" t="str">
        <f t="shared" ref="BE57:BL57" si="61">F68</f>
        <v>-</v>
      </c>
      <c r="BF57" s="435" t="str">
        <f t="shared" si="61"/>
        <v>-</v>
      </c>
      <c r="BG57" s="435" t="str">
        <f t="shared" si="61"/>
        <v>-</v>
      </c>
      <c r="BH57" s="435" t="str">
        <f t="shared" si="61"/>
        <v>-</v>
      </c>
      <c r="BI57" s="435" t="str">
        <f t="shared" si="61"/>
        <v>-</v>
      </c>
      <c r="BJ57" s="435" t="str">
        <f t="shared" si="61"/>
        <v>-</v>
      </c>
      <c r="BK57" s="435" t="str">
        <f t="shared" si="61"/>
        <v>-</v>
      </c>
      <c r="BL57" s="435" t="str">
        <f t="shared" si="61"/>
        <v>-</v>
      </c>
    </row>
    <row r="58" spans="1:64" ht="15" customHeight="1" outlineLevel="1" thickBot="1" x14ac:dyDescent="0.3">
      <c r="A58" s="404"/>
      <c r="B58" s="680"/>
      <c r="C58" s="687"/>
      <c r="D58" s="690"/>
      <c r="E58" s="447" t="s">
        <v>97</v>
      </c>
      <c r="F58" s="448" t="str">
        <f t="shared" ref="F58:N58" si="62">IF(OR($C57="-",$C57="CET",$C57=""),"-",IF(AND(NOT(F57="-"),NOT(F$5="-"),NOT(F$5="")),F57/F$5,"-"))</f>
        <v>-</v>
      </c>
      <c r="G58" s="448" t="str">
        <f t="shared" si="62"/>
        <v>-</v>
      </c>
      <c r="H58" s="448" t="str">
        <f t="shared" si="62"/>
        <v>-</v>
      </c>
      <c r="I58" s="448" t="str">
        <f t="shared" si="62"/>
        <v>-</v>
      </c>
      <c r="J58" s="448" t="str">
        <f t="shared" si="62"/>
        <v>-</v>
      </c>
      <c r="K58" s="449" t="str">
        <f t="shared" si="62"/>
        <v>-</v>
      </c>
      <c r="L58" s="449" t="str">
        <f t="shared" si="62"/>
        <v>-</v>
      </c>
      <c r="M58" s="449" t="str">
        <f t="shared" si="62"/>
        <v>-</v>
      </c>
      <c r="N58" s="448" t="str">
        <f t="shared" si="62"/>
        <v>-</v>
      </c>
      <c r="O58" s="672"/>
      <c r="P58" s="673"/>
      <c r="Q58" s="673"/>
      <c r="R58" s="673"/>
      <c r="S58" s="672"/>
      <c r="T58" s="673"/>
      <c r="U58" s="673"/>
      <c r="V58" s="674"/>
      <c r="W58" s="434"/>
      <c r="X58" s="434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401" t="str">
        <f t="shared" si="11"/>
        <v>-</v>
      </c>
      <c r="BD58" s="429" t="str">
        <f>"IEF " &amp;B40</f>
        <v>IEF Drive Mode 1</v>
      </c>
      <c r="BE58" s="435">
        <f t="shared" ref="BE58:BL58" si="63">IF(OR($C42="CET",$C42="-",$C42=""),"-",$C42)</f>
        <v>1</v>
      </c>
      <c r="BF58" s="435">
        <f t="shared" si="63"/>
        <v>1</v>
      </c>
      <c r="BG58" s="435">
        <f t="shared" si="63"/>
        <v>1</v>
      </c>
      <c r="BH58" s="435">
        <f t="shared" si="63"/>
        <v>1</v>
      </c>
      <c r="BI58" s="435">
        <f t="shared" si="63"/>
        <v>1</v>
      </c>
      <c r="BJ58" s="435">
        <f t="shared" si="63"/>
        <v>1</v>
      </c>
      <c r="BK58" s="435">
        <f t="shared" si="63"/>
        <v>1</v>
      </c>
      <c r="BL58" s="435">
        <f t="shared" si="63"/>
        <v>1</v>
      </c>
    </row>
    <row r="59" spans="1:64" ht="15" customHeight="1" outlineLevel="1" thickBot="1" x14ac:dyDescent="0.3">
      <c r="A59" s="404"/>
      <c r="B59" s="681"/>
      <c r="C59" s="688"/>
      <c r="D59" s="691"/>
      <c r="E59" s="451" t="s">
        <v>30</v>
      </c>
      <c r="F59" s="451" t="str">
        <f t="shared" ref="F59:M59" si="64">IF(AND(OR(F55="-",F55=""),OR(F56="-",F56="")),"-",IF(OR($C57="-",$C57="",$C57="CET"),"-",IF($R$36="not listed","-",IF(NOT(F$5="-"),IF(AND(AND(NOT(F55=0),NOT(F55="-"),NOT(F55="")),AND(NOT(F56="-"),NOT(F56=0),NOT(F56=""))),IF(AND((F55+F56)/2&lt;1*F$5*IF(OR($C57="CET",$C57="-",$C57=""),"-",$C57),F55&lt;1.1*F$5*IF(OR($C57="CET",$C57="-",$C57=""),"-",$C57),F56&lt;1.1*F$5*IF(OR($C57="CET",$C57="-",$C57=""),"-",$C57)),"passed","refused"),IF(IF(OR(F55="-",F55=""),F56,F55)&lt;0.7*F$5*IF(OR($C57="CET",$C57="-",$C57=""),"-",$C57),"passed",IF(IF(OR(F55="-",F55=""),F56,F55)&lt;1.1*IF(OR($C57="CET",$C57="-",$C57=""),"-",$C57)*F$5,"failed","refused"))),"-"))))</f>
        <v>-</v>
      </c>
      <c r="G59" s="451" t="str">
        <f t="shared" si="64"/>
        <v>-</v>
      </c>
      <c r="H59" s="451" t="str">
        <f t="shared" si="64"/>
        <v>-</v>
      </c>
      <c r="I59" s="451" t="str">
        <f t="shared" si="64"/>
        <v>-</v>
      </c>
      <c r="J59" s="451" t="str">
        <f t="shared" si="64"/>
        <v>-</v>
      </c>
      <c r="K59" s="452" t="str">
        <f t="shared" si="64"/>
        <v>-</v>
      </c>
      <c r="L59" s="452" t="str">
        <f t="shared" si="64"/>
        <v>-</v>
      </c>
      <c r="M59" s="452" t="str">
        <f t="shared" si="64"/>
        <v>-</v>
      </c>
      <c r="N59" s="451" t="str">
        <f>IF(AND(OR(N55="-",N55=""),OR(N56="-",N56="")),"-",IF(OR($C57="-",$C57="",$C57="CET"),"-",IF($R$36="not listed","-",IF(NOT(N$5="-"),IF(AND(AND(NOT(N55=0),NOT(N55="-"),NOT(N55="")),AND(NOT(N56="-"),NOT(N56=0),NOT(N56=""))),IF(AND((N55+N56)/2&lt;1*N$5*IF(OR($C57="CET",$C57="-",$C57=""),"-",$C57),N55&lt;1.1*N$5*IF(OR($C57="CET",$C57="-",$C57=""),"-",$C57),N56&lt;1.1*N$5*IF(OR($C57="CET",$C57="-",$C57=""),"-",$C57)),"passed","refused"),IF(IF(OR(N55="-",N55=""),N56,N55)&lt;0.7*N$5*IF(OR($C57="CET",$C57="-",$C57=""),"-",$C57),"passed",IF(IF(OR(N55="-",N55=""),N56,N55)&lt;1.1*IF(OR($C57="CET",$C57="-",$C57=""),"-",$C57)*N$5,"failed","refused"))),"-"))))</f>
        <v>-</v>
      </c>
      <c r="O59" s="672"/>
      <c r="P59" s="673"/>
      <c r="Q59" s="673"/>
      <c r="R59" s="673"/>
      <c r="S59" s="672"/>
      <c r="T59" s="673"/>
      <c r="U59" s="673"/>
      <c r="V59" s="674"/>
      <c r="W59" s="434"/>
      <c r="X59" s="434"/>
      <c r="Y59" s="678"/>
      <c r="Z59" s="678"/>
      <c r="AA59" s="678"/>
      <c r="AB59" s="678"/>
      <c r="AC59" s="678"/>
      <c r="AD59" s="678"/>
      <c r="AE59" s="678"/>
      <c r="AF59" s="678"/>
      <c r="AG59" s="678"/>
      <c r="AH59" s="678"/>
      <c r="BC59" s="401" t="str">
        <f t="shared" si="11"/>
        <v>-</v>
      </c>
      <c r="BD59" s="429" t="str">
        <f>"IEF " &amp; B45</f>
        <v>IEF Drive Mode 2</v>
      </c>
      <c r="BE59" s="435">
        <f t="shared" ref="BE59:BL59" si="65">IF(OR($C47="CET",$C47="-",$C47=""),"-",$C47)</f>
        <v>1</v>
      </c>
      <c r="BF59" s="435">
        <f t="shared" si="65"/>
        <v>1</v>
      </c>
      <c r="BG59" s="435">
        <f t="shared" si="65"/>
        <v>1</v>
      </c>
      <c r="BH59" s="435">
        <f t="shared" si="65"/>
        <v>1</v>
      </c>
      <c r="BI59" s="435">
        <f t="shared" si="65"/>
        <v>1</v>
      </c>
      <c r="BJ59" s="435">
        <f t="shared" si="65"/>
        <v>1</v>
      </c>
      <c r="BK59" s="435">
        <f t="shared" si="65"/>
        <v>1</v>
      </c>
      <c r="BL59" s="435">
        <f t="shared" si="65"/>
        <v>1</v>
      </c>
    </row>
    <row r="60" spans="1:64" ht="15" customHeight="1" outlineLevel="1" x14ac:dyDescent="0.25">
      <c r="A60" s="404"/>
      <c r="B60" s="679" t="str">
        <f>'Variant 3 - JC08'!B60:B64</f>
        <v>Drive Mode 5</v>
      </c>
      <c r="C60" s="684" t="s">
        <v>114</v>
      </c>
      <c r="D60" s="684" t="s">
        <v>113</v>
      </c>
      <c r="E60" s="453" t="s">
        <v>94</v>
      </c>
      <c r="F60" s="437" t="s">
        <v>5</v>
      </c>
      <c r="G60" s="437" t="s">
        <v>5</v>
      </c>
      <c r="H60" s="437" t="s">
        <v>5</v>
      </c>
      <c r="I60" s="437" t="s">
        <v>5</v>
      </c>
      <c r="J60" s="437" t="s">
        <v>5</v>
      </c>
      <c r="K60" s="438" t="s">
        <v>5</v>
      </c>
      <c r="L60" s="438" t="s">
        <v>5</v>
      </c>
      <c r="M60" s="438" t="s">
        <v>5</v>
      </c>
      <c r="N60" s="437" t="s">
        <v>5</v>
      </c>
      <c r="O60" s="672"/>
      <c r="P60" s="673"/>
      <c r="Q60" s="673"/>
      <c r="R60" s="673"/>
      <c r="S60" s="672"/>
      <c r="T60" s="673"/>
      <c r="U60" s="673"/>
      <c r="V60" s="674"/>
      <c r="W60" s="434"/>
      <c r="X60" s="434"/>
      <c r="Y60" s="678"/>
      <c r="Z60" s="678"/>
      <c r="AA60" s="678"/>
      <c r="AB60" s="678"/>
      <c r="AC60" s="678"/>
      <c r="AD60" s="678"/>
      <c r="AE60" s="678"/>
      <c r="AF60" s="678"/>
      <c r="AG60" s="678"/>
      <c r="AH60" s="678"/>
      <c r="BC60" s="401" t="str">
        <f t="shared" si="11"/>
        <v>-</v>
      </c>
      <c r="BD60" s="429" t="str">
        <f>"IEF " &amp; B50</f>
        <v>IEF Drive Mode 3</v>
      </c>
      <c r="BE60" s="435">
        <f t="shared" ref="BE60:BL60" si="66">IF(OR($C52="CET",$C52="-",$C52=""),"-",$C52)</f>
        <v>1</v>
      </c>
      <c r="BF60" s="435">
        <f t="shared" si="66"/>
        <v>1</v>
      </c>
      <c r="BG60" s="435">
        <f t="shared" si="66"/>
        <v>1</v>
      </c>
      <c r="BH60" s="435">
        <f t="shared" si="66"/>
        <v>1</v>
      </c>
      <c r="BI60" s="435">
        <f t="shared" si="66"/>
        <v>1</v>
      </c>
      <c r="BJ60" s="435">
        <f t="shared" si="66"/>
        <v>1</v>
      </c>
      <c r="BK60" s="435">
        <f t="shared" si="66"/>
        <v>1</v>
      </c>
      <c r="BL60" s="435">
        <f t="shared" si="66"/>
        <v>1</v>
      </c>
    </row>
    <row r="61" spans="1:64" s="405" customFormat="1" ht="15" customHeight="1" outlineLevel="1" thickBot="1" x14ac:dyDescent="0.3">
      <c r="A61" s="454"/>
      <c r="B61" s="680"/>
      <c r="C61" s="702"/>
      <c r="D61" s="685"/>
      <c r="E61" s="440" t="s">
        <v>95</v>
      </c>
      <c r="F61" s="441" t="s">
        <v>5</v>
      </c>
      <c r="G61" s="441" t="s">
        <v>5</v>
      </c>
      <c r="H61" s="441" t="s">
        <v>5</v>
      </c>
      <c r="I61" s="441" t="s">
        <v>5</v>
      </c>
      <c r="J61" s="441" t="s">
        <v>5</v>
      </c>
      <c r="K61" s="442" t="s">
        <v>5</v>
      </c>
      <c r="L61" s="442" t="s">
        <v>5</v>
      </c>
      <c r="M61" s="442" t="s">
        <v>5</v>
      </c>
      <c r="N61" s="441" t="s">
        <v>5</v>
      </c>
      <c r="O61" s="672"/>
      <c r="P61" s="673"/>
      <c r="Q61" s="673"/>
      <c r="R61" s="673"/>
      <c r="S61" s="672"/>
      <c r="T61" s="673"/>
      <c r="U61" s="673"/>
      <c r="V61" s="674"/>
      <c r="W61" s="443"/>
      <c r="X61" s="443"/>
      <c r="Y61" s="678"/>
      <c r="Z61" s="678"/>
      <c r="AA61" s="678"/>
      <c r="AB61" s="678"/>
      <c r="AC61" s="678"/>
      <c r="AD61" s="678"/>
      <c r="AE61" s="678"/>
      <c r="AF61" s="678"/>
      <c r="AG61" s="678"/>
      <c r="AH61" s="678"/>
      <c r="BC61" s="401" t="str">
        <f t="shared" si="11"/>
        <v>-</v>
      </c>
      <c r="BD61" s="429" t="str">
        <f>"IEF " &amp; B55</f>
        <v>IEF Drive Mode 4</v>
      </c>
      <c r="BE61" s="435">
        <f t="shared" ref="BE61:BL61" si="67">IF(OR($C57="CET",$C57="-",$C57=""),"-",$C57)</f>
        <v>1</v>
      </c>
      <c r="BF61" s="435">
        <f t="shared" si="67"/>
        <v>1</v>
      </c>
      <c r="BG61" s="435">
        <f t="shared" si="67"/>
        <v>1</v>
      </c>
      <c r="BH61" s="435">
        <f t="shared" si="67"/>
        <v>1</v>
      </c>
      <c r="BI61" s="435">
        <f t="shared" si="67"/>
        <v>1</v>
      </c>
      <c r="BJ61" s="435">
        <f t="shared" si="67"/>
        <v>1</v>
      </c>
      <c r="BK61" s="435">
        <f t="shared" si="67"/>
        <v>1</v>
      </c>
      <c r="BL61" s="435">
        <f t="shared" si="67"/>
        <v>1</v>
      </c>
    </row>
    <row r="62" spans="1:64" ht="15" customHeight="1" outlineLevel="1" thickBot="1" x14ac:dyDescent="0.3">
      <c r="A62" s="404"/>
      <c r="B62" s="680"/>
      <c r="C62" s="686">
        <v>1</v>
      </c>
      <c r="D62" s="689" t="str">
        <f>IF(AND(F63="-",G63="-",H63="-",I63="-",J63="-",K63="-",L63="-",M63="-"),"-",MAX(F63,G63,H63,I63,J63,K63,L63,M63))</f>
        <v>-</v>
      </c>
      <c r="E62" s="444" t="s">
        <v>96</v>
      </c>
      <c r="F62" s="445" t="str">
        <f t="shared" ref="F62:N62" si="68">IF(OR(F61="-",F61=""),IF(OR(F60="-",F60=""),"-",F60),IF(OR(F60="-",F60=""),F61,(F60+F61)/2))</f>
        <v>-</v>
      </c>
      <c r="G62" s="445" t="str">
        <f t="shared" si="68"/>
        <v>-</v>
      </c>
      <c r="H62" s="445" t="str">
        <f t="shared" si="68"/>
        <v>-</v>
      </c>
      <c r="I62" s="445" t="str">
        <f t="shared" si="68"/>
        <v>-</v>
      </c>
      <c r="J62" s="445" t="str">
        <f t="shared" si="68"/>
        <v>-</v>
      </c>
      <c r="K62" s="446" t="str">
        <f t="shared" si="68"/>
        <v>-</v>
      </c>
      <c r="L62" s="446" t="str">
        <f t="shared" si="68"/>
        <v>-</v>
      </c>
      <c r="M62" s="446" t="str">
        <f t="shared" si="68"/>
        <v>-</v>
      </c>
      <c r="N62" s="445" t="str">
        <f t="shared" si="68"/>
        <v>-</v>
      </c>
      <c r="O62" s="672"/>
      <c r="P62" s="673"/>
      <c r="Q62" s="673"/>
      <c r="R62" s="673"/>
      <c r="S62" s="672"/>
      <c r="T62" s="673"/>
      <c r="U62" s="673"/>
      <c r="V62" s="674"/>
      <c r="W62" s="434"/>
      <c r="X62" s="434"/>
      <c r="Y62" s="678"/>
      <c r="Z62" s="678"/>
      <c r="AA62" s="678"/>
      <c r="AB62" s="678"/>
      <c r="AC62" s="678"/>
      <c r="AD62" s="678"/>
      <c r="AE62" s="678"/>
      <c r="AF62" s="678"/>
      <c r="AG62" s="678"/>
      <c r="AH62" s="678"/>
      <c r="BC62" s="401" t="str">
        <f t="shared" si="11"/>
        <v>-</v>
      </c>
      <c r="BD62" s="429" t="str">
        <f>"IEF " &amp; B60</f>
        <v>IEF Drive Mode 5</v>
      </c>
      <c r="BE62" s="435">
        <f t="shared" ref="BE62:BL62" si="69">IF(OR($C62="CET",$C62="-",$C62=""),"-",$C62)</f>
        <v>1</v>
      </c>
      <c r="BF62" s="435">
        <f t="shared" si="69"/>
        <v>1</v>
      </c>
      <c r="BG62" s="435">
        <f t="shared" si="69"/>
        <v>1</v>
      </c>
      <c r="BH62" s="435">
        <f t="shared" si="69"/>
        <v>1</v>
      </c>
      <c r="BI62" s="435">
        <f t="shared" si="69"/>
        <v>1</v>
      </c>
      <c r="BJ62" s="435">
        <f t="shared" si="69"/>
        <v>1</v>
      </c>
      <c r="BK62" s="435">
        <f t="shared" si="69"/>
        <v>1</v>
      </c>
      <c r="BL62" s="435">
        <f t="shared" si="69"/>
        <v>1</v>
      </c>
    </row>
    <row r="63" spans="1:64" ht="15" customHeight="1" outlineLevel="1" thickBot="1" x14ac:dyDescent="0.3">
      <c r="A63" s="404"/>
      <c r="B63" s="680"/>
      <c r="C63" s="687"/>
      <c r="D63" s="690"/>
      <c r="E63" s="447" t="s">
        <v>97</v>
      </c>
      <c r="F63" s="448" t="str">
        <f t="shared" ref="F63:N63" si="70">IF(OR($C62="-",$C62="CET",$C62=""),"-",IF(AND(NOT(F62="-"),NOT(F$5="-"),NOT(F$5="")),F62/F$5,"-"))</f>
        <v>-</v>
      </c>
      <c r="G63" s="448" t="str">
        <f t="shared" si="70"/>
        <v>-</v>
      </c>
      <c r="H63" s="448" t="str">
        <f t="shared" si="70"/>
        <v>-</v>
      </c>
      <c r="I63" s="448" t="str">
        <f t="shared" si="70"/>
        <v>-</v>
      </c>
      <c r="J63" s="448" t="str">
        <f t="shared" si="70"/>
        <v>-</v>
      </c>
      <c r="K63" s="449" t="str">
        <f t="shared" si="70"/>
        <v>-</v>
      </c>
      <c r="L63" s="449" t="str">
        <f t="shared" si="70"/>
        <v>-</v>
      </c>
      <c r="M63" s="449" t="str">
        <f t="shared" si="70"/>
        <v>-</v>
      </c>
      <c r="N63" s="448" t="str">
        <f t="shared" si="70"/>
        <v>-</v>
      </c>
      <c r="O63" s="672"/>
      <c r="P63" s="673"/>
      <c r="Q63" s="673"/>
      <c r="R63" s="673"/>
      <c r="S63" s="672"/>
      <c r="T63" s="673"/>
      <c r="U63" s="673"/>
      <c r="V63" s="674"/>
      <c r="W63" s="434"/>
      <c r="X63" s="434"/>
      <c r="Y63" s="678"/>
      <c r="Z63" s="678"/>
      <c r="AA63" s="678"/>
      <c r="AB63" s="678"/>
      <c r="AC63" s="678"/>
      <c r="AD63" s="678"/>
      <c r="AE63" s="678"/>
      <c r="AF63" s="678"/>
      <c r="AG63" s="678"/>
      <c r="AH63" s="678"/>
      <c r="BC63" s="401" t="str">
        <f t="shared" si="11"/>
        <v>-</v>
      </c>
      <c r="BD63" s="429" t="str">
        <f>"IEF " &amp; B65</f>
        <v>IEF Drive Mode 6</v>
      </c>
      <c r="BE63" s="435">
        <f t="shared" ref="BE63:BL63" si="71">IF(OR($C67="CET",$C67="-",$C67=""),"-",$C67)</f>
        <v>1</v>
      </c>
      <c r="BF63" s="435">
        <f t="shared" si="71"/>
        <v>1</v>
      </c>
      <c r="BG63" s="435">
        <f t="shared" si="71"/>
        <v>1</v>
      </c>
      <c r="BH63" s="435">
        <f t="shared" si="71"/>
        <v>1</v>
      </c>
      <c r="BI63" s="435">
        <f t="shared" si="71"/>
        <v>1</v>
      </c>
      <c r="BJ63" s="435">
        <f t="shared" si="71"/>
        <v>1</v>
      </c>
      <c r="BK63" s="435">
        <f t="shared" si="71"/>
        <v>1</v>
      </c>
      <c r="BL63" s="435">
        <f t="shared" si="71"/>
        <v>1</v>
      </c>
    </row>
    <row r="64" spans="1:64" ht="15" customHeight="1" outlineLevel="1" thickBot="1" x14ac:dyDescent="0.3">
      <c r="A64" s="404"/>
      <c r="B64" s="681"/>
      <c r="C64" s="688"/>
      <c r="D64" s="691"/>
      <c r="E64" s="451" t="s">
        <v>30</v>
      </c>
      <c r="F64" s="451" t="str">
        <f t="shared" ref="F64:M64" si="72">IF(AND(OR(F60="-",F60=""),OR(F61="-",F61="")),"-",IF(OR($C62="-",$C62="",$C62="CET"),"-",IF($R$36="not listed","-",IF(NOT(F$5="-"),IF(AND(AND(NOT(F60=0),NOT(F60="-"),NOT(F60="")),AND(NOT(F61="-"),NOT(F61=0),NOT(F61=""))),IF(AND((F60+F61)/2&lt;1*F$5*IF(OR($C62="CET",$C62="-",$C62=""),"-",$C62),F60&lt;1.1*F$5*IF(OR($C62="CET",$C62="-",$C62=""),"-",$C62),F61&lt;1.1*F$5*IF(OR($C62="CET",$C62="-",$C62=""),"-",$C62)),"passed","refused"),IF(IF(OR(F60="-",F60=""),F61,F60)&lt;0.7*F$5*IF(OR($C62="CET",$C62="-",$C62=""),"-",$C62),"passed",IF(IF(OR(F60="-",F60=""),F61,F60)&lt;1.1*IF(OR($C62="CET",$C62="-",$C62=""),"-",$C62)*F$5,"failed","refused"))),"-"))))</f>
        <v>-</v>
      </c>
      <c r="G64" s="451" t="str">
        <f t="shared" si="72"/>
        <v>-</v>
      </c>
      <c r="H64" s="451" t="str">
        <f t="shared" si="72"/>
        <v>-</v>
      </c>
      <c r="I64" s="451" t="str">
        <f t="shared" si="72"/>
        <v>-</v>
      </c>
      <c r="J64" s="451" t="str">
        <f t="shared" si="72"/>
        <v>-</v>
      </c>
      <c r="K64" s="452" t="str">
        <f t="shared" si="72"/>
        <v>-</v>
      </c>
      <c r="L64" s="452" t="str">
        <f t="shared" si="72"/>
        <v>-</v>
      </c>
      <c r="M64" s="452" t="str">
        <f t="shared" si="72"/>
        <v>-</v>
      </c>
      <c r="N64" s="451" t="str">
        <f>IF(AND(OR(N60="-",N60=""),OR(N61="-",N61="")),"-",IF(OR($C62="-",$C62="",$C62="CET"),"-",IF($R$36="not listed","-",IF(NOT(N$5="-"),IF(AND(AND(NOT(N60=0),NOT(N60="-"),NOT(N60="")),AND(NOT(N61="-"),NOT(N61=0),NOT(N61=""))),IF(AND((N60+N61)/2&lt;1*N$5*IF(OR($C62="CET",$C62="-",$C62=""),"-",$C62),N60&lt;1.1*N$5*IF(OR($C62="CET",$C62="-",$C62=""),"-",$C62),N61&lt;1.1*N$5*IF(OR($C62="CET",$C62="-",$C62=""),"-",$C62)),"passed","refused"),IF(IF(OR(N60="-",N60=""),N61,N60)&lt;0.7*N$5*IF(OR($C62="CET",$C62="-",$C62=""),"-",$C62),"passed",IF(IF(OR(N60="-",N60=""),N61,N60)&lt;1.1*IF(OR($C62="CET",$C62="-",$C62=""),"-",$C62)*N$5,"failed","refused"))),"-"))))</f>
        <v>-</v>
      </c>
      <c r="O64" s="672"/>
      <c r="P64" s="673"/>
      <c r="Q64" s="673"/>
      <c r="R64" s="673"/>
      <c r="S64" s="672"/>
      <c r="T64" s="673"/>
      <c r="U64" s="673"/>
      <c r="V64" s="674"/>
      <c r="W64" s="434"/>
      <c r="X64" s="434"/>
      <c r="Y64" s="678"/>
      <c r="Z64" s="678"/>
      <c r="AA64" s="678"/>
      <c r="AB64" s="678"/>
      <c r="AC64" s="678"/>
      <c r="AD64" s="678"/>
      <c r="AE64" s="678"/>
      <c r="AF64" s="678"/>
      <c r="AG64" s="678"/>
      <c r="AH64" s="678"/>
      <c r="BC64" s="401" t="str">
        <f t="shared" si="11"/>
        <v>-</v>
      </c>
    </row>
    <row r="65" spans="1:64" ht="15" customHeight="1" outlineLevel="1" x14ac:dyDescent="0.25">
      <c r="A65" s="404"/>
      <c r="B65" s="679" t="str">
        <f>'Variant 3 - JC08'!B65:B69</f>
        <v>Drive Mode 6</v>
      </c>
      <c r="C65" s="713" t="s">
        <v>114</v>
      </c>
      <c r="D65" s="684" t="s">
        <v>113</v>
      </c>
      <c r="E65" s="453" t="s">
        <v>94</v>
      </c>
      <c r="F65" s="437" t="s">
        <v>5</v>
      </c>
      <c r="G65" s="437" t="s">
        <v>5</v>
      </c>
      <c r="H65" s="437" t="s">
        <v>5</v>
      </c>
      <c r="I65" s="437" t="s">
        <v>5</v>
      </c>
      <c r="J65" s="437" t="s">
        <v>5</v>
      </c>
      <c r="K65" s="438" t="s">
        <v>5</v>
      </c>
      <c r="L65" s="438" t="s">
        <v>5</v>
      </c>
      <c r="M65" s="438" t="s">
        <v>5</v>
      </c>
      <c r="N65" s="437" t="s">
        <v>5</v>
      </c>
      <c r="O65" s="672"/>
      <c r="P65" s="673"/>
      <c r="Q65" s="673"/>
      <c r="R65" s="673"/>
      <c r="S65" s="672"/>
      <c r="T65" s="673"/>
      <c r="U65" s="673"/>
      <c r="V65" s="674"/>
      <c r="W65" s="434"/>
      <c r="X65" s="434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BC65" s="401" t="str">
        <f t="shared" si="11"/>
        <v>-</v>
      </c>
      <c r="BD65" s="459"/>
      <c r="BE65" s="459"/>
      <c r="BF65" s="459"/>
      <c r="BG65" s="459"/>
      <c r="BH65" s="459"/>
      <c r="BI65" s="459"/>
      <c r="BJ65" s="459"/>
      <c r="BK65" s="459"/>
      <c r="BL65" s="459"/>
    </row>
    <row r="66" spans="1:64" s="405" customFormat="1" ht="15" customHeight="1" outlineLevel="1" thickBot="1" x14ac:dyDescent="0.3">
      <c r="A66" s="454"/>
      <c r="B66" s="680"/>
      <c r="C66" s="714"/>
      <c r="D66" s="685"/>
      <c r="E66" s="440" t="s">
        <v>95</v>
      </c>
      <c r="F66" s="441" t="s">
        <v>5</v>
      </c>
      <c r="G66" s="441" t="s">
        <v>5</v>
      </c>
      <c r="H66" s="441" t="s">
        <v>5</v>
      </c>
      <c r="I66" s="441" t="s">
        <v>5</v>
      </c>
      <c r="J66" s="441" t="s">
        <v>5</v>
      </c>
      <c r="K66" s="442" t="s">
        <v>5</v>
      </c>
      <c r="L66" s="442" t="s">
        <v>5</v>
      </c>
      <c r="M66" s="442" t="s">
        <v>5</v>
      </c>
      <c r="N66" s="441" t="s">
        <v>5</v>
      </c>
      <c r="O66" s="672"/>
      <c r="P66" s="673"/>
      <c r="Q66" s="673"/>
      <c r="R66" s="673"/>
      <c r="S66" s="672"/>
      <c r="T66" s="673"/>
      <c r="U66" s="673"/>
      <c r="V66" s="674"/>
      <c r="W66" s="443"/>
      <c r="X66" s="443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BC66" s="401" t="str">
        <f t="shared" si="11"/>
        <v>-</v>
      </c>
      <c r="BD66" s="459"/>
      <c r="BE66" s="459"/>
      <c r="BF66" s="459"/>
      <c r="BG66" s="459"/>
      <c r="BH66" s="459"/>
      <c r="BI66" s="459"/>
      <c r="BJ66" s="459"/>
      <c r="BK66" s="459"/>
      <c r="BL66" s="459"/>
    </row>
    <row r="67" spans="1:64" ht="15" customHeight="1" outlineLevel="1" thickBot="1" x14ac:dyDescent="0.3">
      <c r="A67" s="404"/>
      <c r="B67" s="680"/>
      <c r="C67" s="715">
        <v>1</v>
      </c>
      <c r="D67" s="689" t="str">
        <f>IF(AND(F68="-",G68="-",H68="-",I68="-",J68="-",K68="-",L68="-",M68="-"),"-",MAX(F68,G68,H68,I68,J68,K68,L68,M68))</f>
        <v>-</v>
      </c>
      <c r="E67" s="444" t="s">
        <v>96</v>
      </c>
      <c r="F67" s="445" t="str">
        <f t="shared" ref="F67:N67" si="73">IF(OR(F66="-",F66=""),IF(OR(F65="-",F65=""),"-",F65),IF(OR(F65="-",F65=""),F66,(F65+F66)/2))</f>
        <v>-</v>
      </c>
      <c r="G67" s="445" t="str">
        <f t="shared" si="73"/>
        <v>-</v>
      </c>
      <c r="H67" s="445" t="str">
        <f t="shared" si="73"/>
        <v>-</v>
      </c>
      <c r="I67" s="445" t="str">
        <f t="shared" si="73"/>
        <v>-</v>
      </c>
      <c r="J67" s="445" t="str">
        <f t="shared" si="73"/>
        <v>-</v>
      </c>
      <c r="K67" s="446" t="str">
        <f t="shared" si="73"/>
        <v>-</v>
      </c>
      <c r="L67" s="446" t="str">
        <f t="shared" si="73"/>
        <v>-</v>
      </c>
      <c r="M67" s="446" t="str">
        <f t="shared" si="73"/>
        <v>-</v>
      </c>
      <c r="N67" s="445" t="str">
        <f t="shared" si="73"/>
        <v>-</v>
      </c>
      <c r="O67" s="672"/>
      <c r="P67" s="673"/>
      <c r="Q67" s="673"/>
      <c r="R67" s="673"/>
      <c r="S67" s="672"/>
      <c r="T67" s="673"/>
      <c r="U67" s="673"/>
      <c r="V67" s="674"/>
      <c r="W67" s="434"/>
      <c r="X67" s="434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BC67" s="401" t="str">
        <f t="shared" si="11"/>
        <v>-</v>
      </c>
      <c r="BD67" s="460"/>
      <c r="BE67" s="460"/>
      <c r="BF67" s="460"/>
      <c r="BG67" s="460"/>
      <c r="BH67" s="460"/>
      <c r="BI67" s="460"/>
      <c r="BJ67" s="460"/>
      <c r="BK67" s="460"/>
      <c r="BL67" s="460"/>
    </row>
    <row r="68" spans="1:64" ht="15" customHeight="1" outlineLevel="1" thickBot="1" x14ac:dyDescent="0.3">
      <c r="A68" s="404"/>
      <c r="B68" s="680"/>
      <c r="C68" s="716"/>
      <c r="D68" s="690"/>
      <c r="E68" s="447" t="s">
        <v>97</v>
      </c>
      <c r="F68" s="448" t="str">
        <f t="shared" ref="F68:N68" si="74">IF(OR($C67="-",$C67="CET",$C67=""),"-",IF(AND(NOT(F67="-"),NOT(F$5="-"),NOT(F$5="")),F67/F$5,"-"))</f>
        <v>-</v>
      </c>
      <c r="G68" s="448" t="str">
        <f t="shared" si="74"/>
        <v>-</v>
      </c>
      <c r="H68" s="448" t="str">
        <f t="shared" si="74"/>
        <v>-</v>
      </c>
      <c r="I68" s="448" t="str">
        <f t="shared" si="74"/>
        <v>-</v>
      </c>
      <c r="J68" s="448" t="str">
        <f t="shared" si="74"/>
        <v>-</v>
      </c>
      <c r="K68" s="449" t="str">
        <f t="shared" si="74"/>
        <v>-</v>
      </c>
      <c r="L68" s="449" t="str">
        <f t="shared" si="74"/>
        <v>-</v>
      </c>
      <c r="M68" s="449" t="str">
        <f t="shared" si="74"/>
        <v>-</v>
      </c>
      <c r="N68" s="448" t="str">
        <f t="shared" si="74"/>
        <v>-</v>
      </c>
      <c r="O68" s="672"/>
      <c r="P68" s="673"/>
      <c r="Q68" s="673"/>
      <c r="R68" s="673"/>
      <c r="S68" s="672"/>
      <c r="T68" s="673"/>
      <c r="U68" s="673"/>
      <c r="V68" s="674"/>
      <c r="W68" s="434"/>
      <c r="X68" s="434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401" t="str">
        <f t="shared" si="11"/>
        <v>-</v>
      </c>
      <c r="BD68" s="460"/>
      <c r="BE68" s="460"/>
      <c r="BF68" s="460"/>
      <c r="BG68" s="460"/>
      <c r="BH68" s="460"/>
      <c r="BI68" s="460"/>
      <c r="BJ68" s="460"/>
      <c r="BK68" s="460"/>
      <c r="BL68" s="460"/>
    </row>
    <row r="69" spans="1:64" ht="15.75" outlineLevel="1" thickBot="1" x14ac:dyDescent="0.3">
      <c r="B69" s="681"/>
      <c r="C69" s="717"/>
      <c r="D69" s="691"/>
      <c r="E69" s="451" t="s">
        <v>30</v>
      </c>
      <c r="F69" s="451" t="str">
        <f t="shared" ref="F69:M69" si="75">IF(AND(OR(F65="-",F65=""),OR(F66="-",F66="")),"-",IF(OR($C67="-",$C67="",$C67="CET"),"-",IF($R$36="not listed","-",IF(NOT(F$5="-"),IF(AND(AND(NOT(F65=0),NOT(F65="-"),NOT(F65="")),AND(NOT(F66="-"),NOT(F66=0),NOT(F66=""))),IF(AND((F65+F66)/2&lt;1*F$5*IF(OR($C67="CET",$C67="-",$C67=""),"-",$C67),F65&lt;1.1*F$5*IF(OR($C67="CET",$C67="-",$C67=""),"-",$C67),F66&lt;1.1*F$5*IF(OR($C67="CET",$C67="-",$C67=""),"-",$C67)),"passed","refused"),IF(IF(OR(F65="-",F65=""),F66,F65)&lt;0.7*F$5*IF(OR($C67="CET",$C67="-",$C67=""),"-",$C67),"passed",IF(IF(OR(F65="-",F65=""),F66,F65)&lt;1.1*IF(OR($C67="CET",$C67="-",$C67=""),"-",$C67)*F$5,"failed","refused"))),"-"))))</f>
        <v>-</v>
      </c>
      <c r="G69" s="451" t="str">
        <f t="shared" si="75"/>
        <v>-</v>
      </c>
      <c r="H69" s="451" t="str">
        <f t="shared" si="75"/>
        <v>-</v>
      </c>
      <c r="I69" s="451" t="str">
        <f t="shared" si="75"/>
        <v>-</v>
      </c>
      <c r="J69" s="451" t="str">
        <f t="shared" si="75"/>
        <v>-</v>
      </c>
      <c r="K69" s="452" t="str">
        <f t="shared" si="75"/>
        <v>-</v>
      </c>
      <c r="L69" s="452" t="str">
        <f t="shared" si="75"/>
        <v>-</v>
      </c>
      <c r="M69" s="452" t="str">
        <f t="shared" si="75"/>
        <v>-</v>
      </c>
      <c r="N69" s="451" t="str">
        <f>IF(AND(OR(N65="-",N65=""),OR(N66="-",N66="")),"-",IF(OR($C67="-",$C67="",$C67="CET"),"-",IF($R$36="not listed","-",IF(NOT(N$5="-"),IF(AND(AND(NOT(N65=0),NOT(N65="-"),NOT(N65="")),AND(NOT(N66="-"),NOT(N66=0),NOT(N66=""))),IF(AND((N65+N66)/2&lt;1*N$5*IF(OR($C67="CET",$C67="-",$C67=""),"-",$C67),N65&lt;1.1*N$5*IF(OR($C67="CET",$C67="-",$C67=""),"-",$C67),N66&lt;1.1*N$5*IF(OR($C67="CET",$C67="-",$C67=""),"-",$C67)),"passed","refused"),IF(IF(OR(N65="-",N65=""),N66,N65)&lt;0.7*N$5*IF(OR($C67="CET",$C67="-",$C67=""),"-",$C67),"passed",IF(IF(OR(N65="-",N65=""),N66,N65)&lt;1.1*IF(OR($C67="CET",$C67="-",$C67=""),"-",$C67)*N$5,"failed","refused"))),"-"))))</f>
        <v>-</v>
      </c>
      <c r="O69" s="675"/>
      <c r="P69" s="676"/>
      <c r="Q69" s="676"/>
      <c r="R69" s="676"/>
      <c r="S69" s="675"/>
      <c r="T69" s="676"/>
      <c r="U69" s="676"/>
      <c r="V69" s="677"/>
      <c r="BC69" s="401" t="str">
        <f t="shared" si="11"/>
        <v>-</v>
      </c>
      <c r="BD69" s="460"/>
      <c r="BE69" s="460"/>
      <c r="BF69" s="460"/>
      <c r="BG69" s="460"/>
      <c r="BH69" s="460"/>
      <c r="BI69" s="460"/>
      <c r="BJ69" s="460"/>
      <c r="BK69" s="460"/>
      <c r="BL69" s="460"/>
    </row>
    <row r="70" spans="1:64" ht="15" customHeight="1" x14ac:dyDescent="0.25">
      <c r="BC70" s="401" t="str">
        <f t="shared" si="11"/>
        <v>-</v>
      </c>
      <c r="BD70" s="459"/>
      <c r="BE70" s="459"/>
      <c r="BF70" s="459"/>
      <c r="BG70" s="459"/>
      <c r="BH70" s="459"/>
      <c r="BI70" s="459"/>
      <c r="BJ70" s="459"/>
      <c r="BK70" s="459"/>
      <c r="BL70" s="459"/>
    </row>
    <row r="71" spans="1:64" ht="15" customHeight="1" x14ac:dyDescent="0.25">
      <c r="BC71" s="401" t="str">
        <f t="shared" si="11"/>
        <v>-</v>
      </c>
      <c r="BD71" s="459"/>
      <c r="BE71" s="459"/>
      <c r="BF71" s="459"/>
      <c r="BG71" s="459"/>
      <c r="BH71" s="459"/>
      <c r="BI71" s="459"/>
      <c r="BJ71" s="459"/>
      <c r="BK71" s="459"/>
      <c r="BL71" s="459"/>
    </row>
    <row r="72" spans="1:64" ht="15" customHeight="1" thickBot="1" x14ac:dyDescent="0.3">
      <c r="A72" s="396"/>
      <c r="W72" s="414"/>
      <c r="X72" s="414"/>
      <c r="Y72" s="414"/>
      <c r="Z72" s="414"/>
      <c r="AA72" s="414"/>
      <c r="AB72" s="414"/>
      <c r="AC72" s="414"/>
      <c r="AD72" s="414"/>
      <c r="AE72" s="414"/>
      <c r="AF72" s="414"/>
      <c r="AG72" s="414"/>
      <c r="AH72" s="414"/>
      <c r="BC72" s="401" t="str">
        <f t="shared" si="11"/>
        <v>-</v>
      </c>
      <c r="BD72" s="459"/>
      <c r="BE72" s="459"/>
      <c r="BF72" s="459"/>
      <c r="BG72" s="459"/>
      <c r="BH72" s="459"/>
      <c r="BI72" s="459"/>
      <c r="BJ72" s="459"/>
      <c r="BK72" s="459"/>
      <c r="BL72" s="459"/>
    </row>
    <row r="73" spans="1:64" ht="24.95" customHeight="1" thickBot="1" x14ac:dyDescent="0.3">
      <c r="A73" s="396"/>
      <c r="B73" s="415">
        <v>3</v>
      </c>
      <c r="C73" s="706" t="s">
        <v>161</v>
      </c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8"/>
      <c r="O73" s="416" t="s">
        <v>117</v>
      </c>
      <c r="P73" s="398" t="str">
        <f>IF(COUNTIF(F81:N96,"refused")&gt;0,"refused",IF(COUNTIF(F81:N96,"failed")&gt;0,"failed",IF(COUNTIF(F81:N96,"passed")&gt;0,"passed","-")))</f>
        <v>-</v>
      </c>
      <c r="Q73" s="399" t="s">
        <v>80</v>
      </c>
      <c r="R73" s="399" t="str">
        <f>IF(COUNT(F77:M78)&gt;0,"listed","not listed")</f>
        <v>not listed</v>
      </c>
      <c r="S73" s="427"/>
      <c r="T73" s="418"/>
      <c r="U73" s="418"/>
      <c r="V73" s="419"/>
      <c r="W73" s="414"/>
      <c r="X73" s="414"/>
      <c r="Y73" s="414"/>
      <c r="Z73" s="414"/>
      <c r="AA73" s="414"/>
      <c r="AB73" s="414"/>
      <c r="AC73" s="414"/>
      <c r="AD73" s="414"/>
      <c r="AE73" s="414"/>
      <c r="AF73" s="414"/>
      <c r="AG73" s="414"/>
      <c r="AH73" s="414"/>
      <c r="BC73" s="401" t="str">
        <f t="shared" si="11"/>
        <v>-</v>
      </c>
    </row>
    <row r="74" spans="1:64" ht="15" customHeight="1" outlineLevel="1" thickBot="1" x14ac:dyDescent="0.3">
      <c r="A74" s="396"/>
      <c r="B74" s="456"/>
      <c r="C74" s="457"/>
      <c r="D74" s="457"/>
      <c r="E74" s="457"/>
      <c r="F74" s="457"/>
      <c r="G74" s="457"/>
      <c r="H74" s="457"/>
      <c r="I74" s="457"/>
      <c r="J74" s="457"/>
      <c r="K74" s="421"/>
      <c r="L74" s="421"/>
      <c r="M74" s="421"/>
      <c r="N74" s="457"/>
      <c r="O74" s="457"/>
      <c r="P74" s="457"/>
      <c r="Q74" s="457"/>
      <c r="R74" s="457"/>
      <c r="S74" s="457"/>
      <c r="T74" s="422"/>
      <c r="U74" s="422"/>
      <c r="V74" s="423"/>
      <c r="W74" s="424"/>
      <c r="X74" s="424"/>
      <c r="Y74" s="698"/>
      <c r="Z74" s="698"/>
      <c r="AA74" s="698"/>
      <c r="AB74" s="698"/>
      <c r="AC74" s="698"/>
      <c r="AD74" s="698"/>
      <c r="AE74" s="698"/>
      <c r="AF74" s="698"/>
      <c r="AG74" s="698"/>
      <c r="AH74" s="698"/>
      <c r="BC74" s="401" t="str">
        <f t="shared" si="11"/>
        <v>-</v>
      </c>
    </row>
    <row r="75" spans="1:64" ht="15" customHeight="1" outlineLevel="1" thickBot="1" x14ac:dyDescent="0.3">
      <c r="A75" s="396"/>
      <c r="B75" s="695" t="s">
        <v>81</v>
      </c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7"/>
      <c r="O75" s="695" t="s">
        <v>82</v>
      </c>
      <c r="P75" s="696"/>
      <c r="Q75" s="696"/>
      <c r="R75" s="697"/>
      <c r="S75" s="695" t="s">
        <v>83</v>
      </c>
      <c r="T75" s="696"/>
      <c r="U75" s="696"/>
      <c r="V75" s="697"/>
      <c r="W75" s="434"/>
      <c r="X75" s="434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BC75" s="401" t="str">
        <f t="shared" si="11"/>
        <v>-</v>
      </c>
    </row>
    <row r="76" spans="1:64" ht="35.1" customHeight="1" outlineLevel="1" thickBot="1" x14ac:dyDescent="0.3">
      <c r="A76" s="396"/>
      <c r="B76" s="731" t="s">
        <v>84</v>
      </c>
      <c r="C76" s="732"/>
      <c r="D76" s="732"/>
      <c r="E76" s="733"/>
      <c r="F76" s="425" t="str">
        <f>F$4</f>
        <v>NMHC 
[g/km]</v>
      </c>
      <c r="G76" s="425" t="str">
        <f t="shared" ref="G76:N76" si="76">G$4</f>
        <v>THC
[g/km]</v>
      </c>
      <c r="H76" s="425" t="str">
        <f t="shared" si="76"/>
        <v>CO
[g/km]</v>
      </c>
      <c r="I76" s="425" t="str">
        <f t="shared" si="76"/>
        <v>NOx
[g/km]</v>
      </c>
      <c r="J76" s="425" t="str">
        <f t="shared" si="76"/>
        <v>PM
[mg/km]</v>
      </c>
      <c r="K76" s="425" t="str">
        <f t="shared" si="76"/>
        <v>PN
[#/km]</v>
      </c>
      <c r="L76" s="426" t="str">
        <f t="shared" si="76"/>
        <v>Additional
component</v>
      </c>
      <c r="M76" s="426" t="str">
        <f t="shared" si="76"/>
        <v>Additional
component 2</v>
      </c>
      <c r="N76" s="425" t="str">
        <f t="shared" si="76"/>
        <v>CO2
[g/km]</v>
      </c>
      <c r="O76" s="669"/>
      <c r="P76" s="670"/>
      <c r="Q76" s="670"/>
      <c r="R76" s="671"/>
      <c r="S76" s="669"/>
      <c r="T76" s="670"/>
      <c r="U76" s="670"/>
      <c r="V76" s="671"/>
      <c r="W76" s="434"/>
      <c r="X76" s="434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BC76" s="401" t="str">
        <f t="shared" si="11"/>
        <v>-</v>
      </c>
    </row>
    <row r="77" spans="1:64" ht="15" customHeight="1" outlineLevel="1" x14ac:dyDescent="0.25">
      <c r="A77" s="396"/>
      <c r="B77" s="724" t="s">
        <v>162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4"/>
      <c r="S77" s="672"/>
      <c r="T77" s="673"/>
      <c r="U77" s="673"/>
      <c r="V77" s="674"/>
      <c r="W77" s="434"/>
      <c r="X77" s="434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BC77" s="401" t="str">
        <f t="shared" si="11"/>
        <v>-</v>
      </c>
    </row>
    <row r="78" spans="1:64" s="405" customFormat="1" ht="15" customHeight="1" outlineLevel="1" thickBot="1" x14ac:dyDescent="0.3">
      <c r="A78" s="439"/>
      <c r="B78" s="725"/>
      <c r="C78" s="702"/>
      <c r="D78" s="685"/>
      <c r="E78" s="461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4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401" t="str">
        <f t="shared" si="11"/>
        <v>-</v>
      </c>
    </row>
    <row r="79" spans="1:64" ht="15" customHeight="1" outlineLevel="1" thickBot="1" x14ac:dyDescent="0.3">
      <c r="A79" s="396"/>
      <c r="B79" s="725"/>
      <c r="C79" s="686">
        <v>1</v>
      </c>
      <c r="D79" s="689" t="str">
        <f>IF(AND(F80="-",G80="-",H80="-",I80="-",J80="-",K80="-",L80="-",M80="-"),"-",MAX(F80,G80,H80,I80,J80,K80,L80,M80))</f>
        <v>-</v>
      </c>
      <c r="E79" s="462" t="s">
        <v>96</v>
      </c>
      <c r="F79" s="445" t="str">
        <f t="shared" ref="F79:N79" si="77">IF(OR(F78="-",F78=""),IF(OR(F77="-",F77=""),"-",F77),IF(OR(F77="-",F77=""),F78,(F77+F78)/2))</f>
        <v>-</v>
      </c>
      <c r="G79" s="445" t="str">
        <f t="shared" si="77"/>
        <v>-</v>
      </c>
      <c r="H79" s="445" t="str">
        <f t="shared" si="77"/>
        <v>-</v>
      </c>
      <c r="I79" s="445" t="str">
        <f t="shared" si="77"/>
        <v>-</v>
      </c>
      <c r="J79" s="445" t="str">
        <f t="shared" si="77"/>
        <v>-</v>
      </c>
      <c r="K79" s="446" t="str">
        <f t="shared" si="77"/>
        <v>-</v>
      </c>
      <c r="L79" s="446" t="str">
        <f t="shared" si="77"/>
        <v>-</v>
      </c>
      <c r="M79" s="446" t="str">
        <f t="shared" si="77"/>
        <v>-</v>
      </c>
      <c r="N79" s="445" t="str">
        <f t="shared" si="77"/>
        <v>-</v>
      </c>
      <c r="O79" s="672"/>
      <c r="P79" s="673"/>
      <c r="Q79" s="673"/>
      <c r="R79" s="674"/>
      <c r="S79" s="672"/>
      <c r="T79" s="673"/>
      <c r="U79" s="673"/>
      <c r="V79" s="674"/>
      <c r="W79" s="434"/>
      <c r="X79" s="434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BC79" s="401" t="str">
        <f t="shared" si="11"/>
        <v>-</v>
      </c>
    </row>
    <row r="80" spans="1:64" ht="15" customHeight="1" outlineLevel="1" thickBot="1" x14ac:dyDescent="0.3">
      <c r="A80" s="396"/>
      <c r="B80" s="725"/>
      <c r="C80" s="687"/>
      <c r="D80" s="690"/>
      <c r="E80" s="447" t="s">
        <v>97</v>
      </c>
      <c r="F80" s="448" t="str">
        <f t="shared" ref="F80:N80" si="78">IF(OR($C79="-",$C79="CET",$C79=""),"-",IF(AND(NOT(F79="-"),NOT(F$5="-"),NOT(F$5="")),F79/F$5,"-"))</f>
        <v>-</v>
      </c>
      <c r="G80" s="448" t="str">
        <f t="shared" si="78"/>
        <v>-</v>
      </c>
      <c r="H80" s="448" t="str">
        <f t="shared" si="78"/>
        <v>-</v>
      </c>
      <c r="I80" s="448" t="str">
        <f t="shared" si="78"/>
        <v>-</v>
      </c>
      <c r="J80" s="448" t="str">
        <f t="shared" si="78"/>
        <v>-</v>
      </c>
      <c r="K80" s="449" t="str">
        <f t="shared" si="78"/>
        <v>-</v>
      </c>
      <c r="L80" s="449" t="str">
        <f t="shared" si="78"/>
        <v>-</v>
      </c>
      <c r="M80" s="449" t="str">
        <f t="shared" si="78"/>
        <v>-</v>
      </c>
      <c r="N80" s="448" t="str">
        <f t="shared" si="78"/>
        <v>-</v>
      </c>
      <c r="O80" s="672"/>
      <c r="P80" s="673"/>
      <c r="Q80" s="673"/>
      <c r="R80" s="674"/>
      <c r="S80" s="672"/>
      <c r="T80" s="673"/>
      <c r="U80" s="673"/>
      <c r="V80" s="674"/>
      <c r="W80" s="434"/>
      <c r="X80" s="434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BC80" s="401" t="str">
        <f t="shared" si="11"/>
        <v>-</v>
      </c>
    </row>
    <row r="81" spans="1:64" ht="15" customHeight="1" outlineLevel="1" thickBot="1" x14ac:dyDescent="0.3">
      <c r="A81" s="396"/>
      <c r="B81" s="726"/>
      <c r="C81" s="688"/>
      <c r="D81" s="691"/>
      <c r="E81" s="451" t="s">
        <v>30</v>
      </c>
      <c r="F81" s="451" t="str">
        <f t="shared" ref="F81:M81" si="79">IF(AND(OR(F77="-",F77=""),OR(F78="-",F78="")),"-",IF(OR($C79="-",$C79="",$C79="CET"),"-",IF($R$73="not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79"/>
        <v>-</v>
      </c>
      <c r="H81" s="451" t="str">
        <f t="shared" si="79"/>
        <v>-</v>
      </c>
      <c r="I81" s="451" t="str">
        <f t="shared" si="79"/>
        <v>-</v>
      </c>
      <c r="J81" s="451" t="str">
        <f t="shared" si="79"/>
        <v>-</v>
      </c>
      <c r="K81" s="452" t="str">
        <f t="shared" si="79"/>
        <v>-</v>
      </c>
      <c r="L81" s="452" t="str">
        <f t="shared" si="79"/>
        <v>-</v>
      </c>
      <c r="M81" s="452" t="str">
        <f t="shared" si="79"/>
        <v>-</v>
      </c>
      <c r="N81" s="451" t="str">
        <f>IF(AND(OR(N77="-",N77=""),OR(N78="-",N78="")),"-",IF(OR($C79="-",$C79="",$C79="CET"),"-",IF($R$73="not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672"/>
      <c r="P81" s="673"/>
      <c r="Q81" s="673"/>
      <c r="R81" s="674"/>
      <c r="S81" s="672"/>
      <c r="T81" s="673"/>
      <c r="U81" s="673"/>
      <c r="V81" s="674"/>
      <c r="W81" s="434"/>
      <c r="X81" s="434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BC81" s="401" t="str">
        <f t="shared" si="11"/>
        <v>-</v>
      </c>
      <c r="BD81" s="429" t="s">
        <v>85</v>
      </c>
      <c r="BE81" s="430" t="str">
        <f>F$4</f>
        <v>NMHC 
[g/km]</v>
      </c>
      <c r="BF81" s="430" t="str">
        <f t="shared" ref="BF81:BL81" si="80">G$4</f>
        <v>THC
[g/km]</v>
      </c>
      <c r="BG81" s="430" t="str">
        <f t="shared" si="80"/>
        <v>CO
[g/km]</v>
      </c>
      <c r="BH81" s="430" t="str">
        <f t="shared" si="80"/>
        <v>NOx
[g/km]</v>
      </c>
      <c r="BI81" s="430" t="str">
        <f t="shared" si="80"/>
        <v>PM
[mg/km]</v>
      </c>
      <c r="BJ81" s="430" t="str">
        <f t="shared" si="80"/>
        <v>PN
[#/km]</v>
      </c>
      <c r="BK81" s="430" t="str">
        <f t="shared" si="80"/>
        <v>Additional
component</v>
      </c>
      <c r="BL81" s="430" t="str">
        <f t="shared" si="80"/>
        <v>Additional
component 2</v>
      </c>
    </row>
    <row r="82" spans="1:64" ht="15" customHeight="1" outlineLevel="1" x14ac:dyDescent="0.25">
      <c r="A82" s="396"/>
      <c r="B82" s="721"/>
      <c r="C82" s="668"/>
      <c r="D82" s="411"/>
      <c r="E82" s="411"/>
      <c r="F82" s="463"/>
      <c r="G82" s="463"/>
      <c r="H82" s="463"/>
      <c r="I82" s="463"/>
      <c r="J82" s="463"/>
      <c r="K82" s="464"/>
      <c r="L82" s="464"/>
      <c r="M82" s="464"/>
      <c r="N82" s="465"/>
      <c r="O82" s="672"/>
      <c r="P82" s="673"/>
      <c r="Q82" s="673"/>
      <c r="R82" s="674"/>
      <c r="S82" s="672"/>
      <c r="T82" s="673"/>
      <c r="U82" s="673"/>
      <c r="V82" s="674"/>
      <c r="W82" s="434"/>
      <c r="X82" s="434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BC82" s="401" t="str">
        <f t="shared" ref="BC82:BC145" si="81">IF(COUNTIF(F82:M82,"refused")&gt;0,"refused",IF(COUNTIF(F82:M82,"failed")&gt;0,"failed",IF(COUNTIF(F82:M82,"passed")&gt;0,"passed","-")))</f>
        <v>-</v>
      </c>
      <c r="BD82" s="429" t="str">
        <f>$E$4</f>
        <v>Post New Long Term</v>
      </c>
      <c r="BE82" s="435">
        <v>1</v>
      </c>
      <c r="BF82" s="435">
        <v>1</v>
      </c>
      <c r="BG82" s="435">
        <v>1</v>
      </c>
      <c r="BH82" s="435">
        <v>1</v>
      </c>
      <c r="BI82" s="435">
        <v>1</v>
      </c>
      <c r="BJ82" s="435">
        <v>1</v>
      </c>
      <c r="BK82" s="435">
        <v>1</v>
      </c>
      <c r="BL82" s="435">
        <v>1</v>
      </c>
    </row>
    <row r="83" spans="1:64" ht="15" customHeight="1" outlineLevel="1" x14ac:dyDescent="0.25">
      <c r="A83" s="396"/>
      <c r="B83" s="721"/>
      <c r="C83" s="668"/>
      <c r="D83" s="411"/>
      <c r="E83" s="411"/>
      <c r="F83" s="463"/>
      <c r="G83" s="463"/>
      <c r="H83" s="463"/>
      <c r="I83" s="463"/>
      <c r="J83" s="463"/>
      <c r="K83" s="464"/>
      <c r="L83" s="464"/>
      <c r="M83" s="464"/>
      <c r="N83" s="465"/>
      <c r="O83" s="672"/>
      <c r="P83" s="673"/>
      <c r="Q83" s="673"/>
      <c r="R83" s="674"/>
      <c r="S83" s="672"/>
      <c r="T83" s="673"/>
      <c r="U83" s="673"/>
      <c r="V83" s="674"/>
      <c r="W83" s="434"/>
      <c r="X83" s="434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401" t="str">
        <f t="shared" si="81"/>
        <v>-</v>
      </c>
      <c r="BD83" s="429" t="str">
        <f>"1st " &amp;  B77</f>
        <v>1st WLTC 20°C
(3 Phases)</v>
      </c>
      <c r="BE83" s="435" t="str">
        <f t="shared" ref="BE83:BL83" si="82">IF((OR($C79="-",$C79="CET",$C79="")),"-",IF(AND(OR(F77="-",F77=""),OR(F78="-",F78="")),"-",IF(NOT(OR(F77="-",F77="")),F77/F$5,F78/F$5)))</f>
        <v>-</v>
      </c>
      <c r="BF83" s="435" t="str">
        <f t="shared" si="82"/>
        <v>-</v>
      </c>
      <c r="BG83" s="435" t="str">
        <f t="shared" si="82"/>
        <v>-</v>
      </c>
      <c r="BH83" s="435" t="str">
        <f t="shared" si="82"/>
        <v>-</v>
      </c>
      <c r="BI83" s="435" t="str">
        <f t="shared" si="82"/>
        <v>-</v>
      </c>
      <c r="BJ83" s="435" t="str">
        <f t="shared" si="82"/>
        <v>-</v>
      </c>
      <c r="BK83" s="435" t="str">
        <f t="shared" si="82"/>
        <v>-</v>
      </c>
      <c r="BL83" s="435" t="str">
        <f t="shared" si="82"/>
        <v>-</v>
      </c>
    </row>
    <row r="84" spans="1:64" ht="15" customHeight="1" outlineLevel="1" x14ac:dyDescent="0.25">
      <c r="A84" s="396"/>
      <c r="B84" s="721"/>
      <c r="C84" s="668"/>
      <c r="D84" s="411"/>
      <c r="E84" s="411"/>
      <c r="F84" s="466"/>
      <c r="G84" s="466"/>
      <c r="H84" s="466"/>
      <c r="I84" s="466"/>
      <c r="J84" s="466"/>
      <c r="K84" s="464"/>
      <c r="L84" s="464"/>
      <c r="M84" s="464"/>
      <c r="N84" s="467"/>
      <c r="O84" s="672"/>
      <c r="P84" s="673"/>
      <c r="Q84" s="673"/>
      <c r="R84" s="674"/>
      <c r="S84" s="672"/>
      <c r="T84" s="673"/>
      <c r="U84" s="673"/>
      <c r="V84" s="674"/>
      <c r="W84" s="434"/>
      <c r="X84" s="434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BC84" s="401" t="str">
        <f t="shared" si="81"/>
        <v>-</v>
      </c>
      <c r="BD84" s="429"/>
      <c r="BE84" s="435"/>
      <c r="BF84" s="435"/>
      <c r="BG84" s="435"/>
      <c r="BH84" s="435"/>
      <c r="BI84" s="435"/>
      <c r="BJ84" s="435"/>
      <c r="BK84" s="435"/>
      <c r="BL84" s="435"/>
    </row>
    <row r="85" spans="1:64" ht="15" customHeight="1" outlineLevel="1" x14ac:dyDescent="0.25">
      <c r="A85" s="396"/>
      <c r="B85" s="721"/>
      <c r="C85" s="668"/>
      <c r="D85" s="411"/>
      <c r="E85" s="411"/>
      <c r="F85" s="466"/>
      <c r="G85" s="466"/>
      <c r="H85" s="466"/>
      <c r="I85" s="466"/>
      <c r="J85" s="466"/>
      <c r="K85" s="464"/>
      <c r="L85" s="464"/>
      <c r="M85" s="464"/>
      <c r="N85" s="467"/>
      <c r="O85" s="672"/>
      <c r="P85" s="673"/>
      <c r="Q85" s="673"/>
      <c r="R85" s="674"/>
      <c r="S85" s="672"/>
      <c r="T85" s="673"/>
      <c r="U85" s="673"/>
      <c r="V85" s="674"/>
      <c r="W85" s="434"/>
      <c r="X85" s="434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BC85" s="401" t="str">
        <f t="shared" si="81"/>
        <v>-</v>
      </c>
      <c r="BD85" s="429"/>
      <c r="BE85" s="435"/>
      <c r="BF85" s="435"/>
      <c r="BG85" s="435"/>
      <c r="BH85" s="435"/>
      <c r="BI85" s="435"/>
      <c r="BJ85" s="435"/>
      <c r="BK85" s="435"/>
      <c r="BL85" s="435"/>
    </row>
    <row r="86" spans="1:64" ht="15" customHeight="1" outlineLevel="1" x14ac:dyDescent="0.25">
      <c r="A86" s="404"/>
      <c r="B86" s="721"/>
      <c r="C86" s="668"/>
      <c r="D86" s="411"/>
      <c r="E86" s="411"/>
      <c r="F86" s="411"/>
      <c r="G86" s="411"/>
      <c r="H86" s="411"/>
      <c r="I86" s="411"/>
      <c r="J86" s="411"/>
      <c r="K86" s="464"/>
      <c r="L86" s="464"/>
      <c r="M86" s="464"/>
      <c r="N86" s="468"/>
      <c r="O86" s="672"/>
      <c r="P86" s="673"/>
      <c r="Q86" s="673"/>
      <c r="R86" s="674"/>
      <c r="S86" s="672"/>
      <c r="T86" s="673"/>
      <c r="U86" s="673"/>
      <c r="V86" s="674"/>
      <c r="W86" s="434"/>
      <c r="X86" s="434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BC86" s="401" t="str">
        <f t="shared" si="81"/>
        <v>-</v>
      </c>
      <c r="BD86" s="429"/>
      <c r="BE86" s="435"/>
      <c r="BF86" s="435"/>
      <c r="BG86" s="435"/>
      <c r="BH86" s="435"/>
      <c r="BI86" s="435"/>
      <c r="BJ86" s="435"/>
      <c r="BK86" s="435"/>
      <c r="BL86" s="435"/>
    </row>
    <row r="87" spans="1:64" ht="15" customHeight="1" outlineLevel="1" x14ac:dyDescent="0.25">
      <c r="A87" s="404"/>
      <c r="B87" s="721"/>
      <c r="C87" s="668"/>
      <c r="D87" s="411"/>
      <c r="E87" s="411"/>
      <c r="F87" s="463"/>
      <c r="G87" s="463"/>
      <c r="H87" s="463"/>
      <c r="I87" s="463"/>
      <c r="J87" s="463"/>
      <c r="K87" s="464"/>
      <c r="L87" s="464"/>
      <c r="M87" s="464"/>
      <c r="N87" s="465"/>
      <c r="O87" s="672"/>
      <c r="P87" s="673"/>
      <c r="Q87" s="673"/>
      <c r="R87" s="674"/>
      <c r="S87" s="672"/>
      <c r="T87" s="673"/>
      <c r="U87" s="673"/>
      <c r="V87" s="674"/>
      <c r="W87" s="434"/>
      <c r="X87" s="434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BC87" s="401" t="str">
        <f t="shared" si="81"/>
        <v>-</v>
      </c>
      <c r="BD87" s="429" t="str">
        <f>"0.7*IEF " &amp; (B77)</f>
        <v>0.7*IEF WLTC 20°C
(3 Phases)</v>
      </c>
      <c r="BE87" s="435">
        <f t="shared" ref="BE87:BL87" si="83">IF(OR($C79="-",$C79="CET",$C79=""),"-",0.7*$C79)</f>
        <v>0.7</v>
      </c>
      <c r="BF87" s="435">
        <f t="shared" si="83"/>
        <v>0.7</v>
      </c>
      <c r="BG87" s="435">
        <f t="shared" si="83"/>
        <v>0.7</v>
      </c>
      <c r="BH87" s="435">
        <f t="shared" si="83"/>
        <v>0.7</v>
      </c>
      <c r="BI87" s="435">
        <f t="shared" si="83"/>
        <v>0.7</v>
      </c>
      <c r="BJ87" s="435">
        <f t="shared" si="83"/>
        <v>0.7</v>
      </c>
      <c r="BK87" s="435">
        <f t="shared" si="83"/>
        <v>0.7</v>
      </c>
      <c r="BL87" s="435">
        <f t="shared" si="83"/>
        <v>0.7</v>
      </c>
    </row>
    <row r="88" spans="1:64" ht="15" customHeight="1" outlineLevel="1" x14ac:dyDescent="0.25">
      <c r="A88" s="404"/>
      <c r="B88" s="721"/>
      <c r="C88" s="668"/>
      <c r="D88" s="411"/>
      <c r="E88" s="411"/>
      <c r="F88" s="463"/>
      <c r="G88" s="463"/>
      <c r="H88" s="463"/>
      <c r="I88" s="463"/>
      <c r="J88" s="463"/>
      <c r="K88" s="464"/>
      <c r="L88" s="464"/>
      <c r="M88" s="464"/>
      <c r="N88" s="465"/>
      <c r="O88" s="672"/>
      <c r="P88" s="673"/>
      <c r="Q88" s="673"/>
      <c r="R88" s="674"/>
      <c r="S88" s="672"/>
      <c r="T88" s="673"/>
      <c r="U88" s="673"/>
      <c r="V88" s="674"/>
      <c r="W88" s="434"/>
      <c r="X88" s="434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401" t="str">
        <f t="shared" si="81"/>
        <v>-</v>
      </c>
      <c r="BD88" s="429"/>
      <c r="BE88" s="435"/>
      <c r="BF88" s="435"/>
      <c r="BG88" s="435"/>
      <c r="BH88" s="435"/>
      <c r="BI88" s="435"/>
      <c r="BJ88" s="435"/>
      <c r="BK88" s="435"/>
      <c r="BL88" s="435"/>
    </row>
    <row r="89" spans="1:64" ht="15" customHeight="1" outlineLevel="1" x14ac:dyDescent="0.25">
      <c r="A89" s="404"/>
      <c r="B89" s="721"/>
      <c r="C89" s="668"/>
      <c r="D89" s="411"/>
      <c r="E89" s="411"/>
      <c r="F89" s="466"/>
      <c r="G89" s="466"/>
      <c r="H89" s="466"/>
      <c r="I89" s="466"/>
      <c r="J89" s="466"/>
      <c r="K89" s="464"/>
      <c r="L89" s="464"/>
      <c r="M89" s="464"/>
      <c r="N89" s="467"/>
      <c r="O89" s="672"/>
      <c r="P89" s="673"/>
      <c r="Q89" s="673"/>
      <c r="R89" s="674"/>
      <c r="S89" s="672"/>
      <c r="T89" s="673"/>
      <c r="U89" s="673"/>
      <c r="V89" s="674"/>
      <c r="W89" s="434"/>
      <c r="X89" s="434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BC89" s="401" t="str">
        <f t="shared" si="81"/>
        <v>-</v>
      </c>
      <c r="BD89" s="429"/>
      <c r="BE89" s="435"/>
      <c r="BF89" s="435"/>
      <c r="BG89" s="435"/>
      <c r="BH89" s="435"/>
      <c r="BI89" s="435"/>
      <c r="BJ89" s="435"/>
      <c r="BK89" s="435"/>
      <c r="BL89" s="435"/>
    </row>
    <row r="90" spans="1:64" ht="15" customHeight="1" outlineLevel="1" x14ac:dyDescent="0.25">
      <c r="A90" s="404"/>
      <c r="B90" s="721"/>
      <c r="C90" s="668"/>
      <c r="D90" s="411"/>
      <c r="E90" s="411"/>
      <c r="F90" s="466"/>
      <c r="G90" s="466"/>
      <c r="H90" s="466"/>
      <c r="I90" s="466"/>
      <c r="J90" s="466"/>
      <c r="K90" s="464"/>
      <c r="L90" s="464"/>
      <c r="M90" s="464"/>
      <c r="N90" s="467"/>
      <c r="O90" s="672"/>
      <c r="P90" s="673"/>
      <c r="Q90" s="673"/>
      <c r="R90" s="674"/>
      <c r="S90" s="672"/>
      <c r="T90" s="673"/>
      <c r="U90" s="673"/>
      <c r="V90" s="674"/>
      <c r="W90" s="434"/>
      <c r="X90" s="434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BC90" s="401" t="str">
        <f t="shared" si="81"/>
        <v>-</v>
      </c>
      <c r="BD90" s="429"/>
      <c r="BE90" s="435"/>
      <c r="BF90" s="435"/>
      <c r="BG90" s="435"/>
      <c r="BH90" s="435"/>
      <c r="BI90" s="435"/>
      <c r="BJ90" s="435"/>
      <c r="BK90" s="435"/>
      <c r="BL90" s="435"/>
    </row>
    <row r="91" spans="1:64" ht="15" customHeight="1" outlineLevel="1" x14ac:dyDescent="0.25">
      <c r="A91" s="404"/>
      <c r="B91" s="721"/>
      <c r="C91" s="668"/>
      <c r="D91" s="411"/>
      <c r="E91" s="411"/>
      <c r="F91" s="411"/>
      <c r="G91" s="411"/>
      <c r="H91" s="411"/>
      <c r="I91" s="411"/>
      <c r="J91" s="411"/>
      <c r="K91" s="464"/>
      <c r="L91" s="464"/>
      <c r="M91" s="464"/>
      <c r="N91" s="468"/>
      <c r="O91" s="672"/>
      <c r="P91" s="673"/>
      <c r="Q91" s="673"/>
      <c r="R91" s="674"/>
      <c r="S91" s="672"/>
      <c r="T91" s="673"/>
      <c r="U91" s="673"/>
      <c r="V91" s="674"/>
      <c r="W91" s="434"/>
      <c r="X91" s="434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BC91" s="401" t="str">
        <f t="shared" si="81"/>
        <v>-</v>
      </c>
      <c r="BD91" s="429" t="str">
        <f>B77</f>
        <v>WLTC 20°C
(3 Phases)</v>
      </c>
      <c r="BE91" s="435" t="str">
        <f t="shared" ref="BE91:BL91" si="84">F80</f>
        <v>-</v>
      </c>
      <c r="BF91" s="435" t="str">
        <f t="shared" si="84"/>
        <v>-</v>
      </c>
      <c r="BG91" s="435" t="str">
        <f t="shared" si="84"/>
        <v>-</v>
      </c>
      <c r="BH91" s="435" t="str">
        <f t="shared" si="84"/>
        <v>-</v>
      </c>
      <c r="BI91" s="435" t="str">
        <f t="shared" si="84"/>
        <v>-</v>
      </c>
      <c r="BJ91" s="435" t="str">
        <f t="shared" si="84"/>
        <v>-</v>
      </c>
      <c r="BK91" s="435" t="str">
        <f t="shared" si="84"/>
        <v>-</v>
      </c>
      <c r="BL91" s="435" t="str">
        <f t="shared" si="84"/>
        <v>-</v>
      </c>
    </row>
    <row r="92" spans="1:64" ht="15" customHeight="1" outlineLevel="1" x14ac:dyDescent="0.25">
      <c r="A92" s="404"/>
      <c r="B92" s="721"/>
      <c r="C92" s="668"/>
      <c r="D92" s="411"/>
      <c r="E92" s="411"/>
      <c r="F92" s="463"/>
      <c r="G92" s="463"/>
      <c r="H92" s="463"/>
      <c r="I92" s="463"/>
      <c r="J92" s="463"/>
      <c r="K92" s="464"/>
      <c r="L92" s="464"/>
      <c r="M92" s="464"/>
      <c r="N92" s="465"/>
      <c r="O92" s="672"/>
      <c r="P92" s="673"/>
      <c r="Q92" s="673"/>
      <c r="R92" s="674"/>
      <c r="S92" s="672"/>
      <c r="T92" s="673"/>
      <c r="U92" s="673"/>
      <c r="V92" s="674"/>
      <c r="W92" s="434"/>
      <c r="X92" s="434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BC92" s="401" t="str">
        <f t="shared" si="81"/>
        <v>-</v>
      </c>
      <c r="BD92" s="429"/>
      <c r="BE92" s="435"/>
      <c r="BF92" s="435"/>
      <c r="BG92" s="435"/>
      <c r="BH92" s="435"/>
      <c r="BI92" s="435"/>
      <c r="BJ92" s="435"/>
      <c r="BK92" s="435"/>
      <c r="BL92" s="435"/>
    </row>
    <row r="93" spans="1:64" ht="15" customHeight="1" outlineLevel="1" x14ac:dyDescent="0.25">
      <c r="A93" s="404"/>
      <c r="B93" s="721"/>
      <c r="C93" s="668"/>
      <c r="D93" s="411"/>
      <c r="E93" s="411"/>
      <c r="F93" s="463"/>
      <c r="G93" s="463"/>
      <c r="H93" s="463"/>
      <c r="I93" s="463"/>
      <c r="J93" s="463"/>
      <c r="K93" s="464"/>
      <c r="L93" s="464"/>
      <c r="M93" s="464"/>
      <c r="N93" s="465"/>
      <c r="O93" s="672"/>
      <c r="P93" s="673"/>
      <c r="Q93" s="673"/>
      <c r="R93" s="674"/>
      <c r="S93" s="672"/>
      <c r="T93" s="673"/>
      <c r="U93" s="673"/>
      <c r="V93" s="674"/>
      <c r="W93" s="434"/>
      <c r="X93" s="434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401" t="str">
        <f t="shared" si="81"/>
        <v>-</v>
      </c>
      <c r="BD93" s="429"/>
      <c r="BE93" s="435"/>
      <c r="BF93" s="435"/>
      <c r="BG93" s="435"/>
      <c r="BH93" s="435"/>
      <c r="BI93" s="435"/>
      <c r="BJ93" s="435"/>
      <c r="BK93" s="435"/>
      <c r="BL93" s="435"/>
    </row>
    <row r="94" spans="1:64" ht="15" customHeight="1" outlineLevel="1" x14ac:dyDescent="0.25">
      <c r="A94" s="404"/>
      <c r="B94" s="721"/>
      <c r="C94" s="668"/>
      <c r="D94" s="411"/>
      <c r="E94" s="411"/>
      <c r="F94" s="466"/>
      <c r="G94" s="466"/>
      <c r="H94" s="466"/>
      <c r="I94" s="466"/>
      <c r="J94" s="466"/>
      <c r="K94" s="464"/>
      <c r="L94" s="464"/>
      <c r="M94" s="464"/>
      <c r="N94" s="467"/>
      <c r="O94" s="672"/>
      <c r="P94" s="673"/>
      <c r="Q94" s="673"/>
      <c r="R94" s="674"/>
      <c r="S94" s="672"/>
      <c r="T94" s="673"/>
      <c r="U94" s="673"/>
      <c r="V94" s="674"/>
      <c r="W94" s="434"/>
      <c r="X94" s="434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BC94" s="401" t="str">
        <f t="shared" si="81"/>
        <v>-</v>
      </c>
      <c r="BD94" s="429"/>
      <c r="BE94" s="435"/>
      <c r="BF94" s="435"/>
      <c r="BG94" s="435"/>
      <c r="BH94" s="435"/>
      <c r="BI94" s="435"/>
      <c r="BJ94" s="435"/>
      <c r="BK94" s="435"/>
      <c r="BL94" s="435"/>
    </row>
    <row r="95" spans="1:64" ht="15" customHeight="1" outlineLevel="1" x14ac:dyDescent="0.25">
      <c r="A95" s="404"/>
      <c r="B95" s="721"/>
      <c r="C95" s="668"/>
      <c r="D95" s="411"/>
      <c r="E95" s="411"/>
      <c r="F95" s="466"/>
      <c r="G95" s="466"/>
      <c r="H95" s="466"/>
      <c r="I95" s="466"/>
      <c r="J95" s="466"/>
      <c r="K95" s="464"/>
      <c r="L95" s="464"/>
      <c r="M95" s="464"/>
      <c r="N95" s="467"/>
      <c r="O95" s="672"/>
      <c r="P95" s="673"/>
      <c r="Q95" s="673"/>
      <c r="R95" s="674"/>
      <c r="S95" s="672"/>
      <c r="T95" s="673"/>
      <c r="U95" s="673"/>
      <c r="V95" s="674"/>
      <c r="W95" s="434"/>
      <c r="X95" s="434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BC95" s="401" t="str">
        <f t="shared" si="81"/>
        <v>-</v>
      </c>
      <c r="BD95" s="429" t="str">
        <f>"IEF " &amp;B77</f>
        <v>IEF WLTC 20°C
(3 Phases)</v>
      </c>
      <c r="BE95" s="435">
        <f t="shared" ref="BE95:BL95" si="85">IF(OR($C79="CET",$C79="-",$C79=""),"-",$C79)</f>
        <v>1</v>
      </c>
      <c r="BF95" s="435">
        <f t="shared" si="85"/>
        <v>1</v>
      </c>
      <c r="BG95" s="435">
        <f t="shared" si="85"/>
        <v>1</v>
      </c>
      <c r="BH95" s="435">
        <f t="shared" si="85"/>
        <v>1</v>
      </c>
      <c r="BI95" s="435">
        <f t="shared" si="85"/>
        <v>1</v>
      </c>
      <c r="BJ95" s="435">
        <f t="shared" si="85"/>
        <v>1</v>
      </c>
      <c r="BK95" s="435">
        <f t="shared" si="85"/>
        <v>1</v>
      </c>
      <c r="BL95" s="435">
        <f t="shared" si="85"/>
        <v>1</v>
      </c>
    </row>
    <row r="96" spans="1:64" ht="15.75" outlineLevel="1" thickBot="1" x14ac:dyDescent="0.3">
      <c r="B96" s="722"/>
      <c r="C96" s="723"/>
      <c r="D96" s="469"/>
      <c r="E96" s="469"/>
      <c r="F96" s="469"/>
      <c r="G96" s="469"/>
      <c r="H96" s="469"/>
      <c r="I96" s="469"/>
      <c r="J96" s="469"/>
      <c r="K96" s="470"/>
      <c r="L96" s="470"/>
      <c r="M96" s="470"/>
      <c r="N96" s="471"/>
      <c r="O96" s="675"/>
      <c r="P96" s="676"/>
      <c r="Q96" s="676"/>
      <c r="R96" s="677"/>
      <c r="S96" s="675"/>
      <c r="T96" s="676"/>
      <c r="U96" s="676"/>
      <c r="V96" s="677"/>
      <c r="BC96" s="401" t="str">
        <f t="shared" si="81"/>
        <v>-</v>
      </c>
      <c r="BD96" s="459"/>
      <c r="BE96" s="459"/>
      <c r="BF96" s="459"/>
      <c r="BG96" s="459"/>
      <c r="BH96" s="459"/>
      <c r="BI96" s="459"/>
      <c r="BJ96" s="459"/>
      <c r="BK96" s="459"/>
      <c r="BL96" s="459"/>
    </row>
    <row r="97" spans="1:64" ht="15" customHeight="1" x14ac:dyDescent="0.25">
      <c r="A97" s="396"/>
      <c r="B97" s="402"/>
      <c r="C97" s="402"/>
      <c r="D97" s="402"/>
      <c r="E97" s="402"/>
      <c r="F97" s="402"/>
      <c r="G97" s="402"/>
      <c r="H97" s="402"/>
      <c r="I97" s="402"/>
      <c r="J97" s="402"/>
      <c r="K97" s="472"/>
      <c r="L97" s="472"/>
      <c r="M97" s="472"/>
      <c r="N97" s="402"/>
      <c r="O97" s="402"/>
      <c r="P97" s="402"/>
      <c r="Q97" s="402"/>
      <c r="R97" s="402"/>
      <c r="S97" s="402"/>
      <c r="T97" s="402"/>
      <c r="U97" s="402"/>
      <c r="V97" s="402"/>
      <c r="W97" s="414"/>
      <c r="X97" s="414"/>
      <c r="Y97" s="414"/>
      <c r="Z97" s="414"/>
      <c r="AA97" s="414"/>
      <c r="AB97" s="414"/>
      <c r="AC97" s="414"/>
      <c r="AD97" s="414"/>
      <c r="AE97" s="414"/>
      <c r="AF97" s="414"/>
      <c r="AG97" s="414"/>
      <c r="AH97" s="414"/>
      <c r="BC97" s="401" t="str">
        <f t="shared" si="81"/>
        <v>-</v>
      </c>
      <c r="BD97" s="459"/>
      <c r="BE97" s="459"/>
      <c r="BF97" s="459"/>
      <c r="BG97" s="459"/>
      <c r="BH97" s="459"/>
      <c r="BI97" s="459"/>
      <c r="BJ97" s="459"/>
      <c r="BK97" s="459"/>
      <c r="BL97" s="459"/>
    </row>
    <row r="98" spans="1:64" ht="15" customHeight="1" x14ac:dyDescent="0.25">
      <c r="A98" s="396"/>
      <c r="B98" s="402"/>
      <c r="C98" s="402"/>
      <c r="D98" s="402"/>
      <c r="E98" s="402"/>
      <c r="F98" s="402"/>
      <c r="G98" s="402"/>
      <c r="H98" s="402"/>
      <c r="I98" s="402"/>
      <c r="J98" s="402"/>
      <c r="K98" s="472"/>
      <c r="L98" s="472"/>
      <c r="M98" s="472"/>
      <c r="N98" s="402"/>
      <c r="O98" s="402"/>
      <c r="P98" s="402"/>
      <c r="Q98" s="402"/>
      <c r="R98" s="402"/>
      <c r="S98" s="402"/>
      <c r="T98" s="402"/>
      <c r="U98" s="402"/>
      <c r="V98" s="402"/>
      <c r="W98" s="414"/>
      <c r="X98" s="414"/>
      <c r="Y98" s="414"/>
      <c r="Z98" s="414"/>
      <c r="AA98" s="414"/>
      <c r="AB98" s="414"/>
      <c r="AC98" s="414"/>
      <c r="AD98" s="414"/>
      <c r="AE98" s="414"/>
      <c r="AF98" s="414"/>
      <c r="AG98" s="414"/>
      <c r="AH98" s="414"/>
      <c r="BC98" s="401" t="str">
        <f t="shared" si="81"/>
        <v>-</v>
      </c>
      <c r="BD98" s="459"/>
      <c r="BE98" s="459"/>
      <c r="BF98" s="459"/>
      <c r="BG98" s="459"/>
      <c r="BH98" s="459"/>
      <c r="BI98" s="459"/>
      <c r="BJ98" s="459"/>
      <c r="BK98" s="459"/>
      <c r="BL98" s="459"/>
    </row>
    <row r="99" spans="1:64" ht="15" customHeight="1" thickBot="1" x14ac:dyDescent="0.3">
      <c r="A99" s="396"/>
      <c r="B99" s="402"/>
      <c r="C99" s="402"/>
      <c r="D99" s="402"/>
      <c r="E99" s="402"/>
      <c r="F99" s="402"/>
      <c r="G99" s="402"/>
      <c r="H99" s="402"/>
      <c r="I99" s="402"/>
      <c r="J99" s="402"/>
      <c r="K99" s="472"/>
      <c r="L99" s="472"/>
      <c r="M99" s="472"/>
      <c r="N99" s="402"/>
      <c r="O99" s="402"/>
      <c r="P99" s="402"/>
      <c r="Q99" s="402"/>
      <c r="R99" s="402"/>
      <c r="S99" s="402"/>
      <c r="T99" s="402"/>
      <c r="U99" s="402"/>
      <c r="V99" s="402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BC99" s="401" t="str">
        <f t="shared" si="81"/>
        <v>-</v>
      </c>
    </row>
    <row r="100" spans="1:64" ht="24.95" customHeight="1" thickBot="1" x14ac:dyDescent="0.3">
      <c r="A100" s="396"/>
      <c r="B100" s="415">
        <v>5</v>
      </c>
      <c r="C100" s="706" t="s">
        <v>109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IF(COUNTIF(F108:N123,"refused")&gt;0,"refused",IF(COUNTIF(F108:N123,"failed")&gt;0,"failed",IF(COUNTIF(F108:N123,"passed")&gt;0,"passed","-")))</f>
        <v>-</v>
      </c>
      <c r="Q100" s="399" t="s">
        <v>80</v>
      </c>
      <c r="R100" s="399" t="str">
        <f>IF(COUNT(F104:M105)&gt;0,"listed","not listed")</f>
        <v>not listed</v>
      </c>
      <c r="S100" s="427"/>
      <c r="T100" s="418"/>
      <c r="U100" s="418"/>
      <c r="V100" s="419"/>
      <c r="W100" s="424"/>
      <c r="X100" s="424"/>
      <c r="Y100" s="698"/>
      <c r="Z100" s="698"/>
      <c r="AA100" s="698"/>
      <c r="AB100" s="698"/>
      <c r="AC100" s="698"/>
      <c r="AD100" s="698"/>
      <c r="AE100" s="698"/>
      <c r="AF100" s="698"/>
      <c r="AG100" s="698"/>
      <c r="AH100" s="698"/>
      <c r="BC100" s="401" t="str">
        <f t="shared" si="81"/>
        <v>-</v>
      </c>
    </row>
    <row r="101" spans="1:64" ht="15" customHeight="1" outlineLevel="1" thickBot="1" x14ac:dyDescent="0.3">
      <c r="A101" s="396"/>
      <c r="B101" s="456"/>
      <c r="C101" s="457"/>
      <c r="D101" s="457"/>
      <c r="E101" s="457"/>
      <c r="F101" s="457"/>
      <c r="G101" s="457"/>
      <c r="H101" s="457"/>
      <c r="I101" s="457"/>
      <c r="J101" s="457"/>
      <c r="K101" s="421"/>
      <c r="L101" s="421"/>
      <c r="M101" s="421"/>
      <c r="N101" s="457"/>
      <c r="O101" s="457"/>
      <c r="P101" s="457"/>
      <c r="Q101" s="457"/>
      <c r="R101" s="457"/>
      <c r="S101" s="457"/>
      <c r="T101" s="422"/>
      <c r="U101" s="422"/>
      <c r="V101" s="423"/>
      <c r="W101" s="434"/>
      <c r="X101" s="434"/>
      <c r="Y101" s="678"/>
      <c r="Z101" s="678"/>
      <c r="AA101" s="678"/>
      <c r="AB101" s="678"/>
      <c r="AC101" s="678"/>
      <c r="AD101" s="678"/>
      <c r="AE101" s="678"/>
      <c r="AF101" s="678"/>
      <c r="AG101" s="678"/>
      <c r="AH101" s="678"/>
      <c r="BC101" s="401" t="str">
        <f t="shared" si="81"/>
        <v>-</v>
      </c>
    </row>
    <row r="102" spans="1:64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434"/>
      <c r="X102" s="434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BC102" s="401" t="str">
        <f t="shared" si="81"/>
        <v>-</v>
      </c>
    </row>
    <row r="103" spans="1:64" ht="35.1" customHeight="1" outlineLevel="1" thickBot="1" x14ac:dyDescent="0.3">
      <c r="A103" s="396"/>
      <c r="B103" s="709" t="s">
        <v>84</v>
      </c>
      <c r="C103" s="682"/>
      <c r="D103" s="682"/>
      <c r="E103" s="683"/>
      <c r="F103" s="425" t="str">
        <f>F$4</f>
        <v>NMHC 
[g/km]</v>
      </c>
      <c r="G103" s="425" t="str">
        <f t="shared" ref="G103:N103" si="86">G$4</f>
        <v>THC
[g/km]</v>
      </c>
      <c r="H103" s="425" t="str">
        <f t="shared" si="86"/>
        <v>CO
[g/km]</v>
      </c>
      <c r="I103" s="425" t="str">
        <f t="shared" si="86"/>
        <v>NOx
[g/km]</v>
      </c>
      <c r="J103" s="425" t="str">
        <f t="shared" si="86"/>
        <v>PM
[mg/km]</v>
      </c>
      <c r="K103" s="425" t="str">
        <f t="shared" si="86"/>
        <v>PN
[#/km]</v>
      </c>
      <c r="L103" s="426" t="str">
        <f t="shared" si="86"/>
        <v>Additional
component</v>
      </c>
      <c r="M103" s="426" t="str">
        <f t="shared" si="86"/>
        <v>Additional
component 2</v>
      </c>
      <c r="N103" s="425" t="str">
        <f t="shared" si="86"/>
        <v>CO2
[g/km]</v>
      </c>
      <c r="O103" s="669"/>
      <c r="P103" s="670"/>
      <c r="Q103" s="670"/>
      <c r="R103" s="671"/>
      <c r="S103" s="669"/>
      <c r="T103" s="670"/>
      <c r="U103" s="670"/>
      <c r="V103" s="671"/>
      <c r="W103" s="434"/>
      <c r="X103" s="434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BC103" s="401" t="str">
        <f t="shared" si="81"/>
        <v>-</v>
      </c>
    </row>
    <row r="104" spans="1:64" s="405" customFormat="1" ht="15" customHeight="1" outlineLevel="1" x14ac:dyDescent="0.25">
      <c r="A104" s="439"/>
      <c r="B104" s="718" t="s">
        <v>108</v>
      </c>
      <c r="C104" s="684" t="s">
        <v>114</v>
      </c>
      <c r="D104" s="684" t="s">
        <v>113</v>
      </c>
      <c r="E104" s="453" t="s">
        <v>94</v>
      </c>
      <c r="F104" s="473" t="s">
        <v>5</v>
      </c>
      <c r="G104" s="473" t="s">
        <v>5</v>
      </c>
      <c r="H104" s="473" t="s">
        <v>5</v>
      </c>
      <c r="I104" s="473" t="s">
        <v>5</v>
      </c>
      <c r="J104" s="473" t="s">
        <v>5</v>
      </c>
      <c r="K104" s="474" t="s">
        <v>5</v>
      </c>
      <c r="L104" s="474" t="s">
        <v>5</v>
      </c>
      <c r="M104" s="474" t="s">
        <v>5</v>
      </c>
      <c r="N104" s="473" t="s">
        <v>5</v>
      </c>
      <c r="O104" s="672"/>
      <c r="P104" s="673"/>
      <c r="Q104" s="673"/>
      <c r="R104" s="674"/>
      <c r="S104" s="672"/>
      <c r="T104" s="673"/>
      <c r="U104" s="673"/>
      <c r="V104" s="674"/>
      <c r="W104" s="443"/>
      <c r="X104" s="443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BC104" s="401" t="str">
        <f t="shared" si="81"/>
        <v>-</v>
      </c>
    </row>
    <row r="105" spans="1:64" ht="15" customHeight="1" outlineLevel="1" thickBot="1" x14ac:dyDescent="0.3">
      <c r="A105" s="396"/>
      <c r="B105" s="719"/>
      <c r="C105" s="702"/>
      <c r="D105" s="685"/>
      <c r="E105" s="440" t="s">
        <v>95</v>
      </c>
      <c r="F105" s="475" t="s">
        <v>5</v>
      </c>
      <c r="G105" s="475" t="s">
        <v>5</v>
      </c>
      <c r="H105" s="475" t="s">
        <v>5</v>
      </c>
      <c r="I105" s="475" t="s">
        <v>5</v>
      </c>
      <c r="J105" s="475" t="s">
        <v>5</v>
      </c>
      <c r="K105" s="476" t="s">
        <v>5</v>
      </c>
      <c r="L105" s="476" t="s">
        <v>5</v>
      </c>
      <c r="M105" s="476" t="s">
        <v>5</v>
      </c>
      <c r="N105" s="475" t="s">
        <v>5</v>
      </c>
      <c r="O105" s="672"/>
      <c r="P105" s="673"/>
      <c r="Q105" s="673"/>
      <c r="R105" s="674"/>
      <c r="S105" s="672"/>
      <c r="T105" s="673"/>
      <c r="U105" s="673"/>
      <c r="V105" s="674"/>
      <c r="W105" s="434"/>
      <c r="X105" s="434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401" t="str">
        <f t="shared" si="81"/>
        <v>-</v>
      </c>
    </row>
    <row r="106" spans="1:64" ht="15" customHeight="1" outlineLevel="1" thickBot="1" x14ac:dyDescent="0.3">
      <c r="A106" s="396"/>
      <c r="B106" s="719"/>
      <c r="C106" s="686" t="s">
        <v>5</v>
      </c>
      <c r="D106" s="689" t="str">
        <f>IF(AND(F107="-",G107="-",H107="-",I107="-",J107="-",K107="-",L107="-",M107="-"),"-",MAX(F107,G107,H107,I107,J107,K107,L107,M107))</f>
        <v>-</v>
      </c>
      <c r="E106" s="444" t="s">
        <v>96</v>
      </c>
      <c r="F106" s="445" t="str">
        <f t="shared" ref="F106:N106" si="87">IF(OR(F105="-",F105=""),IF(OR(F104="-",F104=""),"-",F104),IF(OR(F104="-",F104=""),F105,(F104+F105)/2))</f>
        <v>-</v>
      </c>
      <c r="G106" s="445" t="str">
        <f t="shared" si="87"/>
        <v>-</v>
      </c>
      <c r="H106" s="445" t="str">
        <f t="shared" si="87"/>
        <v>-</v>
      </c>
      <c r="I106" s="445" t="str">
        <f t="shared" si="87"/>
        <v>-</v>
      </c>
      <c r="J106" s="445" t="str">
        <f t="shared" si="87"/>
        <v>-</v>
      </c>
      <c r="K106" s="446" t="str">
        <f t="shared" si="87"/>
        <v>-</v>
      </c>
      <c r="L106" s="446" t="str">
        <f t="shared" si="87"/>
        <v>-</v>
      </c>
      <c r="M106" s="446" t="str">
        <f t="shared" si="87"/>
        <v>-</v>
      </c>
      <c r="N106" s="445" t="str">
        <f t="shared" si="87"/>
        <v>-</v>
      </c>
      <c r="O106" s="672"/>
      <c r="P106" s="673"/>
      <c r="Q106" s="673"/>
      <c r="R106" s="674"/>
      <c r="S106" s="672"/>
      <c r="T106" s="673"/>
      <c r="U106" s="673"/>
      <c r="V106" s="674"/>
      <c r="W106" s="434"/>
      <c r="X106" s="434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BC106" s="401" t="str">
        <f t="shared" si="81"/>
        <v>-</v>
      </c>
    </row>
    <row r="107" spans="1:64" ht="15" customHeight="1" outlineLevel="1" thickBot="1" x14ac:dyDescent="0.3">
      <c r="A107" s="396"/>
      <c r="B107" s="719"/>
      <c r="C107" s="687"/>
      <c r="D107" s="690"/>
      <c r="E107" s="447" t="s">
        <v>97</v>
      </c>
      <c r="F107" s="448" t="str">
        <f t="shared" ref="F107:N107" si="88">IF(OR($C106="-",$C106="CET",$C106=""),"-",IF(AND(NOT(F106="-"),NOT(F$5="-"),NOT(F$5="")),F106/F$5,"-"))</f>
        <v>-</v>
      </c>
      <c r="G107" s="448" t="str">
        <f t="shared" si="88"/>
        <v>-</v>
      </c>
      <c r="H107" s="448" t="str">
        <f t="shared" si="88"/>
        <v>-</v>
      </c>
      <c r="I107" s="448" t="str">
        <f t="shared" si="88"/>
        <v>-</v>
      </c>
      <c r="J107" s="448" t="str">
        <f t="shared" si="88"/>
        <v>-</v>
      </c>
      <c r="K107" s="449" t="str">
        <f t="shared" si="88"/>
        <v>-</v>
      </c>
      <c r="L107" s="449" t="str">
        <f t="shared" si="88"/>
        <v>-</v>
      </c>
      <c r="M107" s="449" t="str">
        <f t="shared" si="88"/>
        <v>-</v>
      </c>
      <c r="N107" s="448" t="str">
        <f t="shared" si="88"/>
        <v>-</v>
      </c>
      <c r="O107" s="672"/>
      <c r="P107" s="673"/>
      <c r="Q107" s="673"/>
      <c r="R107" s="674"/>
      <c r="S107" s="672"/>
      <c r="T107" s="673"/>
      <c r="U107" s="673"/>
      <c r="V107" s="674"/>
      <c r="W107" s="434"/>
      <c r="X107" s="434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BC107" s="401" t="str">
        <f t="shared" si="81"/>
        <v>-</v>
      </c>
      <c r="BD107" s="429" t="s">
        <v>85</v>
      </c>
      <c r="BE107" s="430" t="str">
        <f>F$4</f>
        <v>NMHC 
[g/km]</v>
      </c>
      <c r="BF107" s="430" t="str">
        <f t="shared" ref="BF107:BL107" si="89">G$4</f>
        <v>THC
[g/km]</v>
      </c>
      <c r="BG107" s="430" t="str">
        <f t="shared" si="89"/>
        <v>CO
[g/km]</v>
      </c>
      <c r="BH107" s="430" t="str">
        <f t="shared" si="89"/>
        <v>NOx
[g/km]</v>
      </c>
      <c r="BI107" s="430" t="str">
        <f t="shared" si="89"/>
        <v>PM
[mg/km]</v>
      </c>
      <c r="BJ107" s="430" t="str">
        <f t="shared" si="89"/>
        <v>PN
[#/km]</v>
      </c>
      <c r="BK107" s="430" t="str">
        <f t="shared" si="89"/>
        <v>Additional
component</v>
      </c>
      <c r="BL107" s="430" t="str">
        <f t="shared" si="89"/>
        <v>Additional
component 2</v>
      </c>
    </row>
    <row r="108" spans="1:64" ht="15" customHeight="1" outlineLevel="1" thickBot="1" x14ac:dyDescent="0.3">
      <c r="A108" s="396"/>
      <c r="B108" s="720"/>
      <c r="C108" s="688"/>
      <c r="D108" s="691"/>
      <c r="E108" s="451" t="s">
        <v>30</v>
      </c>
      <c r="F108" s="451" t="str">
        <f t="shared" ref="F108:N108" si="90">IF(AND(OR(F104="-",F104=""),OR(F105="-",F105="")),"-",IF(OR($C106="-",$C106="",$C106="CET"),"-",IF($R$100="not listed","-",IF(NOT(F$5="-"),IF(AND(AND(NOT(F104=0),NOT(F104="-"),NOT(F104="")),AND(NOT(F105="-"),NOT(F105=0),NOT(F105=""))),IF(AND((F104+F105)/2&lt;1*F$5*IF(OR($C106="CET",$C106="-",$C106=""),"-",$C106),F104&lt;1.1*F$5*IF(OR($C106="CET",$C106="-",$C106=""),"-",$C106),F105&lt;1.1*F$5*IF(OR($C106="CET",$C106="-",$C106=""),"-",$C106)),"passed","refused"),IF(IF(OR(F104="-",F104=""),F105,F104)&lt;0.7*F$5*IF(OR($C106="CET",$C106="-",$C106=""),"-",$C106),"passed",IF(IF(OR(F104="-",F104=""),F105,F104)&lt;1.1*IF(OR($C106="CET",$C106="-",$C106=""),"-",$C106)*F$5,"failed","refused"))),"-"))))</f>
        <v>-</v>
      </c>
      <c r="G108" s="451" t="str">
        <f t="shared" si="90"/>
        <v>-</v>
      </c>
      <c r="H108" s="451" t="str">
        <f t="shared" si="90"/>
        <v>-</v>
      </c>
      <c r="I108" s="451" t="str">
        <f t="shared" si="90"/>
        <v>-</v>
      </c>
      <c r="J108" s="451" t="str">
        <f t="shared" si="90"/>
        <v>-</v>
      </c>
      <c r="K108" s="452" t="str">
        <f t="shared" si="90"/>
        <v>-</v>
      </c>
      <c r="L108" s="452" t="str">
        <f t="shared" si="90"/>
        <v>-</v>
      </c>
      <c r="M108" s="452" t="str">
        <f t="shared" si="90"/>
        <v>-</v>
      </c>
      <c r="N108" s="451" t="str">
        <f t="shared" si="90"/>
        <v>-</v>
      </c>
      <c r="O108" s="672"/>
      <c r="P108" s="673"/>
      <c r="Q108" s="673"/>
      <c r="R108" s="674"/>
      <c r="S108" s="672"/>
      <c r="T108" s="673"/>
      <c r="U108" s="673"/>
      <c r="V108" s="674"/>
      <c r="W108" s="434"/>
      <c r="X108" s="434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BC108" s="401" t="str">
        <f t="shared" si="81"/>
        <v>-</v>
      </c>
      <c r="BD108" s="429" t="str">
        <f>$E$4</f>
        <v>Post New Long Term</v>
      </c>
      <c r="BE108" s="435">
        <v>1</v>
      </c>
      <c r="BF108" s="435">
        <v>1</v>
      </c>
      <c r="BG108" s="435">
        <v>1</v>
      </c>
      <c r="BH108" s="435">
        <v>1</v>
      </c>
      <c r="BI108" s="435">
        <v>1</v>
      </c>
      <c r="BJ108" s="435">
        <v>1</v>
      </c>
      <c r="BK108" s="435">
        <v>1</v>
      </c>
      <c r="BL108" s="435">
        <v>1</v>
      </c>
    </row>
    <row r="109" spans="1:64" ht="15" customHeight="1" outlineLevel="1" x14ac:dyDescent="0.25">
      <c r="A109" s="396"/>
      <c r="B109" s="721"/>
      <c r="C109" s="668"/>
      <c r="D109" s="411"/>
      <c r="E109" s="411"/>
      <c r="F109" s="463"/>
      <c r="G109" s="463"/>
      <c r="H109" s="463"/>
      <c r="I109" s="463"/>
      <c r="J109" s="463"/>
      <c r="K109" s="464"/>
      <c r="L109" s="464"/>
      <c r="M109" s="464"/>
      <c r="N109" s="465"/>
      <c r="O109" s="672"/>
      <c r="P109" s="673"/>
      <c r="Q109" s="673"/>
      <c r="R109" s="674"/>
      <c r="S109" s="672"/>
      <c r="T109" s="673"/>
      <c r="U109" s="673"/>
      <c r="V109" s="674"/>
      <c r="W109" s="434"/>
      <c r="X109" s="434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BC109" s="401" t="str">
        <f t="shared" si="81"/>
        <v>-</v>
      </c>
      <c r="BD109" s="429" t="str">
        <f>"1st " &amp;  B104</f>
        <v>1st s.s.e.t.</v>
      </c>
      <c r="BE109" s="435" t="str">
        <f t="shared" ref="BE109:BL109" si="91">IF((OR($C106="-",$C106="CET",$C106="")),"-",IF(AND(OR(F104="-",F104=""),OR(F105="-",F105="")),"-",IF(NOT(OR(F104="-",F104="")),F104/F$5,F105/F$5)))</f>
        <v>-</v>
      </c>
      <c r="BF109" s="435" t="str">
        <f t="shared" si="91"/>
        <v>-</v>
      </c>
      <c r="BG109" s="435" t="str">
        <f t="shared" si="91"/>
        <v>-</v>
      </c>
      <c r="BH109" s="435" t="str">
        <f t="shared" si="91"/>
        <v>-</v>
      </c>
      <c r="BI109" s="435" t="str">
        <f t="shared" si="91"/>
        <v>-</v>
      </c>
      <c r="BJ109" s="435" t="str">
        <f t="shared" si="91"/>
        <v>-</v>
      </c>
      <c r="BK109" s="435" t="str">
        <f t="shared" si="91"/>
        <v>-</v>
      </c>
      <c r="BL109" s="435" t="str">
        <f t="shared" si="91"/>
        <v>-</v>
      </c>
    </row>
    <row r="110" spans="1:64" ht="15" customHeight="1" outlineLevel="1" x14ac:dyDescent="0.25">
      <c r="A110" s="396"/>
      <c r="B110" s="721"/>
      <c r="C110" s="668"/>
      <c r="D110" s="411"/>
      <c r="E110" s="411"/>
      <c r="F110" s="463"/>
      <c r="G110" s="463"/>
      <c r="H110" s="463"/>
      <c r="I110" s="463"/>
      <c r="J110" s="463"/>
      <c r="K110" s="464"/>
      <c r="L110" s="464"/>
      <c r="M110" s="464"/>
      <c r="N110" s="465"/>
      <c r="O110" s="672"/>
      <c r="P110" s="673"/>
      <c r="Q110" s="673"/>
      <c r="R110" s="674"/>
      <c r="S110" s="672"/>
      <c r="T110" s="673"/>
      <c r="U110" s="673"/>
      <c r="V110" s="674"/>
      <c r="W110" s="434"/>
      <c r="X110" s="434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BC110" s="401" t="str">
        <f t="shared" si="81"/>
        <v>-</v>
      </c>
      <c r="BD110" s="429"/>
      <c r="BE110" s="435"/>
      <c r="BF110" s="435"/>
      <c r="BG110" s="435"/>
      <c r="BH110" s="435"/>
      <c r="BI110" s="435"/>
      <c r="BJ110" s="435"/>
      <c r="BK110" s="435"/>
      <c r="BL110" s="435"/>
    </row>
    <row r="111" spans="1:64" ht="15" customHeight="1" outlineLevel="1" x14ac:dyDescent="0.25">
      <c r="A111" s="396"/>
      <c r="B111" s="721"/>
      <c r="C111" s="668"/>
      <c r="D111" s="411"/>
      <c r="E111" s="411"/>
      <c r="F111" s="466"/>
      <c r="G111" s="466"/>
      <c r="H111" s="466"/>
      <c r="I111" s="466"/>
      <c r="J111" s="466"/>
      <c r="K111" s="464"/>
      <c r="L111" s="464"/>
      <c r="M111" s="464"/>
      <c r="N111" s="467"/>
      <c r="O111" s="672"/>
      <c r="P111" s="673"/>
      <c r="Q111" s="673"/>
      <c r="R111" s="674"/>
      <c r="S111" s="672"/>
      <c r="T111" s="673"/>
      <c r="U111" s="673"/>
      <c r="V111" s="674"/>
      <c r="W111" s="434"/>
      <c r="X111" s="434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BC111" s="401" t="str">
        <f t="shared" si="81"/>
        <v>-</v>
      </c>
      <c r="BD111" s="429"/>
      <c r="BE111" s="435"/>
      <c r="BF111" s="435"/>
      <c r="BG111" s="435"/>
      <c r="BH111" s="435"/>
      <c r="BI111" s="435"/>
      <c r="BJ111" s="435"/>
      <c r="BK111" s="435"/>
      <c r="BL111" s="435"/>
    </row>
    <row r="112" spans="1:64" ht="15" customHeight="1" outlineLevel="1" x14ac:dyDescent="0.25">
      <c r="A112" s="404"/>
      <c r="B112" s="721"/>
      <c r="C112" s="668"/>
      <c r="D112" s="411"/>
      <c r="E112" s="411"/>
      <c r="F112" s="466"/>
      <c r="G112" s="466"/>
      <c r="H112" s="466"/>
      <c r="I112" s="466"/>
      <c r="J112" s="466"/>
      <c r="K112" s="464"/>
      <c r="L112" s="464"/>
      <c r="M112" s="464"/>
      <c r="N112" s="467"/>
      <c r="O112" s="672"/>
      <c r="P112" s="673"/>
      <c r="Q112" s="673"/>
      <c r="R112" s="674"/>
      <c r="S112" s="672"/>
      <c r="T112" s="673"/>
      <c r="U112" s="673"/>
      <c r="V112" s="674"/>
      <c r="W112" s="434"/>
      <c r="X112" s="434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BC112" s="401" t="str">
        <f t="shared" si="81"/>
        <v>-</v>
      </c>
      <c r="BD112" s="429"/>
      <c r="BE112" s="435"/>
      <c r="BF112" s="435"/>
      <c r="BG112" s="435"/>
      <c r="BH112" s="435"/>
      <c r="BI112" s="435"/>
      <c r="BJ112" s="435"/>
      <c r="BK112" s="435"/>
      <c r="BL112" s="435"/>
    </row>
    <row r="113" spans="1:64" ht="15" customHeight="1" outlineLevel="1" x14ac:dyDescent="0.25">
      <c r="A113" s="404"/>
      <c r="B113" s="721"/>
      <c r="C113" s="668"/>
      <c r="D113" s="411"/>
      <c r="E113" s="411"/>
      <c r="F113" s="411"/>
      <c r="G113" s="411"/>
      <c r="H113" s="411"/>
      <c r="I113" s="411"/>
      <c r="J113" s="411"/>
      <c r="K113" s="464"/>
      <c r="L113" s="464"/>
      <c r="M113" s="464"/>
      <c r="N113" s="468"/>
      <c r="O113" s="672"/>
      <c r="P113" s="673"/>
      <c r="Q113" s="673"/>
      <c r="R113" s="674"/>
      <c r="S113" s="672"/>
      <c r="T113" s="673"/>
      <c r="U113" s="673"/>
      <c r="V113" s="674"/>
      <c r="W113" s="434"/>
      <c r="X113" s="434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BC113" s="401" t="str">
        <f t="shared" si="81"/>
        <v>-</v>
      </c>
      <c r="BD113" s="429" t="str">
        <f>"0.7*IEF " &amp; (B104)</f>
        <v>0.7*IEF s.s.e.t.</v>
      </c>
      <c r="BE113" s="435" t="str">
        <f t="shared" ref="BE113:BL113" si="92">IF(OR($C106="-",$C106="CET",$C106=""),"-",0.7*$C106)</f>
        <v>-</v>
      </c>
      <c r="BF113" s="435" t="str">
        <f t="shared" si="92"/>
        <v>-</v>
      </c>
      <c r="BG113" s="435" t="str">
        <f t="shared" si="92"/>
        <v>-</v>
      </c>
      <c r="BH113" s="435" t="str">
        <f t="shared" si="92"/>
        <v>-</v>
      </c>
      <c r="BI113" s="435" t="str">
        <f t="shared" si="92"/>
        <v>-</v>
      </c>
      <c r="BJ113" s="435" t="str">
        <f t="shared" si="92"/>
        <v>-</v>
      </c>
      <c r="BK113" s="435" t="str">
        <f t="shared" si="92"/>
        <v>-</v>
      </c>
      <c r="BL113" s="435" t="str">
        <f t="shared" si="92"/>
        <v>-</v>
      </c>
    </row>
    <row r="114" spans="1:64" ht="15" customHeight="1" outlineLevel="1" x14ac:dyDescent="0.25">
      <c r="A114" s="404"/>
      <c r="B114" s="721"/>
      <c r="C114" s="668"/>
      <c r="D114" s="411"/>
      <c r="E114" s="411"/>
      <c r="F114" s="463"/>
      <c r="G114" s="463"/>
      <c r="H114" s="463"/>
      <c r="I114" s="463"/>
      <c r="J114" s="463"/>
      <c r="K114" s="464"/>
      <c r="L114" s="464"/>
      <c r="M114" s="464"/>
      <c r="N114" s="465"/>
      <c r="O114" s="672"/>
      <c r="P114" s="673"/>
      <c r="Q114" s="673"/>
      <c r="R114" s="674"/>
      <c r="S114" s="672"/>
      <c r="T114" s="673"/>
      <c r="U114" s="673"/>
      <c r="V114" s="674"/>
      <c r="W114" s="434"/>
      <c r="X114" s="434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BC114" s="401" t="str">
        <f t="shared" si="81"/>
        <v>-</v>
      </c>
      <c r="BD114" s="429"/>
      <c r="BE114" s="435"/>
      <c r="BF114" s="435"/>
      <c r="BG114" s="435"/>
      <c r="BH114" s="435"/>
      <c r="BI114" s="435"/>
      <c r="BJ114" s="435"/>
      <c r="BK114" s="435"/>
      <c r="BL114" s="435"/>
    </row>
    <row r="115" spans="1:64" ht="15" customHeight="1" outlineLevel="1" x14ac:dyDescent="0.25">
      <c r="A115" s="404"/>
      <c r="B115" s="721"/>
      <c r="C115" s="668"/>
      <c r="D115" s="411"/>
      <c r="E115" s="411"/>
      <c r="F115" s="463"/>
      <c r="G115" s="463"/>
      <c r="H115" s="463"/>
      <c r="I115" s="463"/>
      <c r="J115" s="463"/>
      <c r="K115" s="464"/>
      <c r="L115" s="464"/>
      <c r="M115" s="464"/>
      <c r="N115" s="465"/>
      <c r="O115" s="672"/>
      <c r="P115" s="673"/>
      <c r="Q115" s="673"/>
      <c r="R115" s="674"/>
      <c r="S115" s="672"/>
      <c r="T115" s="673"/>
      <c r="U115" s="673"/>
      <c r="V115" s="674"/>
      <c r="W115" s="434"/>
      <c r="X115" s="434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BC115" s="401" t="str">
        <f t="shared" si="81"/>
        <v>-</v>
      </c>
      <c r="BD115" s="429"/>
      <c r="BE115" s="435"/>
      <c r="BF115" s="435"/>
      <c r="BG115" s="435"/>
      <c r="BH115" s="435"/>
      <c r="BI115" s="435"/>
      <c r="BJ115" s="435"/>
      <c r="BK115" s="435"/>
      <c r="BL115" s="435"/>
    </row>
    <row r="116" spans="1:64" ht="15" customHeight="1" outlineLevel="1" x14ac:dyDescent="0.25">
      <c r="A116" s="404"/>
      <c r="B116" s="721"/>
      <c r="C116" s="668"/>
      <c r="D116" s="411"/>
      <c r="E116" s="411"/>
      <c r="F116" s="466"/>
      <c r="G116" s="466"/>
      <c r="H116" s="466"/>
      <c r="I116" s="466"/>
      <c r="J116" s="466"/>
      <c r="K116" s="464"/>
      <c r="L116" s="464"/>
      <c r="M116" s="464"/>
      <c r="N116" s="467"/>
      <c r="O116" s="672"/>
      <c r="P116" s="673"/>
      <c r="Q116" s="673"/>
      <c r="R116" s="674"/>
      <c r="S116" s="672"/>
      <c r="T116" s="673"/>
      <c r="U116" s="673"/>
      <c r="V116" s="674"/>
      <c r="W116" s="434"/>
      <c r="X116" s="434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BC116" s="401" t="str">
        <f t="shared" si="81"/>
        <v>-</v>
      </c>
      <c r="BD116" s="429"/>
      <c r="BE116" s="435"/>
      <c r="BF116" s="435"/>
      <c r="BG116" s="435"/>
      <c r="BH116" s="435"/>
      <c r="BI116" s="435"/>
      <c r="BJ116" s="435"/>
      <c r="BK116" s="435"/>
      <c r="BL116" s="435"/>
    </row>
    <row r="117" spans="1:64" ht="15" customHeight="1" outlineLevel="1" x14ac:dyDescent="0.25">
      <c r="A117" s="404"/>
      <c r="B117" s="721"/>
      <c r="C117" s="668"/>
      <c r="D117" s="411"/>
      <c r="E117" s="411"/>
      <c r="F117" s="466"/>
      <c r="G117" s="466"/>
      <c r="H117" s="466"/>
      <c r="I117" s="466"/>
      <c r="J117" s="466"/>
      <c r="K117" s="464"/>
      <c r="L117" s="464"/>
      <c r="M117" s="464"/>
      <c r="N117" s="467"/>
      <c r="O117" s="672"/>
      <c r="P117" s="673"/>
      <c r="Q117" s="673"/>
      <c r="R117" s="674"/>
      <c r="S117" s="672"/>
      <c r="T117" s="673"/>
      <c r="U117" s="673"/>
      <c r="V117" s="674"/>
      <c r="W117" s="434"/>
      <c r="X117" s="434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BC117" s="401" t="str">
        <f t="shared" si="81"/>
        <v>-</v>
      </c>
      <c r="BD117" s="429" t="str">
        <f>B104</f>
        <v>s.s.e.t.</v>
      </c>
      <c r="BE117" s="477" t="str">
        <f t="shared" ref="BE117:BL117" si="93">F107</f>
        <v>-</v>
      </c>
      <c r="BF117" s="435" t="str">
        <f t="shared" si="93"/>
        <v>-</v>
      </c>
      <c r="BG117" s="435" t="str">
        <f t="shared" si="93"/>
        <v>-</v>
      </c>
      <c r="BH117" s="435" t="str">
        <f t="shared" si="93"/>
        <v>-</v>
      </c>
      <c r="BI117" s="435" t="str">
        <f t="shared" si="93"/>
        <v>-</v>
      </c>
      <c r="BJ117" s="435" t="str">
        <f t="shared" si="93"/>
        <v>-</v>
      </c>
      <c r="BK117" s="435" t="str">
        <f t="shared" si="93"/>
        <v>-</v>
      </c>
      <c r="BL117" s="435" t="str">
        <f t="shared" si="93"/>
        <v>-</v>
      </c>
    </row>
    <row r="118" spans="1:64" ht="15" customHeight="1" outlineLevel="1" x14ac:dyDescent="0.25">
      <c r="A118" s="404"/>
      <c r="B118" s="721"/>
      <c r="C118" s="668"/>
      <c r="D118" s="411"/>
      <c r="E118" s="411"/>
      <c r="F118" s="411"/>
      <c r="G118" s="411"/>
      <c r="H118" s="411"/>
      <c r="I118" s="411"/>
      <c r="J118" s="411"/>
      <c r="K118" s="464"/>
      <c r="L118" s="464"/>
      <c r="M118" s="464"/>
      <c r="N118" s="468"/>
      <c r="O118" s="672"/>
      <c r="P118" s="673"/>
      <c r="Q118" s="673"/>
      <c r="R118" s="674"/>
      <c r="S118" s="672"/>
      <c r="T118" s="673"/>
      <c r="U118" s="673"/>
      <c r="V118" s="674"/>
      <c r="W118" s="434"/>
      <c r="X118" s="434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BC118" s="401" t="str">
        <f t="shared" si="81"/>
        <v>-</v>
      </c>
      <c r="BD118" s="429"/>
      <c r="BE118" s="435"/>
      <c r="BF118" s="435"/>
      <c r="BG118" s="435"/>
      <c r="BH118" s="435"/>
      <c r="BI118" s="435"/>
      <c r="BJ118" s="435"/>
      <c r="BK118" s="435"/>
      <c r="BL118" s="435"/>
    </row>
    <row r="119" spans="1:64" ht="15" customHeight="1" outlineLevel="1" x14ac:dyDescent="0.25">
      <c r="A119" s="404"/>
      <c r="B119" s="721"/>
      <c r="C119" s="668"/>
      <c r="D119" s="411"/>
      <c r="E119" s="411"/>
      <c r="F119" s="463"/>
      <c r="G119" s="463"/>
      <c r="H119" s="463"/>
      <c r="I119" s="463"/>
      <c r="J119" s="463"/>
      <c r="K119" s="464"/>
      <c r="L119" s="464"/>
      <c r="M119" s="464"/>
      <c r="N119" s="465"/>
      <c r="O119" s="672"/>
      <c r="P119" s="673"/>
      <c r="Q119" s="673"/>
      <c r="R119" s="674"/>
      <c r="S119" s="672"/>
      <c r="T119" s="673"/>
      <c r="U119" s="673"/>
      <c r="V119" s="674"/>
      <c r="W119" s="434"/>
      <c r="X119" s="434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BC119" s="401" t="str">
        <f t="shared" si="81"/>
        <v>-</v>
      </c>
      <c r="BD119" s="429"/>
      <c r="BE119" s="435"/>
      <c r="BF119" s="435"/>
      <c r="BG119" s="435"/>
      <c r="BH119" s="435"/>
      <c r="BI119" s="435"/>
      <c r="BJ119" s="435"/>
      <c r="BK119" s="435"/>
      <c r="BL119" s="435"/>
    </row>
    <row r="120" spans="1:64" ht="15" customHeight="1" outlineLevel="1" x14ac:dyDescent="0.25">
      <c r="A120" s="404"/>
      <c r="B120" s="721"/>
      <c r="C120" s="668"/>
      <c r="D120" s="411"/>
      <c r="E120" s="411"/>
      <c r="F120" s="463"/>
      <c r="G120" s="463"/>
      <c r="H120" s="463"/>
      <c r="I120" s="463"/>
      <c r="J120" s="463"/>
      <c r="K120" s="464"/>
      <c r="L120" s="464"/>
      <c r="M120" s="464"/>
      <c r="N120" s="465"/>
      <c r="O120" s="672"/>
      <c r="P120" s="673"/>
      <c r="Q120" s="673"/>
      <c r="R120" s="674"/>
      <c r="S120" s="672"/>
      <c r="T120" s="673"/>
      <c r="U120" s="673"/>
      <c r="V120" s="674"/>
      <c r="W120" s="434"/>
      <c r="X120" s="434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BC120" s="401" t="str">
        <f t="shared" si="81"/>
        <v>-</v>
      </c>
      <c r="BD120" s="429"/>
      <c r="BE120" s="435"/>
      <c r="BF120" s="435"/>
      <c r="BG120" s="435"/>
      <c r="BH120" s="435"/>
      <c r="BI120" s="435"/>
      <c r="BJ120" s="435"/>
      <c r="BK120" s="435"/>
      <c r="BL120" s="435"/>
    </row>
    <row r="121" spans="1:64" ht="15" customHeight="1" outlineLevel="1" x14ac:dyDescent="0.25">
      <c r="A121" s="404"/>
      <c r="B121" s="721"/>
      <c r="C121" s="668"/>
      <c r="D121" s="411"/>
      <c r="E121" s="411"/>
      <c r="F121" s="466"/>
      <c r="G121" s="466"/>
      <c r="H121" s="466"/>
      <c r="I121" s="466"/>
      <c r="J121" s="466"/>
      <c r="K121" s="464"/>
      <c r="L121" s="464"/>
      <c r="M121" s="464"/>
      <c r="N121" s="467"/>
      <c r="O121" s="672"/>
      <c r="P121" s="673"/>
      <c r="Q121" s="673"/>
      <c r="R121" s="674"/>
      <c r="S121" s="672"/>
      <c r="T121" s="673"/>
      <c r="U121" s="673"/>
      <c r="V121" s="674"/>
      <c r="W121" s="434"/>
      <c r="X121" s="434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BC121" s="401" t="str">
        <f t="shared" si="81"/>
        <v>-</v>
      </c>
      <c r="BD121" s="429" t="str">
        <f>"IEF " &amp;B104</f>
        <v>IEF s.s.e.t.</v>
      </c>
      <c r="BE121" s="435" t="str">
        <f>IF(OR($C106="-",$C106="CET",$C106=""),"-",$C106)</f>
        <v>-</v>
      </c>
      <c r="BF121" s="435" t="str">
        <f t="shared" ref="BF121:BL121" si="94">IF(OR($C106="-",$C106="CET",$C106=""),"-",$C106)</f>
        <v>-</v>
      </c>
      <c r="BG121" s="435" t="str">
        <f t="shared" si="94"/>
        <v>-</v>
      </c>
      <c r="BH121" s="435" t="str">
        <f t="shared" si="94"/>
        <v>-</v>
      </c>
      <c r="BI121" s="435" t="str">
        <f t="shared" si="94"/>
        <v>-</v>
      </c>
      <c r="BJ121" s="435" t="str">
        <f t="shared" si="94"/>
        <v>-</v>
      </c>
      <c r="BK121" s="435" t="str">
        <f t="shared" si="94"/>
        <v>-</v>
      </c>
      <c r="BL121" s="435" t="str">
        <f t="shared" si="94"/>
        <v>-</v>
      </c>
    </row>
    <row r="122" spans="1:64" outlineLevel="1" x14ac:dyDescent="0.25">
      <c r="B122" s="721"/>
      <c r="C122" s="668"/>
      <c r="D122" s="411"/>
      <c r="E122" s="411"/>
      <c r="F122" s="466"/>
      <c r="G122" s="466"/>
      <c r="H122" s="466"/>
      <c r="I122" s="466"/>
      <c r="J122" s="466"/>
      <c r="K122" s="464"/>
      <c r="L122" s="464"/>
      <c r="M122" s="464"/>
      <c r="N122" s="467"/>
      <c r="O122" s="672"/>
      <c r="P122" s="673"/>
      <c r="Q122" s="673"/>
      <c r="R122" s="674"/>
      <c r="S122" s="672"/>
      <c r="T122" s="673"/>
      <c r="U122" s="673"/>
      <c r="V122" s="674"/>
      <c r="BC122" s="401" t="str">
        <f t="shared" si="81"/>
        <v>-</v>
      </c>
      <c r="BD122" s="459"/>
      <c r="BE122" s="459"/>
      <c r="BF122" s="459"/>
      <c r="BG122" s="459"/>
      <c r="BH122" s="459"/>
      <c r="BI122" s="459"/>
      <c r="BJ122" s="459"/>
      <c r="BK122" s="459"/>
      <c r="BL122" s="459"/>
    </row>
    <row r="123" spans="1:64" ht="15.75" outlineLevel="1" thickBot="1" x14ac:dyDescent="0.3">
      <c r="B123" s="722"/>
      <c r="C123" s="723"/>
      <c r="D123" s="469"/>
      <c r="E123" s="469"/>
      <c r="F123" s="469"/>
      <c r="G123" s="469"/>
      <c r="H123" s="469"/>
      <c r="I123" s="469"/>
      <c r="J123" s="469"/>
      <c r="K123" s="470"/>
      <c r="L123" s="470"/>
      <c r="M123" s="470"/>
      <c r="N123" s="471"/>
      <c r="O123" s="675"/>
      <c r="P123" s="676"/>
      <c r="Q123" s="676"/>
      <c r="R123" s="677"/>
      <c r="S123" s="675"/>
      <c r="T123" s="676"/>
      <c r="U123" s="676"/>
      <c r="V123" s="677"/>
      <c r="BC123" s="401" t="str">
        <f t="shared" si="81"/>
        <v>-</v>
      </c>
      <c r="BD123" s="459"/>
      <c r="BE123" s="459"/>
      <c r="BF123" s="459"/>
      <c r="BG123" s="459"/>
      <c r="BH123" s="459"/>
      <c r="BI123" s="459"/>
      <c r="BJ123" s="459"/>
      <c r="BK123" s="459"/>
      <c r="BL123" s="459"/>
    </row>
    <row r="124" spans="1:64" ht="15" customHeight="1" x14ac:dyDescent="0.25">
      <c r="A124" s="396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BC124" s="401" t="str">
        <f t="shared" si="81"/>
        <v>-</v>
      </c>
    </row>
    <row r="125" spans="1:64" ht="15" customHeight="1" x14ac:dyDescent="0.25">
      <c r="A125" s="396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BC125" s="401" t="str">
        <f t="shared" si="81"/>
        <v>-</v>
      </c>
    </row>
    <row r="126" spans="1:64" ht="15" customHeight="1" thickBot="1" x14ac:dyDescent="0.3">
      <c r="A126" s="396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BC126" s="401" t="str">
        <f t="shared" si="81"/>
        <v>-</v>
      </c>
    </row>
    <row r="127" spans="1:64" ht="24.95" customHeight="1" thickBot="1" x14ac:dyDescent="0.3">
      <c r="A127" s="396"/>
      <c r="B127" s="415">
        <v>6</v>
      </c>
      <c r="C127" s="706" t="s">
        <v>118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IF(COUNTIF(F135:N150,"refused")&gt;0,"refused",IF(COUNTIF(F135:N150,"failed")&gt;0,"failed",IF(COUNTIF(F135:N150,"passed")&gt;0,"passed","-")))</f>
        <v>-</v>
      </c>
      <c r="Q127" s="399" t="s">
        <v>80</v>
      </c>
      <c r="R127" s="399" t="str">
        <f>IF(COUNT(F131:M132,F136:M137)&gt;0,"listed","not listed")</f>
        <v>not listed</v>
      </c>
      <c r="S127" s="427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  <c r="BC127" s="401" t="str">
        <f t="shared" si="81"/>
        <v>-</v>
      </c>
    </row>
    <row r="128" spans="1:64" ht="15" customHeight="1" outlineLevel="1" thickBot="1" x14ac:dyDescent="0.3">
      <c r="A128" s="396"/>
      <c r="B128" s="456"/>
      <c r="C128" s="457"/>
      <c r="D128" s="457"/>
      <c r="E128" s="457"/>
      <c r="F128" s="457"/>
      <c r="G128" s="457"/>
      <c r="H128" s="457"/>
      <c r="I128" s="457"/>
      <c r="J128" s="457"/>
      <c r="K128" s="421"/>
      <c r="L128" s="421"/>
      <c r="M128" s="421"/>
      <c r="N128" s="457"/>
      <c r="O128" s="457"/>
      <c r="P128" s="457"/>
      <c r="Q128" s="457"/>
      <c r="R128" s="457"/>
      <c r="S128" s="457"/>
      <c r="T128" s="422"/>
      <c r="U128" s="422"/>
      <c r="V128" s="423"/>
      <c r="W128" s="434"/>
      <c r="X128" s="434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  <c r="BC128" s="401" t="str">
        <f t="shared" si="81"/>
        <v>-</v>
      </c>
      <c r="BD128" s="429" t="s">
        <v>85</v>
      </c>
      <c r="BE128" s="430" t="str">
        <f>F$4</f>
        <v>NMHC 
[g/km]</v>
      </c>
      <c r="BF128" s="430" t="str">
        <f t="shared" ref="BF128:BL128" si="95">G$4</f>
        <v>THC
[g/km]</v>
      </c>
      <c r="BG128" s="430" t="str">
        <f t="shared" si="95"/>
        <v>CO
[g/km]</v>
      </c>
      <c r="BH128" s="430" t="str">
        <f t="shared" si="95"/>
        <v>NOx
[g/km]</v>
      </c>
      <c r="BI128" s="430" t="str">
        <f t="shared" si="95"/>
        <v>PM
[mg/km]</v>
      </c>
      <c r="BJ128" s="430" t="str">
        <f t="shared" si="95"/>
        <v>PN
[#/km]</v>
      </c>
      <c r="BK128" s="430" t="str">
        <f t="shared" si="95"/>
        <v>Additional
component</v>
      </c>
      <c r="BL128" s="430" t="str">
        <f t="shared" si="95"/>
        <v>Additional
component 2</v>
      </c>
    </row>
    <row r="129" spans="1:64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434"/>
      <c r="X129" s="434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BC129" s="401" t="str">
        <f t="shared" si="81"/>
        <v>-</v>
      </c>
      <c r="BD129" s="429" t="str">
        <f>$E$4</f>
        <v>Post New Long Term</v>
      </c>
      <c r="BE129" s="435">
        <v>1</v>
      </c>
      <c r="BF129" s="435">
        <v>1</v>
      </c>
      <c r="BG129" s="435">
        <v>1</v>
      </c>
      <c r="BH129" s="435">
        <v>1</v>
      </c>
      <c r="BI129" s="435">
        <v>1</v>
      </c>
      <c r="BJ129" s="435">
        <v>1</v>
      </c>
      <c r="BK129" s="435">
        <v>1</v>
      </c>
      <c r="BL129" s="435">
        <v>1</v>
      </c>
    </row>
    <row r="130" spans="1:64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tr">
        <f>F$4</f>
        <v>NMHC 
[g/km]</v>
      </c>
      <c r="G130" s="425" t="str">
        <f t="shared" ref="G130:N130" si="96">G$4</f>
        <v>THC
[g/km]</v>
      </c>
      <c r="H130" s="425" t="str">
        <f t="shared" si="96"/>
        <v>CO
[g/km]</v>
      </c>
      <c r="I130" s="425" t="str">
        <f t="shared" si="96"/>
        <v>NOx
[g/km]</v>
      </c>
      <c r="J130" s="425" t="str">
        <f t="shared" si="96"/>
        <v>PM
[mg/km]</v>
      </c>
      <c r="K130" s="425" t="str">
        <f t="shared" si="96"/>
        <v>PN
[#/km]</v>
      </c>
      <c r="L130" s="426" t="str">
        <f t="shared" si="96"/>
        <v>Additional
component</v>
      </c>
      <c r="M130" s="426" t="str">
        <f t="shared" si="96"/>
        <v>Additional
component 2</v>
      </c>
      <c r="N130" s="425" t="str">
        <f t="shared" si="96"/>
        <v>CO2
[g/km]</v>
      </c>
      <c r="O130" s="669"/>
      <c r="P130" s="670"/>
      <c r="Q130" s="670"/>
      <c r="R130" s="671"/>
      <c r="S130" s="669"/>
      <c r="T130" s="670"/>
      <c r="U130" s="670"/>
      <c r="V130" s="671"/>
      <c r="W130" s="434"/>
      <c r="X130" s="434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401" t="str">
        <f t="shared" si="81"/>
        <v>-</v>
      </c>
      <c r="BD130" s="429" t="str">
        <f>"1st " &amp;  B131</f>
        <v>1st normal</v>
      </c>
      <c r="BE130" s="435" t="str">
        <f t="shared" ref="BE130:BL130" si="97">IF((OR($C133="-",$C133="CET",$C133="")),"-",IF(AND(OR(F131="-",F131=""),OR(F132="-",F132="")),"-",IF(NOT(OR(F131="-",F131="")),F131/F$5,F132/F$5)))</f>
        <v>-</v>
      </c>
      <c r="BF130" s="435" t="str">
        <f t="shared" si="97"/>
        <v>-</v>
      </c>
      <c r="BG130" s="435" t="str">
        <f t="shared" si="97"/>
        <v>-</v>
      </c>
      <c r="BH130" s="435" t="str">
        <f t="shared" si="97"/>
        <v>-</v>
      </c>
      <c r="BI130" s="435" t="str">
        <f t="shared" si="97"/>
        <v>-</v>
      </c>
      <c r="BJ130" s="435" t="str">
        <f t="shared" si="97"/>
        <v>-</v>
      </c>
      <c r="BK130" s="435" t="str">
        <f t="shared" si="97"/>
        <v>-</v>
      </c>
      <c r="BL130" s="435" t="str">
        <f t="shared" si="97"/>
        <v>-</v>
      </c>
    </row>
    <row r="131" spans="1:64" s="405" customFormat="1" ht="15" customHeight="1" outlineLevel="1" x14ac:dyDescent="0.25">
      <c r="A131" s="439"/>
      <c r="B131" s="724" t="s">
        <v>116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  <c r="BC131" s="401" t="str">
        <f t="shared" si="81"/>
        <v>-</v>
      </c>
      <c r="BD131" s="429" t="str">
        <f>"1st " &amp; B136</f>
        <v>1st aggressive</v>
      </c>
      <c r="BE131" s="435" t="str">
        <f t="shared" ref="BE131:BL131" si="98">IF((OR($C138="-",$C138="CET",$C138="")),"-",IF(AND(OR(F136="-",F136=""),OR(F137="-",F137="")),"-",IF(NOT(OR(F136="-",F136="")),F136/F$5,F137/F$5)))</f>
        <v>-</v>
      </c>
      <c r="BF131" s="435" t="str">
        <f t="shared" si="98"/>
        <v>-</v>
      </c>
      <c r="BG131" s="435" t="str">
        <f t="shared" si="98"/>
        <v>-</v>
      </c>
      <c r="BH131" s="435" t="str">
        <f t="shared" si="98"/>
        <v>-</v>
      </c>
      <c r="BI131" s="435" t="str">
        <f t="shared" si="98"/>
        <v>-</v>
      </c>
      <c r="BJ131" s="435" t="str">
        <f t="shared" si="98"/>
        <v>-</v>
      </c>
      <c r="BK131" s="435" t="str">
        <f t="shared" si="98"/>
        <v>-</v>
      </c>
      <c r="BL131" s="435" t="str">
        <f t="shared" si="98"/>
        <v>-</v>
      </c>
    </row>
    <row r="132" spans="1:64" ht="15" customHeight="1" outlineLevel="1" thickBot="1" x14ac:dyDescent="0.3">
      <c r="A132" s="396"/>
      <c r="B132" s="725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434"/>
      <c r="X132" s="434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BC132" s="401" t="str">
        <f t="shared" si="81"/>
        <v>-</v>
      </c>
      <c r="BD132" s="429"/>
      <c r="BE132" s="435"/>
      <c r="BF132" s="435"/>
      <c r="BG132" s="435"/>
      <c r="BH132" s="435"/>
      <c r="BI132" s="435"/>
      <c r="BJ132" s="435"/>
      <c r="BK132" s="435"/>
      <c r="BL132" s="435"/>
    </row>
    <row r="133" spans="1:64" ht="15" customHeight="1" outlineLevel="1" thickBot="1" x14ac:dyDescent="0.3">
      <c r="A133" s="396"/>
      <c r="B133" s="725"/>
      <c r="C133" s="686">
        <v>2</v>
      </c>
      <c r="D133" s="689" t="str">
        <f>IF(AND(F134="-",G134="-",H134="-",I134="-",J134="-",K134="-",L134="-",M134="-"),"-",MAX(F134,G134,H134,I134,J134,K134,L134,M134))</f>
        <v>-</v>
      </c>
      <c r="E133" s="444" t="s">
        <v>96</v>
      </c>
      <c r="F133" s="445" t="str">
        <f t="shared" ref="F133:N133" si="99">IF(OR(F132="-",F132=""),IF(OR(F131="-",F131=""),"-",F131),IF(OR(F131="-",F131=""),F132,(F131+F132)/2))</f>
        <v>-</v>
      </c>
      <c r="G133" s="445" t="str">
        <f t="shared" si="99"/>
        <v>-</v>
      </c>
      <c r="H133" s="445" t="str">
        <f t="shared" si="99"/>
        <v>-</v>
      </c>
      <c r="I133" s="445" t="str">
        <f t="shared" si="99"/>
        <v>-</v>
      </c>
      <c r="J133" s="445" t="str">
        <f t="shared" si="99"/>
        <v>-</v>
      </c>
      <c r="K133" s="446" t="str">
        <f t="shared" si="99"/>
        <v>-</v>
      </c>
      <c r="L133" s="446" t="str">
        <f t="shared" si="99"/>
        <v>-</v>
      </c>
      <c r="M133" s="446" t="str">
        <f t="shared" si="99"/>
        <v>-</v>
      </c>
      <c r="N133" s="445" t="str">
        <f t="shared" si="99"/>
        <v>-</v>
      </c>
      <c r="O133" s="672"/>
      <c r="P133" s="673"/>
      <c r="Q133" s="673"/>
      <c r="R133" s="674"/>
      <c r="S133" s="672"/>
      <c r="T133" s="673"/>
      <c r="U133" s="673"/>
      <c r="V133" s="674"/>
      <c r="W133" s="434"/>
      <c r="X133" s="434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BC133" s="401" t="str">
        <f t="shared" si="81"/>
        <v>-</v>
      </c>
      <c r="BD133" s="429"/>
      <c r="BE133" s="435"/>
      <c r="BF133" s="435"/>
      <c r="BG133" s="435"/>
      <c r="BH133" s="435"/>
      <c r="BI133" s="435"/>
      <c r="BJ133" s="435"/>
      <c r="BK133" s="435"/>
      <c r="BL133" s="435"/>
    </row>
    <row r="134" spans="1:64" ht="15" customHeight="1" outlineLevel="1" thickBot="1" x14ac:dyDescent="0.3">
      <c r="A134" s="396"/>
      <c r="B134" s="725"/>
      <c r="C134" s="687"/>
      <c r="D134" s="690"/>
      <c r="E134" s="447" t="s">
        <v>97</v>
      </c>
      <c r="F134" s="448" t="str">
        <f t="shared" ref="F134:N134" si="100">IF(OR($C133="-",$C133="CET",$C133=""),"-",IF(AND(NOT(F133="-"),NOT(F$5="-"),NOT(F$5="")),F133/F$5,"-"))</f>
        <v>-</v>
      </c>
      <c r="G134" s="448" t="str">
        <f t="shared" si="100"/>
        <v>-</v>
      </c>
      <c r="H134" s="448" t="str">
        <f t="shared" si="100"/>
        <v>-</v>
      </c>
      <c r="I134" s="448" t="str">
        <f t="shared" si="100"/>
        <v>-</v>
      </c>
      <c r="J134" s="448" t="str">
        <f t="shared" si="100"/>
        <v>-</v>
      </c>
      <c r="K134" s="449" t="str">
        <f t="shared" si="100"/>
        <v>-</v>
      </c>
      <c r="L134" s="449" t="str">
        <f t="shared" si="100"/>
        <v>-</v>
      </c>
      <c r="M134" s="449" t="str">
        <f t="shared" si="100"/>
        <v>-</v>
      </c>
      <c r="N134" s="448" t="str">
        <f t="shared" si="100"/>
        <v>-</v>
      </c>
      <c r="O134" s="672"/>
      <c r="P134" s="673"/>
      <c r="Q134" s="673"/>
      <c r="R134" s="674"/>
      <c r="S134" s="672"/>
      <c r="T134" s="673"/>
      <c r="U134" s="673"/>
      <c r="V134" s="674"/>
      <c r="W134" s="434"/>
      <c r="X134" s="434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BC134" s="401" t="str">
        <f t="shared" si="81"/>
        <v>-</v>
      </c>
      <c r="BD134" s="429"/>
      <c r="BE134" s="435"/>
      <c r="BF134" s="435"/>
      <c r="BG134" s="435"/>
      <c r="BH134" s="435"/>
      <c r="BI134" s="435"/>
      <c r="BJ134" s="435"/>
      <c r="BK134" s="435"/>
      <c r="BL134" s="435"/>
    </row>
    <row r="135" spans="1:64" ht="15" customHeight="1" outlineLevel="1" thickBot="1" x14ac:dyDescent="0.3">
      <c r="A135" s="396"/>
      <c r="B135" s="726"/>
      <c r="C135" s="688"/>
      <c r="D135" s="691"/>
      <c r="E135" s="450" t="s">
        <v>30</v>
      </c>
      <c r="F135" s="451" t="str">
        <f t="shared" ref="F135:N135" si="101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101"/>
        <v>-</v>
      </c>
      <c r="H135" s="451" t="str">
        <f t="shared" si="101"/>
        <v>-</v>
      </c>
      <c r="I135" s="451" t="str">
        <f t="shared" si="101"/>
        <v>-</v>
      </c>
      <c r="J135" s="451" t="str">
        <f t="shared" si="101"/>
        <v>-</v>
      </c>
      <c r="K135" s="452" t="str">
        <f t="shared" si="101"/>
        <v>-</v>
      </c>
      <c r="L135" s="452" t="str">
        <f t="shared" si="101"/>
        <v>-</v>
      </c>
      <c r="M135" s="452" t="str">
        <f t="shared" si="101"/>
        <v>-</v>
      </c>
      <c r="N135" s="451" t="str">
        <f t="shared" si="101"/>
        <v>-</v>
      </c>
      <c r="O135" s="672"/>
      <c r="P135" s="673"/>
      <c r="Q135" s="673"/>
      <c r="R135" s="674"/>
      <c r="S135" s="672"/>
      <c r="T135" s="673"/>
      <c r="U135" s="673"/>
      <c r="V135" s="674"/>
      <c r="W135" s="434"/>
      <c r="X135" s="434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BC135" s="401" t="str">
        <f t="shared" si="81"/>
        <v>-</v>
      </c>
      <c r="BD135" s="429"/>
      <c r="BE135" s="435"/>
      <c r="BF135" s="435"/>
      <c r="BG135" s="435"/>
      <c r="BH135" s="435"/>
      <c r="BI135" s="435"/>
      <c r="BJ135" s="435"/>
      <c r="BK135" s="435"/>
      <c r="BL135" s="435"/>
    </row>
    <row r="136" spans="1:64" s="405" customFormat="1" ht="15" customHeight="1" outlineLevel="1" x14ac:dyDescent="0.25">
      <c r="A136" s="439"/>
      <c r="B136" s="724" t="s">
        <v>115</v>
      </c>
      <c r="C136" s="684" t="s">
        <v>114</v>
      </c>
      <c r="D136" s="684" t="s">
        <v>113</v>
      </c>
      <c r="E136" s="453" t="s">
        <v>94</v>
      </c>
      <c r="F136" s="473" t="s">
        <v>5</v>
      </c>
      <c r="G136" s="473" t="s">
        <v>5</v>
      </c>
      <c r="H136" s="473" t="s">
        <v>5</v>
      </c>
      <c r="I136" s="473" t="s">
        <v>5</v>
      </c>
      <c r="J136" s="473" t="s">
        <v>5</v>
      </c>
      <c r="K136" s="474" t="s">
        <v>5</v>
      </c>
      <c r="L136" s="474" t="s">
        <v>5</v>
      </c>
      <c r="M136" s="474" t="s">
        <v>5</v>
      </c>
      <c r="N136" s="473" t="s">
        <v>5</v>
      </c>
      <c r="O136" s="672"/>
      <c r="P136" s="673"/>
      <c r="Q136" s="673"/>
      <c r="R136" s="674"/>
      <c r="S136" s="672"/>
      <c r="T136" s="673"/>
      <c r="U136" s="673"/>
      <c r="V136" s="674"/>
      <c r="W136" s="443"/>
      <c r="X136" s="443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BC136" s="401" t="str">
        <f t="shared" si="81"/>
        <v>-</v>
      </c>
      <c r="BD136" s="429" t="str">
        <f>"0.7*IEF " &amp; (B131)</f>
        <v>0.7*IEF normal</v>
      </c>
      <c r="BE136" s="435">
        <f t="shared" ref="BE136:BL136" si="102">IF(OR($C133="-",$C133="CET",$C133=""),"-",0.7*$C133)</f>
        <v>1.4</v>
      </c>
      <c r="BF136" s="435">
        <f t="shared" si="102"/>
        <v>1.4</v>
      </c>
      <c r="BG136" s="435">
        <f t="shared" si="102"/>
        <v>1.4</v>
      </c>
      <c r="BH136" s="435">
        <f t="shared" si="102"/>
        <v>1.4</v>
      </c>
      <c r="BI136" s="435">
        <f t="shared" si="102"/>
        <v>1.4</v>
      </c>
      <c r="BJ136" s="435">
        <f t="shared" si="102"/>
        <v>1.4</v>
      </c>
      <c r="BK136" s="435">
        <f t="shared" si="102"/>
        <v>1.4</v>
      </c>
      <c r="BL136" s="435">
        <f t="shared" si="102"/>
        <v>1.4</v>
      </c>
    </row>
    <row r="137" spans="1:64" ht="15" customHeight="1" outlineLevel="1" thickBot="1" x14ac:dyDescent="0.3">
      <c r="A137" s="396"/>
      <c r="B137" s="725"/>
      <c r="C137" s="702"/>
      <c r="D137" s="685"/>
      <c r="E137" s="440" t="s">
        <v>95</v>
      </c>
      <c r="F137" s="475" t="s">
        <v>5</v>
      </c>
      <c r="G137" s="475" t="s">
        <v>5</v>
      </c>
      <c r="H137" s="475" t="s">
        <v>5</v>
      </c>
      <c r="I137" s="475" t="s">
        <v>5</v>
      </c>
      <c r="J137" s="475" t="s">
        <v>5</v>
      </c>
      <c r="K137" s="476" t="s">
        <v>5</v>
      </c>
      <c r="L137" s="476" t="s">
        <v>5</v>
      </c>
      <c r="M137" s="476" t="s">
        <v>5</v>
      </c>
      <c r="N137" s="475" t="s">
        <v>5</v>
      </c>
      <c r="O137" s="672"/>
      <c r="P137" s="673"/>
      <c r="Q137" s="673"/>
      <c r="R137" s="674"/>
      <c r="S137" s="672"/>
      <c r="T137" s="673"/>
      <c r="U137" s="673"/>
      <c r="V137" s="674"/>
      <c r="W137" s="434"/>
      <c r="X137" s="434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BC137" s="401" t="str">
        <f t="shared" si="81"/>
        <v>-</v>
      </c>
      <c r="BD137" s="429" t="str">
        <f>"0.7*IEF " &amp; B136</f>
        <v>0.7*IEF aggressive</v>
      </c>
      <c r="BE137" s="435">
        <f t="shared" ref="BE137:BL137" si="103">IF(OR($C138="-",$C138="CET",$C138=""),"-",0.7*$C138)</f>
        <v>2.8</v>
      </c>
      <c r="BF137" s="435">
        <f t="shared" si="103"/>
        <v>2.8</v>
      </c>
      <c r="BG137" s="435">
        <f t="shared" si="103"/>
        <v>2.8</v>
      </c>
      <c r="BH137" s="435">
        <f t="shared" si="103"/>
        <v>2.8</v>
      </c>
      <c r="BI137" s="435">
        <f t="shared" si="103"/>
        <v>2.8</v>
      </c>
      <c r="BJ137" s="435">
        <f t="shared" si="103"/>
        <v>2.8</v>
      </c>
      <c r="BK137" s="435">
        <f t="shared" si="103"/>
        <v>2.8</v>
      </c>
      <c r="BL137" s="435">
        <f t="shared" si="103"/>
        <v>2.8</v>
      </c>
    </row>
    <row r="138" spans="1:64" ht="15" customHeight="1" outlineLevel="1" thickBot="1" x14ac:dyDescent="0.3">
      <c r="A138" s="396"/>
      <c r="B138" s="725"/>
      <c r="C138" s="686">
        <v>4</v>
      </c>
      <c r="D138" s="689" t="str">
        <f>IF(AND(F139="-",G139="-",H139="-",I139="-",J139="-",K139="-",L139="-",M139="-"),"-",MAX(F139,G139,H139,I139,J139,K139,L139,M139))</f>
        <v>-</v>
      </c>
      <c r="E138" s="444" t="s">
        <v>96</v>
      </c>
      <c r="F138" s="445" t="str">
        <f t="shared" ref="F138:N138" si="104">IF(OR(F137="-",F137=""),IF(OR(F136="-",F136=""),"-",F136),IF(OR(F136="-",F136=""),F137,(F136+F137)/2))</f>
        <v>-</v>
      </c>
      <c r="G138" s="445" t="str">
        <f t="shared" si="104"/>
        <v>-</v>
      </c>
      <c r="H138" s="445" t="str">
        <f t="shared" si="104"/>
        <v>-</v>
      </c>
      <c r="I138" s="445" t="str">
        <f t="shared" si="104"/>
        <v>-</v>
      </c>
      <c r="J138" s="445" t="str">
        <f t="shared" si="104"/>
        <v>-</v>
      </c>
      <c r="K138" s="446" t="str">
        <f t="shared" si="104"/>
        <v>-</v>
      </c>
      <c r="L138" s="446" t="str">
        <f t="shared" si="104"/>
        <v>-</v>
      </c>
      <c r="M138" s="446" t="str">
        <f t="shared" si="104"/>
        <v>-</v>
      </c>
      <c r="N138" s="445" t="str">
        <f t="shared" si="104"/>
        <v>-</v>
      </c>
      <c r="O138" s="672"/>
      <c r="P138" s="673"/>
      <c r="Q138" s="673"/>
      <c r="R138" s="674"/>
      <c r="S138" s="672"/>
      <c r="T138" s="673"/>
      <c r="U138" s="673"/>
      <c r="V138" s="674"/>
      <c r="W138" s="434"/>
      <c r="X138" s="434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BC138" s="401" t="str">
        <f t="shared" si="81"/>
        <v>-</v>
      </c>
      <c r="BD138" s="429"/>
      <c r="BE138" s="435"/>
      <c r="BF138" s="435"/>
      <c r="BG138" s="435"/>
      <c r="BH138" s="435"/>
      <c r="BI138" s="435"/>
      <c r="BJ138" s="435"/>
      <c r="BK138" s="435"/>
      <c r="BL138" s="435"/>
    </row>
    <row r="139" spans="1:64" ht="15" customHeight="1" outlineLevel="1" thickBot="1" x14ac:dyDescent="0.3">
      <c r="A139" s="404"/>
      <c r="B139" s="725"/>
      <c r="C139" s="687"/>
      <c r="D139" s="690"/>
      <c r="E139" s="447" t="s">
        <v>97</v>
      </c>
      <c r="F139" s="448" t="str">
        <f t="shared" ref="F139:N139" si="105">IF(OR($C138="-",$C138="CET",$C138=""),"-",IF(AND(NOT(F138="-"),NOT(F$5="-"),NOT(F$5="")),F138/F$5,"-"))</f>
        <v>-</v>
      </c>
      <c r="G139" s="448" t="str">
        <f t="shared" si="105"/>
        <v>-</v>
      </c>
      <c r="H139" s="448" t="str">
        <f t="shared" si="105"/>
        <v>-</v>
      </c>
      <c r="I139" s="448" t="str">
        <f t="shared" si="105"/>
        <v>-</v>
      </c>
      <c r="J139" s="448" t="str">
        <f t="shared" si="105"/>
        <v>-</v>
      </c>
      <c r="K139" s="449" t="str">
        <f t="shared" si="105"/>
        <v>-</v>
      </c>
      <c r="L139" s="449" t="str">
        <f t="shared" si="105"/>
        <v>-</v>
      </c>
      <c r="M139" s="449" t="str">
        <f t="shared" si="105"/>
        <v>-</v>
      </c>
      <c r="N139" s="448" t="str">
        <f t="shared" si="105"/>
        <v>-</v>
      </c>
      <c r="O139" s="672"/>
      <c r="P139" s="673"/>
      <c r="Q139" s="673"/>
      <c r="R139" s="674"/>
      <c r="S139" s="672"/>
      <c r="T139" s="673"/>
      <c r="U139" s="673"/>
      <c r="V139" s="674"/>
      <c r="W139" s="434"/>
      <c r="X139" s="434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BC139" s="401" t="str">
        <f t="shared" si="81"/>
        <v>-</v>
      </c>
      <c r="BD139" s="429"/>
      <c r="BE139" s="435"/>
      <c r="BF139" s="435"/>
      <c r="BG139" s="435"/>
      <c r="BH139" s="435"/>
      <c r="BI139" s="435"/>
      <c r="BJ139" s="435"/>
      <c r="BK139" s="435"/>
      <c r="BL139" s="435"/>
    </row>
    <row r="140" spans="1:64" ht="15" customHeight="1" outlineLevel="1" thickBot="1" x14ac:dyDescent="0.3">
      <c r="A140" s="404"/>
      <c r="B140" s="726"/>
      <c r="C140" s="688"/>
      <c r="D140" s="691"/>
      <c r="E140" s="451" t="s">
        <v>30</v>
      </c>
      <c r="F140" s="451" t="str">
        <f t="shared" ref="F140:N140" si="106">IF(AND(OR(F136="-",F136=""),OR(F137="-",F137="")),"-",IF(OR($C138="-",$C138="",$C138="CET"),"-",IF($R$127="not listed","-",IF(NOT(F$5="-"),IF(AND(AND(NOT(F136=0),NOT(F136="-"),NOT(F136="")),AND(NOT(F137="-"),NOT(F137=0),NOT(F137=""))),IF(AND((F136+F137)/2&lt;1*F$5*IF(OR($C138="CET",$C138="-",$C138=""),"-",$C138),F136&lt;1.1*F$5*IF(OR($C138="CET",$C138="-",$C138=""),"-",$C138),F137&lt;1.1*F$5*IF(OR($C138="CET",$C138="-",$C138=""),"-",$C138)),"passed","refused"),IF(IF(OR(F136="-",F136=""),F137,F136)&lt;0.7*F$5*IF(OR($C138="CET",$C138="-",$C138=""),"-",$C138),"passed",IF(IF(OR(F136="-",F136=""),F137,F136)&lt;1.1*IF(OR($C138="CET",$C138="-",$C138=""),"-",$C138)*F$5,"failed","refused"))),"-"))))</f>
        <v>-</v>
      </c>
      <c r="G140" s="451" t="str">
        <f t="shared" si="106"/>
        <v>-</v>
      </c>
      <c r="H140" s="451" t="str">
        <f t="shared" si="106"/>
        <v>-</v>
      </c>
      <c r="I140" s="451" t="str">
        <f t="shared" si="106"/>
        <v>-</v>
      </c>
      <c r="J140" s="451" t="str">
        <f t="shared" si="106"/>
        <v>-</v>
      </c>
      <c r="K140" s="452" t="str">
        <f t="shared" si="106"/>
        <v>-</v>
      </c>
      <c r="L140" s="452" t="str">
        <f t="shared" si="106"/>
        <v>-</v>
      </c>
      <c r="M140" s="452" t="str">
        <f t="shared" si="106"/>
        <v>-</v>
      </c>
      <c r="N140" s="451" t="str">
        <f t="shared" si="106"/>
        <v>-</v>
      </c>
      <c r="O140" s="672"/>
      <c r="P140" s="673"/>
      <c r="Q140" s="673"/>
      <c r="R140" s="674"/>
      <c r="S140" s="672"/>
      <c r="T140" s="673"/>
      <c r="U140" s="673"/>
      <c r="V140" s="674"/>
      <c r="W140" s="434"/>
      <c r="X140" s="434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BC140" s="401" t="str">
        <f t="shared" si="81"/>
        <v>-</v>
      </c>
      <c r="BD140" s="429"/>
      <c r="BE140" s="435"/>
      <c r="BF140" s="435"/>
      <c r="BG140" s="435"/>
      <c r="BH140" s="435"/>
      <c r="BI140" s="435"/>
      <c r="BJ140" s="435"/>
      <c r="BK140" s="435"/>
      <c r="BL140" s="435"/>
    </row>
    <row r="141" spans="1:64" s="405" customFormat="1" ht="15" customHeight="1" outlineLevel="1" x14ac:dyDescent="0.25">
      <c r="A141" s="454"/>
      <c r="B141" s="478"/>
      <c r="C141" s="479"/>
      <c r="D141" s="479"/>
      <c r="E141" s="480"/>
      <c r="F141" s="481"/>
      <c r="G141" s="481"/>
      <c r="H141" s="481"/>
      <c r="I141" s="481"/>
      <c r="J141" s="481"/>
      <c r="K141" s="482"/>
      <c r="L141" s="482"/>
      <c r="M141" s="482"/>
      <c r="N141" s="483"/>
      <c r="O141" s="672"/>
      <c r="P141" s="673"/>
      <c r="Q141" s="673"/>
      <c r="R141" s="674"/>
      <c r="S141" s="672"/>
      <c r="T141" s="673"/>
      <c r="U141" s="673"/>
      <c r="V141" s="674"/>
      <c r="W141" s="443"/>
      <c r="X141" s="443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BC141" s="401" t="str">
        <f t="shared" si="81"/>
        <v>-</v>
      </c>
      <c r="BD141" s="429"/>
      <c r="BE141" s="435"/>
      <c r="BF141" s="435"/>
      <c r="BG141" s="435"/>
      <c r="BH141" s="435"/>
      <c r="BI141" s="435"/>
      <c r="BJ141" s="435"/>
      <c r="BK141" s="435"/>
      <c r="BL141" s="435"/>
    </row>
    <row r="142" spans="1:64" ht="15" customHeight="1" outlineLevel="1" x14ac:dyDescent="0.25">
      <c r="A142" s="404"/>
      <c r="B142" s="484"/>
      <c r="C142" s="485"/>
      <c r="D142" s="485"/>
      <c r="E142" s="486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434"/>
      <c r="X142" s="434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BC142" s="401" t="str">
        <f t="shared" si="81"/>
        <v>-</v>
      </c>
      <c r="BD142" s="429" t="str">
        <f>$B131</f>
        <v>normal</v>
      </c>
      <c r="BE142" s="435" t="str">
        <f t="shared" ref="BE142:BL142" si="107">F134</f>
        <v>-</v>
      </c>
      <c r="BF142" s="435" t="str">
        <f t="shared" si="107"/>
        <v>-</v>
      </c>
      <c r="BG142" s="435" t="str">
        <f t="shared" si="107"/>
        <v>-</v>
      </c>
      <c r="BH142" s="435" t="str">
        <f t="shared" si="107"/>
        <v>-</v>
      </c>
      <c r="BI142" s="435" t="str">
        <f t="shared" si="107"/>
        <v>-</v>
      </c>
      <c r="BJ142" s="435" t="str">
        <f t="shared" si="107"/>
        <v>-</v>
      </c>
      <c r="BK142" s="435" t="str">
        <f t="shared" si="107"/>
        <v>-</v>
      </c>
      <c r="BL142" s="435" t="str">
        <f t="shared" si="107"/>
        <v>-</v>
      </c>
    </row>
    <row r="143" spans="1:64" ht="15" customHeight="1" outlineLevel="1" x14ac:dyDescent="0.25">
      <c r="A143" s="404"/>
      <c r="B143" s="484"/>
      <c r="C143" s="487"/>
      <c r="D143" s="488"/>
      <c r="E143" s="489"/>
      <c r="F143" s="489"/>
      <c r="G143" s="489"/>
      <c r="H143" s="489"/>
      <c r="I143" s="489"/>
      <c r="J143" s="489"/>
      <c r="K143" s="490"/>
      <c r="L143" s="490"/>
      <c r="M143" s="490"/>
      <c r="N143" s="491"/>
      <c r="O143" s="672"/>
      <c r="P143" s="673"/>
      <c r="Q143" s="673"/>
      <c r="R143" s="674"/>
      <c r="S143" s="672"/>
      <c r="T143" s="673"/>
      <c r="U143" s="673"/>
      <c r="V143" s="674"/>
      <c r="W143" s="434"/>
      <c r="X143" s="434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BC143" s="401" t="str">
        <f t="shared" si="81"/>
        <v>-</v>
      </c>
      <c r="BD143" s="429" t="str">
        <f>$B136</f>
        <v>aggressive</v>
      </c>
      <c r="BE143" s="435" t="str">
        <f t="shared" ref="BE143:BL143" si="108">F139</f>
        <v>-</v>
      </c>
      <c r="BF143" s="435" t="str">
        <f t="shared" si="108"/>
        <v>-</v>
      </c>
      <c r="BG143" s="435" t="str">
        <f t="shared" si="108"/>
        <v>-</v>
      </c>
      <c r="BH143" s="435" t="str">
        <f t="shared" si="108"/>
        <v>-</v>
      </c>
      <c r="BI143" s="435" t="str">
        <f t="shared" si="108"/>
        <v>-</v>
      </c>
      <c r="BJ143" s="435" t="str">
        <f t="shared" si="108"/>
        <v>-</v>
      </c>
      <c r="BK143" s="435" t="str">
        <f t="shared" si="108"/>
        <v>-</v>
      </c>
      <c r="BL143" s="435" t="str">
        <f t="shared" si="108"/>
        <v>-</v>
      </c>
    </row>
    <row r="144" spans="1:64" ht="15" customHeight="1" outlineLevel="1" x14ac:dyDescent="0.25">
      <c r="A144" s="404"/>
      <c r="B144" s="484"/>
      <c r="C144" s="487"/>
      <c r="D144" s="488"/>
      <c r="E144" s="486"/>
      <c r="F144" s="492"/>
      <c r="G144" s="492"/>
      <c r="H144" s="492"/>
      <c r="I144" s="492"/>
      <c r="J144" s="492"/>
      <c r="K144" s="490"/>
      <c r="L144" s="490"/>
      <c r="M144" s="490"/>
      <c r="N144" s="493"/>
      <c r="O144" s="672"/>
      <c r="P144" s="673"/>
      <c r="Q144" s="673"/>
      <c r="R144" s="674"/>
      <c r="S144" s="672"/>
      <c r="T144" s="673"/>
      <c r="U144" s="673"/>
      <c r="V144" s="674"/>
      <c r="W144" s="434"/>
      <c r="X144" s="434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BC144" s="401" t="str">
        <f t="shared" si="81"/>
        <v>-</v>
      </c>
      <c r="BD144" s="429"/>
      <c r="BE144" s="435"/>
      <c r="BF144" s="435"/>
      <c r="BG144" s="435"/>
      <c r="BH144" s="435"/>
      <c r="BI144" s="435"/>
      <c r="BJ144" s="435"/>
      <c r="BK144" s="435"/>
      <c r="BL144" s="435"/>
    </row>
    <row r="145" spans="1:64" ht="15" customHeight="1" outlineLevel="1" x14ac:dyDescent="0.25">
      <c r="A145" s="404"/>
      <c r="B145" s="484"/>
      <c r="C145" s="487"/>
      <c r="D145" s="488"/>
      <c r="E145" s="486"/>
      <c r="F145" s="486"/>
      <c r="G145" s="486"/>
      <c r="H145" s="486"/>
      <c r="I145" s="486"/>
      <c r="J145" s="486"/>
      <c r="K145" s="490"/>
      <c r="L145" s="490"/>
      <c r="M145" s="490"/>
      <c r="N145" s="494"/>
      <c r="O145" s="672"/>
      <c r="P145" s="673"/>
      <c r="Q145" s="673"/>
      <c r="R145" s="674"/>
      <c r="S145" s="672"/>
      <c r="T145" s="673"/>
      <c r="U145" s="673"/>
      <c r="V145" s="674"/>
      <c r="W145" s="434"/>
      <c r="X145" s="434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BC145" s="401" t="str">
        <f t="shared" si="81"/>
        <v>-</v>
      </c>
      <c r="BD145" s="429"/>
      <c r="BE145" s="435"/>
      <c r="BF145" s="435"/>
      <c r="BG145" s="435"/>
      <c r="BH145" s="435"/>
      <c r="BI145" s="435"/>
      <c r="BJ145" s="435"/>
      <c r="BK145" s="435"/>
      <c r="BL145" s="435"/>
    </row>
    <row r="146" spans="1:64" s="405" customFormat="1" ht="15" customHeight="1" outlineLevel="1" x14ac:dyDescent="0.25">
      <c r="A146" s="454"/>
      <c r="B146" s="484"/>
      <c r="C146" s="485"/>
      <c r="D146" s="485"/>
      <c r="E146" s="486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443"/>
      <c r="X146" s="443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BC146" s="401" t="str">
        <f t="shared" ref="BC146:BC187" si="109">IF(COUNTIF(F146:M146,"refused")&gt;0,"refused",IF(COUNTIF(F146:M146,"failed")&gt;0,"failed",IF(COUNTIF(F146:M146,"passed")&gt;0,"passed","-")))</f>
        <v>-</v>
      </c>
      <c r="BD146" s="429"/>
      <c r="BE146" s="435"/>
      <c r="BF146" s="435"/>
      <c r="BG146" s="435"/>
      <c r="BH146" s="435"/>
      <c r="BI146" s="435"/>
      <c r="BJ146" s="435"/>
      <c r="BK146" s="435"/>
      <c r="BL146" s="435"/>
    </row>
    <row r="147" spans="1:64" ht="15" customHeight="1" outlineLevel="1" x14ac:dyDescent="0.25">
      <c r="A147" s="404"/>
      <c r="B147" s="484"/>
      <c r="C147" s="485"/>
      <c r="D147" s="485"/>
      <c r="E147" s="486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434"/>
      <c r="X147" s="434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BC147" s="401" t="str">
        <f t="shared" si="109"/>
        <v>-</v>
      </c>
      <c r="BD147" s="429"/>
      <c r="BE147" s="435"/>
      <c r="BF147" s="435"/>
      <c r="BG147" s="435"/>
      <c r="BH147" s="435"/>
      <c r="BI147" s="435"/>
      <c r="BJ147" s="435"/>
      <c r="BK147" s="435"/>
      <c r="BL147" s="435"/>
    </row>
    <row r="148" spans="1:64" ht="15" customHeight="1" outlineLevel="1" x14ac:dyDescent="0.25">
      <c r="A148" s="404"/>
      <c r="B148" s="484"/>
      <c r="C148" s="487"/>
      <c r="D148" s="488"/>
      <c r="E148" s="489"/>
      <c r="F148" s="489"/>
      <c r="G148" s="489"/>
      <c r="H148" s="489"/>
      <c r="I148" s="489"/>
      <c r="J148" s="489"/>
      <c r="K148" s="490"/>
      <c r="L148" s="490"/>
      <c r="M148" s="490"/>
      <c r="N148" s="491"/>
      <c r="O148" s="672"/>
      <c r="P148" s="673"/>
      <c r="Q148" s="673"/>
      <c r="R148" s="674"/>
      <c r="S148" s="672"/>
      <c r="T148" s="673"/>
      <c r="U148" s="673"/>
      <c r="V148" s="674"/>
      <c r="W148" s="434"/>
      <c r="X148" s="434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BC148" s="401" t="str">
        <f t="shared" si="109"/>
        <v>-</v>
      </c>
      <c r="BD148" s="429" t="str">
        <f>"IEF " &amp;B131</f>
        <v>IEF normal</v>
      </c>
      <c r="BE148" s="435">
        <f t="shared" ref="BE148:BL148" si="110">IF(OR($C133="-",$C133="CET",$C133=""),"-",$C133)</f>
        <v>2</v>
      </c>
      <c r="BF148" s="435">
        <f t="shared" si="110"/>
        <v>2</v>
      </c>
      <c r="BG148" s="435">
        <f t="shared" si="110"/>
        <v>2</v>
      </c>
      <c r="BH148" s="435">
        <f t="shared" si="110"/>
        <v>2</v>
      </c>
      <c r="BI148" s="435">
        <f t="shared" si="110"/>
        <v>2</v>
      </c>
      <c r="BJ148" s="435">
        <f t="shared" si="110"/>
        <v>2</v>
      </c>
      <c r="BK148" s="435">
        <f t="shared" si="110"/>
        <v>2</v>
      </c>
      <c r="BL148" s="435">
        <f t="shared" si="110"/>
        <v>2</v>
      </c>
    </row>
    <row r="149" spans="1:64" ht="15" customHeight="1" outlineLevel="1" x14ac:dyDescent="0.25">
      <c r="A149" s="404"/>
      <c r="B149" s="484"/>
      <c r="C149" s="487"/>
      <c r="D149" s="488"/>
      <c r="E149" s="486"/>
      <c r="F149" s="492"/>
      <c r="G149" s="492"/>
      <c r="H149" s="492"/>
      <c r="I149" s="492"/>
      <c r="J149" s="492"/>
      <c r="K149" s="490"/>
      <c r="L149" s="490"/>
      <c r="M149" s="490"/>
      <c r="N149" s="493"/>
      <c r="O149" s="672"/>
      <c r="P149" s="673"/>
      <c r="Q149" s="673"/>
      <c r="R149" s="674"/>
      <c r="S149" s="672"/>
      <c r="T149" s="673"/>
      <c r="U149" s="673"/>
      <c r="V149" s="674"/>
      <c r="W149" s="434"/>
      <c r="X149" s="434"/>
      <c r="Y149" s="678"/>
      <c r="Z149" s="678"/>
      <c r="AA149" s="678"/>
      <c r="AB149" s="678"/>
      <c r="AC149" s="678"/>
      <c r="AD149" s="678"/>
      <c r="AE149" s="678"/>
      <c r="AF149" s="678"/>
      <c r="AG149" s="678"/>
      <c r="AH149" s="678"/>
      <c r="BC149" s="401" t="str">
        <f t="shared" si="109"/>
        <v>-</v>
      </c>
      <c r="BD149" s="429" t="str">
        <f>"IEF " &amp; B136</f>
        <v>IEF aggressive</v>
      </c>
      <c r="BE149" s="435">
        <f t="shared" ref="BE149:BL149" si="111">IF(OR($C138="-",$C138="CET",$C138=""),"-",$C138)</f>
        <v>4</v>
      </c>
      <c r="BF149" s="435">
        <f t="shared" si="111"/>
        <v>4</v>
      </c>
      <c r="BG149" s="435">
        <f t="shared" si="111"/>
        <v>4</v>
      </c>
      <c r="BH149" s="435">
        <f t="shared" si="111"/>
        <v>4</v>
      </c>
      <c r="BI149" s="435">
        <f t="shared" si="111"/>
        <v>4</v>
      </c>
      <c r="BJ149" s="435">
        <f t="shared" si="111"/>
        <v>4</v>
      </c>
      <c r="BK149" s="435">
        <f t="shared" si="111"/>
        <v>4</v>
      </c>
      <c r="BL149" s="435">
        <f t="shared" si="111"/>
        <v>4</v>
      </c>
    </row>
    <row r="150" spans="1:64" ht="15" customHeight="1" outlineLevel="1" thickBot="1" x14ac:dyDescent="0.3">
      <c r="A150" s="404"/>
      <c r="B150" s="495"/>
      <c r="C150" s="496"/>
      <c r="D150" s="497"/>
      <c r="E150" s="498"/>
      <c r="F150" s="498"/>
      <c r="G150" s="498"/>
      <c r="H150" s="498"/>
      <c r="I150" s="498"/>
      <c r="J150" s="498"/>
      <c r="K150" s="499"/>
      <c r="L150" s="499"/>
      <c r="M150" s="499"/>
      <c r="N150" s="500"/>
      <c r="O150" s="675"/>
      <c r="P150" s="676"/>
      <c r="Q150" s="676"/>
      <c r="R150" s="677"/>
      <c r="S150" s="675"/>
      <c r="T150" s="676"/>
      <c r="U150" s="676"/>
      <c r="V150" s="677"/>
      <c r="W150" s="434"/>
      <c r="X150" s="434"/>
      <c r="Y150" s="678"/>
      <c r="Z150" s="678"/>
      <c r="AA150" s="678"/>
      <c r="AB150" s="678"/>
      <c r="AC150" s="678"/>
      <c r="AD150" s="678"/>
      <c r="AE150" s="678"/>
      <c r="AF150" s="678"/>
      <c r="AG150" s="678"/>
      <c r="AH150" s="678"/>
      <c r="BC150" s="401" t="str">
        <f t="shared" si="109"/>
        <v>-</v>
      </c>
      <c r="BD150" s="459"/>
      <c r="BE150" s="459"/>
      <c r="BF150" s="459"/>
      <c r="BG150" s="459"/>
      <c r="BH150" s="459"/>
      <c r="BI150" s="459"/>
      <c r="BJ150" s="459"/>
      <c r="BK150" s="459"/>
      <c r="BL150" s="459"/>
    </row>
    <row r="151" spans="1:64" s="405" customFormat="1" ht="15" customHeight="1" x14ac:dyDescent="0.25">
      <c r="A151" s="454"/>
      <c r="B151" s="501"/>
      <c r="C151" s="485"/>
      <c r="D151" s="485"/>
      <c r="E151" s="486"/>
      <c r="F151" s="463"/>
      <c r="G151" s="463"/>
      <c r="H151" s="463"/>
      <c r="I151" s="463"/>
      <c r="J151" s="463"/>
      <c r="K151" s="464"/>
      <c r="L151" s="464"/>
      <c r="M151" s="464"/>
      <c r="N151" s="463"/>
      <c r="O151" s="403"/>
      <c r="P151" s="403"/>
      <c r="Q151" s="403"/>
      <c r="R151" s="403"/>
      <c r="S151" s="403"/>
      <c r="T151" s="403"/>
      <c r="U151" s="403"/>
      <c r="V151" s="403"/>
      <c r="W151" s="443"/>
      <c r="X151" s="443"/>
      <c r="Y151" s="678"/>
      <c r="Z151" s="678"/>
      <c r="AA151" s="678"/>
      <c r="AB151" s="678"/>
      <c r="AC151" s="678"/>
      <c r="AD151" s="678"/>
      <c r="AE151" s="678"/>
      <c r="AF151" s="678"/>
      <c r="AG151" s="678"/>
      <c r="AH151" s="678"/>
      <c r="BC151" s="401" t="str">
        <f t="shared" si="109"/>
        <v>-</v>
      </c>
      <c r="BD151" s="459"/>
      <c r="BE151" s="459"/>
      <c r="BF151" s="459"/>
      <c r="BG151" s="459"/>
      <c r="BH151" s="459"/>
      <c r="BI151" s="459"/>
      <c r="BJ151" s="459"/>
      <c r="BK151" s="459"/>
      <c r="BL151" s="459"/>
    </row>
    <row r="152" spans="1:64" ht="15" customHeight="1" x14ac:dyDescent="0.25">
      <c r="A152" s="404"/>
      <c r="B152" s="501"/>
      <c r="C152" s="485"/>
      <c r="D152" s="485"/>
      <c r="E152" s="486"/>
      <c r="F152" s="463"/>
      <c r="G152" s="463"/>
      <c r="H152" s="463"/>
      <c r="I152" s="463"/>
      <c r="J152" s="463"/>
      <c r="K152" s="464"/>
      <c r="L152" s="464"/>
      <c r="M152" s="464"/>
      <c r="N152" s="463"/>
      <c r="O152" s="403"/>
      <c r="P152" s="403"/>
      <c r="Q152" s="403"/>
      <c r="R152" s="403"/>
      <c r="S152" s="403"/>
      <c r="T152" s="403"/>
      <c r="U152" s="403"/>
      <c r="V152" s="403"/>
      <c r="W152" s="434"/>
      <c r="X152" s="434"/>
      <c r="Y152" s="678"/>
      <c r="Z152" s="678"/>
      <c r="AA152" s="678"/>
      <c r="AB152" s="678"/>
      <c r="AC152" s="678"/>
      <c r="AD152" s="678"/>
      <c r="AE152" s="678"/>
      <c r="AF152" s="678"/>
      <c r="AG152" s="678"/>
      <c r="AH152" s="678"/>
      <c r="BC152" s="401" t="str">
        <f t="shared" si="109"/>
        <v>-</v>
      </c>
      <c r="BD152" s="459"/>
      <c r="BE152" s="459"/>
      <c r="BF152" s="459"/>
      <c r="BG152" s="459"/>
      <c r="BH152" s="459"/>
      <c r="BI152" s="459"/>
      <c r="BJ152" s="459"/>
      <c r="BK152" s="459"/>
      <c r="BL152" s="459"/>
    </row>
    <row r="153" spans="1:64" ht="15" customHeight="1" thickBot="1" x14ac:dyDescent="0.3">
      <c r="A153" s="404"/>
      <c r="B153" s="501"/>
      <c r="C153" s="487"/>
      <c r="D153" s="488"/>
      <c r="E153" s="489"/>
      <c r="F153" s="489"/>
      <c r="G153" s="489"/>
      <c r="H153" s="489"/>
      <c r="I153" s="489"/>
      <c r="J153" s="489"/>
      <c r="K153" s="490"/>
      <c r="L153" s="490"/>
      <c r="M153" s="490"/>
      <c r="N153" s="489"/>
      <c r="O153" s="403"/>
      <c r="P153" s="403"/>
      <c r="Q153" s="403"/>
      <c r="R153" s="403"/>
      <c r="S153" s="403"/>
      <c r="T153" s="403"/>
      <c r="U153" s="403"/>
      <c r="V153" s="403"/>
      <c r="W153" s="434"/>
      <c r="X153" s="434"/>
      <c r="Y153" s="678"/>
      <c r="Z153" s="678"/>
      <c r="AA153" s="678"/>
      <c r="AB153" s="678"/>
      <c r="AC153" s="678"/>
      <c r="AD153" s="678"/>
      <c r="AE153" s="678"/>
      <c r="AF153" s="678"/>
      <c r="AG153" s="678"/>
      <c r="AH153" s="678"/>
      <c r="BC153" s="401" t="str">
        <f t="shared" si="109"/>
        <v>-</v>
      </c>
      <c r="BD153" s="459"/>
      <c r="BE153" s="459"/>
      <c r="BF153" s="459"/>
      <c r="BG153" s="459"/>
      <c r="BH153" s="459"/>
      <c r="BI153" s="459"/>
      <c r="BJ153" s="459"/>
      <c r="BK153" s="459"/>
      <c r="BL153" s="459"/>
    </row>
    <row r="154" spans="1:64" ht="24.95" customHeight="1" thickBot="1" x14ac:dyDescent="0.3">
      <c r="A154" s="396"/>
      <c r="B154" s="415">
        <v>7</v>
      </c>
      <c r="C154" s="706" t="s">
        <v>52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79</v>
      </c>
      <c r="P154" s="398" t="str">
        <f>IF(COUNTIF(F162:N187,"refused")&gt;0,"refused",IF(COUNTIF(F162:N187,"failed")&gt;0,"failed",IF(COUNTIF(F162:N187,"passed")&gt;0,"passed","-")))</f>
        <v>-</v>
      </c>
      <c r="Q154" s="399" t="s">
        <v>80</v>
      </c>
      <c r="R154" s="399" t="str">
        <f>IF(COUNT(F158:M159,F163:M164,F168:M169,F173:M174,F178:M179,F183:M184)&gt;0,"listed","not listed")</f>
        <v>not listed</v>
      </c>
      <c r="S154" s="502">
        <f>MAX(D160,D165,D170,D175,D180,D185)</f>
        <v>0</v>
      </c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BC154" s="401" t="str">
        <f t="shared" si="109"/>
        <v>-</v>
      </c>
    </row>
    <row r="155" spans="1:64" ht="15" customHeight="1" outlineLevel="1" thickBot="1" x14ac:dyDescent="0.3">
      <c r="A155" s="396"/>
      <c r="B155" s="456"/>
      <c r="C155" s="457"/>
      <c r="D155" s="457"/>
      <c r="E155" s="457"/>
      <c r="F155" s="457"/>
      <c r="G155" s="457"/>
      <c r="H155" s="457"/>
      <c r="I155" s="457"/>
      <c r="J155" s="457"/>
      <c r="K155" s="421"/>
      <c r="L155" s="421"/>
      <c r="M155" s="421"/>
      <c r="N155" s="457"/>
      <c r="O155" s="457"/>
      <c r="P155" s="457"/>
      <c r="Q155" s="457"/>
      <c r="R155" s="457"/>
      <c r="S155" s="457"/>
      <c r="T155" s="422"/>
      <c r="U155" s="422"/>
      <c r="V155" s="423"/>
      <c r="W155" s="434"/>
      <c r="X155" s="434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BC155" s="401" t="str">
        <f t="shared" si="109"/>
        <v>-</v>
      </c>
      <c r="BD155" s="429" t="s">
        <v>85</v>
      </c>
      <c r="BE155" s="430" t="str">
        <f>F$4</f>
        <v>NMHC 
[g/km]</v>
      </c>
      <c r="BF155" s="430" t="str">
        <f t="shared" ref="BF155:BL155" si="112">G$4</f>
        <v>THC
[g/km]</v>
      </c>
      <c r="BG155" s="430" t="str">
        <f t="shared" si="112"/>
        <v>CO
[g/km]</v>
      </c>
      <c r="BH155" s="430" t="str">
        <f t="shared" si="112"/>
        <v>NOx
[g/km]</v>
      </c>
      <c r="BI155" s="430" t="str">
        <f t="shared" si="112"/>
        <v>PM
[mg/km]</v>
      </c>
      <c r="BJ155" s="430" t="str">
        <f t="shared" si="112"/>
        <v>PN
[#/km]</v>
      </c>
      <c r="BK155" s="430" t="str">
        <f t="shared" si="112"/>
        <v>Additional
component</v>
      </c>
      <c r="BL155" s="430" t="str">
        <f t="shared" si="112"/>
        <v>Additional
component 2</v>
      </c>
    </row>
    <row r="156" spans="1:64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434"/>
      <c r="X156" s="434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BC156" s="401" t="str">
        <f t="shared" si="109"/>
        <v>-</v>
      </c>
      <c r="BD156" s="429" t="str">
        <f>$E$4</f>
        <v>Post New Long Term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1</v>
      </c>
      <c r="BL156" s="435">
        <v>1</v>
      </c>
    </row>
    <row r="157" spans="1:64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tr">
        <f>F$4</f>
        <v>NMHC 
[g/km]</v>
      </c>
      <c r="G157" s="425" t="str">
        <f t="shared" ref="G157:N157" si="113">G$4</f>
        <v>THC
[g/km]</v>
      </c>
      <c r="H157" s="425" t="str">
        <f t="shared" si="113"/>
        <v>CO
[g/km]</v>
      </c>
      <c r="I157" s="425" t="str">
        <f t="shared" si="113"/>
        <v>NOx
[g/km]</v>
      </c>
      <c r="J157" s="425" t="str">
        <f t="shared" si="113"/>
        <v>PM
[mg/km]</v>
      </c>
      <c r="K157" s="425" t="str">
        <f t="shared" si="113"/>
        <v>PN
[#/km]</v>
      </c>
      <c r="L157" s="426" t="str">
        <f t="shared" si="113"/>
        <v>Additional
component</v>
      </c>
      <c r="M157" s="426" t="str">
        <f t="shared" si="113"/>
        <v>Additional
component 2</v>
      </c>
      <c r="N157" s="425" t="str">
        <f t="shared" si="113"/>
        <v>CO2
[g/km]</v>
      </c>
      <c r="O157" s="669"/>
      <c r="P157" s="670"/>
      <c r="Q157" s="670"/>
      <c r="R157" s="670"/>
      <c r="S157" s="669"/>
      <c r="T157" s="670"/>
      <c r="U157" s="670"/>
      <c r="V157" s="671"/>
      <c r="W157" s="434"/>
      <c r="X157" s="434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BC157" s="401" t="str">
        <f t="shared" si="109"/>
        <v>-</v>
      </c>
      <c r="BD157" s="429" t="str">
        <f>"1st " &amp;  B158</f>
        <v>1st City (unweighted)</v>
      </c>
      <c r="BE157" s="435" t="str">
        <f t="shared" ref="BE157:BL157" si="114">IF((OR($C160="-",$C160="CET",$C160="")),"-",IF(AND(OR(F158="-",F158=""),OR(F159="-",F159="")),"-",IF(NOT(OR(F158="-",F158="")),F158/F$5,F159/F$5)))</f>
        <v>-</v>
      </c>
      <c r="BF157" s="435" t="str">
        <f t="shared" si="114"/>
        <v>-</v>
      </c>
      <c r="BG157" s="435" t="str">
        <f t="shared" si="114"/>
        <v>-</v>
      </c>
      <c r="BH157" s="435" t="str">
        <f t="shared" si="114"/>
        <v>-</v>
      </c>
      <c r="BI157" s="435" t="str">
        <f t="shared" si="114"/>
        <v>-</v>
      </c>
      <c r="BJ157" s="435" t="str">
        <f t="shared" si="114"/>
        <v>-</v>
      </c>
      <c r="BK157" s="435" t="str">
        <f t="shared" si="114"/>
        <v>-</v>
      </c>
      <c r="BL157" s="435" t="str">
        <f t="shared" si="114"/>
        <v>-</v>
      </c>
    </row>
    <row r="158" spans="1:64" s="405" customFormat="1" ht="15" customHeight="1" outlineLevel="1" x14ac:dyDescent="0.25">
      <c r="A158" s="439"/>
      <c r="B158" s="724" t="s">
        <v>107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3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401" t="str">
        <f t="shared" si="109"/>
        <v>-</v>
      </c>
      <c r="BD158" s="429" t="str">
        <f>"1st " &amp; B163</f>
        <v>1st City (EMROAD)</v>
      </c>
      <c r="BE158" s="435" t="str">
        <f t="shared" ref="BE158:BL158" si="115">IF((OR($C165="-",$C165="CET",$C165="")),"-",IF(AND(OR(F163="-",F163=""),OR(F164="-",F164="")),"-",IF(NOT(OR(F163="-",F163="")),F163/F$5,F164/F$5)))</f>
        <v>-</v>
      </c>
      <c r="BF158" s="435" t="str">
        <f t="shared" si="115"/>
        <v>-</v>
      </c>
      <c r="BG158" s="435" t="str">
        <f t="shared" si="115"/>
        <v>-</v>
      </c>
      <c r="BH158" s="435" t="str">
        <f t="shared" si="115"/>
        <v>-</v>
      </c>
      <c r="BI158" s="435" t="str">
        <f t="shared" si="115"/>
        <v>-</v>
      </c>
      <c r="BJ158" s="435" t="str">
        <f t="shared" si="115"/>
        <v>-</v>
      </c>
      <c r="BK158" s="435" t="str">
        <f t="shared" si="115"/>
        <v>-</v>
      </c>
      <c r="BL158" s="435" t="str">
        <f t="shared" si="115"/>
        <v>-</v>
      </c>
    </row>
    <row r="159" spans="1:64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3"/>
      <c r="S159" s="672"/>
      <c r="T159" s="673"/>
      <c r="U159" s="673"/>
      <c r="V159" s="674"/>
      <c r="W159" s="434"/>
      <c r="X159" s="434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BC159" s="401" t="str">
        <f t="shared" si="109"/>
        <v>-</v>
      </c>
      <c r="BD159" s="429" t="str">
        <f>"1st " &amp; B168</f>
        <v>1st City
 (SPF)</v>
      </c>
      <c r="BE159" s="435" t="str">
        <f t="shared" ref="BE159:BL159" si="116">IF((OR($C170="-",$C170="CET",$C170="")),"-",IF(AND(OR(F168="-",F168=""),OR(F169="-",F169="")),"-",IF(NOT(OR(F168="-",F168="")),F168/F$5,F169/F$5)))</f>
        <v>-</v>
      </c>
      <c r="BF159" s="435" t="str">
        <f t="shared" si="116"/>
        <v>-</v>
      </c>
      <c r="BG159" s="435" t="str">
        <f t="shared" si="116"/>
        <v>-</v>
      </c>
      <c r="BH159" s="435" t="str">
        <f t="shared" si="116"/>
        <v>-</v>
      </c>
      <c r="BI159" s="435" t="str">
        <f t="shared" si="116"/>
        <v>-</v>
      </c>
      <c r="BJ159" s="435" t="str">
        <f t="shared" si="116"/>
        <v>-</v>
      </c>
      <c r="BK159" s="435" t="str">
        <f t="shared" si="116"/>
        <v>-</v>
      </c>
      <c r="BL159" s="435" t="str">
        <f t="shared" si="116"/>
        <v>-</v>
      </c>
    </row>
    <row r="160" spans="1:64" ht="15" customHeight="1" outlineLevel="1" thickBot="1" x14ac:dyDescent="0.3">
      <c r="A160" s="396"/>
      <c r="B160" s="725"/>
      <c r="C160" s="686">
        <v>4</v>
      </c>
      <c r="D160" s="689" t="str">
        <f>IF(AND(F161="-",G161="-",H161="-",I161="-",J161="-",K161="-",L161="-",M161="-"),"-",MAX(F161,G161,H161,I161,J161,K161,L161,M161))</f>
        <v>-</v>
      </c>
      <c r="E160" s="444" t="s">
        <v>96</v>
      </c>
      <c r="F160" s="445" t="str">
        <f t="shared" ref="F160:N160" si="117">IF(OR(F159="-",F159=""),IF(OR(F158="-",F158=""),"-",F158),IF(OR(F158="-",F158=""),F159,(F158+F159)/2))</f>
        <v>-</v>
      </c>
      <c r="G160" s="445" t="str">
        <f t="shared" si="117"/>
        <v>-</v>
      </c>
      <c r="H160" s="445" t="str">
        <f t="shared" si="117"/>
        <v>-</v>
      </c>
      <c r="I160" s="445" t="str">
        <f t="shared" si="117"/>
        <v>-</v>
      </c>
      <c r="J160" s="445" t="str">
        <f t="shared" si="117"/>
        <v>-</v>
      </c>
      <c r="K160" s="446" t="str">
        <f t="shared" si="117"/>
        <v>-</v>
      </c>
      <c r="L160" s="446" t="str">
        <f t="shared" si="117"/>
        <v>-</v>
      </c>
      <c r="M160" s="446" t="str">
        <f t="shared" si="117"/>
        <v>-</v>
      </c>
      <c r="N160" s="445" t="str">
        <f t="shared" si="117"/>
        <v>-</v>
      </c>
      <c r="O160" s="672"/>
      <c r="P160" s="673"/>
      <c r="Q160" s="673"/>
      <c r="R160" s="673"/>
      <c r="S160" s="672"/>
      <c r="T160" s="673"/>
      <c r="U160" s="673"/>
      <c r="V160" s="674"/>
      <c r="W160" s="434"/>
      <c r="X160" s="434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BC160" s="401" t="str">
        <f t="shared" si="109"/>
        <v>-</v>
      </c>
      <c r="BD160" s="429" t="str">
        <f>"1st " &amp; B173</f>
        <v>1st Total (unweighted)</v>
      </c>
      <c r="BE160" s="435" t="str">
        <f t="shared" ref="BE160:BL160" si="118">IF((OR($C175="-",$C175="CET",$C175="")),"-",IF(AND(OR(F173="-",F173=""),OR(F174="-",F174="")),"-",IF(NOT(OR(F173="-",F173="")),F173/F$5,F174/F$5)))</f>
        <v>-</v>
      </c>
      <c r="BF160" s="435" t="str">
        <f t="shared" si="118"/>
        <v>-</v>
      </c>
      <c r="BG160" s="435" t="str">
        <f t="shared" si="118"/>
        <v>-</v>
      </c>
      <c r="BH160" s="435" t="str">
        <f t="shared" si="118"/>
        <v>-</v>
      </c>
      <c r="BI160" s="435" t="str">
        <f t="shared" si="118"/>
        <v>-</v>
      </c>
      <c r="BJ160" s="435" t="str">
        <f t="shared" si="118"/>
        <v>-</v>
      </c>
      <c r="BK160" s="435" t="str">
        <f t="shared" si="118"/>
        <v>-</v>
      </c>
      <c r="BL160" s="435" t="str">
        <f t="shared" si="118"/>
        <v>-</v>
      </c>
    </row>
    <row r="161" spans="1:64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str">
        <f t="shared" ref="F161:N161" si="119">IF(OR($C160="-",$C160="CET",$C160=""),"-",IF(AND(NOT(F160="-"),NOT(F$5="-"),NOT(F$5="")),F160/F$5,"-"))</f>
        <v>-</v>
      </c>
      <c r="G161" s="448" t="str">
        <f t="shared" si="119"/>
        <v>-</v>
      </c>
      <c r="H161" s="448" t="str">
        <f t="shared" si="119"/>
        <v>-</v>
      </c>
      <c r="I161" s="448" t="str">
        <f t="shared" si="119"/>
        <v>-</v>
      </c>
      <c r="J161" s="448" t="str">
        <f t="shared" si="119"/>
        <v>-</v>
      </c>
      <c r="K161" s="449" t="str">
        <f t="shared" si="119"/>
        <v>-</v>
      </c>
      <c r="L161" s="449" t="str">
        <f t="shared" si="119"/>
        <v>-</v>
      </c>
      <c r="M161" s="449" t="str">
        <f t="shared" si="119"/>
        <v>-</v>
      </c>
      <c r="N161" s="448" t="str">
        <f t="shared" si="119"/>
        <v>-</v>
      </c>
      <c r="O161" s="672"/>
      <c r="P161" s="673"/>
      <c r="Q161" s="673"/>
      <c r="R161" s="673"/>
      <c r="S161" s="672"/>
      <c r="T161" s="673"/>
      <c r="U161" s="673"/>
      <c r="V161" s="674"/>
      <c r="W161" s="434"/>
      <c r="X161" s="434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BC161" s="401" t="str">
        <f t="shared" si="109"/>
        <v>-</v>
      </c>
      <c r="BD161" s="429" t="str">
        <f>"1st " &amp; B178</f>
        <v>1st Total (EMROAD)</v>
      </c>
      <c r="BE161" s="435" t="str">
        <f t="shared" ref="BE161:BL161" si="120">IF((OR($C180="-",$C180="CET",$C180="")),"-",IF(AND(OR(F178="-",F178=""),OR(F179="-",F179="")),"-",IF(NOT(OR(F178="-",F178="")),F178/F$5,F179/F$5)))</f>
        <v>-</v>
      </c>
      <c r="BF161" s="435" t="str">
        <f t="shared" si="120"/>
        <v>-</v>
      </c>
      <c r="BG161" s="435" t="str">
        <f t="shared" si="120"/>
        <v>-</v>
      </c>
      <c r="BH161" s="435" t="str">
        <f t="shared" si="120"/>
        <v>-</v>
      </c>
      <c r="BI161" s="435" t="str">
        <f t="shared" si="120"/>
        <v>-</v>
      </c>
      <c r="BJ161" s="435" t="str">
        <f t="shared" si="120"/>
        <v>-</v>
      </c>
      <c r="BK161" s="435" t="str">
        <f t="shared" si="120"/>
        <v>-</v>
      </c>
      <c r="BL161" s="435" t="str">
        <f t="shared" si="120"/>
        <v>-</v>
      </c>
    </row>
    <row r="162" spans="1:64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N162" si="121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121"/>
        <v>-</v>
      </c>
      <c r="H162" s="451" t="str">
        <f t="shared" si="121"/>
        <v>-</v>
      </c>
      <c r="I162" s="451" t="str">
        <f t="shared" si="121"/>
        <v>-</v>
      </c>
      <c r="J162" s="451" t="str">
        <f t="shared" si="121"/>
        <v>-</v>
      </c>
      <c r="K162" s="452" t="str">
        <f t="shared" si="121"/>
        <v>-</v>
      </c>
      <c r="L162" s="452" t="str">
        <f t="shared" si="121"/>
        <v>-</v>
      </c>
      <c r="M162" s="452" t="str">
        <f t="shared" si="121"/>
        <v>-</v>
      </c>
      <c r="N162" s="451" t="str">
        <f t="shared" si="121"/>
        <v>-</v>
      </c>
      <c r="O162" s="672"/>
      <c r="P162" s="673"/>
      <c r="Q162" s="673"/>
      <c r="R162" s="673"/>
      <c r="S162" s="672"/>
      <c r="T162" s="673"/>
      <c r="U162" s="673"/>
      <c r="V162" s="674"/>
      <c r="W162" s="434"/>
      <c r="X162" s="434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BC162" s="401" t="str">
        <f t="shared" si="109"/>
        <v>-</v>
      </c>
      <c r="BD162" s="429" t="str">
        <f>"1st " &amp; B183</f>
        <v>1st Total (SPF)</v>
      </c>
      <c r="BE162" s="435" t="str">
        <f t="shared" ref="BE162:BL162" si="122">IF((OR($C185="-",$C185="CET",$C185="")),"-",IF(AND(OR(F183="-",F183=""),OR(F184="-",F184="")),"-",IF(NOT(OR(F183="-",F183="")),F183/F$5,F184/F$5)))</f>
        <v>-</v>
      </c>
      <c r="BF162" s="435" t="str">
        <f t="shared" si="122"/>
        <v>-</v>
      </c>
      <c r="BG162" s="435" t="str">
        <f t="shared" si="122"/>
        <v>-</v>
      </c>
      <c r="BH162" s="435" t="str">
        <f t="shared" si="122"/>
        <v>-</v>
      </c>
      <c r="BI162" s="435" t="str">
        <f t="shared" si="122"/>
        <v>-</v>
      </c>
      <c r="BJ162" s="435" t="str">
        <f t="shared" si="122"/>
        <v>-</v>
      </c>
      <c r="BK162" s="435" t="str">
        <f t="shared" si="122"/>
        <v>-</v>
      </c>
      <c r="BL162" s="435" t="str">
        <f t="shared" si="122"/>
        <v>-</v>
      </c>
    </row>
    <row r="163" spans="1:64" s="405" customFormat="1" ht="15" customHeight="1" outlineLevel="1" x14ac:dyDescent="0.25">
      <c r="A163" s="439"/>
      <c r="B163" s="724" t="s">
        <v>106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3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401" t="str">
        <f t="shared" si="109"/>
        <v>-</v>
      </c>
      <c r="BD163" s="429" t="str">
        <f>"0.7*IEF " &amp; (B158)</f>
        <v>0.7*IEF City (unweighted)</v>
      </c>
      <c r="BE163" s="435">
        <f t="shared" ref="BE163:BL163" si="123">IF(OR($C160="-",$C160="CET",$C160=""),"-",0.7*$C160)</f>
        <v>2.8</v>
      </c>
      <c r="BF163" s="435">
        <f t="shared" si="123"/>
        <v>2.8</v>
      </c>
      <c r="BG163" s="435">
        <f t="shared" si="123"/>
        <v>2.8</v>
      </c>
      <c r="BH163" s="435">
        <f t="shared" si="123"/>
        <v>2.8</v>
      </c>
      <c r="BI163" s="435">
        <f t="shared" si="123"/>
        <v>2.8</v>
      </c>
      <c r="BJ163" s="435">
        <f t="shared" si="123"/>
        <v>2.8</v>
      </c>
      <c r="BK163" s="435">
        <f t="shared" si="123"/>
        <v>2.8</v>
      </c>
      <c r="BL163" s="435">
        <f t="shared" si="123"/>
        <v>2.8</v>
      </c>
    </row>
    <row r="164" spans="1:64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3"/>
      <c r="S164" s="672"/>
      <c r="T164" s="673"/>
      <c r="U164" s="673"/>
      <c r="V164" s="674"/>
      <c r="W164" s="434"/>
      <c r="X164" s="434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BC164" s="401" t="str">
        <f t="shared" si="109"/>
        <v>-</v>
      </c>
      <c r="BD164" s="429" t="str">
        <f>"0.7*IEF " &amp; B163</f>
        <v>0.7*IEF City (EMROAD)</v>
      </c>
      <c r="BE164" s="435">
        <f t="shared" ref="BE164:BL164" si="124">IF(OR($C165="-",$C165="CET",$C165=""),"-",0.7*$C165)</f>
        <v>2.8</v>
      </c>
      <c r="BF164" s="435">
        <f t="shared" si="124"/>
        <v>2.8</v>
      </c>
      <c r="BG164" s="435">
        <f t="shared" si="124"/>
        <v>2.8</v>
      </c>
      <c r="BH164" s="435">
        <f t="shared" si="124"/>
        <v>2.8</v>
      </c>
      <c r="BI164" s="435">
        <f t="shared" si="124"/>
        <v>2.8</v>
      </c>
      <c r="BJ164" s="435">
        <f t="shared" si="124"/>
        <v>2.8</v>
      </c>
      <c r="BK164" s="435">
        <f t="shared" si="124"/>
        <v>2.8</v>
      </c>
      <c r="BL164" s="435">
        <f t="shared" si="124"/>
        <v>2.8</v>
      </c>
    </row>
    <row r="165" spans="1:64" ht="15" customHeight="1" outlineLevel="1" thickBot="1" x14ac:dyDescent="0.3">
      <c r="A165" s="396"/>
      <c r="B165" s="725"/>
      <c r="C165" s="686">
        <v>4</v>
      </c>
      <c r="D165" s="689" t="str">
        <f>IF(AND(F166="-",G166="-",H166="-",I166="-",J166="-",K166="-",L166="-",M166="-"),"-",MAX(F166,G166,H166,I166,J166,K166,L166,M166))</f>
        <v>-</v>
      </c>
      <c r="E165" s="444" t="s">
        <v>96</v>
      </c>
      <c r="F165" s="445" t="str">
        <f t="shared" ref="F165:N165" si="125">IF(OR(F164="-",F164=""),IF(OR(F163="-",F163=""),"-",F163),IF(OR(F163="-",F163=""),F164,(F163+F164)/2))</f>
        <v>-</v>
      </c>
      <c r="G165" s="445" t="str">
        <f t="shared" si="125"/>
        <v>-</v>
      </c>
      <c r="H165" s="445" t="str">
        <f t="shared" si="125"/>
        <v>-</v>
      </c>
      <c r="I165" s="445" t="str">
        <f t="shared" si="125"/>
        <v>-</v>
      </c>
      <c r="J165" s="445" t="str">
        <f t="shared" si="125"/>
        <v>-</v>
      </c>
      <c r="K165" s="446" t="str">
        <f t="shared" si="125"/>
        <v>-</v>
      </c>
      <c r="L165" s="446" t="str">
        <f t="shared" si="125"/>
        <v>-</v>
      </c>
      <c r="M165" s="446" t="str">
        <f t="shared" si="125"/>
        <v>-</v>
      </c>
      <c r="N165" s="445" t="str">
        <f t="shared" si="125"/>
        <v>-</v>
      </c>
      <c r="O165" s="672"/>
      <c r="P165" s="673"/>
      <c r="Q165" s="673"/>
      <c r="R165" s="673"/>
      <c r="S165" s="672"/>
      <c r="T165" s="673"/>
      <c r="U165" s="673"/>
      <c r="V165" s="674"/>
      <c r="W165" s="434"/>
      <c r="X165" s="434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BC165" s="401" t="str">
        <f t="shared" si="109"/>
        <v>-</v>
      </c>
      <c r="BD165" s="429" t="str">
        <f>"0.7*IEF " &amp; B168</f>
        <v>0.7*IEF City
 (SPF)</v>
      </c>
      <c r="BE165" s="435">
        <f t="shared" ref="BE165:BL165" si="126">IF(OR($C170="-",$C170="CET",$C170=""),"-",0.7*$C170)</f>
        <v>2.8</v>
      </c>
      <c r="BF165" s="435">
        <f t="shared" si="126"/>
        <v>2.8</v>
      </c>
      <c r="BG165" s="435">
        <f t="shared" si="126"/>
        <v>2.8</v>
      </c>
      <c r="BH165" s="435">
        <f t="shared" si="126"/>
        <v>2.8</v>
      </c>
      <c r="BI165" s="435">
        <f t="shared" si="126"/>
        <v>2.8</v>
      </c>
      <c r="BJ165" s="435">
        <f t="shared" si="126"/>
        <v>2.8</v>
      </c>
      <c r="BK165" s="435">
        <f t="shared" si="126"/>
        <v>2.8</v>
      </c>
      <c r="BL165" s="435">
        <f t="shared" si="126"/>
        <v>2.8</v>
      </c>
    </row>
    <row r="166" spans="1:64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str">
        <f t="shared" ref="F166:N166" si="127">IF(OR($C165="-",$C165="CET",$C165=""),"-",IF(AND(NOT(F165="-"),NOT(F$5="-"),NOT(F$5="")),F165/F$5,"-"))</f>
        <v>-</v>
      </c>
      <c r="G166" s="448" t="str">
        <f t="shared" si="127"/>
        <v>-</v>
      </c>
      <c r="H166" s="448" t="str">
        <f t="shared" si="127"/>
        <v>-</v>
      </c>
      <c r="I166" s="448" t="str">
        <f t="shared" si="127"/>
        <v>-</v>
      </c>
      <c r="J166" s="448" t="str">
        <f t="shared" si="127"/>
        <v>-</v>
      </c>
      <c r="K166" s="449" t="str">
        <f t="shared" si="127"/>
        <v>-</v>
      </c>
      <c r="L166" s="449" t="str">
        <f t="shared" si="127"/>
        <v>-</v>
      </c>
      <c r="M166" s="449" t="str">
        <f t="shared" si="127"/>
        <v>-</v>
      </c>
      <c r="N166" s="448" t="str">
        <f t="shared" si="127"/>
        <v>-</v>
      </c>
      <c r="O166" s="672"/>
      <c r="P166" s="673"/>
      <c r="Q166" s="673"/>
      <c r="R166" s="673"/>
      <c r="S166" s="672"/>
      <c r="T166" s="673"/>
      <c r="U166" s="673"/>
      <c r="V166" s="674"/>
      <c r="W166" s="434"/>
      <c r="X166" s="434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BC166" s="401" t="str">
        <f t="shared" si="109"/>
        <v>-</v>
      </c>
      <c r="BD166" s="429" t="str">
        <f>"0.7*IEF " &amp; B173</f>
        <v>0.7*IEF Total (unweighted)</v>
      </c>
      <c r="BE166" s="435">
        <f t="shared" ref="BE166:BL166" si="128">IF(OR($C175="-",$C175="CET",$C175=""),"-",0.7*$C175)</f>
        <v>2.8</v>
      </c>
      <c r="BF166" s="435">
        <f t="shared" si="128"/>
        <v>2.8</v>
      </c>
      <c r="BG166" s="435">
        <f t="shared" si="128"/>
        <v>2.8</v>
      </c>
      <c r="BH166" s="435">
        <f t="shared" si="128"/>
        <v>2.8</v>
      </c>
      <c r="BI166" s="435">
        <f t="shared" si="128"/>
        <v>2.8</v>
      </c>
      <c r="BJ166" s="435">
        <f t="shared" si="128"/>
        <v>2.8</v>
      </c>
      <c r="BK166" s="435">
        <f t="shared" si="128"/>
        <v>2.8</v>
      </c>
      <c r="BL166" s="435">
        <f t="shared" si="128"/>
        <v>2.8</v>
      </c>
    </row>
    <row r="167" spans="1:64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N167" si="129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129"/>
        <v>-</v>
      </c>
      <c r="H167" s="451" t="str">
        <f t="shared" si="129"/>
        <v>-</v>
      </c>
      <c r="I167" s="451" t="str">
        <f t="shared" si="129"/>
        <v>-</v>
      </c>
      <c r="J167" s="451" t="str">
        <f t="shared" si="129"/>
        <v>-</v>
      </c>
      <c r="K167" s="452" t="str">
        <f t="shared" si="129"/>
        <v>-</v>
      </c>
      <c r="L167" s="452" t="str">
        <f t="shared" si="129"/>
        <v>-</v>
      </c>
      <c r="M167" s="452" t="str">
        <f t="shared" si="129"/>
        <v>-</v>
      </c>
      <c r="N167" s="451" t="str">
        <f t="shared" si="129"/>
        <v>-</v>
      </c>
      <c r="O167" s="672"/>
      <c r="P167" s="673"/>
      <c r="Q167" s="673"/>
      <c r="R167" s="673"/>
      <c r="S167" s="672"/>
      <c r="T167" s="673"/>
      <c r="U167" s="673"/>
      <c r="V167" s="674"/>
      <c r="W167" s="434"/>
      <c r="X167" s="434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BC167" s="401" t="str">
        <f t="shared" si="109"/>
        <v>-</v>
      </c>
      <c r="BD167" s="429" t="str">
        <f>"0.7*IEF " &amp; B178</f>
        <v>0.7*IEF Total (EMROAD)</v>
      </c>
      <c r="BE167" s="435">
        <f t="shared" ref="BE167:BL167" si="130">IF(OR($C180="-",$C180="CET",$C180=""),"-",0.7*$C180)</f>
        <v>2.8</v>
      </c>
      <c r="BF167" s="435">
        <f t="shared" si="130"/>
        <v>2.8</v>
      </c>
      <c r="BG167" s="435">
        <f t="shared" si="130"/>
        <v>2.8</v>
      </c>
      <c r="BH167" s="435">
        <f t="shared" si="130"/>
        <v>2.8</v>
      </c>
      <c r="BI167" s="435">
        <f t="shared" si="130"/>
        <v>2.8</v>
      </c>
      <c r="BJ167" s="435">
        <f t="shared" si="130"/>
        <v>2.8</v>
      </c>
      <c r="BK167" s="435">
        <f t="shared" si="130"/>
        <v>2.8</v>
      </c>
      <c r="BL167" s="435">
        <f t="shared" si="130"/>
        <v>2.8</v>
      </c>
    </row>
    <row r="168" spans="1:64" s="405" customFormat="1" ht="15" customHeight="1" outlineLevel="1" x14ac:dyDescent="0.25">
      <c r="A168" s="454"/>
      <c r="B168" s="718" t="s">
        <v>141</v>
      </c>
      <c r="C168" s="684" t="s">
        <v>114</v>
      </c>
      <c r="D168" s="684" t="s">
        <v>113</v>
      </c>
      <c r="E168" s="453" t="s">
        <v>94</v>
      </c>
      <c r="F168" s="473" t="s">
        <v>5</v>
      </c>
      <c r="G168" s="473" t="s">
        <v>5</v>
      </c>
      <c r="H168" s="473" t="s">
        <v>5</v>
      </c>
      <c r="I168" s="473" t="s">
        <v>5</v>
      </c>
      <c r="J168" s="473" t="s">
        <v>5</v>
      </c>
      <c r="K168" s="474" t="s">
        <v>5</v>
      </c>
      <c r="L168" s="474" t="s">
        <v>5</v>
      </c>
      <c r="M168" s="474" t="s">
        <v>5</v>
      </c>
      <c r="N168" s="473" t="s">
        <v>5</v>
      </c>
      <c r="O168" s="672"/>
      <c r="P168" s="673"/>
      <c r="Q168" s="673"/>
      <c r="R168" s="673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C168" s="401" t="str">
        <f t="shared" si="109"/>
        <v>-</v>
      </c>
      <c r="BD168" s="429" t="str">
        <f>"0.7*IEF " &amp; B183</f>
        <v>0.7*IEF Total (SPF)</v>
      </c>
      <c r="BE168" s="435">
        <f t="shared" ref="BE168:BL168" si="131">IF(OR($C185="-",$C185="CET",$C185=""),"-",0.7*$C185)</f>
        <v>2.8</v>
      </c>
      <c r="BF168" s="435">
        <f t="shared" si="131"/>
        <v>2.8</v>
      </c>
      <c r="BG168" s="435">
        <f t="shared" si="131"/>
        <v>2.8</v>
      </c>
      <c r="BH168" s="435">
        <f t="shared" si="131"/>
        <v>2.8</v>
      </c>
      <c r="BI168" s="435">
        <f t="shared" si="131"/>
        <v>2.8</v>
      </c>
      <c r="BJ168" s="435">
        <f t="shared" si="131"/>
        <v>2.8</v>
      </c>
      <c r="BK168" s="435">
        <f t="shared" si="131"/>
        <v>2.8</v>
      </c>
      <c r="BL168" s="435">
        <f t="shared" si="131"/>
        <v>2.8</v>
      </c>
    </row>
    <row r="169" spans="1:64" ht="15" customHeight="1" outlineLevel="1" thickBot="1" x14ac:dyDescent="0.3">
      <c r="A169" s="404"/>
      <c r="B169" s="719"/>
      <c r="C169" s="702"/>
      <c r="D169" s="685"/>
      <c r="E169" s="440" t="s">
        <v>95</v>
      </c>
      <c r="F169" s="475" t="s">
        <v>5</v>
      </c>
      <c r="G169" s="475" t="s">
        <v>5</v>
      </c>
      <c r="H169" s="475" t="s">
        <v>5</v>
      </c>
      <c r="I169" s="475" t="s">
        <v>5</v>
      </c>
      <c r="J169" s="475" t="s">
        <v>5</v>
      </c>
      <c r="K169" s="476" t="s">
        <v>5</v>
      </c>
      <c r="L169" s="476" t="s">
        <v>5</v>
      </c>
      <c r="M169" s="476" t="s">
        <v>5</v>
      </c>
      <c r="N169" s="475" t="s">
        <v>5</v>
      </c>
      <c r="O169" s="672"/>
      <c r="P169" s="673"/>
      <c r="Q169" s="673"/>
      <c r="R169" s="673"/>
      <c r="S169" s="672"/>
      <c r="T169" s="673"/>
      <c r="U169" s="673"/>
      <c r="V169" s="674"/>
      <c r="W169" s="434"/>
      <c r="X169" s="434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BC169" s="401" t="str">
        <f t="shared" si="109"/>
        <v>-</v>
      </c>
      <c r="BD169" s="429" t="str">
        <f>$B158</f>
        <v>City (unweighted)</v>
      </c>
      <c r="BE169" s="435" t="str">
        <f t="shared" ref="BE169:BL169" si="132">F161</f>
        <v>-</v>
      </c>
      <c r="BF169" s="435" t="str">
        <f t="shared" si="132"/>
        <v>-</v>
      </c>
      <c r="BG169" s="435" t="str">
        <f t="shared" si="132"/>
        <v>-</v>
      </c>
      <c r="BH169" s="435" t="str">
        <f t="shared" si="132"/>
        <v>-</v>
      </c>
      <c r="BI169" s="435" t="str">
        <f t="shared" si="132"/>
        <v>-</v>
      </c>
      <c r="BJ169" s="435" t="str">
        <f t="shared" si="132"/>
        <v>-</v>
      </c>
      <c r="BK169" s="435" t="str">
        <f t="shared" si="132"/>
        <v>-</v>
      </c>
      <c r="BL169" s="435" t="str">
        <f t="shared" si="132"/>
        <v>-</v>
      </c>
    </row>
    <row r="170" spans="1:64" ht="15" customHeight="1" outlineLevel="1" thickBot="1" x14ac:dyDescent="0.3">
      <c r="A170" s="404"/>
      <c r="B170" s="719"/>
      <c r="C170" s="686">
        <v>4</v>
      </c>
      <c r="D170" s="689" t="str">
        <f>IF(AND(F171="-",G171="-",H171="-",I171="-",J171="-",K171="-",L171="-",M171="-"),"-",MAX(F171,G171,H171,I171,J171,K171,L171,M171))</f>
        <v>-</v>
      </c>
      <c r="E170" s="444" t="s">
        <v>96</v>
      </c>
      <c r="F170" s="445" t="str">
        <f t="shared" ref="F170:N170" si="133">IF(OR(F169="-",F169=""),IF(OR(F168="-",F168=""),"-",F168),IF(OR(F168="-",F168=""),F169,(F168+F169)/2))</f>
        <v>-</v>
      </c>
      <c r="G170" s="445" t="str">
        <f t="shared" si="133"/>
        <v>-</v>
      </c>
      <c r="H170" s="445" t="str">
        <f t="shared" si="133"/>
        <v>-</v>
      </c>
      <c r="I170" s="445" t="str">
        <f t="shared" si="133"/>
        <v>-</v>
      </c>
      <c r="J170" s="445" t="str">
        <f t="shared" si="133"/>
        <v>-</v>
      </c>
      <c r="K170" s="446" t="str">
        <f t="shared" si="133"/>
        <v>-</v>
      </c>
      <c r="L170" s="446" t="str">
        <f t="shared" si="133"/>
        <v>-</v>
      </c>
      <c r="M170" s="446" t="str">
        <f t="shared" si="133"/>
        <v>-</v>
      </c>
      <c r="N170" s="445" t="str">
        <f t="shared" si="133"/>
        <v>-</v>
      </c>
      <c r="O170" s="672"/>
      <c r="P170" s="673"/>
      <c r="Q170" s="673"/>
      <c r="R170" s="673"/>
      <c r="S170" s="672"/>
      <c r="T170" s="673"/>
      <c r="U170" s="673"/>
      <c r="V170" s="674"/>
      <c r="W170" s="434"/>
      <c r="X170" s="434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BC170" s="401" t="str">
        <f t="shared" si="109"/>
        <v>-</v>
      </c>
      <c r="BD170" s="429" t="str">
        <f>$B163</f>
        <v>City (EMROAD)</v>
      </c>
      <c r="BE170" s="435" t="str">
        <f t="shared" ref="BE170:BL170" si="134">F166</f>
        <v>-</v>
      </c>
      <c r="BF170" s="435" t="str">
        <f t="shared" si="134"/>
        <v>-</v>
      </c>
      <c r="BG170" s="435" t="str">
        <f t="shared" si="134"/>
        <v>-</v>
      </c>
      <c r="BH170" s="435" t="str">
        <f t="shared" si="134"/>
        <v>-</v>
      </c>
      <c r="BI170" s="435" t="str">
        <f t="shared" si="134"/>
        <v>-</v>
      </c>
      <c r="BJ170" s="435" t="str">
        <f t="shared" si="134"/>
        <v>-</v>
      </c>
      <c r="BK170" s="435" t="str">
        <f t="shared" si="134"/>
        <v>-</v>
      </c>
      <c r="BL170" s="435" t="str">
        <f t="shared" si="134"/>
        <v>-</v>
      </c>
    </row>
    <row r="171" spans="1:64" ht="15" customHeight="1" outlineLevel="1" thickBot="1" x14ac:dyDescent="0.3">
      <c r="A171" s="404"/>
      <c r="B171" s="719"/>
      <c r="C171" s="687"/>
      <c r="D171" s="690"/>
      <c r="E171" s="447" t="s">
        <v>97</v>
      </c>
      <c r="F171" s="448" t="str">
        <f t="shared" ref="F171:N171" si="135">IF(OR($C170="-",$C170="CET",$C170=""),"-",IF(AND(NOT(F170="-"),NOT(F$5="-"),NOT(F$5="")),F170/F$5,"-"))</f>
        <v>-</v>
      </c>
      <c r="G171" s="448" t="str">
        <f t="shared" si="135"/>
        <v>-</v>
      </c>
      <c r="H171" s="448" t="str">
        <f t="shared" si="135"/>
        <v>-</v>
      </c>
      <c r="I171" s="448" t="str">
        <f t="shared" si="135"/>
        <v>-</v>
      </c>
      <c r="J171" s="448" t="str">
        <f t="shared" si="135"/>
        <v>-</v>
      </c>
      <c r="K171" s="449" t="str">
        <f t="shared" si="135"/>
        <v>-</v>
      </c>
      <c r="L171" s="449" t="str">
        <f t="shared" si="135"/>
        <v>-</v>
      </c>
      <c r="M171" s="449" t="str">
        <f t="shared" si="135"/>
        <v>-</v>
      </c>
      <c r="N171" s="448" t="str">
        <f t="shared" si="135"/>
        <v>-</v>
      </c>
      <c r="O171" s="672"/>
      <c r="P171" s="673"/>
      <c r="Q171" s="673"/>
      <c r="R171" s="673"/>
      <c r="S171" s="672"/>
      <c r="T171" s="673"/>
      <c r="U171" s="673"/>
      <c r="V171" s="674"/>
      <c r="W171" s="434"/>
      <c r="X171" s="434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BC171" s="401" t="str">
        <f t="shared" si="109"/>
        <v>-</v>
      </c>
      <c r="BD171" s="429" t="str">
        <f>$B168</f>
        <v>City
 (SPF)</v>
      </c>
      <c r="BE171" s="435" t="str">
        <f t="shared" ref="BE171:BL171" si="136">F171</f>
        <v>-</v>
      </c>
      <c r="BF171" s="435" t="str">
        <f t="shared" si="136"/>
        <v>-</v>
      </c>
      <c r="BG171" s="435" t="str">
        <f t="shared" si="136"/>
        <v>-</v>
      </c>
      <c r="BH171" s="435" t="str">
        <f t="shared" si="136"/>
        <v>-</v>
      </c>
      <c r="BI171" s="435" t="str">
        <f t="shared" si="136"/>
        <v>-</v>
      </c>
      <c r="BJ171" s="435" t="str">
        <f t="shared" si="136"/>
        <v>-</v>
      </c>
      <c r="BK171" s="435" t="str">
        <f t="shared" si="136"/>
        <v>-</v>
      </c>
      <c r="BL171" s="435" t="str">
        <f t="shared" si="136"/>
        <v>-</v>
      </c>
    </row>
    <row r="172" spans="1:64" ht="15" customHeight="1" outlineLevel="1" thickBot="1" x14ac:dyDescent="0.3">
      <c r="A172" s="404"/>
      <c r="B172" s="720"/>
      <c r="C172" s="688"/>
      <c r="D172" s="691"/>
      <c r="E172" s="451" t="s">
        <v>30</v>
      </c>
      <c r="F172" s="451" t="str">
        <f t="shared" ref="F172:N172" si="137">IF(AND(OR(F168="-",F168=""),OR(F169="-",F169="")),"-",IF(OR($C170="-",$C170="",$C170="CET"),"-",IF($R$154="not listed","-",IF(NOT(F$5="-"),IF(AND(AND(NOT(F168=0),NOT(F168="-"),NOT(F168="")),AND(NOT(F169="-"),NOT(F169=0),NOT(F169=""))),IF(AND((F168+F169)/2&lt;1*F$5*IF(OR($C170="CET",$C170="-",$C170=""),"-",$C170),F168&lt;1.1*F$5*IF(OR($C170="CET",$C170="-",$C170=""),"-",$C170),F169&lt;1.1*F$5*IF(OR($C170="CET",$C170="-",$C170=""),"-",$C170)),"passed","refused"),IF(IF(OR(F168="-",F168=""),F169,F168)&lt;0.7*F$5*IF(OR($C170="CET",$C170="-",$C170=""),"-",$C170),"passed",IF(IF(OR(F168="-",F168=""),F169,F168)&lt;1.1*IF(OR($C170="CET",$C170="-",$C170=""),"-",$C170)*F$5,"failed","refused"))),"-"))))</f>
        <v>-</v>
      </c>
      <c r="G172" s="451" t="str">
        <f t="shared" si="137"/>
        <v>-</v>
      </c>
      <c r="H172" s="451" t="str">
        <f t="shared" si="137"/>
        <v>-</v>
      </c>
      <c r="I172" s="451" t="str">
        <f t="shared" si="137"/>
        <v>-</v>
      </c>
      <c r="J172" s="451" t="str">
        <f t="shared" si="137"/>
        <v>-</v>
      </c>
      <c r="K172" s="452" t="str">
        <f t="shared" si="137"/>
        <v>-</v>
      </c>
      <c r="L172" s="452" t="str">
        <f t="shared" si="137"/>
        <v>-</v>
      </c>
      <c r="M172" s="452" t="str">
        <f t="shared" si="137"/>
        <v>-</v>
      </c>
      <c r="N172" s="451" t="str">
        <f t="shared" si="137"/>
        <v>-</v>
      </c>
      <c r="O172" s="672"/>
      <c r="P172" s="673"/>
      <c r="Q172" s="673"/>
      <c r="R172" s="673"/>
      <c r="S172" s="672"/>
      <c r="T172" s="673"/>
      <c r="U172" s="673"/>
      <c r="V172" s="674"/>
      <c r="W172" s="434"/>
      <c r="X172" s="434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BC172" s="401" t="str">
        <f t="shared" si="109"/>
        <v>-</v>
      </c>
      <c r="BD172" s="429" t="str">
        <f>$B173</f>
        <v>Total (unweighted)</v>
      </c>
      <c r="BE172" s="435" t="str">
        <f t="shared" ref="BE172:BL172" si="138">F176</f>
        <v>-</v>
      </c>
      <c r="BF172" s="435" t="str">
        <f t="shared" si="138"/>
        <v>-</v>
      </c>
      <c r="BG172" s="435" t="str">
        <f t="shared" si="138"/>
        <v>-</v>
      </c>
      <c r="BH172" s="435" t="str">
        <f t="shared" si="138"/>
        <v>-</v>
      </c>
      <c r="BI172" s="435" t="str">
        <f t="shared" si="138"/>
        <v>-</v>
      </c>
      <c r="BJ172" s="435" t="str">
        <f t="shared" si="138"/>
        <v>-</v>
      </c>
      <c r="BK172" s="435" t="str">
        <f t="shared" si="138"/>
        <v>-</v>
      </c>
      <c r="BL172" s="435" t="str">
        <f t="shared" si="138"/>
        <v>-</v>
      </c>
    </row>
    <row r="173" spans="1:64" s="405" customFormat="1" ht="15" customHeight="1" outlineLevel="1" x14ac:dyDescent="0.25">
      <c r="A173" s="454"/>
      <c r="B173" s="724" t="s">
        <v>105</v>
      </c>
      <c r="C173" s="684" t="s">
        <v>114</v>
      </c>
      <c r="D173" s="684" t="s">
        <v>113</v>
      </c>
      <c r="E173" s="453" t="s">
        <v>94</v>
      </c>
      <c r="F173" s="473" t="s">
        <v>5</v>
      </c>
      <c r="G173" s="473" t="s">
        <v>5</v>
      </c>
      <c r="H173" s="473" t="s">
        <v>5</v>
      </c>
      <c r="I173" s="473" t="s">
        <v>5</v>
      </c>
      <c r="J173" s="473" t="s">
        <v>5</v>
      </c>
      <c r="K173" s="474" t="s">
        <v>5</v>
      </c>
      <c r="L173" s="474" t="s">
        <v>5</v>
      </c>
      <c r="M173" s="474" t="s">
        <v>5</v>
      </c>
      <c r="N173" s="473" t="s">
        <v>5</v>
      </c>
      <c r="O173" s="672"/>
      <c r="P173" s="673"/>
      <c r="Q173" s="673"/>
      <c r="R173" s="673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C173" s="401" t="str">
        <f t="shared" si="109"/>
        <v>-</v>
      </c>
      <c r="BD173" s="429" t="str">
        <f>$B178</f>
        <v>Total (EMROAD)</v>
      </c>
      <c r="BE173" s="435" t="str">
        <f t="shared" ref="BE173:BL173" si="139">F181</f>
        <v>-</v>
      </c>
      <c r="BF173" s="435" t="str">
        <f t="shared" si="139"/>
        <v>-</v>
      </c>
      <c r="BG173" s="435" t="str">
        <f t="shared" si="139"/>
        <v>-</v>
      </c>
      <c r="BH173" s="435" t="str">
        <f t="shared" si="139"/>
        <v>-</v>
      </c>
      <c r="BI173" s="435" t="str">
        <f t="shared" si="139"/>
        <v>-</v>
      </c>
      <c r="BJ173" s="435" t="str">
        <f t="shared" si="139"/>
        <v>-</v>
      </c>
      <c r="BK173" s="435" t="str">
        <f t="shared" si="139"/>
        <v>-</v>
      </c>
      <c r="BL173" s="435" t="str">
        <f t="shared" si="139"/>
        <v>-</v>
      </c>
    </row>
    <row r="174" spans="1:64" ht="15" customHeight="1" outlineLevel="1" thickBot="1" x14ac:dyDescent="0.3">
      <c r="A174" s="404"/>
      <c r="B174" s="725"/>
      <c r="C174" s="702"/>
      <c r="D174" s="685"/>
      <c r="E174" s="440" t="s">
        <v>95</v>
      </c>
      <c r="F174" s="475" t="s">
        <v>5</v>
      </c>
      <c r="G174" s="475" t="s">
        <v>5</v>
      </c>
      <c r="H174" s="475" t="s">
        <v>5</v>
      </c>
      <c r="I174" s="475" t="s">
        <v>5</v>
      </c>
      <c r="J174" s="475" t="s">
        <v>5</v>
      </c>
      <c r="K174" s="476" t="s">
        <v>5</v>
      </c>
      <c r="L174" s="476" t="s">
        <v>5</v>
      </c>
      <c r="M174" s="476" t="s">
        <v>5</v>
      </c>
      <c r="N174" s="475" t="s">
        <v>5</v>
      </c>
      <c r="O174" s="672"/>
      <c r="P174" s="673"/>
      <c r="Q174" s="673"/>
      <c r="R174" s="673"/>
      <c r="S174" s="672"/>
      <c r="T174" s="673"/>
      <c r="U174" s="673"/>
      <c r="V174" s="674"/>
      <c r="W174" s="434"/>
      <c r="X174" s="434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BC174" s="401" t="str">
        <f t="shared" si="109"/>
        <v>-</v>
      </c>
      <c r="BD174" s="429" t="str">
        <f>$B183</f>
        <v>Total (SPF)</v>
      </c>
      <c r="BE174" s="435" t="str">
        <f t="shared" ref="BE174:BL174" si="140">F186</f>
        <v>-</v>
      </c>
      <c r="BF174" s="435" t="str">
        <f t="shared" si="140"/>
        <v>-</v>
      </c>
      <c r="BG174" s="435" t="str">
        <f t="shared" si="140"/>
        <v>-</v>
      </c>
      <c r="BH174" s="435" t="str">
        <f t="shared" si="140"/>
        <v>-</v>
      </c>
      <c r="BI174" s="435" t="str">
        <f t="shared" si="140"/>
        <v>-</v>
      </c>
      <c r="BJ174" s="435" t="str">
        <f t="shared" si="140"/>
        <v>-</v>
      </c>
      <c r="BK174" s="435" t="str">
        <f t="shared" si="140"/>
        <v>-</v>
      </c>
      <c r="BL174" s="435" t="str">
        <f t="shared" si="140"/>
        <v>-</v>
      </c>
    </row>
    <row r="175" spans="1:64" ht="15" customHeight="1" outlineLevel="1" thickBot="1" x14ac:dyDescent="0.3">
      <c r="A175" s="404"/>
      <c r="B175" s="725"/>
      <c r="C175" s="686">
        <v>4</v>
      </c>
      <c r="D175" s="689" t="str">
        <f>IF(AND(F176="-",G176="-",H176="-",I176="-",J176="-",K176="-",L176="-",M176="-"),"-",MAX(F176,G176,H176,I176,J176,K176,L176,M176))</f>
        <v>-</v>
      </c>
      <c r="E175" s="444" t="s">
        <v>96</v>
      </c>
      <c r="F175" s="445" t="str">
        <f t="shared" ref="F175:N175" si="141">IF(OR(F174="-",F174=""),IF(OR(F173="-",F173=""),"-",F173),IF(OR(F173="-",F173=""),F174,(F173+F174)/2))</f>
        <v>-</v>
      </c>
      <c r="G175" s="445" t="str">
        <f t="shared" si="141"/>
        <v>-</v>
      </c>
      <c r="H175" s="445" t="str">
        <f t="shared" si="141"/>
        <v>-</v>
      </c>
      <c r="I175" s="445" t="str">
        <f t="shared" si="141"/>
        <v>-</v>
      </c>
      <c r="J175" s="445" t="str">
        <f t="shared" si="141"/>
        <v>-</v>
      </c>
      <c r="K175" s="446" t="str">
        <f t="shared" si="141"/>
        <v>-</v>
      </c>
      <c r="L175" s="446" t="str">
        <f t="shared" si="141"/>
        <v>-</v>
      </c>
      <c r="M175" s="446" t="str">
        <f t="shared" si="141"/>
        <v>-</v>
      </c>
      <c r="N175" s="445" t="str">
        <f t="shared" si="141"/>
        <v>-</v>
      </c>
      <c r="O175" s="672"/>
      <c r="P175" s="673"/>
      <c r="Q175" s="673"/>
      <c r="R175" s="673"/>
      <c r="S175" s="672"/>
      <c r="T175" s="673"/>
      <c r="U175" s="673"/>
      <c r="V175" s="674"/>
      <c r="W175" s="434"/>
      <c r="X175" s="434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BC175" s="401" t="str">
        <f t="shared" si="109"/>
        <v>-</v>
      </c>
      <c r="BD175" s="429" t="str">
        <f>"IEF " &amp;B158</f>
        <v>IEF City (unweighted)</v>
      </c>
      <c r="BE175" s="435">
        <f t="shared" ref="BE175:BL175" si="142">IF(OR($C160="-",$C160="CET",$C160=""),"-",$C160)</f>
        <v>4</v>
      </c>
      <c r="BF175" s="435">
        <f t="shared" si="142"/>
        <v>4</v>
      </c>
      <c r="BG175" s="435">
        <f t="shared" si="142"/>
        <v>4</v>
      </c>
      <c r="BH175" s="435">
        <f t="shared" si="142"/>
        <v>4</v>
      </c>
      <c r="BI175" s="435">
        <f t="shared" si="142"/>
        <v>4</v>
      </c>
      <c r="BJ175" s="435">
        <f t="shared" si="142"/>
        <v>4</v>
      </c>
      <c r="BK175" s="435">
        <f t="shared" si="142"/>
        <v>4</v>
      </c>
      <c r="BL175" s="435">
        <f t="shared" si="142"/>
        <v>4</v>
      </c>
    </row>
    <row r="176" spans="1:64" ht="15" customHeight="1" outlineLevel="1" thickBot="1" x14ac:dyDescent="0.3">
      <c r="A176" s="404"/>
      <c r="B176" s="725"/>
      <c r="C176" s="687"/>
      <c r="D176" s="690"/>
      <c r="E176" s="447" t="s">
        <v>97</v>
      </c>
      <c r="F176" s="448" t="str">
        <f t="shared" ref="F176:N176" si="143">IF(OR($C175="-",$C175="CET",$C175=""),"-",IF(AND(NOT(F175="-"),NOT(F$5="-"),NOT(F$5="")),F175/F$5,"-"))</f>
        <v>-</v>
      </c>
      <c r="G176" s="448" t="str">
        <f t="shared" si="143"/>
        <v>-</v>
      </c>
      <c r="H176" s="448" t="str">
        <f t="shared" si="143"/>
        <v>-</v>
      </c>
      <c r="I176" s="448" t="str">
        <f t="shared" si="143"/>
        <v>-</v>
      </c>
      <c r="J176" s="448" t="str">
        <f t="shared" si="143"/>
        <v>-</v>
      </c>
      <c r="K176" s="449" t="str">
        <f t="shared" si="143"/>
        <v>-</v>
      </c>
      <c r="L176" s="449" t="str">
        <f t="shared" si="143"/>
        <v>-</v>
      </c>
      <c r="M176" s="449" t="str">
        <f t="shared" si="143"/>
        <v>-</v>
      </c>
      <c r="N176" s="448" t="str">
        <f t="shared" si="143"/>
        <v>-</v>
      </c>
      <c r="O176" s="672"/>
      <c r="P176" s="673"/>
      <c r="Q176" s="673"/>
      <c r="R176" s="673"/>
      <c r="S176" s="672"/>
      <c r="T176" s="673"/>
      <c r="U176" s="673"/>
      <c r="V176" s="674"/>
      <c r="W176" s="434"/>
      <c r="X176" s="434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BC176" s="401" t="str">
        <f t="shared" si="109"/>
        <v>-</v>
      </c>
      <c r="BD176" s="429" t="str">
        <f>"IEF " &amp; B163</f>
        <v>IEF City (EMROAD)</v>
      </c>
      <c r="BE176" s="435">
        <f t="shared" ref="BE176:BL176" si="144">IF(OR($C165="-",$C165="CET",$C165=""),"-",$C165)</f>
        <v>4</v>
      </c>
      <c r="BF176" s="435">
        <f t="shared" si="144"/>
        <v>4</v>
      </c>
      <c r="BG176" s="435">
        <f t="shared" si="144"/>
        <v>4</v>
      </c>
      <c r="BH176" s="435">
        <f t="shared" si="144"/>
        <v>4</v>
      </c>
      <c r="BI176" s="435">
        <f t="shared" si="144"/>
        <v>4</v>
      </c>
      <c r="BJ176" s="435">
        <f t="shared" si="144"/>
        <v>4</v>
      </c>
      <c r="BK176" s="435">
        <f t="shared" si="144"/>
        <v>4</v>
      </c>
      <c r="BL176" s="435">
        <f t="shared" si="144"/>
        <v>4</v>
      </c>
    </row>
    <row r="177" spans="1:64" ht="15" customHeight="1" outlineLevel="1" thickBot="1" x14ac:dyDescent="0.3">
      <c r="A177" s="404"/>
      <c r="B177" s="726"/>
      <c r="C177" s="688"/>
      <c r="D177" s="691"/>
      <c r="E177" s="451" t="s">
        <v>30</v>
      </c>
      <c r="F177" s="451" t="str">
        <f t="shared" ref="F177:N177" si="145">IF(AND(OR(F173="-",F173=""),OR(F174="-",F174="")),"-",IF(OR($C175="-",$C175="",$C175="CET"),"-",IF($R$154="not listed","-",IF(NOT(F$5="-"),IF(AND(AND(NOT(F173=0),NOT(F173="-"),NOT(F173="")),AND(NOT(F174="-"),NOT(F174=0),NOT(F174=""))),IF(AND((F173+F174)/2&lt;1*F$5*IF(OR($C175="CET",$C175="-",$C175=""),"-",$C175),F173&lt;1.1*F$5*IF(OR($C175="CET",$C175="-",$C175=""),"-",$C175),F174&lt;1.1*F$5*IF(OR($C175="CET",$C175="-",$C175=""),"-",$C175)),"passed","refused"),IF(IF(OR(F173="-",F173=""),F174,F173)&lt;0.7*F$5*IF(OR($C175="CET",$C175="-",$C175=""),"-",$C175),"passed",IF(IF(OR(F173="-",F173=""),F174,F173)&lt;1.1*IF(OR($C175="CET",$C175="-",$C175=""),"-",$C175)*F$5,"failed","refused"))),"-"))))</f>
        <v>-</v>
      </c>
      <c r="G177" s="451" t="str">
        <f t="shared" si="145"/>
        <v>-</v>
      </c>
      <c r="H177" s="451" t="str">
        <f t="shared" si="145"/>
        <v>-</v>
      </c>
      <c r="I177" s="451" t="str">
        <f t="shared" si="145"/>
        <v>-</v>
      </c>
      <c r="J177" s="451" t="str">
        <f t="shared" si="145"/>
        <v>-</v>
      </c>
      <c r="K177" s="452" t="str">
        <f t="shared" si="145"/>
        <v>-</v>
      </c>
      <c r="L177" s="452" t="str">
        <f t="shared" si="145"/>
        <v>-</v>
      </c>
      <c r="M177" s="452" t="str">
        <f t="shared" si="145"/>
        <v>-</v>
      </c>
      <c r="N177" s="451" t="str">
        <f t="shared" si="145"/>
        <v>-</v>
      </c>
      <c r="O177" s="672"/>
      <c r="P177" s="673"/>
      <c r="Q177" s="673"/>
      <c r="R177" s="673"/>
      <c r="S177" s="672"/>
      <c r="T177" s="673"/>
      <c r="U177" s="673"/>
      <c r="V177" s="674"/>
      <c r="W177" s="434"/>
      <c r="X177" s="434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BC177" s="401" t="str">
        <f t="shared" si="109"/>
        <v>-</v>
      </c>
      <c r="BD177" s="429" t="str">
        <f>"IEF " &amp; B168</f>
        <v>IEF City
 (SPF)</v>
      </c>
      <c r="BE177" s="435">
        <f t="shared" ref="BE177:BL177" si="146">IF(OR($C170="-",$C170="CET",$C170=""),"-",$C170)</f>
        <v>4</v>
      </c>
      <c r="BF177" s="435">
        <f t="shared" si="146"/>
        <v>4</v>
      </c>
      <c r="BG177" s="435">
        <f t="shared" si="146"/>
        <v>4</v>
      </c>
      <c r="BH177" s="435">
        <f t="shared" si="146"/>
        <v>4</v>
      </c>
      <c r="BI177" s="435">
        <f t="shared" si="146"/>
        <v>4</v>
      </c>
      <c r="BJ177" s="435">
        <f t="shared" si="146"/>
        <v>4</v>
      </c>
      <c r="BK177" s="435">
        <f t="shared" si="146"/>
        <v>4</v>
      </c>
      <c r="BL177" s="435">
        <f t="shared" si="146"/>
        <v>4</v>
      </c>
    </row>
    <row r="178" spans="1:64" s="405" customFormat="1" ht="15" customHeight="1" outlineLevel="1" x14ac:dyDescent="0.25">
      <c r="A178" s="454"/>
      <c r="B178" s="724" t="s">
        <v>104</v>
      </c>
      <c r="C178" s="684" t="s">
        <v>114</v>
      </c>
      <c r="D178" s="684" t="s">
        <v>113</v>
      </c>
      <c r="E178" s="453" t="s">
        <v>94</v>
      </c>
      <c r="F178" s="473" t="s">
        <v>5</v>
      </c>
      <c r="G178" s="473" t="s">
        <v>5</v>
      </c>
      <c r="H178" s="473" t="s">
        <v>5</v>
      </c>
      <c r="I178" s="473" t="s">
        <v>5</v>
      </c>
      <c r="J178" s="473" t="s">
        <v>5</v>
      </c>
      <c r="K178" s="474" t="s">
        <v>5</v>
      </c>
      <c r="L178" s="474" t="s">
        <v>5</v>
      </c>
      <c r="M178" s="474" t="s">
        <v>5</v>
      </c>
      <c r="N178" s="473" t="s">
        <v>5</v>
      </c>
      <c r="O178" s="672"/>
      <c r="P178" s="673"/>
      <c r="Q178" s="673"/>
      <c r="R178" s="673"/>
      <c r="S178" s="672"/>
      <c r="T178" s="673"/>
      <c r="U178" s="673"/>
      <c r="V178" s="674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C178" s="401" t="str">
        <f t="shared" si="109"/>
        <v>-</v>
      </c>
      <c r="BD178" s="429" t="str">
        <f>"IEF " &amp; B173</f>
        <v>IEF Total (unweighted)</v>
      </c>
      <c r="BE178" s="435">
        <f t="shared" ref="BE178:BL178" si="147">IF(OR($C175="-",$C175="CET",$C175=""),"-",$C175)</f>
        <v>4</v>
      </c>
      <c r="BF178" s="435">
        <f t="shared" si="147"/>
        <v>4</v>
      </c>
      <c r="BG178" s="435">
        <f t="shared" si="147"/>
        <v>4</v>
      </c>
      <c r="BH178" s="435">
        <f t="shared" si="147"/>
        <v>4</v>
      </c>
      <c r="BI178" s="435">
        <f t="shared" si="147"/>
        <v>4</v>
      </c>
      <c r="BJ178" s="435">
        <f t="shared" si="147"/>
        <v>4</v>
      </c>
      <c r="BK178" s="435">
        <f t="shared" si="147"/>
        <v>4</v>
      </c>
      <c r="BL178" s="435">
        <f t="shared" si="147"/>
        <v>4</v>
      </c>
    </row>
    <row r="179" spans="1:64" ht="15" customHeight="1" outlineLevel="1" thickBot="1" x14ac:dyDescent="0.3">
      <c r="A179" s="404"/>
      <c r="B179" s="725"/>
      <c r="C179" s="702"/>
      <c r="D179" s="685"/>
      <c r="E179" s="440" t="s">
        <v>95</v>
      </c>
      <c r="F179" s="475" t="s">
        <v>5</v>
      </c>
      <c r="G179" s="475" t="s">
        <v>5</v>
      </c>
      <c r="H179" s="475" t="s">
        <v>5</v>
      </c>
      <c r="I179" s="475" t="s">
        <v>5</v>
      </c>
      <c r="J179" s="475" t="s">
        <v>5</v>
      </c>
      <c r="K179" s="476" t="s">
        <v>5</v>
      </c>
      <c r="L179" s="476" t="s">
        <v>5</v>
      </c>
      <c r="M179" s="476" t="s">
        <v>5</v>
      </c>
      <c r="N179" s="475" t="s">
        <v>5</v>
      </c>
      <c r="O179" s="672"/>
      <c r="P179" s="673"/>
      <c r="Q179" s="673"/>
      <c r="R179" s="673"/>
      <c r="S179" s="672"/>
      <c r="T179" s="673"/>
      <c r="U179" s="673"/>
      <c r="V179" s="674"/>
      <c r="W179" s="434"/>
      <c r="X179" s="434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BC179" s="401" t="str">
        <f t="shared" si="109"/>
        <v>-</v>
      </c>
      <c r="BD179" s="429" t="str">
        <f>"IEF " &amp; B178</f>
        <v>IEF Total (EMROAD)</v>
      </c>
      <c r="BE179" s="435">
        <f t="shared" ref="BE179:BL179" si="148">IF(OR($C180="-",$C180="CET",$C180=""),"-",$C180)</f>
        <v>4</v>
      </c>
      <c r="BF179" s="435">
        <f t="shared" si="148"/>
        <v>4</v>
      </c>
      <c r="BG179" s="435">
        <f t="shared" si="148"/>
        <v>4</v>
      </c>
      <c r="BH179" s="435">
        <f t="shared" si="148"/>
        <v>4</v>
      </c>
      <c r="BI179" s="435">
        <f t="shared" si="148"/>
        <v>4</v>
      </c>
      <c r="BJ179" s="435">
        <f t="shared" si="148"/>
        <v>4</v>
      </c>
      <c r="BK179" s="435">
        <f t="shared" si="148"/>
        <v>4</v>
      </c>
      <c r="BL179" s="435">
        <f t="shared" si="148"/>
        <v>4</v>
      </c>
    </row>
    <row r="180" spans="1:64" ht="15" customHeight="1" outlineLevel="1" thickBot="1" x14ac:dyDescent="0.3">
      <c r="A180" s="404"/>
      <c r="B180" s="725"/>
      <c r="C180" s="686">
        <v>4</v>
      </c>
      <c r="D180" s="689" t="str">
        <f>IF(AND(F181="-",G181="-",H181="-",I181="-",J181="-",K181="-",L181="-",M181="-"),"-",MAX(F181,G181,H181,I181,J181,K181,L181,M181))</f>
        <v>-</v>
      </c>
      <c r="E180" s="444" t="s">
        <v>96</v>
      </c>
      <c r="F180" s="445" t="str">
        <f t="shared" ref="F180:N180" si="149">IF(OR(F179="-",F179=""),IF(OR(F178="-",F178=""),"-",F178),IF(OR(F178="-",F178=""),F179,(F178+F179)/2))</f>
        <v>-</v>
      </c>
      <c r="G180" s="445" t="str">
        <f t="shared" si="149"/>
        <v>-</v>
      </c>
      <c r="H180" s="445" t="str">
        <f t="shared" si="149"/>
        <v>-</v>
      </c>
      <c r="I180" s="445" t="str">
        <f t="shared" si="149"/>
        <v>-</v>
      </c>
      <c r="J180" s="445" t="str">
        <f t="shared" si="149"/>
        <v>-</v>
      </c>
      <c r="K180" s="446" t="str">
        <f t="shared" si="149"/>
        <v>-</v>
      </c>
      <c r="L180" s="446" t="str">
        <f t="shared" si="149"/>
        <v>-</v>
      </c>
      <c r="M180" s="446" t="str">
        <f t="shared" si="149"/>
        <v>-</v>
      </c>
      <c r="N180" s="445" t="str">
        <f t="shared" si="149"/>
        <v>-</v>
      </c>
      <c r="O180" s="672"/>
      <c r="P180" s="673"/>
      <c r="Q180" s="673"/>
      <c r="R180" s="673"/>
      <c r="S180" s="672"/>
      <c r="T180" s="673"/>
      <c r="U180" s="673"/>
      <c r="V180" s="674"/>
      <c r="W180" s="434"/>
      <c r="X180" s="434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BC180" s="401" t="str">
        <f t="shared" si="109"/>
        <v>-</v>
      </c>
      <c r="BD180" s="429" t="str">
        <f>"IEF " &amp; B183</f>
        <v>IEF Total (SPF)</v>
      </c>
      <c r="BE180" s="435">
        <f t="shared" ref="BE180:BL180" si="150">IF(OR($C185="-",$C185="CET",$C185=""),"-",$C185)</f>
        <v>4</v>
      </c>
      <c r="BF180" s="435">
        <f t="shared" si="150"/>
        <v>4</v>
      </c>
      <c r="BG180" s="435">
        <f t="shared" si="150"/>
        <v>4</v>
      </c>
      <c r="BH180" s="435">
        <f t="shared" si="150"/>
        <v>4</v>
      </c>
      <c r="BI180" s="435">
        <f t="shared" si="150"/>
        <v>4</v>
      </c>
      <c r="BJ180" s="435">
        <f t="shared" si="150"/>
        <v>4</v>
      </c>
      <c r="BK180" s="435">
        <f t="shared" si="150"/>
        <v>4</v>
      </c>
      <c r="BL180" s="435">
        <f t="shared" si="150"/>
        <v>4</v>
      </c>
    </row>
    <row r="181" spans="1:64" ht="15" customHeight="1" outlineLevel="1" thickBot="1" x14ac:dyDescent="0.3">
      <c r="A181" s="404"/>
      <c r="B181" s="725"/>
      <c r="C181" s="687"/>
      <c r="D181" s="690"/>
      <c r="E181" s="447" t="s">
        <v>97</v>
      </c>
      <c r="F181" s="448" t="str">
        <f t="shared" ref="F181:N181" si="151">IF(OR($C180="-",$C180="CET",$C180=""),"-",IF(AND(NOT(F180="-"),NOT(F$5="-"),NOT(F$5="")),F180/F$5,"-"))</f>
        <v>-</v>
      </c>
      <c r="G181" s="448" t="str">
        <f t="shared" si="151"/>
        <v>-</v>
      </c>
      <c r="H181" s="448" t="str">
        <f t="shared" si="151"/>
        <v>-</v>
      </c>
      <c r="I181" s="448" t="str">
        <f t="shared" si="151"/>
        <v>-</v>
      </c>
      <c r="J181" s="448" t="str">
        <f t="shared" si="151"/>
        <v>-</v>
      </c>
      <c r="K181" s="449" t="str">
        <f t="shared" si="151"/>
        <v>-</v>
      </c>
      <c r="L181" s="449" t="str">
        <f t="shared" si="151"/>
        <v>-</v>
      </c>
      <c r="M181" s="449" t="str">
        <f t="shared" si="151"/>
        <v>-</v>
      </c>
      <c r="N181" s="448" t="str">
        <f t="shared" si="151"/>
        <v>-</v>
      </c>
      <c r="O181" s="672"/>
      <c r="P181" s="673"/>
      <c r="Q181" s="673"/>
      <c r="R181" s="673"/>
      <c r="S181" s="672"/>
      <c r="T181" s="673"/>
      <c r="U181" s="673"/>
      <c r="V181" s="674"/>
      <c r="W181" s="434"/>
      <c r="X181" s="434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BC181" s="401" t="str">
        <f t="shared" si="109"/>
        <v>-</v>
      </c>
    </row>
    <row r="182" spans="1:64" ht="15" customHeight="1" outlineLevel="1" thickBot="1" x14ac:dyDescent="0.3">
      <c r="A182" s="404"/>
      <c r="B182" s="726"/>
      <c r="C182" s="688"/>
      <c r="D182" s="691"/>
      <c r="E182" s="451" t="s">
        <v>30</v>
      </c>
      <c r="F182" s="451" t="str">
        <f t="shared" ref="F182:N182" si="152">IF(AND(OR(F178="-",F178=""),OR(F179="-",F179="")),"-",IF(OR($C180="-",$C180="",$C180="CET"),"-",IF($R$154="not listed","-",IF(NOT(F$5="-"),IF(AND(AND(NOT(F178=0),NOT(F178="-"),NOT(F178="")),AND(NOT(F179="-"),NOT(F179=0),NOT(F179=""))),IF(AND((F178+F179)/2&lt;1*F$5*IF(OR($C180="CET",$C180="-",$C180=""),"-",$C180),F178&lt;1.1*F$5*IF(OR($C180="CET",$C180="-",$C180=""),"-",$C180),F179&lt;1.1*F$5*IF(OR($C180="CET",$C180="-",$C180=""),"-",$C180)),"passed","refused"),IF(IF(OR(F178="-",F178=""),F179,F178)&lt;0.7*F$5*IF(OR($C180="CET",$C180="-",$C180=""),"-",$C180),"passed",IF(IF(OR(F178="-",F178=""),F179,F178)&lt;1.1*IF(OR($C180="CET",$C180="-",$C180=""),"-",$C180)*F$5,"failed","refused"))),"-"))))</f>
        <v>-</v>
      </c>
      <c r="G182" s="451" t="str">
        <f t="shared" si="152"/>
        <v>-</v>
      </c>
      <c r="H182" s="451" t="str">
        <f t="shared" si="152"/>
        <v>-</v>
      </c>
      <c r="I182" s="451" t="str">
        <f t="shared" si="152"/>
        <v>-</v>
      </c>
      <c r="J182" s="451" t="str">
        <f t="shared" si="152"/>
        <v>-</v>
      </c>
      <c r="K182" s="452" t="str">
        <f t="shared" si="152"/>
        <v>-</v>
      </c>
      <c r="L182" s="452" t="str">
        <f t="shared" si="152"/>
        <v>-</v>
      </c>
      <c r="M182" s="452" t="str">
        <f t="shared" si="152"/>
        <v>-</v>
      </c>
      <c r="N182" s="451" t="str">
        <f t="shared" si="152"/>
        <v>-</v>
      </c>
      <c r="O182" s="672"/>
      <c r="P182" s="673"/>
      <c r="Q182" s="673"/>
      <c r="R182" s="673"/>
      <c r="S182" s="672"/>
      <c r="T182" s="673"/>
      <c r="U182" s="673"/>
      <c r="V182" s="674"/>
      <c r="W182" s="434"/>
      <c r="X182" s="434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BC182" s="401" t="str">
        <f t="shared" si="109"/>
        <v>-</v>
      </c>
      <c r="BD182" s="459"/>
      <c r="BE182" s="459"/>
      <c r="BF182" s="459"/>
      <c r="BG182" s="459"/>
      <c r="BH182" s="459"/>
      <c r="BI182" s="459"/>
      <c r="BJ182" s="459"/>
      <c r="BK182" s="459"/>
      <c r="BL182" s="459"/>
    </row>
    <row r="183" spans="1:64" s="405" customFormat="1" ht="15" customHeight="1" outlineLevel="1" x14ac:dyDescent="0.25">
      <c r="A183" s="454"/>
      <c r="B183" s="718" t="s">
        <v>140</v>
      </c>
      <c r="C183" s="684" t="s">
        <v>114</v>
      </c>
      <c r="D183" s="684" t="s">
        <v>113</v>
      </c>
      <c r="E183" s="453" t="s">
        <v>94</v>
      </c>
      <c r="F183" s="473" t="s">
        <v>5</v>
      </c>
      <c r="G183" s="473" t="s">
        <v>5</v>
      </c>
      <c r="H183" s="473" t="s">
        <v>5</v>
      </c>
      <c r="I183" s="473" t="s">
        <v>5</v>
      </c>
      <c r="J183" s="473" t="s">
        <v>5</v>
      </c>
      <c r="K183" s="474" t="s">
        <v>5</v>
      </c>
      <c r="L183" s="474" t="s">
        <v>5</v>
      </c>
      <c r="M183" s="474" t="s">
        <v>5</v>
      </c>
      <c r="N183" s="473" t="s">
        <v>5</v>
      </c>
      <c r="O183" s="672"/>
      <c r="P183" s="673"/>
      <c r="Q183" s="673"/>
      <c r="R183" s="673"/>
      <c r="S183" s="672"/>
      <c r="T183" s="673"/>
      <c r="U183" s="673"/>
      <c r="V183" s="674"/>
      <c r="W183" s="443"/>
      <c r="X183" s="443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BC183" s="401" t="str">
        <f t="shared" si="109"/>
        <v>-</v>
      </c>
      <c r="BD183" s="459"/>
      <c r="BE183" s="459"/>
      <c r="BF183" s="459"/>
      <c r="BG183" s="459"/>
      <c r="BH183" s="459"/>
      <c r="BI183" s="459"/>
      <c r="BJ183" s="459"/>
      <c r="BK183" s="459"/>
      <c r="BL183" s="459"/>
    </row>
    <row r="184" spans="1:64" ht="15" customHeight="1" outlineLevel="1" thickBot="1" x14ac:dyDescent="0.3">
      <c r="A184" s="404"/>
      <c r="B184" s="719"/>
      <c r="C184" s="702"/>
      <c r="D184" s="685"/>
      <c r="E184" s="440" t="s">
        <v>95</v>
      </c>
      <c r="F184" s="475" t="s">
        <v>5</v>
      </c>
      <c r="G184" s="475" t="s">
        <v>5</v>
      </c>
      <c r="H184" s="475" t="s">
        <v>5</v>
      </c>
      <c r="I184" s="475" t="s">
        <v>5</v>
      </c>
      <c r="J184" s="475" t="s">
        <v>5</v>
      </c>
      <c r="K184" s="476" t="s">
        <v>5</v>
      </c>
      <c r="L184" s="476" t="s">
        <v>5</v>
      </c>
      <c r="M184" s="476" t="s">
        <v>5</v>
      </c>
      <c r="N184" s="475" t="s">
        <v>5</v>
      </c>
      <c r="O184" s="672"/>
      <c r="P184" s="673"/>
      <c r="Q184" s="673"/>
      <c r="R184" s="673"/>
      <c r="S184" s="672"/>
      <c r="T184" s="673"/>
      <c r="U184" s="673"/>
      <c r="V184" s="674"/>
      <c r="W184" s="434"/>
      <c r="X184" s="434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BC184" s="401" t="str">
        <f t="shared" si="109"/>
        <v>-</v>
      </c>
      <c r="BD184" s="460"/>
      <c r="BE184" s="460"/>
      <c r="BF184" s="460"/>
      <c r="BG184" s="460"/>
      <c r="BH184" s="460"/>
      <c r="BI184" s="460"/>
      <c r="BJ184" s="460"/>
      <c r="BK184" s="460"/>
      <c r="BL184" s="460"/>
    </row>
    <row r="185" spans="1:64" ht="15" customHeight="1" outlineLevel="1" thickBot="1" x14ac:dyDescent="0.3">
      <c r="A185" s="404"/>
      <c r="B185" s="719"/>
      <c r="C185" s="686">
        <v>4</v>
      </c>
      <c r="D185" s="689" t="str">
        <f>IF(AND(F186="-",G186="-",H186="-",I186="-",J186="-",K186="-",L186="-",M186="-"),"-",MAX(F186,G186,H186,I186,J186,K186,L186,M186))</f>
        <v>-</v>
      </c>
      <c r="E185" s="444" t="s">
        <v>96</v>
      </c>
      <c r="F185" s="445" t="str">
        <f t="shared" ref="F185:N185" si="153">IF(OR(F184="-",F184=""),IF(OR(F183="-",F183=""),"-",F183),IF(OR(F183="-",F183=""),F184,(F183+F184)/2))</f>
        <v>-</v>
      </c>
      <c r="G185" s="445" t="str">
        <f t="shared" si="153"/>
        <v>-</v>
      </c>
      <c r="H185" s="445" t="str">
        <f t="shared" si="153"/>
        <v>-</v>
      </c>
      <c r="I185" s="445" t="str">
        <f t="shared" si="153"/>
        <v>-</v>
      </c>
      <c r="J185" s="445" t="str">
        <f t="shared" si="153"/>
        <v>-</v>
      </c>
      <c r="K185" s="446" t="str">
        <f t="shared" si="153"/>
        <v>-</v>
      </c>
      <c r="L185" s="446" t="str">
        <f t="shared" si="153"/>
        <v>-</v>
      </c>
      <c r="M185" s="446" t="str">
        <f t="shared" si="153"/>
        <v>-</v>
      </c>
      <c r="N185" s="445" t="str">
        <f t="shared" si="153"/>
        <v>-</v>
      </c>
      <c r="O185" s="672"/>
      <c r="P185" s="673"/>
      <c r="Q185" s="673"/>
      <c r="R185" s="673"/>
      <c r="S185" s="672"/>
      <c r="T185" s="673"/>
      <c r="U185" s="673"/>
      <c r="V185" s="674"/>
      <c r="W185" s="434"/>
      <c r="X185" s="434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401" t="str">
        <f t="shared" si="109"/>
        <v>-</v>
      </c>
      <c r="BD185" s="460"/>
      <c r="BE185" s="460"/>
      <c r="BF185" s="460"/>
      <c r="BG185" s="460"/>
      <c r="BH185" s="460"/>
      <c r="BI185" s="460"/>
      <c r="BJ185" s="460"/>
      <c r="BK185" s="460"/>
      <c r="BL185" s="460"/>
    </row>
    <row r="186" spans="1:64" ht="15.75" outlineLevel="1" thickBot="1" x14ac:dyDescent="0.3">
      <c r="B186" s="719"/>
      <c r="C186" s="687"/>
      <c r="D186" s="690"/>
      <c r="E186" s="447" t="s">
        <v>97</v>
      </c>
      <c r="F186" s="448" t="str">
        <f t="shared" ref="F186:N186" si="154">IF(OR($C185="-",$C185="CET",$C185=""),"-",IF(AND(NOT(F185="-"),NOT(F$5="-"),NOT(F$5="")),F185/F$5,"-"))</f>
        <v>-</v>
      </c>
      <c r="G186" s="448" t="str">
        <f t="shared" si="154"/>
        <v>-</v>
      </c>
      <c r="H186" s="448" t="str">
        <f t="shared" si="154"/>
        <v>-</v>
      </c>
      <c r="I186" s="448" t="str">
        <f t="shared" si="154"/>
        <v>-</v>
      </c>
      <c r="J186" s="448" t="str">
        <f t="shared" si="154"/>
        <v>-</v>
      </c>
      <c r="K186" s="449" t="str">
        <f t="shared" si="154"/>
        <v>-</v>
      </c>
      <c r="L186" s="449" t="str">
        <f t="shared" si="154"/>
        <v>-</v>
      </c>
      <c r="M186" s="449" t="str">
        <f t="shared" si="154"/>
        <v>-</v>
      </c>
      <c r="N186" s="448" t="str">
        <f t="shared" si="154"/>
        <v>-</v>
      </c>
      <c r="O186" s="672"/>
      <c r="P186" s="673"/>
      <c r="Q186" s="673"/>
      <c r="R186" s="673"/>
      <c r="S186" s="672"/>
      <c r="T186" s="673"/>
      <c r="U186" s="673"/>
      <c r="V186" s="674"/>
      <c r="BC186" s="401" t="str">
        <f t="shared" si="109"/>
        <v>-</v>
      </c>
    </row>
    <row r="187" spans="1:64" ht="15.75" outlineLevel="1" thickBot="1" x14ac:dyDescent="0.3">
      <c r="B187" s="720"/>
      <c r="C187" s="688"/>
      <c r="D187" s="691"/>
      <c r="E187" s="451" t="s">
        <v>30</v>
      </c>
      <c r="F187" s="451" t="str">
        <f t="shared" ref="F187:N187" si="155">IF(AND(OR(F183="-",F183=""),OR(F184="-",F184="")),"-",IF(OR($C185="-",$C185="",$C185="CET"),"-",IF($R$154="not listed","-",IF(NOT(F$5="-"),IF(AND(AND(NOT(F183=0),NOT(F183="-"),NOT(F183="")),AND(NOT(F184="-"),NOT(F184=0),NOT(F184=""))),IF(AND((F183+F184)/2&lt;1*F$5*IF(OR($C185="CET",$C185="-",$C185=""),"-",$C185),F183&lt;1.1*F$5*IF(OR($C185="CET",$C185="-",$C185=""),"-",$C185),F184&lt;1.1*F$5*IF(OR($C185="CET",$C185="-",$C185=""),"-",$C185)),"passed","refused"),IF(IF(OR(F183="-",F183=""),F184,F183)&lt;0.7*F$5*IF(OR($C185="CET",$C185="-",$C185=""),"-",$C185),"passed",IF(IF(OR(F183="-",F183=""),F184,F183)&lt;1.1*IF(OR($C185="CET",$C185="-",$C185=""),"-",$C185)*F$5,"failed","refused"))),"-"))))</f>
        <v>-</v>
      </c>
      <c r="G187" s="451" t="str">
        <f t="shared" si="155"/>
        <v>-</v>
      </c>
      <c r="H187" s="451" t="str">
        <f t="shared" si="155"/>
        <v>-</v>
      </c>
      <c r="I187" s="451" t="str">
        <f t="shared" si="155"/>
        <v>-</v>
      </c>
      <c r="J187" s="451" t="str">
        <f t="shared" si="155"/>
        <v>-</v>
      </c>
      <c r="K187" s="452" t="str">
        <f t="shared" si="155"/>
        <v>-</v>
      </c>
      <c r="L187" s="452" t="str">
        <f t="shared" si="155"/>
        <v>-</v>
      </c>
      <c r="M187" s="452" t="str">
        <f t="shared" si="155"/>
        <v>-</v>
      </c>
      <c r="N187" s="451" t="str">
        <f t="shared" si="155"/>
        <v>-</v>
      </c>
      <c r="O187" s="675"/>
      <c r="P187" s="676"/>
      <c r="Q187" s="676"/>
      <c r="R187" s="676"/>
      <c r="S187" s="675"/>
      <c r="T187" s="676"/>
      <c r="U187" s="676"/>
      <c r="V187" s="677"/>
      <c r="BC187" s="401" t="str">
        <f t="shared" si="109"/>
        <v>-</v>
      </c>
    </row>
  </sheetData>
  <sheetProtection selectLockedCells="1"/>
  <mergeCells count="187">
    <mergeCell ref="B183:B187"/>
    <mergeCell ref="C183:C184"/>
    <mergeCell ref="D183:D184"/>
    <mergeCell ref="C185:C187"/>
    <mergeCell ref="D185:D187"/>
    <mergeCell ref="B173:B177"/>
    <mergeCell ref="C173:C174"/>
    <mergeCell ref="D173:D174"/>
    <mergeCell ref="C175:C177"/>
    <mergeCell ref="D175:D177"/>
    <mergeCell ref="B178:B182"/>
    <mergeCell ref="C178:C179"/>
    <mergeCell ref="D178:D179"/>
    <mergeCell ref="C180:C182"/>
    <mergeCell ref="D180:D182"/>
    <mergeCell ref="C154:N154"/>
    <mergeCell ref="Y154:AH154"/>
    <mergeCell ref="Y155:AH185"/>
    <mergeCell ref="B156:N156"/>
    <mergeCell ref="O156:R156"/>
    <mergeCell ref="S156:V156"/>
    <mergeCell ref="B157:E157"/>
    <mergeCell ref="O157:R187"/>
    <mergeCell ref="S157:V187"/>
    <mergeCell ref="B158:B162"/>
    <mergeCell ref="C158:C159"/>
    <mergeCell ref="D158:D159"/>
    <mergeCell ref="C160:C162"/>
    <mergeCell ref="D160:D162"/>
    <mergeCell ref="B163:B167"/>
    <mergeCell ref="C163:C164"/>
    <mergeCell ref="D163:D164"/>
    <mergeCell ref="C165:C167"/>
    <mergeCell ref="D165:D167"/>
    <mergeCell ref="B168:B172"/>
    <mergeCell ref="C168:C169"/>
    <mergeCell ref="D168:D169"/>
    <mergeCell ref="C170:C172"/>
    <mergeCell ref="D170:D172"/>
    <mergeCell ref="C127:N127"/>
    <mergeCell ref="Y127:AH127"/>
    <mergeCell ref="Y128:AH153"/>
    <mergeCell ref="B129:N129"/>
    <mergeCell ref="O129:R129"/>
    <mergeCell ref="S129:V129"/>
    <mergeCell ref="B130:E130"/>
    <mergeCell ref="O130:R150"/>
    <mergeCell ref="S130:V150"/>
    <mergeCell ref="B131:B135"/>
    <mergeCell ref="C131:C132"/>
    <mergeCell ref="D131:D132"/>
    <mergeCell ref="C133:C135"/>
    <mergeCell ref="D133:D135"/>
    <mergeCell ref="B136:B140"/>
    <mergeCell ref="C136:C137"/>
    <mergeCell ref="D136:D137"/>
    <mergeCell ref="C138:C140"/>
    <mergeCell ref="D138:D140"/>
    <mergeCell ref="C100:N100"/>
    <mergeCell ref="Y100:AH100"/>
    <mergeCell ref="Y101:AH121"/>
    <mergeCell ref="B102:N102"/>
    <mergeCell ref="O102:R102"/>
    <mergeCell ref="S102:V102"/>
    <mergeCell ref="B103:E103"/>
    <mergeCell ref="O103:R123"/>
    <mergeCell ref="S103:V123"/>
    <mergeCell ref="B104:B108"/>
    <mergeCell ref="B114:B118"/>
    <mergeCell ref="C114:C115"/>
    <mergeCell ref="C116:C118"/>
    <mergeCell ref="B119:B123"/>
    <mergeCell ref="C119:C120"/>
    <mergeCell ref="C121:C123"/>
    <mergeCell ref="C104:C105"/>
    <mergeCell ref="D104:D105"/>
    <mergeCell ref="C106:C108"/>
    <mergeCell ref="D106:D108"/>
    <mergeCell ref="B109:B113"/>
    <mergeCell ref="C109:C110"/>
    <mergeCell ref="C111:C113"/>
    <mergeCell ref="Y74:AH74"/>
    <mergeCell ref="B75:N75"/>
    <mergeCell ref="O75:R75"/>
    <mergeCell ref="S75:V75"/>
    <mergeCell ref="Y75:AH95"/>
    <mergeCell ref="B76:E76"/>
    <mergeCell ref="O76:R96"/>
    <mergeCell ref="S76:V96"/>
    <mergeCell ref="B77:B81"/>
    <mergeCell ref="C77:C78"/>
    <mergeCell ref="B87:B91"/>
    <mergeCell ref="C87:C88"/>
    <mergeCell ref="C89:C91"/>
    <mergeCell ref="B92:B96"/>
    <mergeCell ref="C92:C93"/>
    <mergeCell ref="C94:C96"/>
    <mergeCell ref="D77:D78"/>
    <mergeCell ref="C79:C81"/>
    <mergeCell ref="D79:D81"/>
    <mergeCell ref="B82:B86"/>
    <mergeCell ref="C82:C83"/>
    <mergeCell ref="C84:C86"/>
    <mergeCell ref="D45:D46"/>
    <mergeCell ref="C47:C49"/>
    <mergeCell ref="D47:D49"/>
    <mergeCell ref="B65:B69"/>
    <mergeCell ref="C65:C66"/>
    <mergeCell ref="D65:D66"/>
    <mergeCell ref="C67:C69"/>
    <mergeCell ref="D67:D69"/>
    <mergeCell ref="C73:N73"/>
    <mergeCell ref="B55:B59"/>
    <mergeCell ref="C55:C56"/>
    <mergeCell ref="D55:D56"/>
    <mergeCell ref="C57:C59"/>
    <mergeCell ref="D57:D59"/>
    <mergeCell ref="B60:B64"/>
    <mergeCell ref="C60:C61"/>
    <mergeCell ref="D60:D61"/>
    <mergeCell ref="C62:C64"/>
    <mergeCell ref="D62:D64"/>
    <mergeCell ref="C36:N36"/>
    <mergeCell ref="Y37:AH37"/>
    <mergeCell ref="B38:N38"/>
    <mergeCell ref="O38:R38"/>
    <mergeCell ref="S38:V38"/>
    <mergeCell ref="Y38:AH68"/>
    <mergeCell ref="B39:E39"/>
    <mergeCell ref="O39:R69"/>
    <mergeCell ref="S39:V69"/>
    <mergeCell ref="B40:B44"/>
    <mergeCell ref="N47:N49"/>
    <mergeCell ref="B50:B54"/>
    <mergeCell ref="C50:C51"/>
    <mergeCell ref="D50:D51"/>
    <mergeCell ref="C52:C54"/>
    <mergeCell ref="D52:D54"/>
    <mergeCell ref="N52:N54"/>
    <mergeCell ref="C40:C41"/>
    <mergeCell ref="D40:D41"/>
    <mergeCell ref="C42:C44"/>
    <mergeCell ref="D42:D44"/>
    <mergeCell ref="N42:N44"/>
    <mergeCell ref="B45:B49"/>
    <mergeCell ref="C45:C46"/>
    <mergeCell ref="C20:C22"/>
    <mergeCell ref="D20:D22"/>
    <mergeCell ref="N20:N22"/>
    <mergeCell ref="B11:E11"/>
    <mergeCell ref="O11:R32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A1:J2"/>
    <mergeCell ref="K1:Q2"/>
    <mergeCell ref="B4:D4"/>
    <mergeCell ref="O4:P4"/>
    <mergeCell ref="B5:E5"/>
    <mergeCell ref="O5:P5"/>
    <mergeCell ref="S11:V32"/>
    <mergeCell ref="Y11:AH31"/>
    <mergeCell ref="B12:B17"/>
    <mergeCell ref="D12:E12"/>
    <mergeCell ref="C13:C14"/>
    <mergeCell ref="D13:D14"/>
    <mergeCell ref="C15:C17"/>
    <mergeCell ref="D15:D17"/>
    <mergeCell ref="B6:E6"/>
    <mergeCell ref="C8:N8"/>
    <mergeCell ref="B10:N10"/>
    <mergeCell ref="O10:R10"/>
    <mergeCell ref="S10:V10"/>
    <mergeCell ref="Y10:AH10"/>
    <mergeCell ref="N15:N17"/>
    <mergeCell ref="B18:B22"/>
    <mergeCell ref="C18:C19"/>
    <mergeCell ref="D18:D19"/>
  </mergeCells>
  <conditionalFormatting sqref="A3 F150:N150 F145:N145 F17:M17 F22:M22 F27:M27 F32:M32 F162:N162 F167:N167 F172:N172 F177:N177 F182:N182 F187:N187 F135:N135 F140:N140 F108:N108 F81:N81 F44:M44 F49:M49 F54:M54 F59:N59 F64:N64 F69:N69">
    <cfRule type="containsText" dxfId="2050" priority="79" operator="containsText" text="passed">
      <formula>NOT(ISERROR(SEARCH("passed",A3)))</formula>
    </cfRule>
    <cfRule type="containsText" dxfId="2049" priority="80" operator="containsText" text="failed">
      <formula>NOT(ISERROR(SEARCH("failed",A3)))</formula>
    </cfRule>
    <cfRule type="containsText" dxfId="2048" priority="81" operator="containsText" text="refused">
      <formula>NOT(ISERROR(SEARCH("refused",A3)))</formula>
    </cfRule>
  </conditionalFormatting>
  <conditionalFormatting sqref="N13:N14">
    <cfRule type="expression" dxfId="2047" priority="78">
      <formula>IF(AND(NOT(N13=""),NOT(N13="-")),N13&gt;=1.1*N$5*BL$25,"-")</formula>
    </cfRule>
  </conditionalFormatting>
  <conditionalFormatting sqref="N18:N19">
    <cfRule type="expression" dxfId="2046" priority="77">
      <formula>IF(AND(NOT(N18=""),NOT(N18="-")),N18&gt;=1.1*N$5*BL$26,"-")</formula>
    </cfRule>
  </conditionalFormatting>
  <conditionalFormatting sqref="N23:N24">
    <cfRule type="expression" dxfId="2045" priority="76">
      <formula>IF(AND(NOT(N23=""),NOT(N23="-")),N23&gt;=1.1*N$5*BL$27,"-")</formula>
    </cfRule>
  </conditionalFormatting>
  <conditionalFormatting sqref="N28:N29">
    <cfRule type="expression" dxfId="2044" priority="75">
      <formula>IF(AND(NOT(N28=""),NOT(N28="-")),N28&gt;=1.1*N$5*BL$28,"-")</formula>
    </cfRule>
  </conditionalFormatting>
  <conditionalFormatting sqref="N40:N41">
    <cfRule type="expression" dxfId="2043" priority="74">
      <formula>IF(AND(NOT(N40=""),NOT(N40="-")),N40&gt;=1.1*N$5*BL$58,"-")</formula>
    </cfRule>
  </conditionalFormatting>
  <conditionalFormatting sqref="N50:N51">
    <cfRule type="expression" dxfId="2042" priority="73">
      <formula>IF(AND(NOT(N50=""),NOT(N50="-")),N50&gt;=1.1*N$5*BL$60,"-")</formula>
    </cfRule>
  </conditionalFormatting>
  <conditionalFormatting sqref="N55:N56">
    <cfRule type="expression" dxfId="2041" priority="72">
      <formula>IF(AND(NOT(N55=""),NOT(N55="-")),N55&gt;=1.1*N$5*BL$61,"-")</formula>
    </cfRule>
  </conditionalFormatting>
  <conditionalFormatting sqref="N45:N46">
    <cfRule type="expression" dxfId="2040" priority="71">
      <formula>IF(AND(NOT(N45=""),NOT(N45="-")),N45&gt;=1.1*N$5*BL$59,"-")</formula>
    </cfRule>
  </conditionalFormatting>
  <conditionalFormatting sqref="N60:N61">
    <cfRule type="expression" dxfId="2039" priority="70">
      <formula>IF(AND(NOT(N60=""),NOT(N60="-")),N60&gt;=1.1*N$5*BL$62,"-")</formula>
    </cfRule>
  </conditionalFormatting>
  <conditionalFormatting sqref="N65:N66">
    <cfRule type="expression" dxfId="2038" priority="69">
      <formula>IF(AND(NOT(N65=""),NOT(N65="-")),N65&gt;=1.1*N$5*BL$63,"-")</formula>
    </cfRule>
  </conditionalFormatting>
  <conditionalFormatting sqref="N77:N78">
    <cfRule type="expression" dxfId="2037" priority="68">
      <formula>IF(AND(NOT(N77=""),NOT(N77="-")),N77&gt;=1.1*N$5*BL$95,"-")</formula>
    </cfRule>
  </conditionalFormatting>
  <conditionalFormatting sqref="N163:N164">
    <cfRule type="expression" dxfId="2036" priority="67">
      <formula>IF(AND(NOT(N163=""),NOT(N163="-")),N163&gt;=1.1*N$5*BL$176,"-")</formula>
    </cfRule>
  </conditionalFormatting>
  <conditionalFormatting sqref="N158:N159">
    <cfRule type="expression" dxfId="2035" priority="66">
      <formula>IF(AND(NOT(N158=""),NOT(N158="-")),N158&gt;=1.1*N$5*BL$175,"-")</formula>
    </cfRule>
  </conditionalFormatting>
  <conditionalFormatting sqref="N131:N132">
    <cfRule type="expression" dxfId="2034" priority="65">
      <formula>IF(AND(NOT(N131=""),NOT(N131="-")),N131&gt;=1.1*N$5*BL$148,"-")</formula>
    </cfRule>
  </conditionalFormatting>
  <conditionalFormatting sqref="P8">
    <cfRule type="containsText" dxfId="2033" priority="62" operator="containsText" text="passed">
      <formula>NOT(ISERROR(SEARCH("passed",P8)))</formula>
    </cfRule>
    <cfRule type="containsText" dxfId="2032" priority="63" operator="containsText" text="failed">
      <formula>NOT(ISERROR(SEARCH("failed",P8)))</formula>
    </cfRule>
    <cfRule type="containsText" dxfId="2031" priority="64" operator="containsText" text="refused">
      <formula>NOT(ISERROR(SEARCH("refused",P8)))</formula>
    </cfRule>
  </conditionalFormatting>
  <conditionalFormatting sqref="F13:K14">
    <cfRule type="expression" dxfId="2030" priority="61">
      <formula>IF(AND(NOT(F13=""),NOT(F13="-")),F13&gt;=1.1*F$5*BE$25,"-")</formula>
    </cfRule>
  </conditionalFormatting>
  <conditionalFormatting sqref="F18:K19">
    <cfRule type="expression" dxfId="2029" priority="60">
      <formula>IF(AND(NOT(F18=""),NOT(F18="-")),F18&gt;=1.1*F$5*BE$26,"-")</formula>
    </cfRule>
  </conditionalFormatting>
  <conditionalFormatting sqref="F23:K24">
    <cfRule type="expression" dxfId="2028" priority="59">
      <formula>IF(AND(NOT(F23=""),NOT(F23="-")),F23&gt;=1.1*F$5*BE$27,"-")</formula>
    </cfRule>
  </conditionalFormatting>
  <conditionalFormatting sqref="F28:K29">
    <cfRule type="expression" dxfId="2027" priority="58">
      <formula>IF(AND(NOT(F28=""),NOT(F28="-")),F28&gt;=1.1*F$5*BE$28,"-")</formula>
    </cfRule>
  </conditionalFormatting>
  <conditionalFormatting sqref="F40:K41">
    <cfRule type="expression" dxfId="2026" priority="57">
      <formula>IF(AND(NOT(F40=""),NOT(F40="-")),F40&gt;=1.1*F$5*BE$58,"-")</formula>
    </cfRule>
  </conditionalFormatting>
  <conditionalFormatting sqref="F50:K51">
    <cfRule type="expression" dxfId="2025" priority="56">
      <formula>IF(AND(NOT(F50=""),NOT(F50="-")),F50&gt;=1.1*F$5*BE$60,"-")</formula>
    </cfRule>
  </conditionalFormatting>
  <conditionalFormatting sqref="F55:K56">
    <cfRule type="expression" dxfId="2024" priority="55">
      <formula>IF(AND(NOT(F55=""),NOT(F55="-")),F55&gt;=1.1*F$5*BE$61,"-")</formula>
    </cfRule>
  </conditionalFormatting>
  <conditionalFormatting sqref="F45:K46">
    <cfRule type="expression" dxfId="2023" priority="54">
      <formula>IF(AND(NOT(F45=""),NOT(F45="-")),F45&gt;=1.1*F$5*BE$59,"-")</formula>
    </cfRule>
  </conditionalFormatting>
  <conditionalFormatting sqref="F60:K61">
    <cfRule type="expression" dxfId="2022" priority="53">
      <formula>IF(AND(NOT(F60=""),NOT(F60="-")),F60&gt;=1.1*F$5*BE$62,"-")</formula>
    </cfRule>
  </conditionalFormatting>
  <conditionalFormatting sqref="F65:K66">
    <cfRule type="expression" dxfId="2021" priority="52">
      <formula>IF(AND(NOT(F65=""),NOT(F65="-")),F65&gt;=1.1*F$5*BE$63,"-")</formula>
    </cfRule>
  </conditionalFormatting>
  <conditionalFormatting sqref="F77:K78">
    <cfRule type="expression" dxfId="2020" priority="51">
      <formula>IF(AND(NOT(F77=""),NOT(F77="-")),F77&gt;=1.1*F$5*BE$95,"-")</formula>
    </cfRule>
  </conditionalFormatting>
  <conditionalFormatting sqref="F163:K164">
    <cfRule type="expression" dxfId="2019" priority="50">
      <formula>IF(AND(NOT(F163=""),NOT(F163="-")),F163&gt;=1.1*F$5*BE$176,"-")</formula>
    </cfRule>
  </conditionalFormatting>
  <conditionalFormatting sqref="F158:K159">
    <cfRule type="expression" dxfId="2018" priority="49">
      <formula>IF(AND(NOT(F158=""),NOT(F158="-")),F158&gt;=1.1*F$5*BE$175,"-")</formula>
    </cfRule>
  </conditionalFormatting>
  <conditionalFormatting sqref="F131:K132">
    <cfRule type="expression" dxfId="2017" priority="48">
      <formula>IF(AND(NOT(F131=""),NOT(F131="-")),F131&gt;=1.1*F$5*BE$148,"-")</formula>
    </cfRule>
  </conditionalFormatting>
  <conditionalFormatting sqref="N136:N137">
    <cfRule type="expression" dxfId="2016" priority="47">
      <formula>IF(AND(NOT(N136=""),NOT(N136="-")),N136&gt;=1.1*N$5*BL$149,"-")</formula>
    </cfRule>
  </conditionalFormatting>
  <conditionalFormatting sqref="N168:N169">
    <cfRule type="expression" dxfId="2015" priority="46">
      <formula>IF(AND(NOT(N168=""),NOT(N168="-")),N168&gt;=1.1*N$5*BL$177,"-")</formula>
    </cfRule>
  </conditionalFormatting>
  <conditionalFormatting sqref="N104:N105">
    <cfRule type="expression" dxfId="2014" priority="45">
      <formula>IF(AND(NOT(N104=""),NOT(N104="-")),N104&gt;=1.1*N$5*BL$121,"-")</formula>
    </cfRule>
  </conditionalFormatting>
  <conditionalFormatting sqref="N173:N174">
    <cfRule type="expression" dxfId="2013" priority="44">
      <formula>IF(AND(NOT(N173=""),NOT(N173="-")),N173&gt;=1.1*N$5*BL$178,"-")</formula>
    </cfRule>
  </conditionalFormatting>
  <conditionalFormatting sqref="N178:N179">
    <cfRule type="expression" dxfId="2012" priority="43">
      <formula>IF(AND(NOT(N178=""),NOT(N178="-")),N178&gt;=1.1*N$5*BL$179,"-")</formula>
    </cfRule>
  </conditionalFormatting>
  <conditionalFormatting sqref="N183:N184">
    <cfRule type="expression" dxfId="2011" priority="42">
      <formula>IF(AND(NOT(N183=""),NOT(N183="-")),N183&gt;=1.1*N$5*BL$180,"-")</formula>
    </cfRule>
  </conditionalFormatting>
  <conditionalFormatting sqref="F136:K137">
    <cfRule type="expression" dxfId="2010" priority="41">
      <formula>IF(AND(NOT(F136=""),NOT(F136="-")),F136&gt;=1.1*F$5*BE$149,"-")</formula>
    </cfRule>
  </conditionalFormatting>
  <conditionalFormatting sqref="F168:K169">
    <cfRule type="expression" dxfId="2009" priority="40">
      <formula>IF(AND(NOT(F168=""),NOT(F168="-")),F168&gt;=1.1*F$5*BE$177,"-")</formula>
    </cfRule>
  </conditionalFormatting>
  <conditionalFormatting sqref="F104:K105">
    <cfRule type="expression" dxfId="2008" priority="39">
      <formula>IF(AND(NOT(F104=""),NOT(F104="-")),F104&gt;=1.1*F$5*BE$121,"-")</formula>
    </cfRule>
  </conditionalFormatting>
  <conditionalFormatting sqref="F173:K174">
    <cfRule type="expression" dxfId="2007" priority="38">
      <formula>IF(AND(NOT(F173=""),NOT(F173="-")),F173&gt;=1.1*F$5*BE$178,"-")</formula>
    </cfRule>
  </conditionalFormatting>
  <conditionalFormatting sqref="F178:K179">
    <cfRule type="expression" dxfId="2006" priority="37">
      <formula>IF(AND(NOT(F178=""),NOT(F178="-")),F178&gt;=1.1*F$5*BE$179,"-")</formula>
    </cfRule>
  </conditionalFormatting>
  <conditionalFormatting sqref="F183:K184">
    <cfRule type="expression" dxfId="2005" priority="36">
      <formula>IF(AND(NOT(F183=""),NOT(F183="-")),F183&gt;=1.1*F$5*BE$180,"-")</formula>
    </cfRule>
  </conditionalFormatting>
  <conditionalFormatting sqref="P36">
    <cfRule type="containsText" dxfId="2004" priority="33" operator="containsText" text="passed">
      <formula>NOT(ISERROR(SEARCH("passed",P36)))</formula>
    </cfRule>
    <cfRule type="containsText" dxfId="2003" priority="34" operator="containsText" text="failed">
      <formula>NOT(ISERROR(SEARCH("failed",P36)))</formula>
    </cfRule>
    <cfRule type="containsText" dxfId="2002" priority="35" operator="containsText" text="refused">
      <formula>NOT(ISERROR(SEARCH("refused",P36)))</formula>
    </cfRule>
  </conditionalFormatting>
  <conditionalFormatting sqref="P73">
    <cfRule type="containsText" dxfId="2001" priority="30" operator="containsText" text="passed">
      <formula>NOT(ISERROR(SEARCH("passed",P73)))</formula>
    </cfRule>
    <cfRule type="containsText" dxfId="2000" priority="31" operator="containsText" text="failed">
      <formula>NOT(ISERROR(SEARCH("failed",P73)))</formula>
    </cfRule>
    <cfRule type="containsText" dxfId="1999" priority="32" operator="containsText" text="refused">
      <formula>NOT(ISERROR(SEARCH("refused",P73)))</formula>
    </cfRule>
  </conditionalFormatting>
  <conditionalFormatting sqref="P100">
    <cfRule type="containsText" dxfId="1998" priority="27" operator="containsText" text="passed">
      <formula>NOT(ISERROR(SEARCH("passed",P100)))</formula>
    </cfRule>
    <cfRule type="containsText" dxfId="1997" priority="28" operator="containsText" text="failed">
      <formula>NOT(ISERROR(SEARCH("failed",P100)))</formula>
    </cfRule>
    <cfRule type="containsText" dxfId="1996" priority="29" operator="containsText" text="refused">
      <formula>NOT(ISERROR(SEARCH("refused",P100)))</formula>
    </cfRule>
  </conditionalFormatting>
  <conditionalFormatting sqref="P127">
    <cfRule type="containsText" dxfId="1995" priority="24" operator="containsText" text="passed">
      <formula>NOT(ISERROR(SEARCH("passed",P127)))</formula>
    </cfRule>
    <cfRule type="containsText" dxfId="1994" priority="25" operator="containsText" text="failed">
      <formula>NOT(ISERROR(SEARCH("failed",P127)))</formula>
    </cfRule>
    <cfRule type="containsText" dxfId="1993" priority="26" operator="containsText" text="refused">
      <formula>NOT(ISERROR(SEARCH("refused",P127)))</formula>
    </cfRule>
  </conditionalFormatting>
  <conditionalFormatting sqref="P154">
    <cfRule type="containsText" dxfId="1992" priority="21" operator="containsText" text="passed">
      <formula>NOT(ISERROR(SEARCH("passed",P154)))</formula>
    </cfRule>
    <cfRule type="containsText" dxfId="1991" priority="22" operator="containsText" text="failed">
      <formula>NOT(ISERROR(SEARCH("failed",P154)))</formula>
    </cfRule>
    <cfRule type="containsText" dxfId="1990" priority="23" operator="containsText" text="refused">
      <formula>NOT(ISERROR(SEARCH("refused",P154)))</formula>
    </cfRule>
  </conditionalFormatting>
  <conditionalFormatting sqref="L13:M14">
    <cfRule type="expression" dxfId="1989" priority="20">
      <formula>IF(AND(NOT(L13=""),NOT(L13="-")),L13&gt;=1.1*L$5*BL$25,"-")</formula>
    </cfRule>
  </conditionalFormatting>
  <conditionalFormatting sqref="L18:M19">
    <cfRule type="expression" dxfId="1988" priority="19">
      <formula>IF(AND(NOT(L18=""),NOT(L18="-")),L18&gt;=1.1*L$5*BL$26,"-")</formula>
    </cfRule>
  </conditionalFormatting>
  <conditionalFormatting sqref="L23:M24">
    <cfRule type="expression" dxfId="1987" priority="18">
      <formula>IF(AND(NOT(L23=""),NOT(L23="-")),L23&gt;=1.1*L$5*BL$27,"-")</formula>
    </cfRule>
  </conditionalFormatting>
  <conditionalFormatting sqref="L28:M29">
    <cfRule type="expression" dxfId="1986" priority="17">
      <formula>IF(AND(NOT(L28=""),NOT(L28="-")),L28&gt;=1.1*L$5*BL$28,"-")</formula>
    </cfRule>
  </conditionalFormatting>
  <conditionalFormatting sqref="L40:M41">
    <cfRule type="expression" dxfId="1985" priority="16">
      <formula>IF(AND(NOT(L40=""),NOT(L40="-")),L40&gt;=1.1*L$5*BL$58,"-")</formula>
    </cfRule>
  </conditionalFormatting>
  <conditionalFormatting sqref="L50:M51">
    <cfRule type="expression" dxfId="1984" priority="15">
      <formula>IF(AND(NOT(L50=""),NOT(L50="-")),L50&gt;=1.1*L$5*BL$60,"-")</formula>
    </cfRule>
  </conditionalFormatting>
  <conditionalFormatting sqref="L55:M56">
    <cfRule type="expression" dxfId="1983" priority="14">
      <formula>IF(AND(NOT(L55=""),NOT(L55="-")),L55&gt;=1.1*L$5*BL$61,"-")</formula>
    </cfRule>
  </conditionalFormatting>
  <conditionalFormatting sqref="L45:M46">
    <cfRule type="expression" dxfId="1982" priority="13">
      <formula>IF(AND(NOT(L45=""),NOT(L45="-")),L45&gt;=1.1*L$5*BL$59,"-")</formula>
    </cfRule>
  </conditionalFormatting>
  <conditionalFormatting sqref="L60:M61">
    <cfRule type="expression" dxfId="1981" priority="12">
      <formula>IF(AND(NOT(L60=""),NOT(L60="-")),L60&gt;=1.1*L$5*BL$62,"-")</formula>
    </cfRule>
  </conditionalFormatting>
  <conditionalFormatting sqref="L65:M66">
    <cfRule type="expression" dxfId="1980" priority="11">
      <formula>IF(AND(NOT(L65=""),NOT(L65="-")),L65&gt;=1.1*L$5*BL$63,"-")</formula>
    </cfRule>
  </conditionalFormatting>
  <conditionalFormatting sqref="L77:M78">
    <cfRule type="expression" dxfId="1979" priority="10">
      <formula>IF(AND(NOT(L77=""),NOT(L77="-")),L77&gt;=1.1*L$5*BL$95,"-")</formula>
    </cfRule>
  </conditionalFormatting>
  <conditionalFormatting sqref="L163:M164">
    <cfRule type="expression" dxfId="1978" priority="9">
      <formula>IF(AND(NOT(L163=""),NOT(L163="-")),L163&gt;=1.1*L$5*BL$176,"-")</formula>
    </cfRule>
  </conditionalFormatting>
  <conditionalFormatting sqref="L158:M159">
    <cfRule type="expression" dxfId="1977" priority="8">
      <formula>IF(AND(NOT(L158=""),NOT(L158="-")),L158&gt;=1.1*L$5*BL$175,"-")</formula>
    </cfRule>
  </conditionalFormatting>
  <conditionalFormatting sqref="L131:M132">
    <cfRule type="expression" dxfId="1976" priority="7">
      <formula>IF(AND(NOT(L131=""),NOT(L131="-")),L131&gt;=1.1*L$5*BL$148,"-")</formula>
    </cfRule>
  </conditionalFormatting>
  <conditionalFormatting sqref="L136:M137">
    <cfRule type="expression" dxfId="1975" priority="6">
      <formula>IF(AND(NOT(L136=""),NOT(L136="-")),L136&gt;=1.1*L$5*BL$149,"-")</formula>
    </cfRule>
  </conditionalFormatting>
  <conditionalFormatting sqref="L168:M169">
    <cfRule type="expression" dxfId="1974" priority="5">
      <formula>IF(AND(NOT(L168=""),NOT(L168="-")),L168&gt;=1.1*L$5*BL$177,"-")</formula>
    </cfRule>
  </conditionalFormatting>
  <conditionalFormatting sqref="L104:M105">
    <cfRule type="expression" dxfId="1973" priority="4">
      <formula>IF(AND(NOT(L104=""),NOT(L104="-")),L104&gt;=1.1*L$5*BL$121,"-")</formula>
    </cfRule>
  </conditionalFormatting>
  <conditionalFormatting sqref="L173:M174">
    <cfRule type="expression" dxfId="1972" priority="3">
      <formula>IF(AND(NOT(L173=""),NOT(L173="-")),L173&gt;=1.1*L$5*BL$178,"-")</formula>
    </cfRule>
  </conditionalFormatting>
  <conditionalFormatting sqref="L178:M179">
    <cfRule type="expression" dxfId="1971" priority="2">
      <formula>IF(AND(NOT(L178=""),NOT(L178="-")),L178&gt;=1.1*L$5*BL$179,"-")</formula>
    </cfRule>
  </conditionalFormatting>
  <conditionalFormatting sqref="L183:M184">
    <cfRule type="expression" dxfId="1970" priority="1">
      <formula>IF(AND(NOT(L183=""),NOT(L183="-")),L183&gt;=1.1*L$5*BL$180,"-")</formula>
    </cfRule>
  </conditionalFormatting>
  <pageMargins left="0.7" right="0.7" top="0.75" bottom="0.75" header="0.3" footer="0.3"/>
  <pageSetup paperSize="9" scale="45" fitToHeight="0" orientation="landscape" r:id="rId1"/>
  <rowBreaks count="3" manualBreakCount="3">
    <brk id="71" max="19" man="1"/>
    <brk id="124" max="19" man="1"/>
    <brk id="151" max="19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4">
    <pageSetUpPr fitToPage="1"/>
  </sheetPr>
  <dimension ref="A1:BZ214"/>
  <sheetViews>
    <sheetView showGridLines="0" topLeftCell="A49" zoomScale="85" zoomScaleNormal="85" workbookViewId="0">
      <selection activeCell="E67" sqref="E67"/>
    </sheetView>
  </sheetViews>
  <sheetFormatPr baseColWidth="10" defaultColWidth="9.140625" defaultRowHeight="15" outlineLevelRow="1" x14ac:dyDescent="0.25"/>
  <cols>
    <col min="1" max="1" width="2.85546875" style="401" customWidth="1"/>
    <col min="2" max="2" width="14.85546875" style="401" customWidth="1"/>
    <col min="3" max="4" width="10.7109375" style="401" customWidth="1"/>
    <col min="5" max="5" width="25.7109375" style="401" customWidth="1"/>
    <col min="6" max="10" width="9.7109375" style="401" customWidth="1"/>
    <col min="11" max="11" width="9.7109375" style="458" customWidth="1"/>
    <col min="12" max="13" width="11.28515625" style="458" customWidth="1"/>
    <col min="14" max="14" width="9.7109375" style="401" customWidth="1"/>
    <col min="15" max="22" width="17.7109375" style="401" customWidth="1"/>
    <col min="23" max="24" width="7.7109375" style="401" customWidth="1"/>
    <col min="25" max="28" width="20.7109375" style="401" customWidth="1"/>
    <col min="29" max="34" width="7.7109375" style="401" customWidth="1"/>
    <col min="35" max="54" width="10.7109375" style="401" customWidth="1"/>
    <col min="55" max="55" width="13.140625" style="401" bestFit="1" customWidth="1"/>
    <col min="56" max="56" width="24.85546875" style="405" bestFit="1" customWidth="1"/>
    <col min="57" max="60" width="7.85546875" style="405" customWidth="1"/>
    <col min="61" max="61" width="8.7109375" style="405" customWidth="1"/>
    <col min="62" max="64" width="7.85546875" style="405" hidden="1" customWidth="1"/>
    <col min="65" max="65" width="6.5703125" style="405" customWidth="1"/>
    <col min="66" max="66" width="4.5703125" style="405" customWidth="1"/>
    <col min="67" max="67" width="4.140625" style="405" customWidth="1"/>
    <col min="68" max="68" width="4.85546875" style="405" customWidth="1"/>
    <col min="69" max="71" width="4.140625" style="405" hidden="1" customWidth="1"/>
    <col min="72" max="72" width="5.28515625" style="405" hidden="1" customWidth="1"/>
    <col min="73" max="73" width="1.7109375" style="401" customWidth="1"/>
    <col min="74" max="74" width="1.7109375" style="401" hidden="1" customWidth="1"/>
    <col min="75" max="78" width="1.7109375" style="401" customWidth="1"/>
    <col min="79" max="80" width="9.140625" style="401"/>
    <col min="81" max="84" width="9.140625" style="401" customWidth="1"/>
    <col min="85" max="88" width="0" style="401" hidden="1" customWidth="1"/>
    <col min="89" max="16384" width="9.140625" style="401"/>
  </cols>
  <sheetData>
    <row r="1" spans="1:78" ht="24.95" customHeight="1" x14ac:dyDescent="0.25">
      <c r="A1" s="734" t="s">
        <v>126</v>
      </c>
      <c r="B1" s="735"/>
      <c r="C1" s="735"/>
      <c r="D1" s="735"/>
      <c r="E1" s="735"/>
      <c r="F1" s="735"/>
      <c r="G1" s="735"/>
      <c r="H1" s="735"/>
      <c r="I1" s="735"/>
      <c r="J1" s="736"/>
      <c r="K1" s="734" t="str">
        <f>'Variant 2a - Brazil Flex Fuel'!K1:Q2</f>
        <v>[e.g. Ferrari F150 MEDC17] [Chassis name] [Engine description]</v>
      </c>
      <c r="L1" s="735"/>
      <c r="M1" s="735"/>
      <c r="N1" s="735"/>
      <c r="O1" s="735"/>
      <c r="P1" s="735"/>
      <c r="Q1" s="736"/>
      <c r="R1" s="396"/>
      <c r="S1" s="396"/>
      <c r="T1" s="404"/>
      <c r="U1" s="404"/>
      <c r="V1" s="404"/>
      <c r="W1" s="404"/>
      <c r="X1" s="404"/>
      <c r="Y1" s="404"/>
      <c r="Z1" s="404"/>
      <c r="AA1" s="404"/>
      <c r="AB1" s="404"/>
      <c r="AC1" s="404"/>
      <c r="AD1" s="404"/>
      <c r="AE1" s="404"/>
      <c r="AF1" s="404"/>
      <c r="AG1" s="404"/>
      <c r="AH1" s="404"/>
      <c r="BC1" s="533" t="s">
        <v>206</v>
      </c>
    </row>
    <row r="2" spans="1:78" ht="24.95" customHeight="1" thickBot="1" x14ac:dyDescent="0.3">
      <c r="A2" s="737"/>
      <c r="B2" s="738"/>
      <c r="C2" s="738"/>
      <c r="D2" s="738"/>
      <c r="E2" s="738"/>
      <c r="F2" s="738"/>
      <c r="G2" s="738"/>
      <c r="H2" s="738"/>
      <c r="I2" s="738"/>
      <c r="J2" s="739"/>
      <c r="K2" s="737"/>
      <c r="L2" s="738"/>
      <c r="M2" s="738"/>
      <c r="N2" s="738"/>
      <c r="O2" s="738"/>
      <c r="P2" s="738"/>
      <c r="Q2" s="739"/>
      <c r="R2" s="396"/>
      <c r="S2" s="396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</row>
    <row r="3" spans="1:78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96"/>
      <c r="S3" s="396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</row>
    <row r="4" spans="1:78" ht="39.950000000000003" customHeight="1" thickBot="1" x14ac:dyDescent="0.3">
      <c r="A4" s="396"/>
      <c r="B4" s="664" t="s">
        <v>71</v>
      </c>
      <c r="C4" s="665"/>
      <c r="D4" s="666"/>
      <c r="E4" s="358">
        <f>'Variant 2a - Brazil Flex Fuel'!E4</f>
        <v>0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409" t="str">
        <f>'Variant 2a - Brazil Flex Fuel'!L4</f>
        <v>Additional
component</v>
      </c>
      <c r="M4" s="409" t="str">
        <f>'Variant 2a - Brazil Flex Fuel'!M4</f>
        <v>Additional
component 2</v>
      </c>
      <c r="N4" s="550" t="s">
        <v>77</v>
      </c>
      <c r="O4" s="667"/>
      <c r="P4" s="667"/>
      <c r="Q4" s="396"/>
      <c r="R4" s="396"/>
      <c r="S4" s="396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</row>
    <row r="5" spans="1:78" ht="24.95" customHeight="1" thickBot="1" x14ac:dyDescent="0.3">
      <c r="A5" s="396"/>
      <c r="B5" s="664" t="s">
        <v>143</v>
      </c>
      <c r="C5" s="665"/>
      <c r="D5" s="665"/>
      <c r="E5" s="666"/>
      <c r="F5" s="361" t="e">
        <f>'Variant 2a - Brazil Flex Fuel'!F5</f>
        <v>#N/A</v>
      </c>
      <c r="G5" s="361" t="e">
        <f>'Variant 2a - Brazil Flex Fuel'!G5</f>
        <v>#N/A</v>
      </c>
      <c r="H5" s="361" t="e">
        <f>'Variant 2a - Brazil Flex Fuel'!H5</f>
        <v>#N/A</v>
      </c>
      <c r="I5" s="361" t="e">
        <f>'Variant 2a - Brazil Flex Fuel'!I5</f>
        <v>#N/A</v>
      </c>
      <c r="J5" s="361" t="e">
        <f>'Variant 2a - Brazil Flex Fuel'!J5</f>
        <v>#N/A</v>
      </c>
      <c r="K5" s="361" t="e">
        <f>'Variant 2a - Brazil Flex Fuel'!K5</f>
        <v>#N/A</v>
      </c>
      <c r="L5" s="355" t="e">
        <f>'Variant 2a - Brazil Flex Fuel'!L5</f>
        <v>#N/A</v>
      </c>
      <c r="M5" s="355" t="e">
        <f>'Variant 2a - Brazil Flex Fuel'!M5</f>
        <v>#N/A</v>
      </c>
      <c r="N5" s="355">
        <v>1</v>
      </c>
      <c r="O5" s="668"/>
      <c r="P5" s="668"/>
      <c r="Q5" s="396"/>
      <c r="R5" s="396"/>
      <c r="S5" s="396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</row>
    <row r="6" spans="1:78" s="405" customFormat="1" ht="24.95" customHeight="1" x14ac:dyDescent="0.25">
      <c r="A6" s="396"/>
      <c r="B6" s="396"/>
      <c r="C6" s="396"/>
      <c r="D6" s="396"/>
      <c r="E6" s="396"/>
      <c r="F6" s="396"/>
      <c r="G6" s="396"/>
      <c r="H6" s="396"/>
      <c r="I6" s="396"/>
      <c r="J6" s="396"/>
      <c r="K6" s="406"/>
      <c r="L6" s="406"/>
      <c r="M6" s="406"/>
      <c r="N6" s="396"/>
      <c r="O6" s="396"/>
      <c r="P6" s="396"/>
      <c r="Q6" s="396"/>
      <c r="R6" s="396"/>
      <c r="S6" s="396"/>
      <c r="T6" s="404"/>
      <c r="U6" s="404"/>
      <c r="V6" s="404"/>
      <c r="W6" s="414"/>
      <c r="X6" s="414"/>
      <c r="Y6" s="404"/>
      <c r="Z6" s="404"/>
      <c r="AA6" s="404"/>
      <c r="AB6" s="404"/>
      <c r="AC6" s="404"/>
      <c r="AD6" s="404"/>
      <c r="AE6" s="404"/>
      <c r="AF6" s="404"/>
      <c r="AG6" s="404"/>
      <c r="AH6" s="404"/>
      <c r="AI6" s="401"/>
      <c r="AJ6" s="401"/>
      <c r="AK6" s="401"/>
      <c r="AL6" s="401"/>
      <c r="AM6" s="401"/>
      <c r="AN6" s="401"/>
      <c r="AO6" s="401"/>
      <c r="AP6" s="401"/>
      <c r="AQ6" s="401"/>
      <c r="AR6" s="401"/>
      <c r="AS6" s="401"/>
      <c r="AT6" s="401"/>
      <c r="AU6" s="401"/>
      <c r="AV6" s="401"/>
      <c r="AW6" s="401"/>
      <c r="AX6" s="401"/>
      <c r="AY6" s="401"/>
      <c r="AZ6" s="401"/>
      <c r="BA6" s="401"/>
      <c r="BB6" s="401"/>
      <c r="BC6" s="401"/>
      <c r="BU6" s="401"/>
      <c r="BV6" s="401"/>
      <c r="BW6" s="401"/>
      <c r="BX6" s="401"/>
      <c r="BY6" s="401"/>
      <c r="BZ6" s="401"/>
    </row>
    <row r="7" spans="1:78" s="405" customFormat="1" ht="24.95" customHeight="1" thickBot="1" x14ac:dyDescent="0.3">
      <c r="A7" s="396"/>
      <c r="B7" s="396"/>
      <c r="C7" s="396"/>
      <c r="D7" s="396"/>
      <c r="E7" s="396"/>
      <c r="F7" s="396"/>
      <c r="G7" s="396"/>
      <c r="H7" s="396"/>
      <c r="I7" s="396"/>
      <c r="J7" s="396"/>
      <c r="K7" s="406"/>
      <c r="L7" s="406"/>
      <c r="M7" s="406"/>
      <c r="N7" s="396"/>
      <c r="O7" s="396"/>
      <c r="P7" s="396"/>
      <c r="Q7" s="396"/>
      <c r="R7" s="396"/>
      <c r="S7" s="396"/>
      <c r="T7" s="404"/>
      <c r="U7" s="404"/>
      <c r="V7" s="404"/>
      <c r="W7" s="414"/>
      <c r="X7" s="414"/>
      <c r="Y7" s="404"/>
      <c r="Z7" s="404"/>
      <c r="AA7" s="404"/>
      <c r="AB7" s="404"/>
      <c r="AC7" s="404"/>
      <c r="AD7" s="404"/>
      <c r="AE7" s="404"/>
      <c r="AF7" s="404"/>
      <c r="AG7" s="404"/>
      <c r="AH7" s="404"/>
      <c r="AI7" s="401"/>
      <c r="AJ7" s="401"/>
      <c r="AK7" s="401"/>
      <c r="AL7" s="401"/>
      <c r="AM7" s="401"/>
      <c r="AN7" s="401"/>
      <c r="AO7" s="401"/>
      <c r="AP7" s="401"/>
      <c r="AQ7" s="401"/>
      <c r="AR7" s="401"/>
      <c r="AS7" s="401"/>
      <c r="AT7" s="401"/>
      <c r="AU7" s="401"/>
      <c r="AV7" s="401"/>
      <c r="AW7" s="401"/>
      <c r="AX7" s="401"/>
      <c r="AY7" s="401"/>
      <c r="AZ7" s="401"/>
      <c r="BA7" s="401"/>
      <c r="BB7" s="401"/>
      <c r="BC7" s="401"/>
      <c r="BU7" s="401"/>
      <c r="BV7" s="401"/>
      <c r="BW7" s="401"/>
      <c r="BX7" s="401"/>
      <c r="BY7" s="401"/>
      <c r="BZ7" s="401"/>
    </row>
    <row r="8" spans="1:78" s="405" customFormat="1" ht="24.95" customHeight="1" thickBot="1" x14ac:dyDescent="0.3">
      <c r="A8" s="396"/>
      <c r="B8" s="415">
        <v>1</v>
      </c>
      <c r="C8" s="839" t="s">
        <v>163</v>
      </c>
      <c r="D8" s="840"/>
      <c r="E8" s="840"/>
      <c r="F8" s="840"/>
      <c r="G8" s="840"/>
      <c r="H8" s="840"/>
      <c r="I8" s="840"/>
      <c r="J8" s="840"/>
      <c r="K8" s="840"/>
      <c r="L8" s="840"/>
      <c r="M8" s="840"/>
      <c r="N8" s="841"/>
      <c r="O8" s="416" t="s">
        <v>117</v>
      </c>
      <c r="P8" s="398" t="str">
        <f>IF(COUNTIF(F16:M32,"refused")&gt;0,"refused",IF(COUNTIF(F16:M32,"failed")&gt;0,"failed",IF(COUNTIF(F16:M32,"passed")&gt;0,"passed","-")))</f>
        <v>-</v>
      </c>
      <c r="Q8" s="399" t="s">
        <v>80</v>
      </c>
      <c r="R8" s="399" t="str">
        <f>IF(COUNT(F13:M14,F18:M19,F23:M24,F28:M29)&gt;0,"listed","not listed")</f>
        <v>not listed</v>
      </c>
      <c r="S8" s="511"/>
      <c r="T8" s="418"/>
      <c r="U8" s="418"/>
      <c r="V8" s="419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  <c r="AI8" s="401"/>
      <c r="AJ8" s="401"/>
      <c r="AK8" s="401"/>
      <c r="AL8" s="401"/>
      <c r="AM8" s="401"/>
      <c r="AN8" s="401"/>
      <c r="AO8" s="401"/>
      <c r="AP8" s="401"/>
      <c r="AQ8" s="401"/>
      <c r="AR8" s="401"/>
      <c r="AS8" s="401"/>
      <c r="AT8" s="401"/>
      <c r="AU8" s="401"/>
      <c r="AV8" s="401"/>
      <c r="AW8" s="401"/>
      <c r="AX8" s="401"/>
      <c r="AY8" s="401"/>
      <c r="AZ8" s="401"/>
      <c r="BA8" s="401"/>
      <c r="BB8" s="401"/>
      <c r="BC8" s="401"/>
      <c r="BU8" s="401"/>
      <c r="BV8" s="401"/>
      <c r="BW8" s="401"/>
      <c r="BX8" s="401"/>
      <c r="BY8" s="401"/>
      <c r="BZ8" s="401"/>
    </row>
    <row r="9" spans="1:78" s="405" customFormat="1" ht="15" customHeight="1" outlineLevel="1" thickBot="1" x14ac:dyDescent="0.3">
      <c r="A9" s="396"/>
      <c r="B9" s="513"/>
      <c r="C9" s="514"/>
      <c r="D9" s="514"/>
      <c r="E9" s="514"/>
      <c r="F9" s="514"/>
      <c r="G9" s="514"/>
      <c r="H9" s="514"/>
      <c r="I9" s="514"/>
      <c r="J9" s="514"/>
      <c r="K9" s="421"/>
      <c r="L9" s="421"/>
      <c r="M9" s="421"/>
      <c r="N9" s="514"/>
      <c r="O9" s="514"/>
      <c r="P9" s="514"/>
      <c r="Q9" s="514"/>
      <c r="R9" s="514"/>
      <c r="S9" s="514"/>
      <c r="T9" s="422"/>
      <c r="U9" s="422"/>
      <c r="V9" s="423"/>
      <c r="W9" s="414"/>
      <c r="X9" s="414"/>
      <c r="Y9" s="414"/>
      <c r="Z9" s="414"/>
      <c r="AA9" s="414"/>
      <c r="AB9" s="414"/>
      <c r="AC9" s="414"/>
      <c r="AD9" s="414"/>
      <c r="AE9" s="414"/>
      <c r="AF9" s="414"/>
      <c r="AG9" s="414"/>
      <c r="AH9" s="414"/>
      <c r="AI9" s="401"/>
      <c r="AJ9" s="401"/>
      <c r="AK9" s="401"/>
      <c r="AL9" s="401"/>
      <c r="AM9" s="401"/>
      <c r="AN9" s="401"/>
      <c r="AO9" s="401"/>
      <c r="AP9" s="401"/>
      <c r="AQ9" s="401"/>
      <c r="AR9" s="401"/>
      <c r="AS9" s="401"/>
      <c r="AT9" s="401"/>
      <c r="AU9" s="401"/>
      <c r="AV9" s="401"/>
      <c r="AW9" s="401"/>
      <c r="AX9" s="401"/>
      <c r="AY9" s="401"/>
      <c r="AZ9" s="401"/>
      <c r="BA9" s="401"/>
      <c r="BB9" s="401"/>
      <c r="BC9" s="401"/>
      <c r="BU9" s="401"/>
      <c r="BV9" s="401"/>
      <c r="BW9" s="401"/>
      <c r="BX9" s="401"/>
      <c r="BY9" s="401"/>
      <c r="BZ9" s="401"/>
    </row>
    <row r="10" spans="1:78" s="405" customFormat="1" ht="15" customHeight="1" outlineLevel="1" thickBot="1" x14ac:dyDescent="0.3">
      <c r="A10" s="396"/>
      <c r="B10" s="695" t="s">
        <v>81</v>
      </c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7"/>
      <c r="O10" s="695" t="s">
        <v>82</v>
      </c>
      <c r="P10" s="696"/>
      <c r="Q10" s="696"/>
      <c r="R10" s="697"/>
      <c r="S10" s="696" t="s">
        <v>83</v>
      </c>
      <c r="T10" s="696"/>
      <c r="U10" s="696"/>
      <c r="V10" s="697"/>
      <c r="W10" s="424"/>
      <c r="X10" s="424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  <c r="AI10" s="401"/>
      <c r="AJ10" s="401"/>
      <c r="AK10" s="401"/>
      <c r="AL10" s="401"/>
      <c r="AM10" s="401"/>
      <c r="AN10" s="401"/>
      <c r="AO10" s="401"/>
      <c r="AP10" s="401"/>
      <c r="AQ10" s="401"/>
      <c r="AR10" s="401"/>
      <c r="AS10" s="401"/>
      <c r="AT10" s="401"/>
      <c r="AU10" s="401"/>
      <c r="AV10" s="401"/>
      <c r="AW10" s="401"/>
      <c r="AX10" s="401"/>
      <c r="AY10" s="401"/>
      <c r="AZ10" s="401"/>
      <c r="BA10" s="401"/>
      <c r="BB10" s="401"/>
      <c r="BC10" s="401"/>
      <c r="BU10" s="401"/>
      <c r="BV10" s="401"/>
      <c r="BW10" s="401"/>
      <c r="BX10" s="401"/>
      <c r="BY10" s="401"/>
      <c r="BZ10" s="401"/>
    </row>
    <row r="11" spans="1:78" s="405" customFormat="1" ht="35.1" customHeight="1" outlineLevel="1" thickBot="1" x14ac:dyDescent="0.3">
      <c r="A11" s="396"/>
      <c r="B11" s="703" t="s">
        <v>84</v>
      </c>
      <c r="C11" s="704"/>
      <c r="D11" s="704"/>
      <c r="E11" s="705"/>
      <c r="F11" s="425" t="s">
        <v>72</v>
      </c>
      <c r="G11" s="517" t="s">
        <v>73</v>
      </c>
      <c r="H11" s="425" t="s">
        <v>74</v>
      </c>
      <c r="I11" s="425" t="s">
        <v>75</v>
      </c>
      <c r="J11" s="425" t="s">
        <v>76</v>
      </c>
      <c r="K11" s="534" t="s">
        <v>170</v>
      </c>
      <c r="L11" s="535" t="str">
        <f>$L$4</f>
        <v>Additional
component</v>
      </c>
      <c r="M11" s="535" t="str">
        <f>$M$4</f>
        <v>Additional
component 2</v>
      </c>
      <c r="N11" s="425" t="s">
        <v>77</v>
      </c>
      <c r="O11" s="669"/>
      <c r="P11" s="670"/>
      <c r="Q11" s="670"/>
      <c r="R11" s="671"/>
      <c r="S11" s="669"/>
      <c r="T11" s="670"/>
      <c r="U11" s="670"/>
      <c r="V11" s="671"/>
      <c r="W11" s="512"/>
      <c r="X11" s="512"/>
      <c r="Y11" s="678"/>
      <c r="Z11" s="678"/>
      <c r="AA11" s="678"/>
      <c r="AB11" s="678"/>
      <c r="AC11" s="678"/>
      <c r="AD11" s="678"/>
      <c r="AE11" s="678"/>
      <c r="AF11" s="678"/>
      <c r="AG11" s="678"/>
      <c r="AH11" s="678"/>
      <c r="AI11" s="401"/>
      <c r="AJ11" s="401"/>
      <c r="AK11" s="401"/>
      <c r="AL11" s="401"/>
      <c r="AM11" s="401"/>
      <c r="AN11" s="401"/>
      <c r="AO11" s="401"/>
      <c r="AP11" s="401"/>
      <c r="AQ11" s="401"/>
      <c r="AR11" s="401"/>
      <c r="AS11" s="401"/>
      <c r="AT11" s="401"/>
      <c r="AU11" s="401"/>
      <c r="AV11" s="401"/>
      <c r="AW11" s="401"/>
      <c r="AX11" s="401"/>
      <c r="AY11" s="401"/>
      <c r="AZ11" s="401"/>
      <c r="BA11" s="401"/>
      <c r="BB11" s="401"/>
      <c r="BC11" s="401"/>
      <c r="BD11" s="429" t="s">
        <v>85</v>
      </c>
      <c r="BE11" s="430" t="str">
        <f>F$4</f>
        <v>NMHC 
[g/km]</v>
      </c>
      <c r="BF11" s="430" t="str">
        <f t="shared" ref="BF11:BL11" si="0">G4</f>
        <v>THC
[g/km]</v>
      </c>
      <c r="BG11" s="430" t="str">
        <f t="shared" si="0"/>
        <v>CO
[g/km]</v>
      </c>
      <c r="BH11" s="430" t="str">
        <f t="shared" si="0"/>
        <v>NOx
[g/km]</v>
      </c>
      <c r="BI11" s="430" t="str">
        <f t="shared" si="0"/>
        <v>PM
[mg/km]</v>
      </c>
      <c r="BJ11" s="430" t="str">
        <f t="shared" si="0"/>
        <v>PN
[#/km]</v>
      </c>
      <c r="BK11" s="430" t="str">
        <f t="shared" si="0"/>
        <v>Additional
component</v>
      </c>
      <c r="BL11" s="430" t="str">
        <f t="shared" si="0"/>
        <v>Additional
component 2</v>
      </c>
      <c r="BU11" s="401"/>
      <c r="BV11" s="401"/>
      <c r="BW11" s="401"/>
      <c r="BX11" s="401"/>
      <c r="BY11" s="401"/>
      <c r="BZ11" s="401"/>
    </row>
    <row r="12" spans="1:78" s="405" customFormat="1" ht="15" customHeight="1" outlineLevel="1" thickBot="1" x14ac:dyDescent="0.3">
      <c r="A12" s="396"/>
      <c r="B12" s="679" t="s">
        <v>93</v>
      </c>
      <c r="C12" s="431" t="s">
        <v>64</v>
      </c>
      <c r="D12" s="682" t="s">
        <v>119</v>
      </c>
      <c r="E12" s="683"/>
      <c r="F12" s="432" t="s">
        <v>64</v>
      </c>
      <c r="G12" s="432" t="s">
        <v>64</v>
      </c>
      <c r="H12" s="432" t="s">
        <v>64</v>
      </c>
      <c r="I12" s="432" t="s">
        <v>64</v>
      </c>
      <c r="J12" s="432" t="s">
        <v>64</v>
      </c>
      <c r="K12" s="433" t="s">
        <v>64</v>
      </c>
      <c r="L12" s="433" t="s">
        <v>64</v>
      </c>
      <c r="M12" s="433" t="s">
        <v>64</v>
      </c>
      <c r="N12" s="432" t="s">
        <v>64</v>
      </c>
      <c r="O12" s="672"/>
      <c r="P12" s="673"/>
      <c r="Q12" s="673"/>
      <c r="R12" s="674"/>
      <c r="S12" s="672"/>
      <c r="T12" s="673"/>
      <c r="U12" s="673"/>
      <c r="V12" s="674"/>
      <c r="W12" s="512"/>
      <c r="X12" s="512"/>
      <c r="Y12" s="678"/>
      <c r="Z12" s="678"/>
      <c r="AA12" s="678"/>
      <c r="AB12" s="678"/>
      <c r="AC12" s="678"/>
      <c r="AD12" s="678"/>
      <c r="AE12" s="678"/>
      <c r="AF12" s="678"/>
      <c r="AG12" s="678"/>
      <c r="AH12" s="678"/>
      <c r="AI12" s="401"/>
      <c r="AJ12" s="401"/>
      <c r="AK12" s="401"/>
      <c r="AL12" s="401"/>
      <c r="AM12" s="401"/>
      <c r="AN12" s="401"/>
      <c r="AO12" s="401"/>
      <c r="AP12" s="401"/>
      <c r="AQ12" s="401"/>
      <c r="AR12" s="401"/>
      <c r="AS12" s="401"/>
      <c r="AT12" s="401"/>
      <c r="AU12" s="401"/>
      <c r="AV12" s="401"/>
      <c r="AW12" s="401"/>
      <c r="AX12" s="401"/>
      <c r="AY12" s="401"/>
      <c r="AZ12" s="401"/>
      <c r="BA12" s="401"/>
      <c r="BB12" s="401"/>
      <c r="BC12" s="536"/>
      <c r="BD12" s="429">
        <f>$E$4</f>
        <v>0</v>
      </c>
      <c r="BE12" s="435">
        <v>1</v>
      </c>
      <c r="BF12" s="435">
        <v>1</v>
      </c>
      <c r="BG12" s="435">
        <v>1</v>
      </c>
      <c r="BH12" s="435">
        <v>1</v>
      </c>
      <c r="BI12" s="435">
        <v>1</v>
      </c>
      <c r="BJ12" s="435">
        <v>1</v>
      </c>
      <c r="BK12" s="435">
        <v>1</v>
      </c>
      <c r="BL12" s="435">
        <v>1</v>
      </c>
      <c r="BU12" s="401"/>
      <c r="BV12" s="401"/>
      <c r="BW12" s="401"/>
      <c r="BX12" s="401"/>
      <c r="BY12" s="401"/>
      <c r="BZ12" s="401"/>
    </row>
    <row r="13" spans="1:78" s="405" customFormat="1" ht="15" customHeight="1" outlineLevel="1" x14ac:dyDescent="0.25">
      <c r="A13" s="396"/>
      <c r="B13" s="680"/>
      <c r="C13" s="684" t="s">
        <v>114</v>
      </c>
      <c r="D13" s="684" t="s">
        <v>113</v>
      </c>
      <c r="E13" s="436" t="s">
        <v>94</v>
      </c>
      <c r="F13" s="437" t="s">
        <v>5</v>
      </c>
      <c r="G13" s="437" t="s">
        <v>5</v>
      </c>
      <c r="H13" s="437" t="s">
        <v>5</v>
      </c>
      <c r="I13" s="437" t="s">
        <v>5</v>
      </c>
      <c r="J13" s="437" t="s">
        <v>5</v>
      </c>
      <c r="K13" s="438" t="s">
        <v>5</v>
      </c>
      <c r="L13" s="438" t="s">
        <v>5</v>
      </c>
      <c r="M13" s="438" t="s">
        <v>5</v>
      </c>
      <c r="N13" s="437" t="s">
        <v>5</v>
      </c>
      <c r="O13" s="672"/>
      <c r="P13" s="673"/>
      <c r="Q13" s="673"/>
      <c r="R13" s="674"/>
      <c r="S13" s="672"/>
      <c r="T13" s="673"/>
      <c r="U13" s="673"/>
      <c r="V13" s="674"/>
      <c r="W13" s="512"/>
      <c r="X13" s="512"/>
      <c r="Y13" s="678"/>
      <c r="Z13" s="678"/>
      <c r="AA13" s="678"/>
      <c r="AB13" s="678"/>
      <c r="AC13" s="678"/>
      <c r="AD13" s="678"/>
      <c r="AE13" s="678"/>
      <c r="AF13" s="678"/>
      <c r="AG13" s="678"/>
      <c r="AH13" s="678"/>
      <c r="AI13" s="401"/>
      <c r="AJ13" s="401"/>
      <c r="AK13" s="401"/>
      <c r="AL13" s="401"/>
      <c r="AM13" s="401"/>
      <c r="AN13" s="401"/>
      <c r="AO13" s="401"/>
      <c r="AP13" s="401"/>
      <c r="AQ13" s="401"/>
      <c r="AR13" s="401"/>
      <c r="AS13" s="401"/>
      <c r="AT13" s="401"/>
      <c r="AU13" s="401"/>
      <c r="AV13" s="401"/>
      <c r="AW13" s="401"/>
      <c r="AX13" s="401"/>
      <c r="AY13" s="401"/>
      <c r="AZ13" s="401"/>
      <c r="BA13" s="401"/>
      <c r="BB13" s="401"/>
      <c r="BC13" s="536"/>
      <c r="BD13" s="429" t="str">
        <f>"1st " &amp;  B12</f>
        <v>1st Cold</v>
      </c>
      <c r="BE13" s="435" t="str">
        <f t="shared" ref="BE13:BL13" si="1">IF(AND(OR($C15="-",$C15="CET",$C15=""),OR(F12="-",F12="CET",F12="")),"-",IF(AND(OR(F13="-",F13=""),OR(F14="-",F14="")),"-",IF(NOT(OR(F13="-",F13="")),F13/F$5,F14/F$5)))</f>
        <v>-</v>
      </c>
      <c r="BF13" s="435" t="str">
        <f t="shared" si="1"/>
        <v>-</v>
      </c>
      <c r="BG13" s="435" t="str">
        <f t="shared" si="1"/>
        <v>-</v>
      </c>
      <c r="BH13" s="435" t="str">
        <f t="shared" si="1"/>
        <v>-</v>
      </c>
      <c r="BI13" s="435" t="str">
        <f t="shared" si="1"/>
        <v>-</v>
      </c>
      <c r="BJ13" s="435" t="str">
        <f t="shared" si="1"/>
        <v>-</v>
      </c>
      <c r="BK13" s="435" t="str">
        <f t="shared" si="1"/>
        <v>-</v>
      </c>
      <c r="BL13" s="435" t="str">
        <f t="shared" si="1"/>
        <v>-</v>
      </c>
      <c r="BU13" s="401"/>
      <c r="BV13" s="401"/>
      <c r="BW13" s="401"/>
      <c r="BX13" s="401"/>
      <c r="BY13" s="401"/>
      <c r="BZ13" s="401"/>
    </row>
    <row r="14" spans="1:78" s="405" customFormat="1" ht="15" customHeight="1" outlineLevel="1" thickBot="1" x14ac:dyDescent="0.3">
      <c r="A14" s="439"/>
      <c r="B14" s="680"/>
      <c r="C14" s="685"/>
      <c r="D14" s="685"/>
      <c r="E14" s="440" t="s">
        <v>95</v>
      </c>
      <c r="F14" s="441" t="s">
        <v>5</v>
      </c>
      <c r="G14" s="441" t="s">
        <v>5</v>
      </c>
      <c r="H14" s="441" t="s">
        <v>5</v>
      </c>
      <c r="I14" s="441" t="s">
        <v>5</v>
      </c>
      <c r="J14" s="441" t="s">
        <v>5</v>
      </c>
      <c r="K14" s="442" t="s">
        <v>5</v>
      </c>
      <c r="L14" s="442" t="s">
        <v>5</v>
      </c>
      <c r="M14" s="442" t="s">
        <v>5</v>
      </c>
      <c r="N14" s="441" t="s">
        <v>5</v>
      </c>
      <c r="O14" s="672"/>
      <c r="P14" s="673"/>
      <c r="Q14" s="673"/>
      <c r="R14" s="674"/>
      <c r="S14" s="672"/>
      <c r="T14" s="673"/>
      <c r="U14" s="673"/>
      <c r="V14" s="674"/>
      <c r="W14" s="443"/>
      <c r="X14" s="443"/>
      <c r="Y14" s="678"/>
      <c r="Z14" s="678"/>
      <c r="AA14" s="678"/>
      <c r="AB14" s="678"/>
      <c r="AC14" s="678"/>
      <c r="AD14" s="678"/>
      <c r="AE14" s="678"/>
      <c r="AF14" s="678"/>
      <c r="AG14" s="678"/>
      <c r="AH14" s="678"/>
      <c r="BC14" s="536"/>
      <c r="BD14" s="429" t="str">
        <f>"1st " &amp; B18</f>
        <v>1st Warm</v>
      </c>
      <c r="BE14" s="435" t="str">
        <f t="shared" ref="BE14:BL14" si="2">IF((OR($C20="-",$C20="CET",$C20="")),"-",IF(AND(OR(F18="-",F18=""),OR(F19="-",F19="")),"-",IF(NOT(OR(F18="-",F18="")),F18/F$5,F19/F$5)))</f>
        <v>-</v>
      </c>
      <c r="BF14" s="435" t="str">
        <f t="shared" si="2"/>
        <v>-</v>
      </c>
      <c r="BG14" s="435" t="str">
        <f t="shared" si="2"/>
        <v>-</v>
      </c>
      <c r="BH14" s="435" t="str">
        <f t="shared" si="2"/>
        <v>-</v>
      </c>
      <c r="BI14" s="435" t="str">
        <f t="shared" si="2"/>
        <v>-</v>
      </c>
      <c r="BJ14" s="435" t="str">
        <f t="shared" si="2"/>
        <v>-</v>
      </c>
      <c r="BK14" s="435" t="str">
        <f t="shared" si="2"/>
        <v>-</v>
      </c>
      <c r="BL14" s="435" t="str">
        <f t="shared" si="2"/>
        <v>-</v>
      </c>
    </row>
    <row r="15" spans="1:78" s="405" customFormat="1" ht="15" customHeight="1" outlineLevel="1" thickBot="1" x14ac:dyDescent="0.3">
      <c r="A15" s="396"/>
      <c r="B15" s="680"/>
      <c r="C15" s="686" t="s">
        <v>64</v>
      </c>
      <c r="D15" s="689" t="str">
        <f>IF(AND(F15="-",G15="-",H15="-",I15="-",J15="-",K15="-",L15="-",M15="-"),"-",MAX(F15,G15,H15,I15,J15,K15,L15,M15))</f>
        <v>-</v>
      </c>
      <c r="E15" s="444" t="s">
        <v>177</v>
      </c>
      <c r="F15" s="445" t="str">
        <f t="shared" ref="F15:M15" si="3">IF(OR(F14="-",F14=""),IF(OR(F13="-",F13=""),"-",F13),IF(OR(F13="-",F13=""),F14,(F13+F14)/2))</f>
        <v>-</v>
      </c>
      <c r="G15" s="445" t="str">
        <f t="shared" si="3"/>
        <v>-</v>
      </c>
      <c r="H15" s="445" t="str">
        <f t="shared" si="3"/>
        <v>-</v>
      </c>
      <c r="I15" s="445" t="str">
        <f t="shared" si="3"/>
        <v>-</v>
      </c>
      <c r="J15" s="445" t="str">
        <f t="shared" si="3"/>
        <v>-</v>
      </c>
      <c r="K15" s="446" t="str">
        <f t="shared" si="3"/>
        <v>-</v>
      </c>
      <c r="L15" s="446" t="str">
        <f t="shared" si="3"/>
        <v>-</v>
      </c>
      <c r="M15" s="446" t="str">
        <f t="shared" si="3"/>
        <v>-</v>
      </c>
      <c r="N15" s="828"/>
      <c r="O15" s="672"/>
      <c r="P15" s="673"/>
      <c r="Q15" s="673"/>
      <c r="R15" s="674"/>
      <c r="S15" s="672"/>
      <c r="T15" s="673"/>
      <c r="U15" s="673"/>
      <c r="V15" s="674"/>
      <c r="W15" s="512"/>
      <c r="X15" s="512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401"/>
      <c r="AJ15" s="401"/>
      <c r="AK15" s="401"/>
      <c r="AL15" s="401"/>
      <c r="AM15" s="401"/>
      <c r="AN15" s="401"/>
      <c r="AO15" s="401"/>
      <c r="AP15" s="401"/>
      <c r="AQ15" s="401"/>
      <c r="AR15" s="401"/>
      <c r="AS15" s="401"/>
      <c r="AT15" s="401"/>
      <c r="AU15" s="401"/>
      <c r="AV15" s="401"/>
      <c r="AW15" s="401"/>
      <c r="AX15" s="401"/>
      <c r="AY15" s="401"/>
      <c r="AZ15" s="401"/>
      <c r="BA15" s="401"/>
      <c r="BB15" s="401"/>
      <c r="BC15" s="536"/>
      <c r="BD15" s="429" t="str">
        <f>"1st " &amp; B23</f>
        <v>1st Hot 1</v>
      </c>
      <c r="BE15" s="435" t="str">
        <f t="shared" ref="BE15:BL15" si="4">IF((OR($C25="-",$C25="CET",$C25="")),"-",IF(AND(OR(F23="-",F23=""),OR(F24="-",F24="")),"-",IF(NOT(OR(F23="-",F23="")),F23/F$5,F24/F$5)))</f>
        <v>-</v>
      </c>
      <c r="BF15" s="435" t="str">
        <f t="shared" si="4"/>
        <v>-</v>
      </c>
      <c r="BG15" s="435" t="str">
        <f t="shared" si="4"/>
        <v>-</v>
      </c>
      <c r="BH15" s="435" t="str">
        <f t="shared" si="4"/>
        <v>-</v>
      </c>
      <c r="BI15" s="435" t="str">
        <f t="shared" si="4"/>
        <v>-</v>
      </c>
      <c r="BJ15" s="435" t="str">
        <f t="shared" si="4"/>
        <v>-</v>
      </c>
      <c r="BK15" s="435" t="str">
        <f t="shared" si="4"/>
        <v>-</v>
      </c>
      <c r="BL15" s="435" t="str">
        <f t="shared" si="4"/>
        <v>-</v>
      </c>
      <c r="BU15" s="401"/>
      <c r="BV15" s="401"/>
      <c r="BW15" s="401"/>
      <c r="BX15" s="401"/>
      <c r="BY15" s="401"/>
      <c r="BZ15" s="401"/>
    </row>
    <row r="16" spans="1:78" s="405" customFormat="1" ht="15" customHeight="1" outlineLevel="1" thickBot="1" x14ac:dyDescent="0.3">
      <c r="A16" s="396"/>
      <c r="B16" s="680"/>
      <c r="C16" s="687"/>
      <c r="D16" s="690"/>
      <c r="E16" s="447" t="s">
        <v>97</v>
      </c>
      <c r="F16" s="448" t="str">
        <f t="shared" ref="F16:M16" si="5">IF(AND(OR($C15="-",$C15="CET",$C15=""),OR(F12="-",F12="CET",F12="")),"-",IF(AND(NOT(F15="-"),NOT(F$5="-"),NOT(F$5="")),F15/F$5,"-"))</f>
        <v>-</v>
      </c>
      <c r="G16" s="448" t="str">
        <f t="shared" si="5"/>
        <v>-</v>
      </c>
      <c r="H16" s="448" t="str">
        <f t="shared" si="5"/>
        <v>-</v>
      </c>
      <c r="I16" s="448" t="str">
        <f t="shared" si="5"/>
        <v>-</v>
      </c>
      <c r="J16" s="448" t="str">
        <f t="shared" si="5"/>
        <v>-</v>
      </c>
      <c r="K16" s="449" t="str">
        <f t="shared" si="5"/>
        <v>-</v>
      </c>
      <c r="L16" s="449" t="str">
        <f t="shared" si="5"/>
        <v>-</v>
      </c>
      <c r="M16" s="449" t="str">
        <f t="shared" si="5"/>
        <v>-</v>
      </c>
      <c r="N16" s="702"/>
      <c r="O16" s="672"/>
      <c r="P16" s="673"/>
      <c r="Q16" s="673"/>
      <c r="R16" s="674"/>
      <c r="S16" s="672"/>
      <c r="T16" s="673"/>
      <c r="U16" s="673"/>
      <c r="V16" s="674"/>
      <c r="W16" s="512"/>
      <c r="X16" s="512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401"/>
      <c r="AJ16" s="401"/>
      <c r="AK16" s="401"/>
      <c r="AL16" s="401"/>
      <c r="AM16" s="401"/>
      <c r="AN16" s="401"/>
      <c r="AO16" s="401"/>
      <c r="AP16" s="401"/>
      <c r="AQ16" s="401"/>
      <c r="AR16" s="401"/>
      <c r="AS16" s="401"/>
      <c r="AT16" s="401"/>
      <c r="AU16" s="401"/>
      <c r="AV16" s="401"/>
      <c r="AW16" s="401"/>
      <c r="AX16" s="401"/>
      <c r="AY16" s="401"/>
      <c r="AZ16" s="401"/>
      <c r="BA16" s="401"/>
      <c r="BB16" s="401"/>
      <c r="BC16" s="536"/>
      <c r="BD16" s="429" t="str">
        <f>"1st " &amp; B28</f>
        <v>1st Hot 2</v>
      </c>
      <c r="BE16" s="435" t="str">
        <f t="shared" ref="BE16:BL16" si="6">IF((OR($C30="-",$C30="CET",$C30="")),"-",IF(AND(OR(F28="-",F28=""),OR(F29="-",F29="")),"-",IF(NOT(OR(F28="-",F28="")),F28/F$5,F29/F$5)))</f>
        <v>-</v>
      </c>
      <c r="BF16" s="435" t="str">
        <f t="shared" si="6"/>
        <v>-</v>
      </c>
      <c r="BG16" s="435" t="str">
        <f t="shared" si="6"/>
        <v>-</v>
      </c>
      <c r="BH16" s="435" t="str">
        <f t="shared" si="6"/>
        <v>-</v>
      </c>
      <c r="BI16" s="435" t="str">
        <f t="shared" si="6"/>
        <v>-</v>
      </c>
      <c r="BJ16" s="435" t="str">
        <f t="shared" si="6"/>
        <v>-</v>
      </c>
      <c r="BK16" s="435" t="str">
        <f t="shared" si="6"/>
        <v>-</v>
      </c>
      <c r="BL16" s="435" t="str">
        <f t="shared" si="6"/>
        <v>-</v>
      </c>
      <c r="BU16" s="401"/>
      <c r="BV16" s="401"/>
      <c r="BW16" s="401"/>
      <c r="BX16" s="401"/>
      <c r="BY16" s="401"/>
      <c r="BZ16" s="401"/>
    </row>
    <row r="17" spans="1:78" s="405" customFormat="1" ht="15" customHeight="1" outlineLevel="1" thickBot="1" x14ac:dyDescent="0.3">
      <c r="A17" s="396"/>
      <c r="B17" s="681"/>
      <c r="C17" s="688"/>
      <c r="D17" s="691"/>
      <c r="E17" s="450" t="s">
        <v>30</v>
      </c>
      <c r="F17" s="451" t="str">
        <f t="shared" ref="F17:M17" si="7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451" t="str">
        <f t="shared" si="7"/>
        <v>-</v>
      </c>
      <c r="H17" s="451" t="str">
        <f t="shared" si="7"/>
        <v>-</v>
      </c>
      <c r="I17" s="451" t="str">
        <f t="shared" si="7"/>
        <v>-</v>
      </c>
      <c r="J17" s="451" t="str">
        <f t="shared" si="7"/>
        <v>-</v>
      </c>
      <c r="K17" s="452" t="str">
        <f t="shared" si="7"/>
        <v>-</v>
      </c>
      <c r="L17" s="452" t="str">
        <f t="shared" si="7"/>
        <v>-</v>
      </c>
      <c r="M17" s="452" t="str">
        <f t="shared" si="7"/>
        <v>-</v>
      </c>
      <c r="N17" s="685"/>
      <c r="O17" s="672"/>
      <c r="P17" s="673"/>
      <c r="Q17" s="673"/>
      <c r="R17" s="674"/>
      <c r="S17" s="672"/>
      <c r="T17" s="673"/>
      <c r="U17" s="673"/>
      <c r="V17" s="674"/>
      <c r="W17" s="512"/>
      <c r="X17" s="512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401"/>
      <c r="AJ17" s="401"/>
      <c r="AK17" s="401"/>
      <c r="AL17" s="401"/>
      <c r="AM17" s="401"/>
      <c r="AN17" s="401"/>
      <c r="AO17" s="401"/>
      <c r="AP17" s="401"/>
      <c r="AQ17" s="401"/>
      <c r="AR17" s="401"/>
      <c r="AS17" s="401"/>
      <c r="AT17" s="401"/>
      <c r="AU17" s="401"/>
      <c r="AV17" s="401"/>
      <c r="AW17" s="401"/>
      <c r="AX17" s="401"/>
      <c r="AY17" s="401"/>
      <c r="AZ17" s="401"/>
      <c r="BA17" s="401"/>
      <c r="BB17" s="401"/>
      <c r="BC17" s="399" t="str">
        <f>IF(COUNTIF(F17:M17,"refused")&gt;0,"refused",IF(COUNTIF(F17:M17,"failed")&gt;0,"failed",IF(COUNTIF(F17:M17,"passed")&gt;0,"passed","-")))</f>
        <v>-</v>
      </c>
      <c r="BD17" s="429" t="str">
        <f>"0.7*IEF " &amp; (B12)</f>
        <v>0.7*IEF Cold</v>
      </c>
      <c r="BE17" s="435" t="str">
        <f t="shared" ref="BE17:BL17" si="8">IF(AND(OR($C15="-",$C15="CET",$C15=""),OR(F12="-",F12="CET",F12="")),"-",0.7*IF(OR(F12="CET",F12="-",F12=""),IF(OR($C15="CET",$C15="-",$C15=""),"-",$C15),F12))</f>
        <v>-</v>
      </c>
      <c r="BF17" s="435" t="str">
        <f t="shared" si="8"/>
        <v>-</v>
      </c>
      <c r="BG17" s="435" t="str">
        <f t="shared" si="8"/>
        <v>-</v>
      </c>
      <c r="BH17" s="435" t="str">
        <f t="shared" si="8"/>
        <v>-</v>
      </c>
      <c r="BI17" s="435" t="str">
        <f t="shared" si="8"/>
        <v>-</v>
      </c>
      <c r="BJ17" s="435" t="str">
        <f t="shared" si="8"/>
        <v>-</v>
      </c>
      <c r="BK17" s="435" t="str">
        <f t="shared" si="8"/>
        <v>-</v>
      </c>
      <c r="BL17" s="435" t="str">
        <f t="shared" si="8"/>
        <v>-</v>
      </c>
      <c r="BU17" s="401"/>
      <c r="BV17" s="401"/>
      <c r="BW17" s="401"/>
      <c r="BX17" s="401"/>
      <c r="BY17" s="401"/>
      <c r="BZ17" s="401"/>
    </row>
    <row r="18" spans="1:78" s="405" customFormat="1" ht="15" customHeight="1" outlineLevel="1" x14ac:dyDescent="0.25">
      <c r="A18" s="396"/>
      <c r="B18" s="679" t="s">
        <v>98</v>
      </c>
      <c r="C18" s="684" t="s">
        <v>114</v>
      </c>
      <c r="D18" s="684" t="s">
        <v>113</v>
      </c>
      <c r="E18" s="453" t="s">
        <v>94</v>
      </c>
      <c r="F18" s="437" t="s">
        <v>5</v>
      </c>
      <c r="G18" s="437" t="s">
        <v>5</v>
      </c>
      <c r="H18" s="437" t="s">
        <v>5</v>
      </c>
      <c r="I18" s="437" t="s">
        <v>5</v>
      </c>
      <c r="J18" s="437" t="s">
        <v>5</v>
      </c>
      <c r="K18" s="438" t="s">
        <v>5</v>
      </c>
      <c r="L18" s="438" t="s">
        <v>5</v>
      </c>
      <c r="M18" s="438" t="s">
        <v>5</v>
      </c>
      <c r="N18" s="437" t="s">
        <v>5</v>
      </c>
      <c r="O18" s="672"/>
      <c r="P18" s="673"/>
      <c r="Q18" s="673"/>
      <c r="R18" s="674"/>
      <c r="S18" s="672"/>
      <c r="T18" s="673"/>
      <c r="U18" s="673"/>
      <c r="V18" s="674"/>
      <c r="W18" s="512"/>
      <c r="X18" s="512"/>
      <c r="Y18" s="678"/>
      <c r="Z18" s="678"/>
      <c r="AA18" s="678"/>
      <c r="AB18" s="678"/>
      <c r="AC18" s="678"/>
      <c r="AD18" s="678"/>
      <c r="AE18" s="678"/>
      <c r="AF18" s="678"/>
      <c r="AG18" s="678"/>
      <c r="AH18" s="678"/>
      <c r="AI18" s="401"/>
      <c r="AJ18" s="401"/>
      <c r="AK18" s="401"/>
      <c r="AL18" s="401"/>
      <c r="AM18" s="401"/>
      <c r="AN18" s="401"/>
      <c r="AO18" s="401"/>
      <c r="AP18" s="401"/>
      <c r="AQ18" s="401"/>
      <c r="AR18" s="401"/>
      <c r="AS18" s="401"/>
      <c r="AT18" s="401"/>
      <c r="AU18" s="401"/>
      <c r="AV18" s="401"/>
      <c r="AW18" s="401"/>
      <c r="AX18" s="401"/>
      <c r="AY18" s="401"/>
      <c r="AZ18" s="401"/>
      <c r="BA18" s="401"/>
      <c r="BB18" s="401"/>
      <c r="BC18" s="536"/>
      <c r="BD18" s="429" t="str">
        <f>"0.7*IEF" &amp; B18</f>
        <v>0.7*IEFWarm</v>
      </c>
      <c r="BE18" s="435">
        <f t="shared" ref="BE18:BL18" si="9">IF(OR($C20="-",$C20="CET",$C20=""),"-",0.7*$C20)</f>
        <v>0.7</v>
      </c>
      <c r="BF18" s="435">
        <f t="shared" si="9"/>
        <v>0.7</v>
      </c>
      <c r="BG18" s="435">
        <f t="shared" si="9"/>
        <v>0.7</v>
      </c>
      <c r="BH18" s="435">
        <f t="shared" si="9"/>
        <v>0.7</v>
      </c>
      <c r="BI18" s="435">
        <f t="shared" si="9"/>
        <v>0.7</v>
      </c>
      <c r="BJ18" s="435">
        <f t="shared" si="9"/>
        <v>0.7</v>
      </c>
      <c r="BK18" s="435">
        <f t="shared" si="9"/>
        <v>0.7</v>
      </c>
      <c r="BL18" s="435">
        <f t="shared" si="9"/>
        <v>0.7</v>
      </c>
      <c r="BU18" s="401"/>
      <c r="BV18" s="401"/>
      <c r="BW18" s="401"/>
      <c r="BX18" s="401"/>
      <c r="BY18" s="401"/>
      <c r="BZ18" s="401"/>
    </row>
    <row r="19" spans="1:78" s="405" customFormat="1" ht="15" customHeight="1" outlineLevel="1" thickBot="1" x14ac:dyDescent="0.3">
      <c r="A19" s="439"/>
      <c r="B19" s="680"/>
      <c r="C19" s="702"/>
      <c r="D19" s="685"/>
      <c r="E19" s="440" t="s">
        <v>95</v>
      </c>
      <c r="F19" s="441" t="s">
        <v>5</v>
      </c>
      <c r="G19" s="441" t="s">
        <v>5</v>
      </c>
      <c r="H19" s="441" t="s">
        <v>5</v>
      </c>
      <c r="I19" s="441" t="s">
        <v>5</v>
      </c>
      <c r="J19" s="441" t="s">
        <v>5</v>
      </c>
      <c r="K19" s="442" t="s">
        <v>5</v>
      </c>
      <c r="L19" s="442" t="s">
        <v>5</v>
      </c>
      <c r="M19" s="442" t="s">
        <v>5</v>
      </c>
      <c r="N19" s="441" t="s">
        <v>5</v>
      </c>
      <c r="O19" s="672"/>
      <c r="P19" s="673"/>
      <c r="Q19" s="673"/>
      <c r="R19" s="674"/>
      <c r="S19" s="672"/>
      <c r="T19" s="673"/>
      <c r="U19" s="673"/>
      <c r="V19" s="674"/>
      <c r="W19" s="443"/>
      <c r="X19" s="443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BC19" s="536"/>
      <c r="BD19" s="429" t="str">
        <f>"0.7*IEF " &amp; B23</f>
        <v>0.7*IEF Hot 1</v>
      </c>
      <c r="BE19" s="435">
        <f t="shared" ref="BE19:BL19" si="10">IF(OR($C25="-",$C25="CET",$C25=""),"-",0.7*$C25)</f>
        <v>0.7</v>
      </c>
      <c r="BF19" s="435">
        <f t="shared" si="10"/>
        <v>0.7</v>
      </c>
      <c r="BG19" s="435">
        <f t="shared" si="10"/>
        <v>0.7</v>
      </c>
      <c r="BH19" s="435">
        <f t="shared" si="10"/>
        <v>0.7</v>
      </c>
      <c r="BI19" s="435">
        <f t="shared" si="10"/>
        <v>0.7</v>
      </c>
      <c r="BJ19" s="435">
        <f t="shared" si="10"/>
        <v>0.7</v>
      </c>
      <c r="BK19" s="435">
        <f t="shared" si="10"/>
        <v>0.7</v>
      </c>
      <c r="BL19" s="435">
        <f t="shared" si="10"/>
        <v>0.7</v>
      </c>
    </row>
    <row r="20" spans="1:78" s="405" customFormat="1" ht="15" customHeight="1" outlineLevel="1" thickBot="1" x14ac:dyDescent="0.3">
      <c r="A20" s="396"/>
      <c r="B20" s="680"/>
      <c r="C20" s="686">
        <v>1</v>
      </c>
      <c r="D20" s="689" t="str">
        <f>IF(AND(F20="-",G20="-",H20="-",I20="-",J20="-",K20="-",L20="-",M20="-"),"-",MAX(F20,G20,H20,I20,J20,K20,L20,M20))</f>
        <v>-</v>
      </c>
      <c r="E20" s="444" t="s">
        <v>177</v>
      </c>
      <c r="F20" s="445" t="str">
        <f t="shared" ref="F20:M20" si="11">IF(OR(F19="-",F19=""),IF(OR(F18="-",F18=""),"-",F18),IF(OR(F18="-",F18=""),F19,(F18+F19)/2))</f>
        <v>-</v>
      </c>
      <c r="G20" s="445" t="str">
        <f t="shared" si="11"/>
        <v>-</v>
      </c>
      <c r="H20" s="445" t="str">
        <f t="shared" si="11"/>
        <v>-</v>
      </c>
      <c r="I20" s="445" t="str">
        <f t="shared" si="11"/>
        <v>-</v>
      </c>
      <c r="J20" s="445" t="str">
        <f t="shared" si="11"/>
        <v>-</v>
      </c>
      <c r="K20" s="446" t="str">
        <f t="shared" si="11"/>
        <v>-</v>
      </c>
      <c r="L20" s="446" t="str">
        <f t="shared" si="11"/>
        <v>-</v>
      </c>
      <c r="M20" s="446" t="str">
        <f t="shared" si="11"/>
        <v>-</v>
      </c>
      <c r="N20" s="828"/>
      <c r="O20" s="672"/>
      <c r="P20" s="673"/>
      <c r="Q20" s="673"/>
      <c r="R20" s="674"/>
      <c r="S20" s="672"/>
      <c r="T20" s="673"/>
      <c r="U20" s="673"/>
      <c r="V20" s="674"/>
      <c r="W20" s="512"/>
      <c r="X20" s="512"/>
      <c r="Y20" s="678"/>
      <c r="Z20" s="678"/>
      <c r="AA20" s="678"/>
      <c r="AB20" s="678"/>
      <c r="AC20" s="678"/>
      <c r="AD20" s="678"/>
      <c r="AE20" s="678"/>
      <c r="AF20" s="678"/>
      <c r="AG20" s="678"/>
      <c r="AH20" s="678"/>
      <c r="AI20" s="401"/>
      <c r="AJ20" s="401"/>
      <c r="AK20" s="401"/>
      <c r="AL20" s="401"/>
      <c r="AM20" s="401"/>
      <c r="AN20" s="401"/>
      <c r="AO20" s="401"/>
      <c r="AP20" s="401"/>
      <c r="AQ20" s="401"/>
      <c r="AR20" s="401"/>
      <c r="AS20" s="401"/>
      <c r="AT20" s="401"/>
      <c r="AU20" s="401"/>
      <c r="AV20" s="401"/>
      <c r="AW20" s="401"/>
      <c r="AX20" s="401"/>
      <c r="AY20" s="401"/>
      <c r="AZ20" s="401"/>
      <c r="BA20" s="401"/>
      <c r="BB20" s="401"/>
      <c r="BC20" s="536"/>
      <c r="BD20" s="429" t="str">
        <f>"0.7*IEF " &amp; B28</f>
        <v>0.7*IEF Hot 2</v>
      </c>
      <c r="BE20" s="435">
        <f t="shared" ref="BE20:BL20" si="12">IF(OR($C30="-",$C30="CET",$C30=""),"-",0.7*$C30)</f>
        <v>0.7</v>
      </c>
      <c r="BF20" s="435">
        <f t="shared" si="12"/>
        <v>0.7</v>
      </c>
      <c r="BG20" s="435">
        <f t="shared" si="12"/>
        <v>0.7</v>
      </c>
      <c r="BH20" s="435">
        <f t="shared" si="12"/>
        <v>0.7</v>
      </c>
      <c r="BI20" s="435">
        <f t="shared" si="12"/>
        <v>0.7</v>
      </c>
      <c r="BJ20" s="435">
        <f t="shared" si="12"/>
        <v>0.7</v>
      </c>
      <c r="BK20" s="435">
        <f t="shared" si="12"/>
        <v>0.7</v>
      </c>
      <c r="BL20" s="435">
        <f t="shared" si="12"/>
        <v>0.7</v>
      </c>
      <c r="BU20" s="401"/>
      <c r="BV20" s="401"/>
      <c r="BW20" s="401"/>
      <c r="BX20" s="401"/>
      <c r="BY20" s="401"/>
      <c r="BZ20" s="401"/>
    </row>
    <row r="21" spans="1:78" s="405" customFormat="1" ht="15" customHeight="1" outlineLevel="1" thickBot="1" x14ac:dyDescent="0.3">
      <c r="A21" s="396"/>
      <c r="B21" s="680"/>
      <c r="C21" s="687"/>
      <c r="D21" s="690"/>
      <c r="E21" s="447" t="s">
        <v>97</v>
      </c>
      <c r="F21" s="448" t="e">
        <f t="shared" ref="F21:M21" si="13">IF(OR($C20="-",$C20="CET",$C20=""),"-",IF(AND(NOT(F20="-"),NOT(F$5="-"),NOT(F$5="")),F20/F$5,"-"))</f>
        <v>#N/A</v>
      </c>
      <c r="G21" s="448" t="e">
        <f t="shared" si="13"/>
        <v>#N/A</v>
      </c>
      <c r="H21" s="448" t="e">
        <f t="shared" si="13"/>
        <v>#N/A</v>
      </c>
      <c r="I21" s="448" t="e">
        <f t="shared" si="13"/>
        <v>#N/A</v>
      </c>
      <c r="J21" s="448" t="e">
        <f t="shared" si="13"/>
        <v>#N/A</v>
      </c>
      <c r="K21" s="449" t="e">
        <f t="shared" si="13"/>
        <v>#N/A</v>
      </c>
      <c r="L21" s="449" t="e">
        <f t="shared" si="13"/>
        <v>#N/A</v>
      </c>
      <c r="M21" s="449" t="e">
        <f t="shared" si="13"/>
        <v>#N/A</v>
      </c>
      <c r="N21" s="702"/>
      <c r="O21" s="672"/>
      <c r="P21" s="673"/>
      <c r="Q21" s="673"/>
      <c r="R21" s="674"/>
      <c r="S21" s="672"/>
      <c r="T21" s="673"/>
      <c r="U21" s="673"/>
      <c r="V21" s="674"/>
      <c r="W21" s="512"/>
      <c r="X21" s="512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401"/>
      <c r="AJ21" s="401"/>
      <c r="AK21" s="401"/>
      <c r="AL21" s="401"/>
      <c r="AM21" s="401"/>
      <c r="AN21" s="401"/>
      <c r="AO21" s="401"/>
      <c r="AP21" s="401"/>
      <c r="AQ21" s="401"/>
      <c r="AR21" s="401"/>
      <c r="AS21" s="401"/>
      <c r="AT21" s="401"/>
      <c r="AU21" s="401"/>
      <c r="AV21" s="401"/>
      <c r="AW21" s="401"/>
      <c r="AX21" s="401"/>
      <c r="AY21" s="401"/>
      <c r="AZ21" s="401"/>
      <c r="BA21" s="401"/>
      <c r="BB21" s="401"/>
      <c r="BC21" s="536"/>
      <c r="BD21" s="429" t="str">
        <f>B12</f>
        <v>Cold</v>
      </c>
      <c r="BE21" s="435" t="str">
        <f t="shared" ref="BE21:BL21" si="14">F16</f>
        <v>-</v>
      </c>
      <c r="BF21" s="435" t="str">
        <f t="shared" si="14"/>
        <v>-</v>
      </c>
      <c r="BG21" s="435" t="str">
        <f t="shared" si="14"/>
        <v>-</v>
      </c>
      <c r="BH21" s="435" t="str">
        <f t="shared" si="14"/>
        <v>-</v>
      </c>
      <c r="BI21" s="435" t="str">
        <f t="shared" si="14"/>
        <v>-</v>
      </c>
      <c r="BJ21" s="435" t="str">
        <f t="shared" si="14"/>
        <v>-</v>
      </c>
      <c r="BK21" s="435" t="str">
        <f t="shared" si="14"/>
        <v>-</v>
      </c>
      <c r="BL21" s="435" t="str">
        <f t="shared" si="14"/>
        <v>-</v>
      </c>
      <c r="BU21" s="401"/>
      <c r="BV21" s="401"/>
      <c r="BW21" s="401"/>
      <c r="BX21" s="401"/>
      <c r="BY21" s="401"/>
      <c r="BZ21" s="401"/>
    </row>
    <row r="22" spans="1:78" s="405" customFormat="1" ht="15" customHeight="1" outlineLevel="1" thickBot="1" x14ac:dyDescent="0.3">
      <c r="A22" s="404"/>
      <c r="B22" s="681"/>
      <c r="C22" s="688"/>
      <c r="D22" s="691"/>
      <c r="E22" s="450" t="s">
        <v>30</v>
      </c>
      <c r="F22" s="451" t="str">
        <f t="shared" ref="F22:M22" si="15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451" t="str">
        <f t="shared" si="15"/>
        <v>-</v>
      </c>
      <c r="H22" s="451" t="str">
        <f t="shared" si="15"/>
        <v>-</v>
      </c>
      <c r="I22" s="451" t="str">
        <f t="shared" si="15"/>
        <v>-</v>
      </c>
      <c r="J22" s="451" t="str">
        <f t="shared" si="15"/>
        <v>-</v>
      </c>
      <c r="K22" s="452" t="str">
        <f t="shared" si="15"/>
        <v>-</v>
      </c>
      <c r="L22" s="452" t="str">
        <f t="shared" si="15"/>
        <v>-</v>
      </c>
      <c r="M22" s="452" t="str">
        <f t="shared" si="15"/>
        <v>-</v>
      </c>
      <c r="N22" s="685"/>
      <c r="O22" s="672"/>
      <c r="P22" s="673"/>
      <c r="Q22" s="673"/>
      <c r="R22" s="674"/>
      <c r="S22" s="672"/>
      <c r="T22" s="673"/>
      <c r="U22" s="673"/>
      <c r="V22" s="674"/>
      <c r="W22" s="512"/>
      <c r="X22" s="512"/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401"/>
      <c r="AJ22" s="401"/>
      <c r="AK22" s="401"/>
      <c r="AL22" s="401"/>
      <c r="AM22" s="401"/>
      <c r="AN22" s="401"/>
      <c r="AO22" s="401"/>
      <c r="AP22" s="401"/>
      <c r="AQ22" s="401"/>
      <c r="AR22" s="401"/>
      <c r="AS22" s="401"/>
      <c r="AT22" s="401"/>
      <c r="AU22" s="401"/>
      <c r="AV22" s="401"/>
      <c r="AW22" s="401"/>
      <c r="AX22" s="401"/>
      <c r="AY22" s="401"/>
      <c r="AZ22" s="401"/>
      <c r="BA22" s="401"/>
      <c r="BB22" s="401"/>
      <c r="BC22" s="399" t="str">
        <f>IF(COUNTIF(F22:M22,"refused")&gt;0,"refused",IF(COUNTIF(F22:M22,"failed")&gt;0,"failed",IF(COUNTIF(F22:M22,"passed")&gt;0,"passed","-")))</f>
        <v>-</v>
      </c>
      <c r="BD22" s="429" t="str">
        <f>B18</f>
        <v>Warm</v>
      </c>
      <c r="BE22" s="435" t="e">
        <f t="shared" ref="BE22:BL22" si="16">F21</f>
        <v>#N/A</v>
      </c>
      <c r="BF22" s="435" t="e">
        <f t="shared" si="16"/>
        <v>#N/A</v>
      </c>
      <c r="BG22" s="435" t="e">
        <f t="shared" si="16"/>
        <v>#N/A</v>
      </c>
      <c r="BH22" s="435" t="e">
        <f t="shared" si="16"/>
        <v>#N/A</v>
      </c>
      <c r="BI22" s="435" t="e">
        <f t="shared" si="16"/>
        <v>#N/A</v>
      </c>
      <c r="BJ22" s="435" t="e">
        <f t="shared" si="16"/>
        <v>#N/A</v>
      </c>
      <c r="BK22" s="435" t="e">
        <f t="shared" si="16"/>
        <v>#N/A</v>
      </c>
      <c r="BL22" s="435" t="e">
        <f t="shared" si="16"/>
        <v>#N/A</v>
      </c>
      <c r="BU22" s="401"/>
      <c r="BV22" s="401"/>
      <c r="BW22" s="401"/>
      <c r="BX22" s="401"/>
      <c r="BY22" s="401"/>
      <c r="BZ22" s="401"/>
    </row>
    <row r="23" spans="1:78" s="405" customFormat="1" ht="15" customHeight="1" outlineLevel="1" thickBot="1" x14ac:dyDescent="0.3">
      <c r="A23" s="404"/>
      <c r="B23" s="679" t="s">
        <v>99</v>
      </c>
      <c r="C23" s="684" t="s">
        <v>114</v>
      </c>
      <c r="D23" s="684" t="s">
        <v>113</v>
      </c>
      <c r="E23" s="453" t="s">
        <v>94</v>
      </c>
      <c r="F23" s="437" t="s">
        <v>5</v>
      </c>
      <c r="G23" s="437" t="s">
        <v>5</v>
      </c>
      <c r="H23" s="437" t="s">
        <v>5</v>
      </c>
      <c r="I23" s="437" t="s">
        <v>5</v>
      </c>
      <c r="J23" s="437" t="s">
        <v>5</v>
      </c>
      <c r="K23" s="438" t="s">
        <v>5</v>
      </c>
      <c r="L23" s="438" t="s">
        <v>5</v>
      </c>
      <c r="M23" s="438" t="s">
        <v>5</v>
      </c>
      <c r="N23" s="437" t="s">
        <v>5</v>
      </c>
      <c r="O23" s="672"/>
      <c r="P23" s="673"/>
      <c r="Q23" s="673"/>
      <c r="R23" s="674"/>
      <c r="S23" s="672"/>
      <c r="T23" s="673"/>
      <c r="U23" s="673"/>
      <c r="V23" s="674"/>
      <c r="W23" s="512"/>
      <c r="X23" s="512"/>
      <c r="Y23" s="678"/>
      <c r="Z23" s="678"/>
      <c r="AA23" s="678"/>
      <c r="AB23" s="678"/>
      <c r="AC23" s="678"/>
      <c r="AD23" s="678"/>
      <c r="AE23" s="678"/>
      <c r="AF23" s="678"/>
      <c r="AG23" s="678"/>
      <c r="AH23" s="678"/>
      <c r="AI23" s="401"/>
      <c r="AJ23" s="401"/>
      <c r="AK23" s="401"/>
      <c r="AL23" s="401"/>
      <c r="AM23" s="401"/>
      <c r="AN23" s="401"/>
      <c r="AO23" s="401"/>
      <c r="AP23" s="401"/>
      <c r="AQ23" s="401"/>
      <c r="AR23" s="401"/>
      <c r="AS23" s="401"/>
      <c r="AT23" s="401"/>
      <c r="AU23" s="401"/>
      <c r="AV23" s="401"/>
      <c r="AW23" s="401"/>
      <c r="AX23" s="401"/>
      <c r="AY23" s="401"/>
      <c r="AZ23" s="401"/>
      <c r="BA23" s="401"/>
      <c r="BB23" s="401"/>
      <c r="BC23" s="536"/>
      <c r="BD23" s="429" t="str">
        <f>B23</f>
        <v>Hot 1</v>
      </c>
      <c r="BE23" s="435" t="e">
        <f t="shared" ref="BE23:BL23" si="17">F26</f>
        <v>#N/A</v>
      </c>
      <c r="BF23" s="435" t="e">
        <f t="shared" si="17"/>
        <v>#N/A</v>
      </c>
      <c r="BG23" s="435" t="e">
        <f t="shared" si="17"/>
        <v>#N/A</v>
      </c>
      <c r="BH23" s="435" t="e">
        <f t="shared" si="17"/>
        <v>#N/A</v>
      </c>
      <c r="BI23" s="435" t="e">
        <f t="shared" si="17"/>
        <v>#N/A</v>
      </c>
      <c r="BJ23" s="435" t="e">
        <f t="shared" si="17"/>
        <v>#N/A</v>
      </c>
      <c r="BK23" s="435" t="e">
        <f t="shared" si="17"/>
        <v>#N/A</v>
      </c>
      <c r="BL23" s="435" t="e">
        <f t="shared" si="17"/>
        <v>#N/A</v>
      </c>
      <c r="BU23" s="401"/>
      <c r="BV23" s="401"/>
      <c r="BW23" s="401"/>
      <c r="BX23" s="401"/>
      <c r="BY23" s="401"/>
      <c r="BZ23" s="401"/>
    </row>
    <row r="24" spans="1:78" s="405" customFormat="1" ht="15" customHeight="1" outlineLevel="1" thickBot="1" x14ac:dyDescent="0.3">
      <c r="A24" s="454"/>
      <c r="B24" s="680"/>
      <c r="C24" s="702"/>
      <c r="D24" s="685"/>
      <c r="E24" s="455" t="s">
        <v>95</v>
      </c>
      <c r="F24" s="441" t="s">
        <v>5</v>
      </c>
      <c r="G24" s="441" t="s">
        <v>5</v>
      </c>
      <c r="H24" s="441" t="s">
        <v>5</v>
      </c>
      <c r="I24" s="441" t="s">
        <v>5</v>
      </c>
      <c r="J24" s="441" t="s">
        <v>5</v>
      </c>
      <c r="K24" s="442" t="s">
        <v>5</v>
      </c>
      <c r="L24" s="442" t="s">
        <v>5</v>
      </c>
      <c r="M24" s="442" t="s">
        <v>5</v>
      </c>
      <c r="N24" s="441" t="s">
        <v>5</v>
      </c>
      <c r="O24" s="672"/>
      <c r="P24" s="673"/>
      <c r="Q24" s="673"/>
      <c r="R24" s="674"/>
      <c r="S24" s="672"/>
      <c r="T24" s="673"/>
      <c r="U24" s="673"/>
      <c r="V24" s="674"/>
      <c r="W24" s="443"/>
      <c r="X24" s="443"/>
      <c r="Y24" s="678"/>
      <c r="Z24" s="678"/>
      <c r="AA24" s="678"/>
      <c r="AB24" s="678"/>
      <c r="AC24" s="678"/>
      <c r="AD24" s="678"/>
      <c r="AE24" s="678"/>
      <c r="AF24" s="678"/>
      <c r="AG24" s="678"/>
      <c r="AH24" s="678"/>
      <c r="BC24" s="536"/>
      <c r="BD24" s="429" t="str">
        <f>B28</f>
        <v>Hot 2</v>
      </c>
      <c r="BE24" s="435" t="e">
        <f t="shared" ref="BE24:BL24" si="18">F31</f>
        <v>#N/A</v>
      </c>
      <c r="BF24" s="435" t="e">
        <f t="shared" si="18"/>
        <v>#N/A</v>
      </c>
      <c r="BG24" s="435" t="e">
        <f t="shared" si="18"/>
        <v>#N/A</v>
      </c>
      <c r="BH24" s="435" t="e">
        <f t="shared" si="18"/>
        <v>#N/A</v>
      </c>
      <c r="BI24" s="435" t="e">
        <f t="shared" si="18"/>
        <v>#N/A</v>
      </c>
      <c r="BJ24" s="435" t="e">
        <f t="shared" si="18"/>
        <v>#N/A</v>
      </c>
      <c r="BK24" s="435" t="e">
        <f t="shared" si="18"/>
        <v>#N/A</v>
      </c>
      <c r="BL24" s="435" t="e">
        <f t="shared" si="18"/>
        <v>#N/A</v>
      </c>
    </row>
    <row r="25" spans="1:78" s="405" customFormat="1" ht="15" customHeight="1" outlineLevel="1" thickBot="1" x14ac:dyDescent="0.3">
      <c r="A25" s="404"/>
      <c r="B25" s="680"/>
      <c r="C25" s="686">
        <v>1</v>
      </c>
      <c r="D25" s="689" t="str">
        <f>IF(AND(F25="-",G25="-",H25="-",I25="-",J25="-",K25="-",L25="-",M25="-"),"-",MAX(F25,G25,H25,I25,J25,K25,L25,M25))</f>
        <v>-</v>
      </c>
      <c r="E25" s="444" t="s">
        <v>177</v>
      </c>
      <c r="F25" s="445" t="str">
        <f t="shared" ref="F25:M25" si="19">IF(OR(F24="-",F24=""),IF(OR(F23="-",F23=""),"-",F23),IF(OR(F23="-",F23=""),F24,(F23+F24)/2))</f>
        <v>-</v>
      </c>
      <c r="G25" s="445" t="str">
        <f t="shared" si="19"/>
        <v>-</v>
      </c>
      <c r="H25" s="445" t="str">
        <f t="shared" si="19"/>
        <v>-</v>
      </c>
      <c r="I25" s="445" t="str">
        <f t="shared" si="19"/>
        <v>-</v>
      </c>
      <c r="J25" s="445" t="str">
        <f t="shared" si="19"/>
        <v>-</v>
      </c>
      <c r="K25" s="446" t="str">
        <f t="shared" si="19"/>
        <v>-</v>
      </c>
      <c r="L25" s="446" t="str">
        <f t="shared" si="19"/>
        <v>-</v>
      </c>
      <c r="M25" s="446" t="str">
        <f t="shared" si="19"/>
        <v>-</v>
      </c>
      <c r="N25" s="828"/>
      <c r="O25" s="672"/>
      <c r="P25" s="673"/>
      <c r="Q25" s="673"/>
      <c r="R25" s="674"/>
      <c r="S25" s="672"/>
      <c r="T25" s="673"/>
      <c r="U25" s="673"/>
      <c r="V25" s="674"/>
      <c r="W25" s="512"/>
      <c r="X25" s="512"/>
      <c r="Y25" s="678"/>
      <c r="Z25" s="678"/>
      <c r="AA25" s="678"/>
      <c r="AB25" s="678"/>
      <c r="AC25" s="678"/>
      <c r="AD25" s="678"/>
      <c r="AE25" s="678"/>
      <c r="AF25" s="678"/>
      <c r="AG25" s="678"/>
      <c r="AH25" s="678"/>
      <c r="AI25" s="401"/>
      <c r="AJ25" s="401"/>
      <c r="AK25" s="401"/>
      <c r="AL25" s="401"/>
      <c r="AM25" s="401"/>
      <c r="AN25" s="401"/>
      <c r="AO25" s="401"/>
      <c r="AP25" s="401"/>
      <c r="AQ25" s="401"/>
      <c r="AR25" s="401"/>
      <c r="AS25" s="401"/>
      <c r="AT25" s="401"/>
      <c r="AU25" s="401"/>
      <c r="AV25" s="401"/>
      <c r="AW25" s="401"/>
      <c r="AX25" s="401"/>
      <c r="AY25" s="401"/>
      <c r="AZ25" s="401"/>
      <c r="BA25" s="401"/>
      <c r="BB25" s="401"/>
      <c r="BC25" s="536"/>
      <c r="BD25" s="429" t="str">
        <f>"IEF " &amp;B12</f>
        <v>IEF Cold</v>
      </c>
      <c r="BE25" s="435" t="str">
        <f t="shared" ref="BE25:BL25" si="20">IF(AND(OR($C15="-",$C15="CET",$C15=""),OR(F12="-",F12="CET",F12="")),"-",IF(OR(F12="CET",F12="-",F12=""),IF(OR($C15="CET",$C15="-",$C15=""),"-",$C15),F12))</f>
        <v>-</v>
      </c>
      <c r="BF25" s="435" t="str">
        <f t="shared" si="20"/>
        <v>-</v>
      </c>
      <c r="BG25" s="435" t="str">
        <f t="shared" si="20"/>
        <v>-</v>
      </c>
      <c r="BH25" s="435" t="str">
        <f t="shared" si="20"/>
        <v>-</v>
      </c>
      <c r="BI25" s="435" t="str">
        <f t="shared" si="20"/>
        <v>-</v>
      </c>
      <c r="BJ25" s="435" t="str">
        <f t="shared" si="20"/>
        <v>-</v>
      </c>
      <c r="BK25" s="435" t="str">
        <f t="shared" si="20"/>
        <v>-</v>
      </c>
      <c r="BL25" s="435" t="str">
        <f t="shared" si="20"/>
        <v>-</v>
      </c>
      <c r="BU25" s="401"/>
      <c r="BV25" s="401"/>
      <c r="BW25" s="401"/>
      <c r="BX25" s="401"/>
      <c r="BY25" s="401"/>
      <c r="BZ25" s="401"/>
    </row>
    <row r="26" spans="1:78" s="405" customFormat="1" ht="15" customHeight="1" outlineLevel="1" thickBot="1" x14ac:dyDescent="0.3">
      <c r="A26" s="404"/>
      <c r="B26" s="680"/>
      <c r="C26" s="687"/>
      <c r="D26" s="690"/>
      <c r="E26" s="447" t="s">
        <v>97</v>
      </c>
      <c r="F26" s="448" t="e">
        <f t="shared" ref="F26:M26" si="21">IF(OR($C25="-",$C25="CET",$C25=""),"-",IF(AND(NOT(F25="-"),NOT(F$5="-"),NOT(F$5="")),F25/F$5,"-"))</f>
        <v>#N/A</v>
      </c>
      <c r="G26" s="448" t="e">
        <f t="shared" si="21"/>
        <v>#N/A</v>
      </c>
      <c r="H26" s="448" t="e">
        <f t="shared" si="21"/>
        <v>#N/A</v>
      </c>
      <c r="I26" s="448" t="e">
        <f t="shared" si="21"/>
        <v>#N/A</v>
      </c>
      <c r="J26" s="448" t="e">
        <f t="shared" si="21"/>
        <v>#N/A</v>
      </c>
      <c r="K26" s="449" t="e">
        <f t="shared" si="21"/>
        <v>#N/A</v>
      </c>
      <c r="L26" s="449" t="e">
        <f t="shared" si="21"/>
        <v>#N/A</v>
      </c>
      <c r="M26" s="449" t="e">
        <f t="shared" si="21"/>
        <v>#N/A</v>
      </c>
      <c r="N26" s="702"/>
      <c r="O26" s="672"/>
      <c r="P26" s="673"/>
      <c r="Q26" s="673"/>
      <c r="R26" s="674"/>
      <c r="S26" s="672"/>
      <c r="T26" s="673"/>
      <c r="U26" s="673"/>
      <c r="V26" s="674"/>
      <c r="W26" s="512"/>
      <c r="X26" s="512"/>
      <c r="Y26" s="678"/>
      <c r="Z26" s="678"/>
      <c r="AA26" s="678"/>
      <c r="AB26" s="678"/>
      <c r="AC26" s="678"/>
      <c r="AD26" s="678"/>
      <c r="AE26" s="678"/>
      <c r="AF26" s="678"/>
      <c r="AG26" s="678"/>
      <c r="AH26" s="678"/>
      <c r="AI26" s="401"/>
      <c r="AJ26" s="401"/>
      <c r="AK26" s="401"/>
      <c r="AL26" s="401"/>
      <c r="AM26" s="401"/>
      <c r="AN26" s="401"/>
      <c r="AO26" s="401"/>
      <c r="AP26" s="401"/>
      <c r="AQ26" s="401"/>
      <c r="AR26" s="401"/>
      <c r="AS26" s="401"/>
      <c r="AT26" s="401"/>
      <c r="AU26" s="401"/>
      <c r="AV26" s="401"/>
      <c r="AW26" s="401"/>
      <c r="AX26" s="401"/>
      <c r="AY26" s="401"/>
      <c r="AZ26" s="401"/>
      <c r="BA26" s="401"/>
      <c r="BB26" s="401"/>
      <c r="BC26" s="536"/>
      <c r="BD26" s="429" t="str">
        <f>"IEF " &amp; B18</f>
        <v>IEF Warm</v>
      </c>
      <c r="BE26" s="435">
        <f t="shared" ref="BE26:BL26" si="22">IF(OR($C20="CET",$C20="-",$C20=""),"-",$C20)</f>
        <v>1</v>
      </c>
      <c r="BF26" s="435">
        <f t="shared" si="22"/>
        <v>1</v>
      </c>
      <c r="BG26" s="435">
        <f t="shared" si="22"/>
        <v>1</v>
      </c>
      <c r="BH26" s="435">
        <f t="shared" si="22"/>
        <v>1</v>
      </c>
      <c r="BI26" s="435">
        <f t="shared" si="22"/>
        <v>1</v>
      </c>
      <c r="BJ26" s="435">
        <f t="shared" si="22"/>
        <v>1</v>
      </c>
      <c r="BK26" s="435">
        <f t="shared" si="22"/>
        <v>1</v>
      </c>
      <c r="BL26" s="435">
        <f t="shared" si="22"/>
        <v>1</v>
      </c>
      <c r="BU26" s="401"/>
      <c r="BV26" s="401"/>
      <c r="BW26" s="401"/>
      <c r="BX26" s="401"/>
      <c r="BY26" s="401"/>
      <c r="BZ26" s="401"/>
    </row>
    <row r="27" spans="1:78" s="405" customFormat="1" ht="15" customHeight="1" outlineLevel="1" thickBot="1" x14ac:dyDescent="0.3">
      <c r="A27" s="404"/>
      <c r="B27" s="681"/>
      <c r="C27" s="688"/>
      <c r="D27" s="691"/>
      <c r="E27" s="450" t="s">
        <v>30</v>
      </c>
      <c r="F27" s="451" t="str">
        <f t="shared" ref="F27:M27" si="23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451" t="str">
        <f t="shared" si="23"/>
        <v>-</v>
      </c>
      <c r="H27" s="451" t="str">
        <f t="shared" si="23"/>
        <v>-</v>
      </c>
      <c r="I27" s="451" t="str">
        <f t="shared" si="23"/>
        <v>-</v>
      </c>
      <c r="J27" s="451" t="str">
        <f t="shared" si="23"/>
        <v>-</v>
      </c>
      <c r="K27" s="452" t="str">
        <f t="shared" si="23"/>
        <v>-</v>
      </c>
      <c r="L27" s="452" t="str">
        <f t="shared" si="23"/>
        <v>-</v>
      </c>
      <c r="M27" s="452" t="str">
        <f t="shared" si="23"/>
        <v>-</v>
      </c>
      <c r="N27" s="685"/>
      <c r="O27" s="672"/>
      <c r="P27" s="673"/>
      <c r="Q27" s="673"/>
      <c r="R27" s="674"/>
      <c r="S27" s="672"/>
      <c r="T27" s="673"/>
      <c r="U27" s="673"/>
      <c r="V27" s="674"/>
      <c r="W27" s="512"/>
      <c r="X27" s="512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401"/>
      <c r="AJ27" s="401"/>
      <c r="AK27" s="401"/>
      <c r="AL27" s="401"/>
      <c r="AM27" s="401"/>
      <c r="AN27" s="401"/>
      <c r="AO27" s="401"/>
      <c r="AP27" s="401"/>
      <c r="AQ27" s="401"/>
      <c r="AR27" s="401"/>
      <c r="AS27" s="401"/>
      <c r="AT27" s="401"/>
      <c r="AU27" s="401"/>
      <c r="AV27" s="401"/>
      <c r="AW27" s="401"/>
      <c r="AX27" s="401"/>
      <c r="AY27" s="401"/>
      <c r="AZ27" s="401"/>
      <c r="BA27" s="401"/>
      <c r="BB27" s="401"/>
      <c r="BC27" s="399" t="str">
        <f>IF(COUNTIF(F27:M27,"refused")&gt;0,"refused",IF(COUNTIF(F27:M27,"failed")&gt;0,"failed",IF(COUNTIF(F27:M27,"passed")&gt;0,"passed","-")))</f>
        <v>-</v>
      </c>
      <c r="BD27" s="429" t="str">
        <f>"IEF " &amp; B23</f>
        <v>IEF Hot 1</v>
      </c>
      <c r="BE27" s="435">
        <f t="shared" ref="BE27:BL27" si="24">IF(OR($C25="CET",$C25="-",$C25=""),"-",$C25)</f>
        <v>1</v>
      </c>
      <c r="BF27" s="435">
        <f t="shared" si="24"/>
        <v>1</v>
      </c>
      <c r="BG27" s="435">
        <f t="shared" si="24"/>
        <v>1</v>
      </c>
      <c r="BH27" s="435">
        <f t="shared" si="24"/>
        <v>1</v>
      </c>
      <c r="BI27" s="435">
        <f t="shared" si="24"/>
        <v>1</v>
      </c>
      <c r="BJ27" s="435">
        <f t="shared" si="24"/>
        <v>1</v>
      </c>
      <c r="BK27" s="435">
        <f t="shared" si="24"/>
        <v>1</v>
      </c>
      <c r="BL27" s="435">
        <f t="shared" si="24"/>
        <v>1</v>
      </c>
      <c r="BU27" s="401"/>
      <c r="BV27" s="401"/>
      <c r="BW27" s="401"/>
      <c r="BX27" s="401"/>
      <c r="BY27" s="401"/>
      <c r="BZ27" s="401"/>
    </row>
    <row r="28" spans="1:78" s="405" customFormat="1" ht="15" customHeight="1" outlineLevel="1" x14ac:dyDescent="0.25">
      <c r="A28" s="404"/>
      <c r="B28" s="679" t="s">
        <v>100</v>
      </c>
      <c r="C28" s="684" t="s">
        <v>114</v>
      </c>
      <c r="D28" s="684" t="s">
        <v>113</v>
      </c>
      <c r="E28" s="453" t="s">
        <v>94</v>
      </c>
      <c r="F28" s="437" t="s">
        <v>5</v>
      </c>
      <c r="G28" s="437" t="s">
        <v>5</v>
      </c>
      <c r="H28" s="437" t="s">
        <v>5</v>
      </c>
      <c r="I28" s="437" t="s">
        <v>5</v>
      </c>
      <c r="J28" s="437" t="s">
        <v>5</v>
      </c>
      <c r="K28" s="438" t="s">
        <v>5</v>
      </c>
      <c r="L28" s="438" t="s">
        <v>5</v>
      </c>
      <c r="M28" s="438" t="s">
        <v>5</v>
      </c>
      <c r="N28" s="437" t="s">
        <v>5</v>
      </c>
      <c r="O28" s="672"/>
      <c r="P28" s="673"/>
      <c r="Q28" s="673"/>
      <c r="R28" s="674"/>
      <c r="S28" s="672"/>
      <c r="T28" s="673"/>
      <c r="U28" s="673"/>
      <c r="V28" s="674"/>
      <c r="W28" s="512"/>
      <c r="X28" s="512"/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401"/>
      <c r="AJ28" s="401"/>
      <c r="AK28" s="401"/>
      <c r="AL28" s="401"/>
      <c r="AM28" s="401"/>
      <c r="AN28" s="401"/>
      <c r="AO28" s="401"/>
      <c r="AP28" s="401"/>
      <c r="AQ28" s="401"/>
      <c r="AR28" s="401"/>
      <c r="AS28" s="401"/>
      <c r="AT28" s="401"/>
      <c r="AU28" s="401"/>
      <c r="AV28" s="401"/>
      <c r="AW28" s="401"/>
      <c r="AX28" s="401"/>
      <c r="AY28" s="401"/>
      <c r="AZ28" s="401"/>
      <c r="BA28" s="401"/>
      <c r="BB28" s="401"/>
      <c r="BC28" s="536"/>
      <c r="BD28" s="429" t="str">
        <f>"IEF " &amp; B28</f>
        <v>IEF Hot 2</v>
      </c>
      <c r="BE28" s="435">
        <f t="shared" ref="BE28:BL28" si="25">IF(OR($C30="CET",$C30="-",$C30=""),"-",$C30)</f>
        <v>1</v>
      </c>
      <c r="BF28" s="435">
        <f t="shared" si="25"/>
        <v>1</v>
      </c>
      <c r="BG28" s="435">
        <f t="shared" si="25"/>
        <v>1</v>
      </c>
      <c r="BH28" s="435">
        <f t="shared" si="25"/>
        <v>1</v>
      </c>
      <c r="BI28" s="435">
        <f t="shared" si="25"/>
        <v>1</v>
      </c>
      <c r="BJ28" s="435">
        <f t="shared" si="25"/>
        <v>1</v>
      </c>
      <c r="BK28" s="435">
        <f t="shared" si="25"/>
        <v>1</v>
      </c>
      <c r="BL28" s="435">
        <f t="shared" si="25"/>
        <v>1</v>
      </c>
      <c r="BU28" s="401"/>
      <c r="BV28" s="401"/>
      <c r="BW28" s="401"/>
      <c r="BX28" s="401"/>
      <c r="BY28" s="401"/>
      <c r="BZ28" s="401"/>
    </row>
    <row r="29" spans="1:78" s="405" customFormat="1" ht="15" customHeight="1" outlineLevel="1" thickBot="1" x14ac:dyDescent="0.3">
      <c r="A29" s="454"/>
      <c r="B29" s="680"/>
      <c r="C29" s="702"/>
      <c r="D29" s="685"/>
      <c r="E29" s="440" t="s">
        <v>95</v>
      </c>
      <c r="F29" s="441" t="s">
        <v>5</v>
      </c>
      <c r="G29" s="441" t="s">
        <v>5</v>
      </c>
      <c r="H29" s="441" t="s">
        <v>5</v>
      </c>
      <c r="I29" s="441" t="s">
        <v>5</v>
      </c>
      <c r="J29" s="441" t="s">
        <v>5</v>
      </c>
      <c r="K29" s="442" t="s">
        <v>5</v>
      </c>
      <c r="L29" s="442" t="s">
        <v>5</v>
      </c>
      <c r="M29" s="442" t="s">
        <v>5</v>
      </c>
      <c r="N29" s="441" t="s">
        <v>5</v>
      </c>
      <c r="O29" s="672"/>
      <c r="P29" s="673"/>
      <c r="Q29" s="673"/>
      <c r="R29" s="674"/>
      <c r="S29" s="672"/>
      <c r="T29" s="673"/>
      <c r="U29" s="673"/>
      <c r="V29" s="674"/>
      <c r="W29" s="443"/>
      <c r="X29" s="443"/>
      <c r="Y29" s="678"/>
      <c r="Z29" s="678"/>
      <c r="AA29" s="678"/>
      <c r="AB29" s="678"/>
      <c r="AC29" s="678"/>
      <c r="AD29" s="678"/>
      <c r="AE29" s="678"/>
      <c r="AF29" s="678"/>
      <c r="AG29" s="678"/>
      <c r="AH29" s="678"/>
      <c r="BC29" s="536"/>
    </row>
    <row r="30" spans="1:78" s="405" customFormat="1" ht="15" customHeight="1" outlineLevel="1" thickBot="1" x14ac:dyDescent="0.3">
      <c r="A30" s="404"/>
      <c r="B30" s="680"/>
      <c r="C30" s="686">
        <v>1</v>
      </c>
      <c r="D30" s="689" t="str">
        <f>IF(AND(F30="-",G30="-",H30="-",I30="-",J30="-",K30="-",L30="-",M30="-"),"-",MAX(F30,G30,H30,I30,J30,K30,L30,M30))</f>
        <v>-</v>
      </c>
      <c r="E30" s="444" t="s">
        <v>177</v>
      </c>
      <c r="F30" s="445" t="str">
        <f t="shared" ref="F30:M30" si="26">IF(OR(F29="-",F29=""),IF(OR(F28="-",F28=""),"-",F28),IF(OR(F28="-",F28=""),F29,(F28+F29)/2))</f>
        <v>-</v>
      </c>
      <c r="G30" s="445" t="str">
        <f t="shared" si="26"/>
        <v>-</v>
      </c>
      <c r="H30" s="445" t="str">
        <f t="shared" si="26"/>
        <v>-</v>
      </c>
      <c r="I30" s="445" t="str">
        <f t="shared" si="26"/>
        <v>-</v>
      </c>
      <c r="J30" s="445" t="str">
        <f t="shared" si="26"/>
        <v>-</v>
      </c>
      <c r="K30" s="446" t="str">
        <f t="shared" si="26"/>
        <v>-</v>
      </c>
      <c r="L30" s="446" t="str">
        <f t="shared" si="26"/>
        <v>-</v>
      </c>
      <c r="M30" s="446" t="str">
        <f t="shared" si="26"/>
        <v>-</v>
      </c>
      <c r="N30" s="828"/>
      <c r="O30" s="672"/>
      <c r="P30" s="673"/>
      <c r="Q30" s="673"/>
      <c r="R30" s="674"/>
      <c r="S30" s="672"/>
      <c r="T30" s="673"/>
      <c r="U30" s="673"/>
      <c r="V30" s="674"/>
      <c r="W30" s="512"/>
      <c r="X30" s="512"/>
      <c r="Y30" s="678"/>
      <c r="Z30" s="678"/>
      <c r="AA30" s="678"/>
      <c r="AB30" s="678"/>
      <c r="AC30" s="678"/>
      <c r="AD30" s="678"/>
      <c r="AE30" s="678"/>
      <c r="AF30" s="678"/>
      <c r="AG30" s="678"/>
      <c r="AH30" s="678"/>
      <c r="AI30" s="401"/>
      <c r="AJ30" s="401"/>
      <c r="AK30" s="401"/>
      <c r="AL30" s="401"/>
      <c r="AM30" s="401"/>
      <c r="AN30" s="401"/>
      <c r="AO30" s="401"/>
      <c r="AP30" s="401"/>
      <c r="AQ30" s="401"/>
      <c r="AR30" s="401"/>
      <c r="AS30" s="401"/>
      <c r="AT30" s="401"/>
      <c r="AU30" s="401"/>
      <c r="AV30" s="401"/>
      <c r="AW30" s="401"/>
      <c r="AX30" s="401"/>
      <c r="AY30" s="401"/>
      <c r="AZ30" s="401"/>
      <c r="BA30" s="401"/>
      <c r="BB30" s="401"/>
      <c r="BC30" s="536"/>
      <c r="BU30" s="401"/>
      <c r="BV30" s="401"/>
      <c r="BW30" s="401"/>
      <c r="BX30" s="401"/>
      <c r="BY30" s="401"/>
      <c r="BZ30" s="401"/>
    </row>
    <row r="31" spans="1:78" s="405" customFormat="1" ht="15" customHeight="1" outlineLevel="1" thickBot="1" x14ac:dyDescent="0.3">
      <c r="A31" s="404"/>
      <c r="B31" s="680"/>
      <c r="C31" s="687"/>
      <c r="D31" s="690"/>
      <c r="E31" s="447" t="s">
        <v>97</v>
      </c>
      <c r="F31" s="448" t="e">
        <f t="shared" ref="F31:M31" si="27">IF(OR($C30="-",$C30="CET",$C30=""),"-",IF(AND(NOT(F30="-"),NOT(F$5="-"),NOT(F$5="")),F30/F$5,"-"))</f>
        <v>#N/A</v>
      </c>
      <c r="G31" s="448" t="e">
        <f t="shared" si="27"/>
        <v>#N/A</v>
      </c>
      <c r="H31" s="448" t="e">
        <f t="shared" si="27"/>
        <v>#N/A</v>
      </c>
      <c r="I31" s="448" t="e">
        <f t="shared" si="27"/>
        <v>#N/A</v>
      </c>
      <c r="J31" s="448" t="e">
        <f t="shared" si="27"/>
        <v>#N/A</v>
      </c>
      <c r="K31" s="449" t="e">
        <f t="shared" si="27"/>
        <v>#N/A</v>
      </c>
      <c r="L31" s="449" t="e">
        <f t="shared" si="27"/>
        <v>#N/A</v>
      </c>
      <c r="M31" s="449" t="e">
        <f t="shared" si="27"/>
        <v>#N/A</v>
      </c>
      <c r="N31" s="702"/>
      <c r="O31" s="672"/>
      <c r="P31" s="673"/>
      <c r="Q31" s="673"/>
      <c r="R31" s="674"/>
      <c r="S31" s="672"/>
      <c r="T31" s="673"/>
      <c r="U31" s="673"/>
      <c r="V31" s="674"/>
      <c r="W31" s="512"/>
      <c r="X31" s="512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AI31" s="401"/>
      <c r="AJ31" s="401"/>
      <c r="AK31" s="401"/>
      <c r="AL31" s="401"/>
      <c r="AM31" s="401"/>
      <c r="AN31" s="401"/>
      <c r="AO31" s="401"/>
      <c r="AP31" s="401"/>
      <c r="AQ31" s="401"/>
      <c r="AR31" s="401"/>
      <c r="AS31" s="401"/>
      <c r="AT31" s="401"/>
      <c r="AU31" s="401"/>
      <c r="AV31" s="401"/>
      <c r="AW31" s="401"/>
      <c r="AX31" s="401"/>
      <c r="AY31" s="401"/>
      <c r="AZ31" s="401"/>
      <c r="BA31" s="401"/>
      <c r="BB31" s="401"/>
      <c r="BC31" s="536"/>
      <c r="BU31" s="401"/>
      <c r="BV31" s="401"/>
      <c r="BW31" s="401"/>
      <c r="BX31" s="401"/>
      <c r="BY31" s="401"/>
      <c r="BZ31" s="401"/>
    </row>
    <row r="32" spans="1:78" ht="15" customHeight="1" outlineLevel="1" thickBot="1" x14ac:dyDescent="0.3">
      <c r="B32" s="681"/>
      <c r="C32" s="688"/>
      <c r="D32" s="691"/>
      <c r="E32" s="451" t="s">
        <v>30</v>
      </c>
      <c r="F32" s="451" t="str">
        <f t="shared" ref="F32:M32" si="28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451" t="str">
        <f t="shared" si="28"/>
        <v>-</v>
      </c>
      <c r="H32" s="451" t="str">
        <f t="shared" si="28"/>
        <v>-</v>
      </c>
      <c r="I32" s="451" t="str">
        <f t="shared" si="28"/>
        <v>-</v>
      </c>
      <c r="J32" s="451" t="str">
        <f t="shared" si="28"/>
        <v>-</v>
      </c>
      <c r="K32" s="452" t="str">
        <f t="shared" si="28"/>
        <v>-</v>
      </c>
      <c r="L32" s="452" t="str">
        <f t="shared" si="28"/>
        <v>-</v>
      </c>
      <c r="M32" s="452" t="str">
        <f t="shared" si="28"/>
        <v>-</v>
      </c>
      <c r="N32" s="685"/>
      <c r="O32" s="675"/>
      <c r="P32" s="676"/>
      <c r="Q32" s="676"/>
      <c r="R32" s="677"/>
      <c r="S32" s="675"/>
      <c r="T32" s="676"/>
      <c r="U32" s="676"/>
      <c r="V32" s="677"/>
      <c r="BC32" s="399" t="str">
        <f>IF(COUNTIF(F32:M32,"refused")&gt;0,"refused",IF(COUNTIF(F32:M32,"failed")&gt;0,"failed",IF(COUNTIF(F32:M32,"passed")&gt;0,"passed","-")))</f>
        <v>-</v>
      </c>
    </row>
    <row r="33" spans="1:72" ht="15" customHeight="1" x14ac:dyDescent="0.25"/>
    <row r="34" spans="1:72" ht="15" customHeight="1" x14ac:dyDescent="0.25"/>
    <row r="35" spans="1:72" ht="15" customHeight="1" thickBot="1" x14ac:dyDescent="0.3">
      <c r="A35" s="396"/>
      <c r="W35" s="414"/>
      <c r="X35" s="414"/>
      <c r="Y35" s="414"/>
      <c r="Z35" s="414"/>
      <c r="AA35" s="414"/>
      <c r="AB35" s="414"/>
      <c r="AC35" s="414"/>
      <c r="AD35" s="414"/>
      <c r="AE35" s="414"/>
      <c r="AF35" s="414"/>
      <c r="AG35" s="414"/>
      <c r="AH35" s="414"/>
    </row>
    <row r="36" spans="1:72" ht="24.95" customHeight="1" thickBot="1" x14ac:dyDescent="0.3">
      <c r="A36" s="396"/>
      <c r="B36" s="415">
        <v>2</v>
      </c>
      <c r="C36" s="839" t="s">
        <v>164</v>
      </c>
      <c r="D36" s="840"/>
      <c r="E36" s="840"/>
      <c r="F36" s="840"/>
      <c r="G36" s="840"/>
      <c r="H36" s="840"/>
      <c r="I36" s="840"/>
      <c r="J36" s="840"/>
      <c r="K36" s="840"/>
      <c r="L36" s="840"/>
      <c r="M36" s="840"/>
      <c r="N36" s="841"/>
      <c r="O36" s="416" t="s">
        <v>117</v>
      </c>
      <c r="P36" s="398" t="str">
        <f>IF(COUNTIF(F44:M59,"refused")&gt;0,"refused",IF(COUNTIF(F44:M59,"failed")&gt;0,"failed",IF(COUNTIF(F44:M59,"passed")&gt;0,"passed","-")))</f>
        <v>-</v>
      </c>
      <c r="Q36" s="399" t="s">
        <v>80</v>
      </c>
      <c r="R36" s="399" t="str">
        <f>IF(COUNT(F40:M41)&gt;0,"listed","not listed")</f>
        <v>not listed</v>
      </c>
      <c r="S36" s="511"/>
      <c r="T36" s="418"/>
      <c r="U36" s="418"/>
      <c r="V36" s="419"/>
      <c r="W36" s="414"/>
      <c r="X36" s="414"/>
      <c r="Y36" s="414"/>
      <c r="Z36" s="414"/>
      <c r="AA36" s="414"/>
      <c r="AB36" s="414"/>
      <c r="AC36" s="414"/>
      <c r="AD36" s="414"/>
      <c r="AE36" s="414"/>
      <c r="AF36" s="414"/>
      <c r="AG36" s="414"/>
      <c r="AH36" s="414"/>
    </row>
    <row r="37" spans="1:72" ht="15" customHeight="1" outlineLevel="1" thickBot="1" x14ac:dyDescent="0.3">
      <c r="A37" s="396"/>
      <c r="B37" s="513"/>
      <c r="C37" s="514"/>
      <c r="D37" s="514"/>
      <c r="E37" s="514"/>
      <c r="F37" s="514"/>
      <c r="G37" s="514"/>
      <c r="H37" s="514"/>
      <c r="I37" s="514"/>
      <c r="J37" s="514"/>
      <c r="K37" s="421"/>
      <c r="L37" s="421"/>
      <c r="M37" s="421"/>
      <c r="N37" s="514"/>
      <c r="O37" s="514"/>
      <c r="P37" s="514"/>
      <c r="Q37" s="514"/>
      <c r="R37" s="514"/>
      <c r="S37" s="514"/>
      <c r="T37" s="422"/>
      <c r="U37" s="422"/>
      <c r="V37" s="423"/>
      <c r="W37" s="424"/>
      <c r="X37" s="424"/>
      <c r="Y37" s="698"/>
      <c r="Z37" s="698"/>
      <c r="AA37" s="698"/>
      <c r="AB37" s="698"/>
      <c r="AC37" s="698"/>
      <c r="AD37" s="698"/>
      <c r="AE37" s="698"/>
      <c r="AF37" s="698"/>
      <c r="AG37" s="698"/>
      <c r="AH37" s="698"/>
    </row>
    <row r="38" spans="1:72" ht="15" customHeight="1" outlineLevel="1" thickBot="1" x14ac:dyDescent="0.3">
      <c r="A38" s="396"/>
      <c r="B38" s="695" t="s">
        <v>81</v>
      </c>
      <c r="C38" s="696"/>
      <c r="D38" s="696"/>
      <c r="E38" s="696"/>
      <c r="F38" s="696"/>
      <c r="G38" s="696"/>
      <c r="H38" s="696"/>
      <c r="I38" s="696"/>
      <c r="J38" s="696"/>
      <c r="K38" s="696"/>
      <c r="L38" s="696"/>
      <c r="M38" s="696"/>
      <c r="N38" s="697"/>
      <c r="O38" s="695" t="s">
        <v>82</v>
      </c>
      <c r="P38" s="696"/>
      <c r="Q38" s="696"/>
      <c r="R38" s="697"/>
      <c r="S38" s="695" t="s">
        <v>83</v>
      </c>
      <c r="T38" s="696"/>
      <c r="U38" s="696"/>
      <c r="V38" s="697"/>
      <c r="W38" s="512"/>
      <c r="X38" s="512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BM38" s="430" t="str">
        <f t="shared" ref="BM38:BT38" si="29">F4</f>
        <v>NMHC 
[g/km]</v>
      </c>
      <c r="BN38" s="430" t="str">
        <f t="shared" si="29"/>
        <v>THC
[g/km]</v>
      </c>
      <c r="BO38" s="430" t="str">
        <f t="shared" si="29"/>
        <v>CO
[g/km]</v>
      </c>
      <c r="BP38" s="430" t="str">
        <f t="shared" si="29"/>
        <v>NOx
[g/km]</v>
      </c>
      <c r="BQ38" s="430" t="str">
        <f t="shared" si="29"/>
        <v>PM
[mg/km]</v>
      </c>
      <c r="BR38" s="430" t="str">
        <f t="shared" si="29"/>
        <v>PN
[#/km]</v>
      </c>
      <c r="BS38" s="430" t="str">
        <f t="shared" si="29"/>
        <v>Additional
component</v>
      </c>
      <c r="BT38" s="430" t="str">
        <f t="shared" si="29"/>
        <v>Additional
component 2</v>
      </c>
    </row>
    <row r="39" spans="1:72" ht="35.1" customHeight="1" outlineLevel="1" thickBot="1" x14ac:dyDescent="0.3">
      <c r="A39" s="396"/>
      <c r="B39" s="709" t="s">
        <v>84</v>
      </c>
      <c r="C39" s="682"/>
      <c r="D39" s="682"/>
      <c r="E39" s="683"/>
      <c r="F39" s="425" t="s">
        <v>72</v>
      </c>
      <c r="G39" s="517" t="s">
        <v>73</v>
      </c>
      <c r="H39" s="425" t="s">
        <v>74</v>
      </c>
      <c r="I39" s="425" t="s">
        <v>75</v>
      </c>
      <c r="J39" s="425" t="s">
        <v>76</v>
      </c>
      <c r="K39" s="534" t="s">
        <v>170</v>
      </c>
      <c r="L39" s="535" t="str">
        <f>$L$4</f>
        <v>Additional
component</v>
      </c>
      <c r="M39" s="535" t="str">
        <f>$M$4</f>
        <v>Additional
component 2</v>
      </c>
      <c r="N39" s="425" t="s">
        <v>77</v>
      </c>
      <c r="O39" s="669"/>
      <c r="P39" s="670"/>
      <c r="Q39" s="670"/>
      <c r="R39" s="671"/>
      <c r="S39" s="669"/>
      <c r="T39" s="670"/>
      <c r="U39" s="670"/>
      <c r="V39" s="671"/>
      <c r="W39" s="512"/>
      <c r="X39" s="512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BC39" s="536"/>
      <c r="BM39" s="435">
        <v>1</v>
      </c>
      <c r="BN39" s="435">
        <v>1</v>
      </c>
      <c r="BO39" s="435">
        <v>1</v>
      </c>
      <c r="BP39" s="435">
        <v>1</v>
      </c>
      <c r="BQ39" s="435">
        <v>1</v>
      </c>
      <c r="BR39" s="435">
        <v>1</v>
      </c>
      <c r="BS39" s="435">
        <v>1</v>
      </c>
      <c r="BT39" s="435">
        <v>1</v>
      </c>
    </row>
    <row r="40" spans="1:72" ht="15" customHeight="1" outlineLevel="1" x14ac:dyDescent="0.25">
      <c r="A40" s="396"/>
      <c r="B40" s="679" t="s">
        <v>165</v>
      </c>
      <c r="C40" s="684" t="s">
        <v>114</v>
      </c>
      <c r="D40" s="684" t="s">
        <v>113</v>
      </c>
      <c r="E40" s="453" t="s">
        <v>94</v>
      </c>
      <c r="F40" s="437" t="s">
        <v>5</v>
      </c>
      <c r="G40" s="437" t="s">
        <v>5</v>
      </c>
      <c r="H40" s="437" t="s">
        <v>5</v>
      </c>
      <c r="I40" s="437" t="s">
        <v>5</v>
      </c>
      <c r="J40" s="437" t="s">
        <v>5</v>
      </c>
      <c r="K40" s="438" t="s">
        <v>5</v>
      </c>
      <c r="L40" s="438" t="s">
        <v>5</v>
      </c>
      <c r="M40" s="438" t="s">
        <v>5</v>
      </c>
      <c r="N40" s="437" t="s">
        <v>5</v>
      </c>
      <c r="O40" s="672"/>
      <c r="P40" s="673"/>
      <c r="Q40" s="673"/>
      <c r="R40" s="674"/>
      <c r="S40" s="672"/>
      <c r="T40" s="673"/>
      <c r="U40" s="673"/>
      <c r="V40" s="674"/>
      <c r="W40" s="512"/>
      <c r="X40" s="512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BC40" s="536"/>
      <c r="BM40" s="435" t="str">
        <f t="shared" ref="BM40:BT40" si="30">IF((OR($C42="-",$C42="CET",$C42="")),"-",IF(AND(OR(F40="-",F40=""),OR(F41="-",F41="")),"-",IF(NOT(OR(F40="-",F40="")),F40/F$5,F41/F$5)))</f>
        <v>-</v>
      </c>
      <c r="BN40" s="435" t="str">
        <f t="shared" si="30"/>
        <v>-</v>
      </c>
      <c r="BO40" s="435" t="str">
        <f t="shared" si="30"/>
        <v>-</v>
      </c>
      <c r="BP40" s="435" t="str">
        <f t="shared" si="30"/>
        <v>-</v>
      </c>
      <c r="BQ40" s="435" t="str">
        <f t="shared" si="30"/>
        <v>-</v>
      </c>
      <c r="BR40" s="435" t="str">
        <f t="shared" si="30"/>
        <v>-</v>
      </c>
      <c r="BS40" s="435" t="str">
        <f t="shared" si="30"/>
        <v>-</v>
      </c>
      <c r="BT40" s="435" t="str">
        <f t="shared" si="30"/>
        <v>-</v>
      </c>
    </row>
    <row r="41" spans="1:72" s="405" customFormat="1" ht="15" customHeight="1" outlineLevel="1" thickBot="1" x14ac:dyDescent="0.3">
      <c r="A41" s="439"/>
      <c r="B41" s="680"/>
      <c r="C41" s="702"/>
      <c r="D41" s="685"/>
      <c r="E41" s="440" t="s">
        <v>95</v>
      </c>
      <c r="F41" s="441" t="s">
        <v>5</v>
      </c>
      <c r="G41" s="441" t="s">
        <v>5</v>
      </c>
      <c r="H41" s="441" t="s">
        <v>5</v>
      </c>
      <c r="I41" s="441" t="s">
        <v>5</v>
      </c>
      <c r="J41" s="441" t="s">
        <v>5</v>
      </c>
      <c r="K41" s="442" t="s">
        <v>5</v>
      </c>
      <c r="L41" s="442" t="s">
        <v>5</v>
      </c>
      <c r="M41" s="442" t="s">
        <v>5</v>
      </c>
      <c r="N41" s="441" t="s">
        <v>5</v>
      </c>
      <c r="O41" s="672"/>
      <c r="P41" s="673"/>
      <c r="Q41" s="673"/>
      <c r="R41" s="674"/>
      <c r="S41" s="672"/>
      <c r="T41" s="673"/>
      <c r="U41" s="673"/>
      <c r="V41" s="674"/>
      <c r="W41" s="443"/>
      <c r="X41" s="443"/>
      <c r="Y41" s="678"/>
      <c r="Z41" s="678"/>
      <c r="AA41" s="678"/>
      <c r="AB41" s="678"/>
      <c r="AC41" s="678"/>
      <c r="AD41" s="678"/>
      <c r="AE41" s="678"/>
      <c r="AF41" s="678"/>
      <c r="AG41" s="678"/>
      <c r="AH41" s="678"/>
      <c r="BC41" s="536"/>
      <c r="BM41" s="435"/>
      <c r="BN41" s="435"/>
      <c r="BO41" s="435"/>
      <c r="BP41" s="435"/>
      <c r="BQ41" s="435"/>
      <c r="BR41" s="435"/>
      <c r="BS41" s="435"/>
      <c r="BT41" s="435"/>
    </row>
    <row r="42" spans="1:72" ht="15" customHeight="1" outlineLevel="1" thickBot="1" x14ac:dyDescent="0.3">
      <c r="A42" s="396"/>
      <c r="B42" s="680"/>
      <c r="C42" s="686">
        <v>1</v>
      </c>
      <c r="D42" s="689" t="str">
        <f>IF(AND(F42="-",G42="-",H42="-",I42="-",J42="-",K42="-",L42="-",M42="-"),"-",MAX(F42,G42,H42,I42,J42,K42,L42,M42))</f>
        <v>-</v>
      </c>
      <c r="E42" s="444" t="s">
        <v>177</v>
      </c>
      <c r="F42" s="445" t="str">
        <f t="shared" ref="F42:M42" si="31">IF(OR(F41="-",F41=""),IF(OR(F40="-",F40=""),"-",F40),IF(OR(F40="-",F40=""),F41,(F40+F41)/2))</f>
        <v>-</v>
      </c>
      <c r="G42" s="445" t="str">
        <f t="shared" si="31"/>
        <v>-</v>
      </c>
      <c r="H42" s="445" t="str">
        <f t="shared" si="31"/>
        <v>-</v>
      </c>
      <c r="I42" s="445" t="str">
        <f t="shared" si="31"/>
        <v>-</v>
      </c>
      <c r="J42" s="445" t="str">
        <f t="shared" si="31"/>
        <v>-</v>
      </c>
      <c r="K42" s="446" t="str">
        <f t="shared" si="31"/>
        <v>-</v>
      </c>
      <c r="L42" s="446" t="str">
        <f t="shared" si="31"/>
        <v>-</v>
      </c>
      <c r="M42" s="446" t="str">
        <f t="shared" si="31"/>
        <v>-</v>
      </c>
      <c r="N42" s="828"/>
      <c r="O42" s="672"/>
      <c r="P42" s="673"/>
      <c r="Q42" s="673"/>
      <c r="R42" s="674"/>
      <c r="S42" s="672"/>
      <c r="T42" s="673"/>
      <c r="U42" s="673"/>
      <c r="V42" s="674"/>
      <c r="W42" s="512"/>
      <c r="X42" s="512"/>
      <c r="Y42" s="678"/>
      <c r="Z42" s="678"/>
      <c r="AA42" s="678"/>
      <c r="AB42" s="678"/>
      <c r="AC42" s="678"/>
      <c r="AD42" s="678"/>
      <c r="AE42" s="678"/>
      <c r="AF42" s="678"/>
      <c r="AG42" s="678"/>
      <c r="AH42" s="678"/>
      <c r="BC42" s="536"/>
      <c r="BM42" s="435"/>
      <c r="BN42" s="435"/>
      <c r="BO42" s="435"/>
      <c r="BP42" s="435"/>
      <c r="BQ42" s="435"/>
      <c r="BR42" s="435"/>
      <c r="BS42" s="435"/>
      <c r="BT42" s="435"/>
    </row>
    <row r="43" spans="1:72" ht="15" customHeight="1" outlineLevel="1" thickBot="1" x14ac:dyDescent="0.3">
      <c r="A43" s="396"/>
      <c r="B43" s="680"/>
      <c r="C43" s="687"/>
      <c r="D43" s="690"/>
      <c r="E43" s="537" t="s">
        <v>97</v>
      </c>
      <c r="F43" s="448" t="e">
        <f t="shared" ref="F43:M43" si="32">IF(OR($C42="-",$C42="CET",$C42=""),"-",IF(AND(NOT(F42="-"),NOT(F$5="-"),NOT(F$5="")),F42/F$5,"-"))</f>
        <v>#N/A</v>
      </c>
      <c r="G43" s="448" t="e">
        <f t="shared" si="32"/>
        <v>#N/A</v>
      </c>
      <c r="H43" s="448" t="e">
        <f t="shared" si="32"/>
        <v>#N/A</v>
      </c>
      <c r="I43" s="448" t="e">
        <f t="shared" si="32"/>
        <v>#N/A</v>
      </c>
      <c r="J43" s="448" t="e">
        <f t="shared" si="32"/>
        <v>#N/A</v>
      </c>
      <c r="K43" s="449" t="e">
        <f t="shared" si="32"/>
        <v>#N/A</v>
      </c>
      <c r="L43" s="449" t="e">
        <f t="shared" si="32"/>
        <v>#N/A</v>
      </c>
      <c r="M43" s="449" t="e">
        <f t="shared" si="32"/>
        <v>#N/A</v>
      </c>
      <c r="N43" s="702"/>
      <c r="O43" s="672"/>
      <c r="P43" s="673"/>
      <c r="Q43" s="673"/>
      <c r="R43" s="674"/>
      <c r="S43" s="672"/>
      <c r="T43" s="673"/>
      <c r="U43" s="673"/>
      <c r="V43" s="674"/>
      <c r="W43" s="512"/>
      <c r="X43" s="512"/>
      <c r="Y43" s="678"/>
      <c r="Z43" s="678"/>
      <c r="AA43" s="678"/>
      <c r="AB43" s="678"/>
      <c r="AC43" s="678"/>
      <c r="AD43" s="678"/>
      <c r="AE43" s="678"/>
      <c r="AF43" s="678"/>
      <c r="AG43" s="678"/>
      <c r="AH43" s="678"/>
      <c r="BC43" s="536"/>
      <c r="BM43" s="435"/>
      <c r="BN43" s="435"/>
      <c r="BO43" s="435"/>
      <c r="BP43" s="435"/>
      <c r="BQ43" s="435"/>
      <c r="BR43" s="435"/>
      <c r="BS43" s="435"/>
      <c r="BT43" s="435"/>
    </row>
    <row r="44" spans="1:72" ht="15" customHeight="1" outlineLevel="1" thickBot="1" x14ac:dyDescent="0.3">
      <c r="A44" s="396"/>
      <c r="B44" s="681"/>
      <c r="C44" s="688"/>
      <c r="D44" s="691"/>
      <c r="E44" s="451" t="s">
        <v>30</v>
      </c>
      <c r="F44" s="451" t="str">
        <f t="shared" ref="F44:M44" si="33">IF(AND(OR(F40="-",F40=""),OR(F41="-",F41="")),"-",IF(OR($C42="-",$C42="",$C42="CET"),"-",IF($R$36="not listed","-",IF(NOT(F$5="-"),IF(AND(AND(NOT(F40=0),NOT(F40="-"),NOT(F40="")),AND(NOT(F41="-"),NOT(F41=0),NOT(F41=""))),IF(AND((F40+F41)/2&lt;1*F$5*IF(OR($C42="CET",$C42="-",$C42=""),"-",$C42),F40&lt;1.1*F$5*IF(OR($C42="CET",$C42="-",$C42=""),"-",$C42),F41&lt;1.1*F$5*IF(OR($C42="CET",$C42="-",$C42=""),"-",$C42)),"passed","refused"),IF(IF(OR(F40="-",F40=""),F41,F40)&lt;0.7*F$5*IF(OR($C42="CET",$C42="-",$C42=""),"-",$C42),"passed",IF(IF(OR(F40="-",F40=""),F41,F40)&lt;1.1*IF(OR($C42="CET",$C42="-",$C42=""),"-",$C42)*F$5,"failed","refused"))),"-"))))</f>
        <v>-</v>
      </c>
      <c r="G44" s="451" t="str">
        <f t="shared" si="33"/>
        <v>-</v>
      </c>
      <c r="H44" s="451" t="str">
        <f t="shared" si="33"/>
        <v>-</v>
      </c>
      <c r="I44" s="451" t="str">
        <f t="shared" si="33"/>
        <v>-</v>
      </c>
      <c r="J44" s="451" t="str">
        <f t="shared" si="33"/>
        <v>-</v>
      </c>
      <c r="K44" s="452" t="str">
        <f t="shared" si="33"/>
        <v>-</v>
      </c>
      <c r="L44" s="452" t="str">
        <f t="shared" si="33"/>
        <v>-</v>
      </c>
      <c r="M44" s="452" t="str">
        <f t="shared" si="33"/>
        <v>-</v>
      </c>
      <c r="N44" s="685"/>
      <c r="O44" s="672"/>
      <c r="P44" s="673"/>
      <c r="Q44" s="673"/>
      <c r="R44" s="674"/>
      <c r="S44" s="672"/>
      <c r="T44" s="673"/>
      <c r="U44" s="673"/>
      <c r="V44" s="674"/>
      <c r="W44" s="512"/>
      <c r="X44" s="512"/>
      <c r="Y44" s="678"/>
      <c r="Z44" s="678"/>
      <c r="AA44" s="678"/>
      <c r="AB44" s="678"/>
      <c r="AC44" s="678"/>
      <c r="AD44" s="678"/>
      <c r="AE44" s="678"/>
      <c r="AF44" s="678"/>
      <c r="AG44" s="678"/>
      <c r="AH44" s="678"/>
      <c r="BC44" s="399" t="str">
        <f>IF(COUNTIF(F44:M44,"refused")&gt;0,"refused",IF(COUNTIF(F44:M44,"failed")&gt;0,"failed",IF(COUNTIF(F44:M44,"passed")&gt;0,"passed","-")))</f>
        <v>-</v>
      </c>
      <c r="BM44" s="435">
        <f t="shared" ref="BM44:BT44" si="34">IF(OR($C42="-",$C42="CET",$C42=""),"-",0.7*$C42)</f>
        <v>0.7</v>
      </c>
      <c r="BN44" s="435">
        <f t="shared" si="34"/>
        <v>0.7</v>
      </c>
      <c r="BO44" s="435">
        <f t="shared" si="34"/>
        <v>0.7</v>
      </c>
      <c r="BP44" s="435">
        <f t="shared" si="34"/>
        <v>0.7</v>
      </c>
      <c r="BQ44" s="435">
        <f t="shared" si="34"/>
        <v>0.7</v>
      </c>
      <c r="BR44" s="435">
        <f t="shared" si="34"/>
        <v>0.7</v>
      </c>
      <c r="BS44" s="435">
        <f t="shared" si="34"/>
        <v>0.7</v>
      </c>
      <c r="BT44" s="435">
        <f t="shared" si="34"/>
        <v>0.7</v>
      </c>
    </row>
    <row r="45" spans="1:72" ht="15" customHeight="1" outlineLevel="1" x14ac:dyDescent="0.25">
      <c r="A45" s="396"/>
      <c r="B45" s="721"/>
      <c r="C45" s="668"/>
      <c r="D45" s="510"/>
      <c r="E45" s="510"/>
      <c r="F45" s="463"/>
      <c r="G45" s="463"/>
      <c r="H45" s="463"/>
      <c r="I45" s="463"/>
      <c r="J45" s="463"/>
      <c r="K45" s="464"/>
      <c r="L45" s="464"/>
      <c r="M45" s="464"/>
      <c r="N45" s="465"/>
      <c r="O45" s="672"/>
      <c r="P45" s="673"/>
      <c r="Q45" s="673"/>
      <c r="R45" s="674"/>
      <c r="S45" s="672"/>
      <c r="T45" s="673"/>
      <c r="U45" s="673"/>
      <c r="V45" s="674"/>
      <c r="W45" s="512"/>
      <c r="X45" s="512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BC45" s="536"/>
      <c r="BM45" s="435"/>
      <c r="BN45" s="435"/>
      <c r="BO45" s="435"/>
      <c r="BP45" s="435"/>
      <c r="BQ45" s="435"/>
      <c r="BR45" s="435"/>
      <c r="BS45" s="435"/>
      <c r="BT45" s="435"/>
    </row>
    <row r="46" spans="1:72" ht="15" customHeight="1" outlineLevel="1" x14ac:dyDescent="0.25">
      <c r="A46" s="396"/>
      <c r="B46" s="721"/>
      <c r="C46" s="668"/>
      <c r="D46" s="510"/>
      <c r="E46" s="510"/>
      <c r="F46" s="463"/>
      <c r="G46" s="463"/>
      <c r="H46" s="463"/>
      <c r="I46" s="463"/>
      <c r="J46" s="463"/>
      <c r="K46" s="464"/>
      <c r="L46" s="464"/>
      <c r="M46" s="464"/>
      <c r="N46" s="465"/>
      <c r="O46" s="672"/>
      <c r="P46" s="673"/>
      <c r="Q46" s="673"/>
      <c r="R46" s="674"/>
      <c r="S46" s="672"/>
      <c r="T46" s="673"/>
      <c r="U46" s="673"/>
      <c r="V46" s="674"/>
      <c r="W46" s="512"/>
      <c r="X46" s="512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BC46" s="536"/>
      <c r="BM46" s="435"/>
      <c r="BN46" s="435"/>
      <c r="BO46" s="435"/>
      <c r="BP46" s="435"/>
      <c r="BQ46" s="435"/>
      <c r="BR46" s="435"/>
      <c r="BS46" s="435"/>
      <c r="BT46" s="435"/>
    </row>
    <row r="47" spans="1:72" ht="15" customHeight="1" outlineLevel="1" x14ac:dyDescent="0.25">
      <c r="A47" s="396"/>
      <c r="B47" s="721"/>
      <c r="C47" s="668"/>
      <c r="D47" s="510"/>
      <c r="E47" s="510"/>
      <c r="F47" s="466"/>
      <c r="G47" s="466"/>
      <c r="H47" s="466"/>
      <c r="I47" s="466"/>
      <c r="J47" s="466"/>
      <c r="K47" s="464"/>
      <c r="L47" s="464"/>
      <c r="M47" s="464"/>
      <c r="N47" s="467"/>
      <c r="O47" s="672"/>
      <c r="P47" s="673"/>
      <c r="Q47" s="673"/>
      <c r="R47" s="674"/>
      <c r="S47" s="672"/>
      <c r="T47" s="673"/>
      <c r="U47" s="673"/>
      <c r="V47" s="674"/>
      <c r="W47" s="512"/>
      <c r="X47" s="512"/>
      <c r="Y47" s="678"/>
      <c r="Z47" s="678"/>
      <c r="AA47" s="678"/>
      <c r="AB47" s="678"/>
      <c r="AC47" s="678"/>
      <c r="AD47" s="678"/>
      <c r="AE47" s="678"/>
      <c r="AF47" s="678"/>
      <c r="AG47" s="678"/>
      <c r="AH47" s="678"/>
      <c r="BC47" s="536"/>
      <c r="BM47" s="435"/>
      <c r="BN47" s="435"/>
      <c r="BO47" s="435"/>
      <c r="BP47" s="435"/>
      <c r="BQ47" s="435"/>
      <c r="BR47" s="435"/>
      <c r="BS47" s="435"/>
      <c r="BT47" s="435"/>
    </row>
    <row r="48" spans="1:72" ht="15" customHeight="1" outlineLevel="1" x14ac:dyDescent="0.25">
      <c r="A48" s="396"/>
      <c r="B48" s="721"/>
      <c r="C48" s="668"/>
      <c r="D48" s="510"/>
      <c r="E48" s="510"/>
      <c r="F48" s="466"/>
      <c r="G48" s="466"/>
      <c r="H48" s="466"/>
      <c r="I48" s="466"/>
      <c r="J48" s="466"/>
      <c r="K48" s="464"/>
      <c r="L48" s="464"/>
      <c r="M48" s="464"/>
      <c r="N48" s="467"/>
      <c r="O48" s="672"/>
      <c r="P48" s="673"/>
      <c r="Q48" s="673"/>
      <c r="R48" s="674"/>
      <c r="S48" s="672"/>
      <c r="T48" s="673"/>
      <c r="U48" s="673"/>
      <c r="V48" s="674"/>
      <c r="W48" s="512"/>
      <c r="X48" s="512"/>
      <c r="Y48" s="678"/>
      <c r="Z48" s="678"/>
      <c r="AA48" s="678"/>
      <c r="AB48" s="678"/>
      <c r="AC48" s="678"/>
      <c r="AD48" s="678"/>
      <c r="AE48" s="678"/>
      <c r="AF48" s="678"/>
      <c r="AG48" s="678"/>
      <c r="AH48" s="678"/>
      <c r="BC48" s="536"/>
      <c r="BM48" s="435" t="e">
        <f t="shared" ref="BM48:BT48" si="35">IF(OR($C42="-",$C42="CET"),"-",F43)</f>
        <v>#N/A</v>
      </c>
      <c r="BN48" s="435" t="e">
        <f t="shared" si="35"/>
        <v>#N/A</v>
      </c>
      <c r="BO48" s="435" t="e">
        <f t="shared" si="35"/>
        <v>#N/A</v>
      </c>
      <c r="BP48" s="435" t="e">
        <f t="shared" si="35"/>
        <v>#N/A</v>
      </c>
      <c r="BQ48" s="435" t="e">
        <f t="shared" si="35"/>
        <v>#N/A</v>
      </c>
      <c r="BR48" s="435" t="e">
        <f t="shared" si="35"/>
        <v>#N/A</v>
      </c>
      <c r="BS48" s="435" t="e">
        <f t="shared" si="35"/>
        <v>#N/A</v>
      </c>
      <c r="BT48" s="435" t="e">
        <f t="shared" si="35"/>
        <v>#N/A</v>
      </c>
    </row>
    <row r="49" spans="1:78" ht="15" customHeight="1" outlineLevel="1" x14ac:dyDescent="0.25">
      <c r="A49" s="404"/>
      <c r="B49" s="721"/>
      <c r="C49" s="668"/>
      <c r="D49" s="510"/>
      <c r="E49" s="510"/>
      <c r="F49" s="510"/>
      <c r="G49" s="510"/>
      <c r="H49" s="510"/>
      <c r="I49" s="510"/>
      <c r="J49" s="510"/>
      <c r="K49" s="464"/>
      <c r="L49" s="464"/>
      <c r="M49" s="464"/>
      <c r="N49" s="468"/>
      <c r="O49" s="672"/>
      <c r="P49" s="673"/>
      <c r="Q49" s="673"/>
      <c r="R49" s="674"/>
      <c r="S49" s="672"/>
      <c r="T49" s="673"/>
      <c r="U49" s="673"/>
      <c r="V49" s="674"/>
      <c r="W49" s="512"/>
      <c r="X49" s="512"/>
      <c r="Y49" s="678"/>
      <c r="Z49" s="678"/>
      <c r="AA49" s="678"/>
      <c r="AB49" s="678"/>
      <c r="AC49" s="678"/>
      <c r="AD49" s="678"/>
      <c r="AE49" s="678"/>
      <c r="AF49" s="678"/>
      <c r="AG49" s="678"/>
      <c r="AH49" s="678"/>
      <c r="BC49" s="536"/>
      <c r="BM49" s="435"/>
      <c r="BN49" s="435"/>
      <c r="BO49" s="435"/>
      <c r="BP49" s="435"/>
      <c r="BQ49" s="435"/>
      <c r="BR49" s="435"/>
      <c r="BS49" s="435"/>
      <c r="BT49" s="435"/>
    </row>
    <row r="50" spans="1:78" ht="15" customHeight="1" outlineLevel="1" x14ac:dyDescent="0.25">
      <c r="A50" s="404"/>
      <c r="B50" s="721"/>
      <c r="C50" s="668"/>
      <c r="D50" s="510"/>
      <c r="E50" s="510"/>
      <c r="F50" s="463"/>
      <c r="G50" s="463"/>
      <c r="H50" s="463"/>
      <c r="I50" s="463"/>
      <c r="J50" s="463"/>
      <c r="K50" s="464"/>
      <c r="L50" s="464"/>
      <c r="M50" s="464"/>
      <c r="N50" s="465"/>
      <c r="O50" s="672"/>
      <c r="P50" s="673"/>
      <c r="Q50" s="673"/>
      <c r="R50" s="674"/>
      <c r="S50" s="672"/>
      <c r="T50" s="673"/>
      <c r="U50" s="673"/>
      <c r="V50" s="674"/>
      <c r="W50" s="512"/>
      <c r="X50" s="512"/>
      <c r="Y50" s="678"/>
      <c r="Z50" s="678"/>
      <c r="AA50" s="678"/>
      <c r="AB50" s="678"/>
      <c r="AC50" s="678"/>
      <c r="AD50" s="678"/>
      <c r="AE50" s="678"/>
      <c r="AF50" s="678"/>
      <c r="AG50" s="678"/>
      <c r="AH50" s="678"/>
      <c r="BC50" s="536"/>
      <c r="BM50" s="435"/>
      <c r="BN50" s="435"/>
      <c r="BO50" s="435"/>
      <c r="BP50" s="435"/>
      <c r="BQ50" s="435"/>
      <c r="BR50" s="435"/>
      <c r="BS50" s="435"/>
      <c r="BT50" s="435"/>
    </row>
    <row r="51" spans="1:78" ht="15" customHeight="1" outlineLevel="1" x14ac:dyDescent="0.25">
      <c r="A51" s="404"/>
      <c r="B51" s="721"/>
      <c r="C51" s="668"/>
      <c r="D51" s="510"/>
      <c r="E51" s="510"/>
      <c r="F51" s="463"/>
      <c r="G51" s="463"/>
      <c r="H51" s="463"/>
      <c r="I51" s="463"/>
      <c r="J51" s="463"/>
      <c r="K51" s="464"/>
      <c r="L51" s="464"/>
      <c r="M51" s="464"/>
      <c r="N51" s="465"/>
      <c r="O51" s="672"/>
      <c r="P51" s="673"/>
      <c r="Q51" s="673"/>
      <c r="R51" s="674"/>
      <c r="S51" s="672"/>
      <c r="T51" s="673"/>
      <c r="U51" s="673"/>
      <c r="V51" s="674"/>
      <c r="W51" s="512"/>
      <c r="X51" s="512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BC51" s="536"/>
      <c r="BM51" s="435"/>
      <c r="BN51" s="435"/>
      <c r="BO51" s="435"/>
      <c r="BP51" s="435"/>
      <c r="BQ51" s="435"/>
      <c r="BR51" s="435"/>
      <c r="BS51" s="435"/>
      <c r="BT51" s="435"/>
    </row>
    <row r="52" spans="1:78" ht="15" customHeight="1" outlineLevel="1" x14ac:dyDescent="0.25">
      <c r="A52" s="404"/>
      <c r="B52" s="721"/>
      <c r="C52" s="668"/>
      <c r="D52" s="510"/>
      <c r="E52" s="510"/>
      <c r="F52" s="466"/>
      <c r="G52" s="466"/>
      <c r="H52" s="466"/>
      <c r="I52" s="538"/>
      <c r="J52" s="466"/>
      <c r="K52" s="464"/>
      <c r="L52" s="464"/>
      <c r="M52" s="464"/>
      <c r="N52" s="467"/>
      <c r="O52" s="672"/>
      <c r="P52" s="673"/>
      <c r="Q52" s="673"/>
      <c r="R52" s="674"/>
      <c r="S52" s="672"/>
      <c r="T52" s="673"/>
      <c r="U52" s="673"/>
      <c r="V52" s="674"/>
      <c r="W52" s="512"/>
      <c r="X52" s="512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BC52" s="536"/>
      <c r="BM52" s="435">
        <f t="shared" ref="BM52:BT52" si="36">IF(OR($C42="CET",$C42="-",$C42=""),"-",$C42)</f>
        <v>1</v>
      </c>
      <c r="BN52" s="435">
        <f t="shared" si="36"/>
        <v>1</v>
      </c>
      <c r="BO52" s="435">
        <f t="shared" si="36"/>
        <v>1</v>
      </c>
      <c r="BP52" s="435">
        <f t="shared" si="36"/>
        <v>1</v>
      </c>
      <c r="BQ52" s="435">
        <f t="shared" si="36"/>
        <v>1</v>
      </c>
      <c r="BR52" s="435">
        <f t="shared" si="36"/>
        <v>1</v>
      </c>
      <c r="BS52" s="435">
        <f t="shared" si="36"/>
        <v>1</v>
      </c>
      <c r="BT52" s="435">
        <f t="shared" si="36"/>
        <v>1</v>
      </c>
    </row>
    <row r="53" spans="1:78" ht="15" customHeight="1" outlineLevel="1" x14ac:dyDescent="0.25">
      <c r="A53" s="404"/>
      <c r="B53" s="721"/>
      <c r="C53" s="668"/>
      <c r="D53" s="510"/>
      <c r="E53" s="510"/>
      <c r="F53" s="466"/>
      <c r="G53" s="466"/>
      <c r="H53" s="466"/>
      <c r="I53" s="466"/>
      <c r="J53" s="466"/>
      <c r="K53" s="464"/>
      <c r="L53" s="464"/>
      <c r="M53" s="464"/>
      <c r="N53" s="467"/>
      <c r="O53" s="672"/>
      <c r="P53" s="673"/>
      <c r="Q53" s="673"/>
      <c r="R53" s="674"/>
      <c r="S53" s="672"/>
      <c r="T53" s="673"/>
      <c r="U53" s="673"/>
      <c r="V53" s="674"/>
      <c r="W53" s="512"/>
      <c r="X53" s="512"/>
      <c r="Y53" s="678"/>
      <c r="Z53" s="678"/>
      <c r="AA53" s="678"/>
      <c r="AB53" s="678"/>
      <c r="AC53" s="678"/>
      <c r="AD53" s="678"/>
      <c r="AE53" s="678"/>
      <c r="AF53" s="678"/>
      <c r="AG53" s="678"/>
      <c r="AH53" s="678"/>
      <c r="BC53" s="536"/>
      <c r="BD53" s="459"/>
      <c r="BE53" s="459"/>
      <c r="BF53" s="459"/>
      <c r="BG53" s="459"/>
      <c r="BH53" s="459"/>
      <c r="BI53" s="459"/>
      <c r="BJ53" s="459"/>
      <c r="BK53" s="459"/>
      <c r="BL53" s="459"/>
    </row>
    <row r="54" spans="1:78" ht="15" customHeight="1" outlineLevel="1" x14ac:dyDescent="0.25">
      <c r="A54" s="404"/>
      <c r="B54" s="721"/>
      <c r="C54" s="668"/>
      <c r="D54" s="510"/>
      <c r="E54" s="510"/>
      <c r="F54" s="510"/>
      <c r="G54" s="510"/>
      <c r="H54" s="510"/>
      <c r="I54" s="510"/>
      <c r="J54" s="510"/>
      <c r="K54" s="464"/>
      <c r="L54" s="464"/>
      <c r="M54" s="464"/>
      <c r="N54" s="468"/>
      <c r="O54" s="672"/>
      <c r="P54" s="673"/>
      <c r="Q54" s="673"/>
      <c r="R54" s="674"/>
      <c r="S54" s="672"/>
      <c r="T54" s="673"/>
      <c r="U54" s="673"/>
      <c r="V54" s="674"/>
      <c r="W54" s="512"/>
      <c r="X54" s="512"/>
      <c r="Y54" s="678"/>
      <c r="Z54" s="678"/>
      <c r="AA54" s="678"/>
      <c r="AB54" s="678"/>
      <c r="AC54" s="678"/>
      <c r="AD54" s="678"/>
      <c r="AE54" s="678"/>
      <c r="AF54" s="678"/>
      <c r="AG54" s="678"/>
      <c r="AH54" s="678"/>
      <c r="BC54" s="536"/>
      <c r="BD54" s="459"/>
      <c r="BE54" s="459"/>
      <c r="BF54" s="459"/>
      <c r="BG54" s="459"/>
      <c r="BH54" s="459"/>
      <c r="BI54" s="459"/>
      <c r="BJ54" s="459"/>
      <c r="BK54" s="459"/>
      <c r="BL54" s="459"/>
    </row>
    <row r="55" spans="1:78" ht="15" customHeight="1" outlineLevel="1" x14ac:dyDescent="0.25">
      <c r="A55" s="404"/>
      <c r="B55" s="721"/>
      <c r="C55" s="668"/>
      <c r="D55" s="510"/>
      <c r="E55" s="510"/>
      <c r="F55" s="463"/>
      <c r="G55" s="463"/>
      <c r="H55" s="463"/>
      <c r="I55" s="463"/>
      <c r="J55" s="463"/>
      <c r="K55" s="464"/>
      <c r="L55" s="464"/>
      <c r="M55" s="464"/>
      <c r="N55" s="465"/>
      <c r="O55" s="672"/>
      <c r="P55" s="673"/>
      <c r="Q55" s="673"/>
      <c r="R55" s="674"/>
      <c r="S55" s="672"/>
      <c r="T55" s="673"/>
      <c r="U55" s="673"/>
      <c r="V55" s="674"/>
      <c r="W55" s="512"/>
      <c r="X55" s="512"/>
      <c r="Y55" s="678"/>
      <c r="Z55" s="678"/>
      <c r="AA55" s="678"/>
      <c r="AB55" s="678"/>
      <c r="AC55" s="678"/>
      <c r="AD55" s="678"/>
      <c r="AE55" s="678"/>
      <c r="AF55" s="678"/>
      <c r="AG55" s="678"/>
      <c r="AH55" s="678"/>
      <c r="BC55" s="536"/>
      <c r="BD55" s="459"/>
      <c r="BE55" s="459"/>
      <c r="BF55" s="459"/>
      <c r="BG55" s="459"/>
      <c r="BH55" s="459"/>
      <c r="BI55" s="459"/>
      <c r="BJ55" s="459"/>
      <c r="BK55" s="459"/>
      <c r="BL55" s="459"/>
    </row>
    <row r="56" spans="1:78" ht="15" customHeight="1" outlineLevel="1" x14ac:dyDescent="0.25">
      <c r="A56" s="404"/>
      <c r="B56" s="721"/>
      <c r="C56" s="668"/>
      <c r="D56" s="510"/>
      <c r="E56" s="510"/>
      <c r="F56" s="463"/>
      <c r="G56" s="463"/>
      <c r="H56" s="463"/>
      <c r="I56" s="463"/>
      <c r="J56" s="463"/>
      <c r="K56" s="464"/>
      <c r="L56" s="464"/>
      <c r="M56" s="464"/>
      <c r="N56" s="465"/>
      <c r="O56" s="672"/>
      <c r="P56" s="673"/>
      <c r="Q56" s="673"/>
      <c r="R56" s="674"/>
      <c r="S56" s="672"/>
      <c r="T56" s="673"/>
      <c r="U56" s="673"/>
      <c r="V56" s="674"/>
      <c r="W56" s="512"/>
      <c r="X56" s="512"/>
      <c r="Y56" s="678"/>
      <c r="Z56" s="678"/>
      <c r="AA56" s="678"/>
      <c r="AB56" s="678"/>
      <c r="AC56" s="678"/>
      <c r="AD56" s="678"/>
      <c r="AE56" s="678"/>
      <c r="AF56" s="678"/>
      <c r="AG56" s="678"/>
      <c r="AH56" s="678"/>
      <c r="BC56" s="536"/>
    </row>
    <row r="57" spans="1:78" ht="15" customHeight="1" outlineLevel="1" x14ac:dyDescent="0.25">
      <c r="A57" s="404"/>
      <c r="B57" s="721"/>
      <c r="C57" s="668"/>
      <c r="D57" s="510"/>
      <c r="E57" s="510"/>
      <c r="F57" s="466"/>
      <c r="G57" s="466"/>
      <c r="H57" s="466"/>
      <c r="I57" s="466"/>
      <c r="J57" s="466"/>
      <c r="K57" s="464"/>
      <c r="L57" s="464"/>
      <c r="M57" s="464"/>
      <c r="N57" s="467"/>
      <c r="O57" s="672"/>
      <c r="P57" s="673"/>
      <c r="Q57" s="673"/>
      <c r="R57" s="674"/>
      <c r="S57" s="672"/>
      <c r="T57" s="673"/>
      <c r="U57" s="673"/>
      <c r="V57" s="674"/>
      <c r="W57" s="512"/>
      <c r="X57" s="512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BC57" s="536"/>
    </row>
    <row r="58" spans="1:78" ht="15" customHeight="1" outlineLevel="1" x14ac:dyDescent="0.25">
      <c r="A58" s="404"/>
      <c r="B58" s="721"/>
      <c r="C58" s="668"/>
      <c r="D58" s="510"/>
      <c r="E58" s="510"/>
      <c r="F58" s="466"/>
      <c r="G58" s="466"/>
      <c r="H58" s="466"/>
      <c r="I58" s="466"/>
      <c r="J58" s="466"/>
      <c r="K58" s="464"/>
      <c r="L58" s="464"/>
      <c r="M58" s="464"/>
      <c r="N58" s="467"/>
      <c r="O58" s="672"/>
      <c r="P58" s="673"/>
      <c r="Q58" s="673"/>
      <c r="R58" s="674"/>
      <c r="S58" s="672"/>
      <c r="T58" s="673"/>
      <c r="U58" s="673"/>
      <c r="V58" s="674"/>
      <c r="W58" s="512"/>
      <c r="X58" s="512"/>
      <c r="Y58" s="678"/>
      <c r="Z58" s="678"/>
      <c r="AA58" s="678"/>
      <c r="AB58" s="678"/>
      <c r="AC58" s="678"/>
      <c r="AD58" s="678"/>
      <c r="AE58" s="678"/>
      <c r="AF58" s="678"/>
      <c r="AG58" s="678"/>
      <c r="AH58" s="678"/>
      <c r="BC58" s="536"/>
    </row>
    <row r="59" spans="1:78" ht="15.75" outlineLevel="1" thickBot="1" x14ac:dyDescent="0.3">
      <c r="B59" s="722"/>
      <c r="C59" s="723"/>
      <c r="D59" s="516"/>
      <c r="E59" s="516"/>
      <c r="F59" s="516"/>
      <c r="G59" s="516"/>
      <c r="H59" s="516"/>
      <c r="I59" s="516"/>
      <c r="J59" s="516"/>
      <c r="K59" s="470"/>
      <c r="L59" s="470"/>
      <c r="M59" s="470"/>
      <c r="N59" s="471"/>
      <c r="O59" s="675"/>
      <c r="P59" s="676"/>
      <c r="Q59" s="676"/>
      <c r="R59" s="677"/>
      <c r="S59" s="675"/>
      <c r="T59" s="676"/>
      <c r="U59" s="676"/>
      <c r="V59" s="677"/>
      <c r="BC59" s="536"/>
    </row>
    <row r="60" spans="1:78" ht="15" customHeight="1" x14ac:dyDescent="0.25"/>
    <row r="61" spans="1:78" ht="15" customHeight="1" x14ac:dyDescent="0.25"/>
    <row r="62" spans="1:78" ht="15" customHeight="1" thickBot="1" x14ac:dyDescent="0.3">
      <c r="A62" s="396"/>
      <c r="W62" s="414"/>
      <c r="X62" s="414"/>
      <c r="Y62" s="414"/>
      <c r="Z62" s="414"/>
      <c r="AA62" s="414"/>
      <c r="AB62" s="414"/>
      <c r="AC62" s="414"/>
      <c r="AD62" s="414"/>
      <c r="AE62" s="414"/>
      <c r="AF62" s="414"/>
      <c r="AG62" s="414"/>
      <c r="AH62" s="414"/>
    </row>
    <row r="63" spans="1:78" ht="24.95" customHeight="1" thickBot="1" x14ac:dyDescent="0.3">
      <c r="A63" s="396"/>
      <c r="B63" s="415">
        <v>3</v>
      </c>
      <c r="C63" s="838" t="s">
        <v>166</v>
      </c>
      <c r="D63" s="838"/>
      <c r="E63" s="838"/>
      <c r="F63" s="838"/>
      <c r="G63" s="838"/>
      <c r="H63" s="838"/>
      <c r="I63" s="838"/>
      <c r="J63" s="838"/>
      <c r="K63" s="838"/>
      <c r="L63" s="838"/>
      <c r="M63" s="838"/>
      <c r="N63" s="838"/>
      <c r="O63" s="416" t="s">
        <v>117</v>
      </c>
      <c r="P63" s="398" t="str">
        <f>IF(COUNTIF(F71:M96,"refused")&gt;0,"refused",IF(COUNTIF(F71:M96,"failed")&gt;0,"failed",IF(COUNTIF(F71:M96,"passed")&gt;0,"passed","-")))</f>
        <v>-</v>
      </c>
      <c r="Q63" s="399" t="s">
        <v>80</v>
      </c>
      <c r="R63" s="399" t="str">
        <f>IF(COUNT(F67:M68,F72:M73,F77:M78,F82:M83,F87:M88,F92:M93)&gt;0,"listed","not listed")</f>
        <v>not listed</v>
      </c>
      <c r="S63" s="511"/>
      <c r="T63" s="418"/>
      <c r="U63" s="418"/>
      <c r="V63" s="419"/>
      <c r="W63" s="414"/>
      <c r="X63" s="414"/>
      <c r="Y63" s="414"/>
      <c r="Z63" s="414"/>
      <c r="AA63" s="414"/>
      <c r="AB63" s="414"/>
      <c r="AC63" s="414"/>
      <c r="AD63" s="414"/>
      <c r="AE63" s="414"/>
      <c r="AF63" s="414"/>
      <c r="AG63" s="414"/>
      <c r="AH63" s="414"/>
    </row>
    <row r="64" spans="1:78" s="405" customFormat="1" ht="15" customHeight="1" outlineLevel="1" thickBot="1" x14ac:dyDescent="0.3">
      <c r="A64" s="396"/>
      <c r="B64" s="513"/>
      <c r="C64" s="514"/>
      <c r="D64" s="514"/>
      <c r="E64" s="514"/>
      <c r="F64" s="514"/>
      <c r="G64" s="514"/>
      <c r="H64" s="514"/>
      <c r="I64" s="514"/>
      <c r="J64" s="514"/>
      <c r="K64" s="421"/>
      <c r="L64" s="421"/>
      <c r="M64" s="421"/>
      <c r="N64" s="514"/>
      <c r="O64" s="514"/>
      <c r="P64" s="514"/>
      <c r="Q64" s="514"/>
      <c r="R64" s="514"/>
      <c r="S64" s="514"/>
      <c r="T64" s="422"/>
      <c r="U64" s="422"/>
      <c r="V64" s="423"/>
      <c r="W64" s="424"/>
      <c r="X64" s="424"/>
      <c r="Y64" s="698"/>
      <c r="Z64" s="698"/>
      <c r="AA64" s="698"/>
      <c r="AB64" s="698"/>
      <c r="AC64" s="698"/>
      <c r="AD64" s="698"/>
      <c r="AE64" s="698"/>
      <c r="AF64" s="698"/>
      <c r="AG64" s="698"/>
      <c r="AH64" s="698"/>
      <c r="AI64" s="401"/>
      <c r="AJ64" s="401"/>
      <c r="AK64" s="401"/>
      <c r="AL64" s="401"/>
      <c r="AM64" s="401"/>
      <c r="AN64" s="401"/>
      <c r="AO64" s="401"/>
      <c r="AP64" s="401"/>
      <c r="AQ64" s="401"/>
      <c r="AR64" s="401"/>
      <c r="AS64" s="401"/>
      <c r="AT64" s="401"/>
      <c r="AU64" s="401"/>
      <c r="AV64" s="401"/>
      <c r="AW64" s="401"/>
      <c r="AX64" s="401"/>
      <c r="AY64" s="401"/>
      <c r="AZ64" s="401"/>
      <c r="BA64" s="401"/>
      <c r="BB64" s="401"/>
      <c r="BC64" s="401"/>
      <c r="BU64" s="401"/>
      <c r="BV64" s="401"/>
      <c r="BW64" s="401"/>
      <c r="BX64" s="401"/>
      <c r="BY64" s="401"/>
      <c r="BZ64" s="401"/>
    </row>
    <row r="65" spans="1:78" s="405" customFormat="1" ht="15" customHeight="1" outlineLevel="1" thickBot="1" x14ac:dyDescent="0.3">
      <c r="A65" s="396"/>
      <c r="B65" s="695" t="s">
        <v>81</v>
      </c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7"/>
      <c r="O65" s="695" t="s">
        <v>82</v>
      </c>
      <c r="P65" s="696"/>
      <c r="Q65" s="696"/>
      <c r="R65" s="697"/>
      <c r="S65" s="695" t="s">
        <v>83</v>
      </c>
      <c r="T65" s="696"/>
      <c r="U65" s="696"/>
      <c r="V65" s="697"/>
      <c r="W65" s="512"/>
      <c r="X65" s="512"/>
      <c r="Y65" s="678"/>
      <c r="Z65" s="678"/>
      <c r="AA65" s="678"/>
      <c r="AB65" s="678"/>
      <c r="AC65" s="678"/>
      <c r="AD65" s="678"/>
      <c r="AE65" s="678"/>
      <c r="AF65" s="678"/>
      <c r="AG65" s="678"/>
      <c r="AH65" s="678"/>
      <c r="AI65" s="401"/>
      <c r="AJ65" s="401"/>
      <c r="AK65" s="401"/>
      <c r="AL65" s="401"/>
      <c r="AM65" s="401"/>
      <c r="AN65" s="401"/>
      <c r="AO65" s="401"/>
      <c r="AP65" s="401"/>
      <c r="AQ65" s="401"/>
      <c r="AR65" s="401"/>
      <c r="AS65" s="401"/>
      <c r="AT65" s="401"/>
      <c r="AU65" s="401"/>
      <c r="AV65" s="401"/>
      <c r="AW65" s="401"/>
      <c r="AX65" s="401"/>
      <c r="AY65" s="401"/>
      <c r="AZ65" s="401"/>
      <c r="BA65" s="401"/>
      <c r="BB65" s="401"/>
      <c r="BC65" s="401"/>
      <c r="BD65" s="429" t="s">
        <v>85</v>
      </c>
      <c r="BE65" s="430" t="str">
        <f>F$4</f>
        <v>NMHC 
[g/km]</v>
      </c>
      <c r="BF65" s="430" t="str">
        <f t="shared" ref="BF65:BL65" si="37">G$4</f>
        <v>THC
[g/km]</v>
      </c>
      <c r="BG65" s="430" t="str">
        <f t="shared" si="37"/>
        <v>CO
[g/km]</v>
      </c>
      <c r="BH65" s="430" t="str">
        <f t="shared" si="37"/>
        <v>NOx
[g/km]</v>
      </c>
      <c r="BI65" s="430" t="str">
        <f t="shared" si="37"/>
        <v>PM
[mg/km]</v>
      </c>
      <c r="BJ65" s="430" t="str">
        <f t="shared" si="37"/>
        <v>PN
[#/km]</v>
      </c>
      <c r="BK65" s="430" t="str">
        <f t="shared" si="37"/>
        <v>Additional
component</v>
      </c>
      <c r="BL65" s="430" t="str">
        <f t="shared" si="37"/>
        <v>Additional
component 2</v>
      </c>
      <c r="BU65" s="401"/>
      <c r="BV65" s="401"/>
      <c r="BW65" s="401"/>
      <c r="BX65" s="401"/>
      <c r="BY65" s="401"/>
      <c r="BZ65" s="401"/>
    </row>
    <row r="66" spans="1:78" s="405" customFormat="1" ht="35.1" customHeight="1" outlineLevel="1" thickBot="1" x14ac:dyDescent="0.3">
      <c r="A66" s="396"/>
      <c r="B66" s="709" t="s">
        <v>84</v>
      </c>
      <c r="C66" s="682"/>
      <c r="D66" s="682"/>
      <c r="E66" s="683"/>
      <c r="F66" s="425" t="s">
        <v>72</v>
      </c>
      <c r="G66" s="517" t="s">
        <v>73</v>
      </c>
      <c r="H66" s="425" t="s">
        <v>74</v>
      </c>
      <c r="I66" s="425" t="s">
        <v>75</v>
      </c>
      <c r="J66" s="425" t="s">
        <v>76</v>
      </c>
      <c r="K66" s="534" t="s">
        <v>170</v>
      </c>
      <c r="L66" s="535" t="str">
        <f>$L$4</f>
        <v>Additional
component</v>
      </c>
      <c r="M66" s="535" t="str">
        <f>$M$4</f>
        <v>Additional
component 2</v>
      </c>
      <c r="N66" s="425" t="s">
        <v>77</v>
      </c>
      <c r="O66" s="669"/>
      <c r="P66" s="670"/>
      <c r="Q66" s="670"/>
      <c r="R66" s="670"/>
      <c r="S66" s="669"/>
      <c r="T66" s="670"/>
      <c r="U66" s="670"/>
      <c r="V66" s="671"/>
      <c r="W66" s="512"/>
      <c r="X66" s="512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401"/>
      <c r="AJ66" s="401"/>
      <c r="AK66" s="401"/>
      <c r="AL66" s="401"/>
      <c r="AM66" s="401"/>
      <c r="AN66" s="401"/>
      <c r="AO66" s="401"/>
      <c r="AP66" s="401"/>
      <c r="AQ66" s="401"/>
      <c r="AR66" s="401"/>
      <c r="AS66" s="401"/>
      <c r="AT66" s="401"/>
      <c r="AU66" s="401"/>
      <c r="AV66" s="401"/>
      <c r="AW66" s="401"/>
      <c r="AX66" s="401"/>
      <c r="AY66" s="401"/>
      <c r="AZ66" s="401"/>
      <c r="BA66" s="401"/>
      <c r="BB66" s="401"/>
      <c r="BC66" s="536"/>
      <c r="BD66" s="429">
        <f>$E$4</f>
        <v>0</v>
      </c>
      <c r="BE66" s="435">
        <v>1</v>
      </c>
      <c r="BF66" s="435">
        <v>1</v>
      </c>
      <c r="BG66" s="435">
        <v>1</v>
      </c>
      <c r="BH66" s="435">
        <v>1</v>
      </c>
      <c r="BI66" s="435">
        <v>1</v>
      </c>
      <c r="BJ66" s="435">
        <v>1</v>
      </c>
      <c r="BK66" s="435">
        <v>2</v>
      </c>
      <c r="BL66" s="435">
        <v>3</v>
      </c>
      <c r="BU66" s="401"/>
      <c r="BV66" s="401"/>
      <c r="BW66" s="401"/>
      <c r="BX66" s="401"/>
      <c r="BY66" s="401"/>
      <c r="BZ66" s="401"/>
    </row>
    <row r="67" spans="1:78" s="405" customFormat="1" ht="15" customHeight="1" outlineLevel="1" x14ac:dyDescent="0.25">
      <c r="A67" s="396"/>
      <c r="B67" s="679" t="str">
        <f>'Variant 2a - Brazil Flex Fuel'!B67:B71</f>
        <v>Drive Mode 1</v>
      </c>
      <c r="C67" s="684" t="s">
        <v>114</v>
      </c>
      <c r="D67" s="684" t="s">
        <v>113</v>
      </c>
      <c r="E67" s="453" t="s">
        <v>94</v>
      </c>
      <c r="F67" s="437" t="s">
        <v>5</v>
      </c>
      <c r="G67" s="437" t="s">
        <v>5</v>
      </c>
      <c r="H67" s="437" t="s">
        <v>5</v>
      </c>
      <c r="I67" s="437" t="s">
        <v>5</v>
      </c>
      <c r="J67" s="437" t="s">
        <v>5</v>
      </c>
      <c r="K67" s="438" t="s">
        <v>5</v>
      </c>
      <c r="L67" s="438" t="s">
        <v>5</v>
      </c>
      <c r="M67" s="438" t="s">
        <v>5</v>
      </c>
      <c r="N67" s="437" t="s">
        <v>5</v>
      </c>
      <c r="O67" s="672"/>
      <c r="P67" s="673"/>
      <c r="Q67" s="673"/>
      <c r="R67" s="673"/>
      <c r="S67" s="672"/>
      <c r="T67" s="673"/>
      <c r="U67" s="673"/>
      <c r="V67" s="674"/>
      <c r="W67" s="512"/>
      <c r="X67" s="512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401"/>
      <c r="AJ67" s="401"/>
      <c r="AK67" s="401"/>
      <c r="AL67" s="401"/>
      <c r="AM67" s="401"/>
      <c r="AN67" s="401"/>
      <c r="AO67" s="401"/>
      <c r="AP67" s="401"/>
      <c r="AQ67" s="401"/>
      <c r="AR67" s="401"/>
      <c r="AS67" s="401"/>
      <c r="AT67" s="401"/>
      <c r="AU67" s="401"/>
      <c r="AV67" s="401"/>
      <c r="AW67" s="401"/>
      <c r="AX67" s="401"/>
      <c r="AY67" s="401"/>
      <c r="AZ67" s="401"/>
      <c r="BA67" s="401"/>
      <c r="BB67" s="401"/>
      <c r="BC67" s="536"/>
      <c r="BD67" s="429" t="str">
        <f>"1st " &amp;  B67</f>
        <v>1st Drive Mode 1</v>
      </c>
      <c r="BE67" s="435" t="str">
        <f t="shared" ref="BE67:BL67" si="38">IF((OR($C69="-",$C69="CET",$C69="")),"-",IF(AND(OR(F67="-",F67=""),OR(F68="-",F68="")),"-",IF(NOT(OR(F67="-",F67="")),F67/F$5,F68/F$5)))</f>
        <v>-</v>
      </c>
      <c r="BF67" s="435" t="str">
        <f t="shared" si="38"/>
        <v>-</v>
      </c>
      <c r="BG67" s="435" t="str">
        <f t="shared" si="38"/>
        <v>-</v>
      </c>
      <c r="BH67" s="435" t="str">
        <f t="shared" si="38"/>
        <v>-</v>
      </c>
      <c r="BI67" s="435" t="str">
        <f t="shared" si="38"/>
        <v>-</v>
      </c>
      <c r="BJ67" s="435" t="str">
        <f t="shared" si="38"/>
        <v>-</v>
      </c>
      <c r="BK67" s="435" t="str">
        <f t="shared" si="38"/>
        <v>-</v>
      </c>
      <c r="BL67" s="435" t="str">
        <f t="shared" si="38"/>
        <v>-</v>
      </c>
      <c r="BU67" s="401"/>
      <c r="BV67" s="401"/>
      <c r="BW67" s="401"/>
      <c r="BX67" s="401"/>
      <c r="BY67" s="401"/>
      <c r="BZ67" s="401"/>
    </row>
    <row r="68" spans="1:78" s="405" customFormat="1" ht="15" customHeight="1" outlineLevel="1" thickBot="1" x14ac:dyDescent="0.3">
      <c r="A68" s="439"/>
      <c r="B68" s="680"/>
      <c r="C68" s="702"/>
      <c r="D68" s="685"/>
      <c r="E68" s="440" t="s">
        <v>95</v>
      </c>
      <c r="F68" s="441" t="s">
        <v>5</v>
      </c>
      <c r="G68" s="441" t="s">
        <v>5</v>
      </c>
      <c r="H68" s="441" t="s">
        <v>5</v>
      </c>
      <c r="I68" s="441" t="s">
        <v>5</v>
      </c>
      <c r="J68" s="441" t="s">
        <v>5</v>
      </c>
      <c r="K68" s="442" t="s">
        <v>5</v>
      </c>
      <c r="L68" s="442" t="s">
        <v>5</v>
      </c>
      <c r="M68" s="442" t="s">
        <v>5</v>
      </c>
      <c r="N68" s="441" t="s">
        <v>5</v>
      </c>
      <c r="O68" s="672"/>
      <c r="P68" s="673"/>
      <c r="Q68" s="673"/>
      <c r="R68" s="673"/>
      <c r="S68" s="672"/>
      <c r="T68" s="673"/>
      <c r="U68" s="673"/>
      <c r="V68" s="674"/>
      <c r="W68" s="443"/>
      <c r="X68" s="443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BC68" s="536"/>
      <c r="BD68" s="429" t="str">
        <f>"1st " &amp; B72</f>
        <v>1st Drive Mode 2</v>
      </c>
      <c r="BE68" s="435" t="str">
        <f t="shared" ref="BE68:BL68" si="39">IF((OR($C74="-",$C74="CET",$C74="")),"-",IF(AND(OR(F72="-",F72=""),OR(F73="-",F73="")),"-",IF(NOT(OR(F72="-",F72="")),F72/F$5,F73/F$5)))</f>
        <v>-</v>
      </c>
      <c r="BF68" s="435" t="str">
        <f t="shared" si="39"/>
        <v>-</v>
      </c>
      <c r="BG68" s="435" t="str">
        <f t="shared" si="39"/>
        <v>-</v>
      </c>
      <c r="BH68" s="435" t="str">
        <f t="shared" si="39"/>
        <v>-</v>
      </c>
      <c r="BI68" s="435" t="str">
        <f t="shared" si="39"/>
        <v>-</v>
      </c>
      <c r="BJ68" s="435" t="str">
        <f t="shared" si="39"/>
        <v>-</v>
      </c>
      <c r="BK68" s="435" t="str">
        <f t="shared" si="39"/>
        <v>-</v>
      </c>
      <c r="BL68" s="435" t="str">
        <f t="shared" si="39"/>
        <v>-</v>
      </c>
    </row>
    <row r="69" spans="1:78" s="405" customFormat="1" ht="15" customHeight="1" outlineLevel="1" thickBot="1" x14ac:dyDescent="0.3">
      <c r="A69" s="396"/>
      <c r="B69" s="680"/>
      <c r="C69" s="686">
        <v>1</v>
      </c>
      <c r="D69" s="689" t="str">
        <f>IF(AND(F69="-",G69="-",H69="-",I69="-",J69="-",K69="-",L69="-",M69="-"),"-",MAX(F69,G69,H69,I69,J69,K69,L69,M69))</f>
        <v>-</v>
      </c>
      <c r="E69" s="444" t="s">
        <v>177</v>
      </c>
      <c r="F69" s="445" t="str">
        <f t="shared" ref="F69:M69" si="40">IF(OR(F68="-",F68=""),IF(OR(F67="-",F67=""),"-",F67),IF(OR(F67="-",F67=""),F68,(F67+F68)/2))</f>
        <v>-</v>
      </c>
      <c r="G69" s="445" t="str">
        <f t="shared" si="40"/>
        <v>-</v>
      </c>
      <c r="H69" s="445" t="str">
        <f t="shared" si="40"/>
        <v>-</v>
      </c>
      <c r="I69" s="445" t="str">
        <f t="shared" si="40"/>
        <v>-</v>
      </c>
      <c r="J69" s="445" t="str">
        <f t="shared" si="40"/>
        <v>-</v>
      </c>
      <c r="K69" s="446" t="str">
        <f t="shared" si="40"/>
        <v>-</v>
      </c>
      <c r="L69" s="446" t="str">
        <f t="shared" si="40"/>
        <v>-</v>
      </c>
      <c r="M69" s="446" t="str">
        <f t="shared" si="40"/>
        <v>-</v>
      </c>
      <c r="N69" s="828"/>
      <c r="O69" s="672"/>
      <c r="P69" s="673"/>
      <c r="Q69" s="673"/>
      <c r="R69" s="673"/>
      <c r="S69" s="672"/>
      <c r="T69" s="673"/>
      <c r="U69" s="673"/>
      <c r="V69" s="674"/>
      <c r="W69" s="512"/>
      <c r="X69" s="512"/>
      <c r="Y69" s="678"/>
      <c r="Z69" s="678"/>
      <c r="AA69" s="678"/>
      <c r="AB69" s="678"/>
      <c r="AC69" s="678"/>
      <c r="AD69" s="678"/>
      <c r="AE69" s="678"/>
      <c r="AF69" s="678"/>
      <c r="AG69" s="678"/>
      <c r="AH69" s="678"/>
      <c r="AI69" s="401"/>
      <c r="AJ69" s="401"/>
      <c r="AK69" s="401"/>
      <c r="AL69" s="401"/>
      <c r="AM69" s="401"/>
      <c r="AN69" s="401"/>
      <c r="AO69" s="401"/>
      <c r="AP69" s="401"/>
      <c r="AQ69" s="401"/>
      <c r="AR69" s="401"/>
      <c r="AS69" s="401"/>
      <c r="AT69" s="401"/>
      <c r="AU69" s="401"/>
      <c r="AV69" s="401"/>
      <c r="AW69" s="401"/>
      <c r="AX69" s="401"/>
      <c r="AY69" s="401"/>
      <c r="AZ69" s="401"/>
      <c r="BA69" s="401"/>
      <c r="BB69" s="401"/>
      <c r="BC69" s="536"/>
      <c r="BD69" s="429" t="str">
        <f>"1st " &amp; B77</f>
        <v>1st Drive Mode 3</v>
      </c>
      <c r="BE69" s="435" t="str">
        <f t="shared" ref="BE69:BL69" si="41">IF((OR($C79="-",$C79="CET",$C79="")),"-",IF(AND(OR(F77="-",F77=""),OR(F78="-",F78="")),"-",IF(NOT(OR(F77="-",F77="")),F77/F$5,F78/F$5)))</f>
        <v>-</v>
      </c>
      <c r="BF69" s="435" t="str">
        <f t="shared" si="41"/>
        <v>-</v>
      </c>
      <c r="BG69" s="435" t="str">
        <f t="shared" si="41"/>
        <v>-</v>
      </c>
      <c r="BH69" s="435" t="str">
        <f t="shared" si="41"/>
        <v>-</v>
      </c>
      <c r="BI69" s="435" t="str">
        <f t="shared" si="41"/>
        <v>-</v>
      </c>
      <c r="BJ69" s="435" t="str">
        <f t="shared" si="41"/>
        <v>-</v>
      </c>
      <c r="BK69" s="435" t="str">
        <f t="shared" si="41"/>
        <v>-</v>
      </c>
      <c r="BL69" s="435" t="str">
        <f t="shared" si="41"/>
        <v>-</v>
      </c>
      <c r="BU69" s="401"/>
      <c r="BV69" s="401"/>
      <c r="BW69" s="401"/>
      <c r="BX69" s="401"/>
      <c r="BY69" s="401"/>
      <c r="BZ69" s="401"/>
    </row>
    <row r="70" spans="1:78" s="405" customFormat="1" ht="15" customHeight="1" outlineLevel="1" thickBot="1" x14ac:dyDescent="0.3">
      <c r="A70" s="396"/>
      <c r="B70" s="680"/>
      <c r="C70" s="687"/>
      <c r="D70" s="690"/>
      <c r="E70" s="447" t="s">
        <v>97</v>
      </c>
      <c r="F70" s="448" t="e">
        <f t="shared" ref="F70:M70" si="42">IF(OR($C69="-",$C69="CET",$C69=""),"-",IF(AND(NOT(F69="-"),NOT(F$5="-"),NOT(F$5="")),F69/F$5,"-"))</f>
        <v>#N/A</v>
      </c>
      <c r="G70" s="448" t="e">
        <f t="shared" si="42"/>
        <v>#N/A</v>
      </c>
      <c r="H70" s="448" t="e">
        <f t="shared" si="42"/>
        <v>#N/A</v>
      </c>
      <c r="I70" s="448" t="e">
        <f t="shared" si="42"/>
        <v>#N/A</v>
      </c>
      <c r="J70" s="448" t="e">
        <f t="shared" si="42"/>
        <v>#N/A</v>
      </c>
      <c r="K70" s="449" t="e">
        <f t="shared" si="42"/>
        <v>#N/A</v>
      </c>
      <c r="L70" s="449" t="e">
        <f t="shared" si="42"/>
        <v>#N/A</v>
      </c>
      <c r="M70" s="449" t="e">
        <f t="shared" si="42"/>
        <v>#N/A</v>
      </c>
      <c r="N70" s="702"/>
      <c r="O70" s="672"/>
      <c r="P70" s="673"/>
      <c r="Q70" s="673"/>
      <c r="R70" s="673"/>
      <c r="S70" s="672"/>
      <c r="T70" s="673"/>
      <c r="U70" s="673"/>
      <c r="V70" s="674"/>
      <c r="W70" s="512"/>
      <c r="X70" s="512"/>
      <c r="Y70" s="678"/>
      <c r="Z70" s="678"/>
      <c r="AA70" s="678"/>
      <c r="AB70" s="678"/>
      <c r="AC70" s="678"/>
      <c r="AD70" s="678"/>
      <c r="AE70" s="678"/>
      <c r="AF70" s="678"/>
      <c r="AG70" s="678"/>
      <c r="AH70" s="678"/>
      <c r="AI70" s="401"/>
      <c r="AJ70" s="401"/>
      <c r="AK70" s="401"/>
      <c r="AL70" s="401"/>
      <c r="AM70" s="401"/>
      <c r="AN70" s="401"/>
      <c r="AO70" s="401"/>
      <c r="AP70" s="401"/>
      <c r="AQ70" s="401"/>
      <c r="AR70" s="401"/>
      <c r="AS70" s="401"/>
      <c r="AT70" s="401"/>
      <c r="AU70" s="401"/>
      <c r="AV70" s="401"/>
      <c r="AW70" s="401"/>
      <c r="AX70" s="401"/>
      <c r="AY70" s="401"/>
      <c r="AZ70" s="401"/>
      <c r="BA70" s="401"/>
      <c r="BB70" s="401"/>
      <c r="BC70" s="536"/>
      <c r="BD70" s="429" t="str">
        <f>"1st " &amp; B82</f>
        <v>1st Drive Mode 4</v>
      </c>
      <c r="BE70" s="435" t="str">
        <f t="shared" ref="BE70:BL70" si="43">IF((OR($C84="-",$C84="CET",$C84="")),"-",IF(AND(OR(F82="-",F82=""),OR(F83="-",F83="")),"-",IF(NOT(OR(F82="-",F82="")),F82/F$5,F83/F$5)))</f>
        <v>-</v>
      </c>
      <c r="BF70" s="435" t="str">
        <f t="shared" si="43"/>
        <v>-</v>
      </c>
      <c r="BG70" s="435" t="str">
        <f t="shared" si="43"/>
        <v>-</v>
      </c>
      <c r="BH70" s="435" t="str">
        <f t="shared" si="43"/>
        <v>-</v>
      </c>
      <c r="BI70" s="435" t="str">
        <f t="shared" si="43"/>
        <v>-</v>
      </c>
      <c r="BJ70" s="435" t="str">
        <f t="shared" si="43"/>
        <v>-</v>
      </c>
      <c r="BK70" s="435" t="str">
        <f t="shared" si="43"/>
        <v>-</v>
      </c>
      <c r="BL70" s="435" t="str">
        <f t="shared" si="43"/>
        <v>-</v>
      </c>
      <c r="BU70" s="401"/>
      <c r="BV70" s="401"/>
      <c r="BW70" s="401"/>
      <c r="BX70" s="401"/>
      <c r="BY70" s="401"/>
      <c r="BZ70" s="401"/>
    </row>
    <row r="71" spans="1:78" s="405" customFormat="1" ht="15" customHeight="1" outlineLevel="1" thickBot="1" x14ac:dyDescent="0.3">
      <c r="A71" s="396"/>
      <c r="B71" s="681"/>
      <c r="C71" s="688"/>
      <c r="D71" s="691"/>
      <c r="E71" s="450" t="s">
        <v>30</v>
      </c>
      <c r="F71" s="451" t="str">
        <f t="shared" ref="F71:M71" si="44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451" t="str">
        <f t="shared" si="44"/>
        <v>-</v>
      </c>
      <c r="H71" s="451" t="str">
        <f t="shared" si="44"/>
        <v>-</v>
      </c>
      <c r="I71" s="451" t="str">
        <f t="shared" si="44"/>
        <v>-</v>
      </c>
      <c r="J71" s="451" t="str">
        <f t="shared" si="44"/>
        <v>-</v>
      </c>
      <c r="K71" s="452" t="str">
        <f t="shared" si="44"/>
        <v>-</v>
      </c>
      <c r="L71" s="452" t="str">
        <f t="shared" si="44"/>
        <v>-</v>
      </c>
      <c r="M71" s="452" t="str">
        <f t="shared" si="44"/>
        <v>-</v>
      </c>
      <c r="N71" s="685"/>
      <c r="O71" s="672"/>
      <c r="P71" s="673"/>
      <c r="Q71" s="673"/>
      <c r="R71" s="673"/>
      <c r="S71" s="672"/>
      <c r="T71" s="673"/>
      <c r="U71" s="673"/>
      <c r="V71" s="674"/>
      <c r="W71" s="512"/>
      <c r="X71" s="512"/>
      <c r="Y71" s="678"/>
      <c r="Z71" s="678"/>
      <c r="AA71" s="678"/>
      <c r="AB71" s="678"/>
      <c r="AC71" s="678"/>
      <c r="AD71" s="678"/>
      <c r="AE71" s="678"/>
      <c r="AF71" s="678"/>
      <c r="AG71" s="678"/>
      <c r="AH71" s="678"/>
      <c r="AI71" s="401"/>
      <c r="AJ71" s="401"/>
      <c r="AK71" s="401"/>
      <c r="AL71" s="401"/>
      <c r="AM71" s="401"/>
      <c r="AN71" s="401"/>
      <c r="AO71" s="401"/>
      <c r="AP71" s="401"/>
      <c r="AQ71" s="401"/>
      <c r="AR71" s="401"/>
      <c r="AS71" s="401"/>
      <c r="AT71" s="401"/>
      <c r="AU71" s="401"/>
      <c r="AV71" s="401"/>
      <c r="AW71" s="401"/>
      <c r="AX71" s="401"/>
      <c r="AY71" s="401"/>
      <c r="AZ71" s="401"/>
      <c r="BA71" s="401"/>
      <c r="BB71" s="401"/>
      <c r="BC71" s="399" t="str">
        <f>IF(COUNTIF(F71:M71,"refused")&gt;0,"refused",IF(COUNTIF(F71:M71,"failed")&gt;0,"failed",IF(COUNTIF(F71:M71,"passed")&gt;0,"passed","-")))</f>
        <v>-</v>
      </c>
      <c r="BD71" s="429" t="str">
        <f>"1st " &amp; B87</f>
        <v>1st Drive Mode 5</v>
      </c>
      <c r="BE71" s="435" t="str">
        <f t="shared" ref="BE71:BL71" si="45">IF((OR($C89="-",$C89="CET",$C89="")),"-",IF(AND(OR(F87="-",F87=""),OR(F88="-",F88="")),"-",IF(NOT(OR(F87="-",F87="")),F87/F$5,F88/F$5)))</f>
        <v>-</v>
      </c>
      <c r="BF71" s="435" t="str">
        <f t="shared" si="45"/>
        <v>-</v>
      </c>
      <c r="BG71" s="435" t="str">
        <f t="shared" si="45"/>
        <v>-</v>
      </c>
      <c r="BH71" s="435" t="str">
        <f t="shared" si="45"/>
        <v>-</v>
      </c>
      <c r="BI71" s="435" t="str">
        <f t="shared" si="45"/>
        <v>-</v>
      </c>
      <c r="BJ71" s="435" t="str">
        <f t="shared" si="45"/>
        <v>-</v>
      </c>
      <c r="BK71" s="435" t="str">
        <f t="shared" si="45"/>
        <v>-</v>
      </c>
      <c r="BL71" s="435" t="str">
        <f t="shared" si="45"/>
        <v>-</v>
      </c>
      <c r="BU71" s="401"/>
      <c r="BV71" s="401"/>
      <c r="BW71" s="401"/>
      <c r="BX71" s="401"/>
      <c r="BY71" s="401"/>
      <c r="BZ71" s="401"/>
    </row>
    <row r="72" spans="1:78" s="405" customFormat="1" ht="15" customHeight="1" outlineLevel="1" x14ac:dyDescent="0.25">
      <c r="A72" s="396"/>
      <c r="B72" s="679" t="str">
        <f>'Variant 2a - Brazil Flex Fuel'!B72:B76</f>
        <v>Drive Mode 2</v>
      </c>
      <c r="C72" s="684" t="s">
        <v>114</v>
      </c>
      <c r="D72" s="684" t="s">
        <v>113</v>
      </c>
      <c r="E72" s="453" t="s">
        <v>94</v>
      </c>
      <c r="F72" s="437" t="s">
        <v>5</v>
      </c>
      <c r="G72" s="437" t="s">
        <v>5</v>
      </c>
      <c r="H72" s="437" t="s">
        <v>5</v>
      </c>
      <c r="I72" s="437" t="s">
        <v>5</v>
      </c>
      <c r="J72" s="437" t="s">
        <v>5</v>
      </c>
      <c r="K72" s="438" t="s">
        <v>5</v>
      </c>
      <c r="L72" s="438" t="s">
        <v>5</v>
      </c>
      <c r="M72" s="438" t="s">
        <v>5</v>
      </c>
      <c r="N72" s="437" t="s">
        <v>5</v>
      </c>
      <c r="O72" s="672"/>
      <c r="P72" s="673"/>
      <c r="Q72" s="673"/>
      <c r="R72" s="673"/>
      <c r="S72" s="672"/>
      <c r="T72" s="673"/>
      <c r="U72" s="673"/>
      <c r="V72" s="674"/>
      <c r="W72" s="512"/>
      <c r="X72" s="512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401"/>
      <c r="AJ72" s="401"/>
      <c r="AK72" s="401"/>
      <c r="AL72" s="401"/>
      <c r="AM72" s="401"/>
      <c r="AN72" s="401"/>
      <c r="AO72" s="401"/>
      <c r="AP72" s="401"/>
      <c r="AQ72" s="401"/>
      <c r="AR72" s="401"/>
      <c r="AS72" s="401"/>
      <c r="AT72" s="401"/>
      <c r="AU72" s="401"/>
      <c r="AV72" s="401"/>
      <c r="AW72" s="401"/>
      <c r="AX72" s="401"/>
      <c r="AY72" s="401"/>
      <c r="AZ72" s="401"/>
      <c r="BA72" s="401"/>
      <c r="BB72" s="401"/>
      <c r="BC72" s="536"/>
      <c r="BD72" s="429" t="str">
        <f>"1st " &amp; B92</f>
        <v>1st Drive Mode 6</v>
      </c>
      <c r="BE72" s="435" t="str">
        <f t="shared" ref="BE72:BL72" si="46">IF((OR($C94="-",$C94="CET",$C94="")),"-",IF(AND(OR(F92="-",F92=""),OR(F93="-",F93="")),"-",IF(NOT(OR(F92="-",F92="")),F92/F$5,F93/F$5)))</f>
        <v>-</v>
      </c>
      <c r="BF72" s="435" t="str">
        <f t="shared" si="46"/>
        <v>-</v>
      </c>
      <c r="BG72" s="435" t="str">
        <f t="shared" si="46"/>
        <v>-</v>
      </c>
      <c r="BH72" s="435" t="str">
        <f t="shared" si="46"/>
        <v>-</v>
      </c>
      <c r="BI72" s="435" t="str">
        <f t="shared" si="46"/>
        <v>-</v>
      </c>
      <c r="BJ72" s="435" t="str">
        <f t="shared" si="46"/>
        <v>-</v>
      </c>
      <c r="BK72" s="435" t="str">
        <f t="shared" si="46"/>
        <v>-</v>
      </c>
      <c r="BL72" s="435" t="str">
        <f t="shared" si="46"/>
        <v>-</v>
      </c>
      <c r="BU72" s="401"/>
      <c r="BV72" s="401"/>
      <c r="BW72" s="401"/>
      <c r="BX72" s="401"/>
      <c r="BY72" s="401"/>
      <c r="BZ72" s="401"/>
    </row>
    <row r="73" spans="1:78" s="405" customFormat="1" ht="15" customHeight="1" outlineLevel="1" thickBot="1" x14ac:dyDescent="0.3">
      <c r="A73" s="439"/>
      <c r="B73" s="680"/>
      <c r="C73" s="702"/>
      <c r="D73" s="685"/>
      <c r="E73" s="440" t="s">
        <v>95</v>
      </c>
      <c r="F73" s="441" t="s">
        <v>5</v>
      </c>
      <c r="G73" s="441" t="s">
        <v>5</v>
      </c>
      <c r="H73" s="441" t="s">
        <v>5</v>
      </c>
      <c r="I73" s="441" t="s">
        <v>5</v>
      </c>
      <c r="J73" s="441" t="s">
        <v>5</v>
      </c>
      <c r="K73" s="442" t="s">
        <v>5</v>
      </c>
      <c r="L73" s="442" t="s">
        <v>5</v>
      </c>
      <c r="M73" s="442" t="s">
        <v>5</v>
      </c>
      <c r="N73" s="441" t="s">
        <v>5</v>
      </c>
      <c r="O73" s="672"/>
      <c r="P73" s="673"/>
      <c r="Q73" s="673"/>
      <c r="R73" s="673"/>
      <c r="S73" s="672"/>
      <c r="T73" s="673"/>
      <c r="U73" s="673"/>
      <c r="V73" s="674"/>
      <c r="W73" s="443"/>
      <c r="X73" s="443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BC73" s="536"/>
      <c r="BD73" s="429" t="str">
        <f>"0.7*IEF " &amp; (B67)</f>
        <v>0.7*IEF Drive Mode 1</v>
      </c>
      <c r="BE73" s="435">
        <f t="shared" ref="BE73:BL73" si="47">IF(OR($C69="-",$C69="CET",$C69=""),"-",0.7*$C69)</f>
        <v>0.7</v>
      </c>
      <c r="BF73" s="435">
        <f t="shared" si="47"/>
        <v>0.7</v>
      </c>
      <c r="BG73" s="435">
        <f t="shared" si="47"/>
        <v>0.7</v>
      </c>
      <c r="BH73" s="435">
        <f t="shared" si="47"/>
        <v>0.7</v>
      </c>
      <c r="BI73" s="435">
        <f t="shared" si="47"/>
        <v>0.7</v>
      </c>
      <c r="BJ73" s="435">
        <f t="shared" si="47"/>
        <v>0.7</v>
      </c>
      <c r="BK73" s="435">
        <f t="shared" si="47"/>
        <v>0.7</v>
      </c>
      <c r="BL73" s="435">
        <f t="shared" si="47"/>
        <v>0.7</v>
      </c>
    </row>
    <row r="74" spans="1:78" s="405" customFormat="1" ht="15" customHeight="1" outlineLevel="1" thickBot="1" x14ac:dyDescent="0.3">
      <c r="A74" s="396"/>
      <c r="B74" s="680"/>
      <c r="C74" s="686">
        <v>1</v>
      </c>
      <c r="D74" s="689" t="str">
        <f>IF(AND(F74="-",G74="-",H74="-",I74="-",J74="-",K74="-",L74="-",M74="-"),"-",MAX(F74,G74,H74,I74,J74,K74,L74,M74))</f>
        <v>-</v>
      </c>
      <c r="E74" s="444" t="s">
        <v>177</v>
      </c>
      <c r="F74" s="445" t="str">
        <f t="shared" ref="F74:M74" si="48">IF(OR(F73="-",F73=""),IF(OR(F72="-",F72=""),"-",F72),IF(OR(F72="-",F72=""),F73,(F72+F73)/2))</f>
        <v>-</v>
      </c>
      <c r="G74" s="445" t="str">
        <f t="shared" si="48"/>
        <v>-</v>
      </c>
      <c r="H74" s="445" t="str">
        <f t="shared" si="48"/>
        <v>-</v>
      </c>
      <c r="I74" s="445" t="str">
        <f t="shared" si="48"/>
        <v>-</v>
      </c>
      <c r="J74" s="445" t="str">
        <f t="shared" si="48"/>
        <v>-</v>
      </c>
      <c r="K74" s="446" t="str">
        <f t="shared" si="48"/>
        <v>-</v>
      </c>
      <c r="L74" s="446" t="str">
        <f t="shared" si="48"/>
        <v>-</v>
      </c>
      <c r="M74" s="446" t="str">
        <f t="shared" si="48"/>
        <v>-</v>
      </c>
      <c r="N74" s="828"/>
      <c r="O74" s="672"/>
      <c r="P74" s="673"/>
      <c r="Q74" s="673"/>
      <c r="R74" s="673"/>
      <c r="S74" s="672"/>
      <c r="T74" s="673"/>
      <c r="U74" s="673"/>
      <c r="V74" s="674"/>
      <c r="W74" s="512"/>
      <c r="X74" s="512"/>
      <c r="Y74" s="678"/>
      <c r="Z74" s="678"/>
      <c r="AA74" s="678"/>
      <c r="AB74" s="678"/>
      <c r="AC74" s="678"/>
      <c r="AD74" s="678"/>
      <c r="AE74" s="678"/>
      <c r="AF74" s="678"/>
      <c r="AG74" s="678"/>
      <c r="AH74" s="678"/>
      <c r="AI74" s="401"/>
      <c r="AJ74" s="401"/>
      <c r="AK74" s="401"/>
      <c r="AL74" s="401"/>
      <c r="AM74" s="401"/>
      <c r="AN74" s="401"/>
      <c r="AO74" s="401"/>
      <c r="AP74" s="401"/>
      <c r="AQ74" s="401"/>
      <c r="AR74" s="401"/>
      <c r="AS74" s="401"/>
      <c r="AT74" s="401"/>
      <c r="AU74" s="401"/>
      <c r="AV74" s="401"/>
      <c r="AW74" s="401"/>
      <c r="AX74" s="401"/>
      <c r="AY74" s="401"/>
      <c r="AZ74" s="401"/>
      <c r="BA74" s="401"/>
      <c r="BB74" s="401"/>
      <c r="BC74" s="536"/>
      <c r="BD74" s="429" t="str">
        <f>"0.7*IEF " &amp; B72</f>
        <v>0.7*IEF Drive Mode 2</v>
      </c>
      <c r="BE74" s="435">
        <f t="shared" ref="BE74:BL74" si="49">IF(OR($C74="-",$C74="CET",$C74=""),"-",0.7*$C74)</f>
        <v>0.7</v>
      </c>
      <c r="BF74" s="435">
        <f t="shared" si="49"/>
        <v>0.7</v>
      </c>
      <c r="BG74" s="435">
        <f t="shared" si="49"/>
        <v>0.7</v>
      </c>
      <c r="BH74" s="435">
        <f t="shared" si="49"/>
        <v>0.7</v>
      </c>
      <c r="BI74" s="435">
        <f t="shared" si="49"/>
        <v>0.7</v>
      </c>
      <c r="BJ74" s="435">
        <f t="shared" si="49"/>
        <v>0.7</v>
      </c>
      <c r="BK74" s="435">
        <f t="shared" si="49"/>
        <v>0.7</v>
      </c>
      <c r="BL74" s="435">
        <f t="shared" si="49"/>
        <v>0.7</v>
      </c>
      <c r="BU74" s="401"/>
      <c r="BV74" s="401"/>
      <c r="BW74" s="401"/>
      <c r="BX74" s="401"/>
      <c r="BY74" s="401"/>
      <c r="BZ74" s="401"/>
    </row>
    <row r="75" spans="1:78" s="405" customFormat="1" ht="15" customHeight="1" outlineLevel="1" thickBot="1" x14ac:dyDescent="0.3">
      <c r="A75" s="396"/>
      <c r="B75" s="680"/>
      <c r="C75" s="687"/>
      <c r="D75" s="690"/>
      <c r="E75" s="447" t="s">
        <v>97</v>
      </c>
      <c r="F75" s="448" t="e">
        <f t="shared" ref="F75:M75" si="50">IF(OR($C74="-",$C74="CET",$C74=""),"-",IF(AND(NOT(F74="-"),NOT(F$5="-"),NOT(F$5="")),F74/F$5,"-"))</f>
        <v>#N/A</v>
      </c>
      <c r="G75" s="448" t="e">
        <f t="shared" si="50"/>
        <v>#N/A</v>
      </c>
      <c r="H75" s="448" t="e">
        <f t="shared" si="50"/>
        <v>#N/A</v>
      </c>
      <c r="I75" s="448" t="e">
        <f t="shared" si="50"/>
        <v>#N/A</v>
      </c>
      <c r="J75" s="448" t="e">
        <f t="shared" si="50"/>
        <v>#N/A</v>
      </c>
      <c r="K75" s="449" t="e">
        <f t="shared" si="50"/>
        <v>#N/A</v>
      </c>
      <c r="L75" s="449" t="e">
        <f t="shared" si="50"/>
        <v>#N/A</v>
      </c>
      <c r="M75" s="449" t="e">
        <f t="shared" si="50"/>
        <v>#N/A</v>
      </c>
      <c r="N75" s="702"/>
      <c r="O75" s="672"/>
      <c r="P75" s="673"/>
      <c r="Q75" s="673"/>
      <c r="R75" s="673"/>
      <c r="S75" s="672"/>
      <c r="T75" s="673"/>
      <c r="U75" s="673"/>
      <c r="V75" s="674"/>
      <c r="W75" s="512"/>
      <c r="X75" s="512"/>
      <c r="Y75" s="678"/>
      <c r="Z75" s="678"/>
      <c r="AA75" s="678"/>
      <c r="AB75" s="678"/>
      <c r="AC75" s="678"/>
      <c r="AD75" s="678"/>
      <c r="AE75" s="678"/>
      <c r="AF75" s="678"/>
      <c r="AG75" s="678"/>
      <c r="AH75" s="678"/>
      <c r="AI75" s="401"/>
      <c r="AJ75" s="401"/>
      <c r="AK75" s="401"/>
      <c r="AL75" s="401"/>
      <c r="AM75" s="401"/>
      <c r="AN75" s="401"/>
      <c r="AO75" s="401"/>
      <c r="AP75" s="401"/>
      <c r="AQ75" s="401"/>
      <c r="AR75" s="401"/>
      <c r="AS75" s="401"/>
      <c r="AT75" s="401"/>
      <c r="AU75" s="401"/>
      <c r="AV75" s="401"/>
      <c r="AW75" s="401"/>
      <c r="AX75" s="401"/>
      <c r="AY75" s="401"/>
      <c r="AZ75" s="401"/>
      <c r="BA75" s="401"/>
      <c r="BB75" s="401"/>
      <c r="BC75" s="536"/>
      <c r="BD75" s="429" t="str">
        <f>"0.7*IEF " &amp; B77</f>
        <v>0.7*IEF Drive Mode 3</v>
      </c>
      <c r="BE75" s="435">
        <f t="shared" ref="BE75:BL75" si="51">IF(OR($C79="-",$C79="CET",$C79=""),"-",0.7*$C79)</f>
        <v>0.7</v>
      </c>
      <c r="BF75" s="435">
        <f t="shared" si="51"/>
        <v>0.7</v>
      </c>
      <c r="BG75" s="435">
        <f t="shared" si="51"/>
        <v>0.7</v>
      </c>
      <c r="BH75" s="435">
        <f t="shared" si="51"/>
        <v>0.7</v>
      </c>
      <c r="BI75" s="435">
        <f t="shared" si="51"/>
        <v>0.7</v>
      </c>
      <c r="BJ75" s="435">
        <f t="shared" si="51"/>
        <v>0.7</v>
      </c>
      <c r="BK75" s="435">
        <f t="shared" si="51"/>
        <v>0.7</v>
      </c>
      <c r="BL75" s="435">
        <f t="shared" si="51"/>
        <v>0.7</v>
      </c>
      <c r="BU75" s="401"/>
      <c r="BV75" s="401"/>
      <c r="BW75" s="401"/>
      <c r="BX75" s="401"/>
      <c r="BY75" s="401"/>
      <c r="BZ75" s="401"/>
    </row>
    <row r="76" spans="1:78" s="405" customFormat="1" ht="15" customHeight="1" outlineLevel="1" thickBot="1" x14ac:dyDescent="0.3">
      <c r="A76" s="404"/>
      <c r="B76" s="681"/>
      <c r="C76" s="688"/>
      <c r="D76" s="691"/>
      <c r="E76" s="451" t="s">
        <v>30</v>
      </c>
      <c r="F76" s="451" t="str">
        <f t="shared" ref="F76:M76" si="52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451" t="str">
        <f t="shared" si="52"/>
        <v>-</v>
      </c>
      <c r="H76" s="451" t="str">
        <f t="shared" si="52"/>
        <v>-</v>
      </c>
      <c r="I76" s="451" t="str">
        <f t="shared" si="52"/>
        <v>-</v>
      </c>
      <c r="J76" s="451" t="str">
        <f t="shared" si="52"/>
        <v>-</v>
      </c>
      <c r="K76" s="452" t="str">
        <f t="shared" si="52"/>
        <v>-</v>
      </c>
      <c r="L76" s="452" t="str">
        <f t="shared" si="52"/>
        <v>-</v>
      </c>
      <c r="M76" s="452" t="str">
        <f t="shared" si="52"/>
        <v>-</v>
      </c>
      <c r="N76" s="685"/>
      <c r="O76" s="672"/>
      <c r="P76" s="673"/>
      <c r="Q76" s="673"/>
      <c r="R76" s="673"/>
      <c r="S76" s="672"/>
      <c r="T76" s="673"/>
      <c r="U76" s="673"/>
      <c r="V76" s="674"/>
      <c r="W76" s="512"/>
      <c r="X76" s="512"/>
      <c r="Y76" s="678"/>
      <c r="Z76" s="678"/>
      <c r="AA76" s="678"/>
      <c r="AB76" s="678"/>
      <c r="AC76" s="678"/>
      <c r="AD76" s="678"/>
      <c r="AE76" s="678"/>
      <c r="AF76" s="678"/>
      <c r="AG76" s="678"/>
      <c r="AH76" s="678"/>
      <c r="AI76" s="401"/>
      <c r="AJ76" s="401"/>
      <c r="AK76" s="401"/>
      <c r="AL76" s="401"/>
      <c r="AM76" s="401"/>
      <c r="AN76" s="401"/>
      <c r="AO76" s="401"/>
      <c r="AP76" s="401"/>
      <c r="AQ76" s="401"/>
      <c r="AR76" s="401"/>
      <c r="AS76" s="401"/>
      <c r="AT76" s="401"/>
      <c r="AU76" s="401"/>
      <c r="AV76" s="401"/>
      <c r="AW76" s="401"/>
      <c r="AX76" s="401"/>
      <c r="AY76" s="401"/>
      <c r="AZ76" s="401"/>
      <c r="BA76" s="401"/>
      <c r="BB76" s="401"/>
      <c r="BC76" s="399" t="str">
        <f>IF(COUNTIF(F76:M76,"refused")&gt;0,"refused",IF(COUNTIF(F76:M76,"failed")&gt;0,"failed",IF(COUNTIF(F76:M76,"passed")&gt;0,"passed","-")))</f>
        <v>-</v>
      </c>
      <c r="BD76" s="429" t="str">
        <f>"0.7*IEF " &amp; B82</f>
        <v>0.7*IEF Drive Mode 4</v>
      </c>
      <c r="BE76" s="435">
        <f t="shared" ref="BE76:BL76" si="53">IF(OR($C84="-",$C84="CET",$C84=""),"-",0.7*$C84)</f>
        <v>0.7</v>
      </c>
      <c r="BF76" s="435">
        <f t="shared" si="53"/>
        <v>0.7</v>
      </c>
      <c r="BG76" s="435">
        <f t="shared" si="53"/>
        <v>0.7</v>
      </c>
      <c r="BH76" s="435">
        <f t="shared" si="53"/>
        <v>0.7</v>
      </c>
      <c r="BI76" s="435">
        <f t="shared" si="53"/>
        <v>0.7</v>
      </c>
      <c r="BJ76" s="435">
        <f t="shared" si="53"/>
        <v>0.7</v>
      </c>
      <c r="BK76" s="435">
        <f t="shared" si="53"/>
        <v>0.7</v>
      </c>
      <c r="BL76" s="435">
        <f t="shared" si="53"/>
        <v>0.7</v>
      </c>
      <c r="BU76" s="401"/>
      <c r="BV76" s="401"/>
      <c r="BW76" s="401"/>
      <c r="BX76" s="401"/>
      <c r="BY76" s="401"/>
      <c r="BZ76" s="401"/>
    </row>
    <row r="77" spans="1:78" s="405" customFormat="1" ht="15" customHeight="1" outlineLevel="1" x14ac:dyDescent="0.25">
      <c r="A77" s="404"/>
      <c r="B77" s="679" t="str">
        <f>'Variant 2a - Brazil Flex Fuel'!B77:B81</f>
        <v>Drive Mode 3</v>
      </c>
      <c r="C77" s="684" t="s">
        <v>114</v>
      </c>
      <c r="D77" s="684" t="s">
        <v>113</v>
      </c>
      <c r="E77" s="453" t="s">
        <v>94</v>
      </c>
      <c r="F77" s="437" t="s">
        <v>5</v>
      </c>
      <c r="G77" s="437" t="s">
        <v>5</v>
      </c>
      <c r="H77" s="437" t="s">
        <v>5</v>
      </c>
      <c r="I77" s="437" t="s">
        <v>5</v>
      </c>
      <c r="J77" s="437" t="s">
        <v>5</v>
      </c>
      <c r="K77" s="438" t="s">
        <v>5</v>
      </c>
      <c r="L77" s="438" t="s">
        <v>5</v>
      </c>
      <c r="M77" s="438" t="s">
        <v>5</v>
      </c>
      <c r="N77" s="437" t="s">
        <v>5</v>
      </c>
      <c r="O77" s="672"/>
      <c r="P77" s="673"/>
      <c r="Q77" s="673"/>
      <c r="R77" s="673"/>
      <c r="S77" s="672"/>
      <c r="T77" s="673"/>
      <c r="U77" s="673"/>
      <c r="V77" s="674"/>
      <c r="W77" s="512"/>
      <c r="X77" s="512"/>
      <c r="Y77" s="678"/>
      <c r="Z77" s="678"/>
      <c r="AA77" s="678"/>
      <c r="AB77" s="678"/>
      <c r="AC77" s="678"/>
      <c r="AD77" s="678"/>
      <c r="AE77" s="678"/>
      <c r="AF77" s="678"/>
      <c r="AG77" s="678"/>
      <c r="AH77" s="678"/>
      <c r="AI77" s="401"/>
      <c r="AJ77" s="401"/>
      <c r="AK77" s="401"/>
      <c r="AL77" s="401"/>
      <c r="AM77" s="401"/>
      <c r="AN77" s="401"/>
      <c r="AO77" s="401"/>
      <c r="AP77" s="401"/>
      <c r="AQ77" s="401"/>
      <c r="AR77" s="401"/>
      <c r="AS77" s="401"/>
      <c r="AT77" s="401"/>
      <c r="AU77" s="401"/>
      <c r="AV77" s="401"/>
      <c r="AW77" s="401"/>
      <c r="AX77" s="401"/>
      <c r="AY77" s="401"/>
      <c r="AZ77" s="401"/>
      <c r="BA77" s="401"/>
      <c r="BB77" s="401"/>
      <c r="BC77" s="536"/>
      <c r="BD77" s="429" t="str">
        <f>"0.7*IEF " &amp; B87</f>
        <v>0.7*IEF Drive Mode 5</v>
      </c>
      <c r="BE77" s="435">
        <f t="shared" ref="BE77:BL77" si="54">IF(OR($C89="-",$C89="CET",$C89=""),"-",0.7*$C89)</f>
        <v>0.7</v>
      </c>
      <c r="BF77" s="435">
        <f t="shared" si="54"/>
        <v>0.7</v>
      </c>
      <c r="BG77" s="435">
        <f t="shared" si="54"/>
        <v>0.7</v>
      </c>
      <c r="BH77" s="435">
        <f t="shared" si="54"/>
        <v>0.7</v>
      </c>
      <c r="BI77" s="435">
        <f t="shared" si="54"/>
        <v>0.7</v>
      </c>
      <c r="BJ77" s="435">
        <f t="shared" si="54"/>
        <v>0.7</v>
      </c>
      <c r="BK77" s="435">
        <f t="shared" si="54"/>
        <v>0.7</v>
      </c>
      <c r="BL77" s="435">
        <f t="shared" si="54"/>
        <v>0.7</v>
      </c>
      <c r="BU77" s="401"/>
      <c r="BV77" s="401"/>
      <c r="BW77" s="401"/>
      <c r="BX77" s="401"/>
      <c r="BY77" s="401"/>
      <c r="BZ77" s="401"/>
    </row>
    <row r="78" spans="1:78" s="405" customFormat="1" ht="15" customHeight="1" outlineLevel="1" thickBot="1" x14ac:dyDescent="0.3">
      <c r="A78" s="454"/>
      <c r="B78" s="680"/>
      <c r="C78" s="702"/>
      <c r="D78" s="685"/>
      <c r="E78" s="440" t="s">
        <v>95</v>
      </c>
      <c r="F78" s="441" t="s">
        <v>5</v>
      </c>
      <c r="G78" s="441" t="s">
        <v>5</v>
      </c>
      <c r="H78" s="441" t="s">
        <v>5</v>
      </c>
      <c r="I78" s="441" t="s">
        <v>5</v>
      </c>
      <c r="J78" s="441" t="s">
        <v>5</v>
      </c>
      <c r="K78" s="442" t="s">
        <v>5</v>
      </c>
      <c r="L78" s="442" t="s">
        <v>5</v>
      </c>
      <c r="M78" s="442" t="s">
        <v>5</v>
      </c>
      <c r="N78" s="441" t="s">
        <v>5</v>
      </c>
      <c r="O78" s="672"/>
      <c r="P78" s="673"/>
      <c r="Q78" s="673"/>
      <c r="R78" s="673"/>
      <c r="S78" s="672"/>
      <c r="T78" s="673"/>
      <c r="U78" s="673"/>
      <c r="V78" s="674"/>
      <c r="W78" s="443"/>
      <c r="X78" s="443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BC78" s="536"/>
      <c r="BD78" s="429" t="str">
        <f>"0.7*IEF " &amp; B92</f>
        <v>0.7*IEF Drive Mode 6</v>
      </c>
      <c r="BE78" s="435">
        <f t="shared" ref="BE78:BL78" si="55">IF(OR($C94="-",$C94="CET",$C94=""),"-",0.7*$C94)</f>
        <v>0.7</v>
      </c>
      <c r="BF78" s="435">
        <f t="shared" si="55"/>
        <v>0.7</v>
      </c>
      <c r="BG78" s="435">
        <f t="shared" si="55"/>
        <v>0.7</v>
      </c>
      <c r="BH78" s="435">
        <f t="shared" si="55"/>
        <v>0.7</v>
      </c>
      <c r="BI78" s="435">
        <f t="shared" si="55"/>
        <v>0.7</v>
      </c>
      <c r="BJ78" s="435">
        <f t="shared" si="55"/>
        <v>0.7</v>
      </c>
      <c r="BK78" s="435">
        <f t="shared" si="55"/>
        <v>0.7</v>
      </c>
      <c r="BL78" s="435">
        <f t="shared" si="55"/>
        <v>0.7</v>
      </c>
    </row>
    <row r="79" spans="1:78" s="405" customFormat="1" ht="15" customHeight="1" outlineLevel="1" thickBot="1" x14ac:dyDescent="0.3">
      <c r="A79" s="404"/>
      <c r="B79" s="680"/>
      <c r="C79" s="686">
        <v>1</v>
      </c>
      <c r="D79" s="689" t="str">
        <f>IF(AND(F79="-",G79="-",H79="-",I79="-",J79="-",K79="-",L79="-",M79="-"),"-",MAX(F79,G79,H79,I79,J79,K79,L79,M79))</f>
        <v>-</v>
      </c>
      <c r="E79" s="444" t="s">
        <v>177</v>
      </c>
      <c r="F79" s="445" t="str">
        <f t="shared" ref="F79:M79" si="56">IF(OR(F78="-",F78=""),IF(OR(F77="-",F77=""),"-",F77),IF(OR(F77="-",F77=""),F78,(F77+F78)/2))</f>
        <v>-</v>
      </c>
      <c r="G79" s="445" t="str">
        <f t="shared" si="56"/>
        <v>-</v>
      </c>
      <c r="H79" s="445" t="str">
        <f t="shared" si="56"/>
        <v>-</v>
      </c>
      <c r="I79" s="445" t="str">
        <f t="shared" si="56"/>
        <v>-</v>
      </c>
      <c r="J79" s="445" t="str">
        <f t="shared" si="56"/>
        <v>-</v>
      </c>
      <c r="K79" s="446" t="str">
        <f t="shared" si="56"/>
        <v>-</v>
      </c>
      <c r="L79" s="446" t="str">
        <f t="shared" si="56"/>
        <v>-</v>
      </c>
      <c r="M79" s="446" t="str">
        <f t="shared" si="56"/>
        <v>-</v>
      </c>
      <c r="N79" s="828"/>
      <c r="O79" s="672"/>
      <c r="P79" s="673"/>
      <c r="Q79" s="673"/>
      <c r="R79" s="673"/>
      <c r="S79" s="672"/>
      <c r="T79" s="673"/>
      <c r="U79" s="673"/>
      <c r="V79" s="674"/>
      <c r="W79" s="512"/>
      <c r="X79" s="512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401"/>
      <c r="AJ79" s="401"/>
      <c r="AK79" s="401"/>
      <c r="AL79" s="401"/>
      <c r="AM79" s="401"/>
      <c r="AN79" s="401"/>
      <c r="AO79" s="401"/>
      <c r="AP79" s="401"/>
      <c r="AQ79" s="401"/>
      <c r="AR79" s="401"/>
      <c r="AS79" s="401"/>
      <c r="AT79" s="401"/>
      <c r="AU79" s="401"/>
      <c r="AV79" s="401"/>
      <c r="AW79" s="401"/>
      <c r="AX79" s="401"/>
      <c r="AY79" s="401"/>
      <c r="AZ79" s="401"/>
      <c r="BA79" s="401"/>
      <c r="BB79" s="401"/>
      <c r="BC79" s="536"/>
      <c r="BD79" s="429" t="str">
        <f>$B67</f>
        <v>Drive Mode 1</v>
      </c>
      <c r="BE79" s="435" t="e">
        <f t="shared" ref="BE79:BL79" si="57">F70</f>
        <v>#N/A</v>
      </c>
      <c r="BF79" s="435" t="e">
        <f t="shared" si="57"/>
        <v>#N/A</v>
      </c>
      <c r="BG79" s="435" t="e">
        <f t="shared" si="57"/>
        <v>#N/A</v>
      </c>
      <c r="BH79" s="435" t="e">
        <f t="shared" si="57"/>
        <v>#N/A</v>
      </c>
      <c r="BI79" s="435" t="e">
        <f t="shared" si="57"/>
        <v>#N/A</v>
      </c>
      <c r="BJ79" s="435" t="e">
        <f t="shared" si="57"/>
        <v>#N/A</v>
      </c>
      <c r="BK79" s="435" t="e">
        <f t="shared" si="57"/>
        <v>#N/A</v>
      </c>
      <c r="BL79" s="435" t="e">
        <f t="shared" si="57"/>
        <v>#N/A</v>
      </c>
      <c r="BU79" s="401"/>
      <c r="BV79" s="401"/>
      <c r="BW79" s="401"/>
      <c r="BX79" s="401"/>
      <c r="BY79" s="401"/>
      <c r="BZ79" s="401"/>
    </row>
    <row r="80" spans="1:78" s="405" customFormat="1" ht="15" customHeight="1" outlineLevel="1" thickBot="1" x14ac:dyDescent="0.3">
      <c r="A80" s="404"/>
      <c r="B80" s="680"/>
      <c r="C80" s="687"/>
      <c r="D80" s="690"/>
      <c r="E80" s="447" t="s">
        <v>97</v>
      </c>
      <c r="F80" s="448" t="e">
        <f t="shared" ref="F80:M80" si="58">IF(OR($C79="-",$C79="CET",$C79=""),"-",IF(AND(NOT(F79="-"),NOT(F$5="-"),NOT(F$5="")),F79/F$5,"-"))</f>
        <v>#N/A</v>
      </c>
      <c r="G80" s="448" t="e">
        <f t="shared" si="58"/>
        <v>#N/A</v>
      </c>
      <c r="H80" s="448" t="e">
        <f t="shared" si="58"/>
        <v>#N/A</v>
      </c>
      <c r="I80" s="448" t="e">
        <f t="shared" si="58"/>
        <v>#N/A</v>
      </c>
      <c r="J80" s="448" t="e">
        <f t="shared" si="58"/>
        <v>#N/A</v>
      </c>
      <c r="K80" s="449" t="e">
        <f t="shared" si="58"/>
        <v>#N/A</v>
      </c>
      <c r="L80" s="449" t="e">
        <f t="shared" si="58"/>
        <v>#N/A</v>
      </c>
      <c r="M80" s="449" t="e">
        <f t="shared" si="58"/>
        <v>#N/A</v>
      </c>
      <c r="N80" s="702"/>
      <c r="O80" s="672"/>
      <c r="P80" s="673"/>
      <c r="Q80" s="673"/>
      <c r="R80" s="673"/>
      <c r="S80" s="672"/>
      <c r="T80" s="673"/>
      <c r="U80" s="673"/>
      <c r="V80" s="674"/>
      <c r="W80" s="512"/>
      <c r="X80" s="512"/>
      <c r="Y80" s="678"/>
      <c r="Z80" s="678"/>
      <c r="AA80" s="678"/>
      <c r="AB80" s="678"/>
      <c r="AC80" s="678"/>
      <c r="AD80" s="678"/>
      <c r="AE80" s="678"/>
      <c r="AF80" s="678"/>
      <c r="AG80" s="678"/>
      <c r="AH80" s="678"/>
      <c r="AI80" s="401"/>
      <c r="AJ80" s="401"/>
      <c r="AK80" s="401"/>
      <c r="AL80" s="401"/>
      <c r="AM80" s="401"/>
      <c r="AN80" s="401"/>
      <c r="AO80" s="401"/>
      <c r="AP80" s="401"/>
      <c r="AQ80" s="401"/>
      <c r="AR80" s="401"/>
      <c r="AS80" s="401"/>
      <c r="AT80" s="401"/>
      <c r="AU80" s="401"/>
      <c r="AV80" s="401"/>
      <c r="AW80" s="401"/>
      <c r="AX80" s="401"/>
      <c r="AY80" s="401"/>
      <c r="AZ80" s="401"/>
      <c r="BA80" s="401"/>
      <c r="BB80" s="401"/>
      <c r="BC80" s="536"/>
      <c r="BD80" s="429" t="str">
        <f>$B72</f>
        <v>Drive Mode 2</v>
      </c>
      <c r="BE80" s="435" t="e">
        <f t="shared" ref="BE80:BL80" si="59">F75</f>
        <v>#N/A</v>
      </c>
      <c r="BF80" s="435" t="e">
        <f t="shared" si="59"/>
        <v>#N/A</v>
      </c>
      <c r="BG80" s="435" t="e">
        <f t="shared" si="59"/>
        <v>#N/A</v>
      </c>
      <c r="BH80" s="435" t="e">
        <f t="shared" si="59"/>
        <v>#N/A</v>
      </c>
      <c r="BI80" s="435" t="e">
        <f t="shared" si="59"/>
        <v>#N/A</v>
      </c>
      <c r="BJ80" s="435" t="e">
        <f t="shared" si="59"/>
        <v>#N/A</v>
      </c>
      <c r="BK80" s="435" t="e">
        <f t="shared" si="59"/>
        <v>#N/A</v>
      </c>
      <c r="BL80" s="435" t="e">
        <f t="shared" si="59"/>
        <v>#N/A</v>
      </c>
      <c r="BU80" s="401"/>
      <c r="BV80" s="401"/>
      <c r="BW80" s="401"/>
      <c r="BX80" s="401"/>
      <c r="BY80" s="401"/>
      <c r="BZ80" s="401"/>
    </row>
    <row r="81" spans="1:78" s="405" customFormat="1" ht="15" customHeight="1" outlineLevel="1" thickBot="1" x14ac:dyDescent="0.3">
      <c r="A81" s="404"/>
      <c r="B81" s="681"/>
      <c r="C81" s="688"/>
      <c r="D81" s="691"/>
      <c r="E81" s="451" t="s">
        <v>30</v>
      </c>
      <c r="F81" s="451" t="str">
        <f t="shared" ref="F81:M81" si="60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451" t="str">
        <f t="shared" si="60"/>
        <v>-</v>
      </c>
      <c r="H81" s="451" t="str">
        <f t="shared" si="60"/>
        <v>-</v>
      </c>
      <c r="I81" s="451" t="str">
        <f t="shared" si="60"/>
        <v>-</v>
      </c>
      <c r="J81" s="451" t="str">
        <f t="shared" si="60"/>
        <v>-</v>
      </c>
      <c r="K81" s="452" t="str">
        <f t="shared" si="60"/>
        <v>-</v>
      </c>
      <c r="L81" s="452" t="str">
        <f t="shared" si="60"/>
        <v>-</v>
      </c>
      <c r="M81" s="452" t="str">
        <f t="shared" si="60"/>
        <v>-</v>
      </c>
      <c r="N81" s="685"/>
      <c r="O81" s="672"/>
      <c r="P81" s="673"/>
      <c r="Q81" s="673"/>
      <c r="R81" s="673"/>
      <c r="S81" s="672"/>
      <c r="T81" s="673"/>
      <c r="U81" s="673"/>
      <c r="V81" s="674"/>
      <c r="W81" s="512"/>
      <c r="X81" s="512"/>
      <c r="Y81" s="678"/>
      <c r="Z81" s="678"/>
      <c r="AA81" s="678"/>
      <c r="AB81" s="678"/>
      <c r="AC81" s="678"/>
      <c r="AD81" s="678"/>
      <c r="AE81" s="678"/>
      <c r="AF81" s="678"/>
      <c r="AG81" s="678"/>
      <c r="AH81" s="678"/>
      <c r="AI81" s="401"/>
      <c r="AJ81" s="401"/>
      <c r="AK81" s="401"/>
      <c r="AL81" s="401"/>
      <c r="AM81" s="401"/>
      <c r="AN81" s="401"/>
      <c r="AO81" s="401"/>
      <c r="AP81" s="401"/>
      <c r="AQ81" s="401"/>
      <c r="AR81" s="401"/>
      <c r="AS81" s="401"/>
      <c r="AT81" s="401"/>
      <c r="AU81" s="401"/>
      <c r="AV81" s="401"/>
      <c r="AW81" s="401"/>
      <c r="AX81" s="401"/>
      <c r="AY81" s="401"/>
      <c r="AZ81" s="401"/>
      <c r="BA81" s="401"/>
      <c r="BB81" s="401"/>
      <c r="BC81" s="399" t="str">
        <f>IF(COUNTIF(F81:M81,"refused")&gt;0,"refused",IF(COUNTIF(F81:M81,"failed")&gt;0,"failed",IF(COUNTIF(F81:M81,"passed")&gt;0,"passed","-")))</f>
        <v>-</v>
      </c>
      <c r="BD81" s="429" t="str">
        <f>$B77</f>
        <v>Drive Mode 3</v>
      </c>
      <c r="BE81" s="435" t="e">
        <f t="shared" ref="BE81:BL81" si="61">F80</f>
        <v>#N/A</v>
      </c>
      <c r="BF81" s="435" t="e">
        <f t="shared" si="61"/>
        <v>#N/A</v>
      </c>
      <c r="BG81" s="435" t="e">
        <f t="shared" si="61"/>
        <v>#N/A</v>
      </c>
      <c r="BH81" s="435" t="e">
        <f t="shared" si="61"/>
        <v>#N/A</v>
      </c>
      <c r="BI81" s="435" t="e">
        <f t="shared" si="61"/>
        <v>#N/A</v>
      </c>
      <c r="BJ81" s="435" t="e">
        <f t="shared" si="61"/>
        <v>#N/A</v>
      </c>
      <c r="BK81" s="435" t="e">
        <f t="shared" si="61"/>
        <v>#N/A</v>
      </c>
      <c r="BL81" s="435" t="e">
        <f t="shared" si="61"/>
        <v>#N/A</v>
      </c>
      <c r="BU81" s="401"/>
      <c r="BV81" s="401"/>
      <c r="BW81" s="401"/>
      <c r="BX81" s="401"/>
      <c r="BY81" s="401"/>
      <c r="BZ81" s="401"/>
    </row>
    <row r="82" spans="1:78" s="405" customFormat="1" ht="15" customHeight="1" outlineLevel="1" x14ac:dyDescent="0.25">
      <c r="A82" s="404"/>
      <c r="B82" s="679" t="str">
        <f>'Variant 2a - Brazil Flex Fuel'!B82:B86</f>
        <v>Drive Mode 4</v>
      </c>
      <c r="C82" s="684" t="s">
        <v>114</v>
      </c>
      <c r="D82" s="684" t="s">
        <v>113</v>
      </c>
      <c r="E82" s="453" t="s">
        <v>94</v>
      </c>
      <c r="F82" s="437" t="s">
        <v>5</v>
      </c>
      <c r="G82" s="437" t="s">
        <v>5</v>
      </c>
      <c r="H82" s="437" t="s">
        <v>5</v>
      </c>
      <c r="I82" s="437" t="s">
        <v>5</v>
      </c>
      <c r="J82" s="437" t="s">
        <v>5</v>
      </c>
      <c r="K82" s="438" t="s">
        <v>5</v>
      </c>
      <c r="L82" s="438" t="s">
        <v>5</v>
      </c>
      <c r="M82" s="438" t="s">
        <v>5</v>
      </c>
      <c r="N82" s="437" t="s">
        <v>5</v>
      </c>
      <c r="O82" s="672"/>
      <c r="P82" s="673"/>
      <c r="Q82" s="673"/>
      <c r="R82" s="673"/>
      <c r="S82" s="672"/>
      <c r="T82" s="673"/>
      <c r="U82" s="673"/>
      <c r="V82" s="674"/>
      <c r="W82" s="512"/>
      <c r="X82" s="512"/>
      <c r="Y82" s="678"/>
      <c r="Z82" s="678"/>
      <c r="AA82" s="678"/>
      <c r="AB82" s="678"/>
      <c r="AC82" s="678"/>
      <c r="AD82" s="678"/>
      <c r="AE82" s="678"/>
      <c r="AF82" s="678"/>
      <c r="AG82" s="678"/>
      <c r="AH82" s="678"/>
      <c r="AI82" s="401"/>
      <c r="AJ82" s="401"/>
      <c r="AK82" s="401"/>
      <c r="AL82" s="401"/>
      <c r="AM82" s="401"/>
      <c r="AN82" s="401"/>
      <c r="AO82" s="401"/>
      <c r="AP82" s="401"/>
      <c r="AQ82" s="401"/>
      <c r="AR82" s="401"/>
      <c r="AS82" s="401"/>
      <c r="AT82" s="401"/>
      <c r="AU82" s="401"/>
      <c r="AV82" s="401"/>
      <c r="AW82" s="401"/>
      <c r="AX82" s="401"/>
      <c r="AY82" s="401"/>
      <c r="AZ82" s="401"/>
      <c r="BA82" s="401"/>
      <c r="BB82" s="401"/>
      <c r="BC82" s="536"/>
      <c r="BD82" s="429" t="str">
        <f>$B82</f>
        <v>Drive Mode 4</v>
      </c>
      <c r="BE82" s="435" t="e">
        <f t="shared" ref="BE82:BL82" si="62">F85</f>
        <v>#N/A</v>
      </c>
      <c r="BF82" s="435" t="e">
        <f t="shared" si="62"/>
        <v>#N/A</v>
      </c>
      <c r="BG82" s="435" t="e">
        <f t="shared" si="62"/>
        <v>#N/A</v>
      </c>
      <c r="BH82" s="435" t="e">
        <f t="shared" si="62"/>
        <v>#N/A</v>
      </c>
      <c r="BI82" s="435" t="e">
        <f t="shared" si="62"/>
        <v>#N/A</v>
      </c>
      <c r="BJ82" s="435" t="e">
        <f t="shared" si="62"/>
        <v>#N/A</v>
      </c>
      <c r="BK82" s="435" t="e">
        <f t="shared" si="62"/>
        <v>#N/A</v>
      </c>
      <c r="BL82" s="435" t="e">
        <f t="shared" si="62"/>
        <v>#N/A</v>
      </c>
      <c r="BU82" s="401"/>
      <c r="BV82" s="401"/>
      <c r="BW82" s="401"/>
      <c r="BX82" s="401"/>
      <c r="BY82" s="401"/>
      <c r="BZ82" s="401"/>
    </row>
    <row r="83" spans="1:78" s="405" customFormat="1" ht="15" customHeight="1" outlineLevel="1" thickBot="1" x14ac:dyDescent="0.3">
      <c r="A83" s="454"/>
      <c r="B83" s="680"/>
      <c r="C83" s="702"/>
      <c r="D83" s="685"/>
      <c r="E83" s="440" t="s">
        <v>95</v>
      </c>
      <c r="F83" s="441" t="s">
        <v>5</v>
      </c>
      <c r="G83" s="441" t="s">
        <v>5</v>
      </c>
      <c r="H83" s="441" t="s">
        <v>5</v>
      </c>
      <c r="I83" s="441" t="s">
        <v>5</v>
      </c>
      <c r="J83" s="441" t="s">
        <v>5</v>
      </c>
      <c r="K83" s="442" t="s">
        <v>5</v>
      </c>
      <c r="L83" s="442" t="s">
        <v>5</v>
      </c>
      <c r="M83" s="442" t="s">
        <v>5</v>
      </c>
      <c r="N83" s="441" t="s">
        <v>5</v>
      </c>
      <c r="O83" s="672"/>
      <c r="P83" s="673"/>
      <c r="Q83" s="673"/>
      <c r="R83" s="673"/>
      <c r="S83" s="672"/>
      <c r="T83" s="673"/>
      <c r="U83" s="673"/>
      <c r="V83" s="674"/>
      <c r="W83" s="443"/>
      <c r="X83" s="443"/>
      <c r="Y83" s="678"/>
      <c r="Z83" s="678"/>
      <c r="AA83" s="678"/>
      <c r="AB83" s="678"/>
      <c r="AC83" s="678"/>
      <c r="AD83" s="678"/>
      <c r="AE83" s="678"/>
      <c r="AF83" s="678"/>
      <c r="AG83" s="678"/>
      <c r="AH83" s="678"/>
      <c r="BC83" s="536"/>
      <c r="BD83" s="429" t="str">
        <f>$B87</f>
        <v>Drive Mode 5</v>
      </c>
      <c r="BE83" s="435" t="e">
        <f t="shared" ref="BE83:BL83" si="63">F90</f>
        <v>#N/A</v>
      </c>
      <c r="BF83" s="435" t="e">
        <f t="shared" si="63"/>
        <v>#N/A</v>
      </c>
      <c r="BG83" s="435" t="e">
        <f t="shared" si="63"/>
        <v>#N/A</v>
      </c>
      <c r="BH83" s="435" t="e">
        <f t="shared" si="63"/>
        <v>#N/A</v>
      </c>
      <c r="BI83" s="435" t="e">
        <f t="shared" si="63"/>
        <v>#N/A</v>
      </c>
      <c r="BJ83" s="435" t="e">
        <f t="shared" si="63"/>
        <v>#N/A</v>
      </c>
      <c r="BK83" s="435" t="e">
        <f t="shared" si="63"/>
        <v>#N/A</v>
      </c>
      <c r="BL83" s="435" t="e">
        <f t="shared" si="63"/>
        <v>#N/A</v>
      </c>
    </row>
    <row r="84" spans="1:78" s="405" customFormat="1" ht="15" customHeight="1" outlineLevel="1" thickBot="1" x14ac:dyDescent="0.3">
      <c r="A84" s="404"/>
      <c r="B84" s="680"/>
      <c r="C84" s="686">
        <v>1</v>
      </c>
      <c r="D84" s="689" t="str">
        <f>IF(AND(F84="-",G84="-",H84="-",I84="-",J84="-",K84="-",L84="-",M84="-"),"-",MAX(F84,G84,H84,I84,J84,K84,L84,M84))</f>
        <v>-</v>
      </c>
      <c r="E84" s="444" t="s">
        <v>177</v>
      </c>
      <c r="F84" s="445" t="str">
        <f t="shared" ref="F84:M84" si="64">IF(OR(F83="-",F83=""),IF(OR(F82="-",F82=""),"-",F82),IF(OR(F82="-",F82=""),F83,(F82+F83)/2))</f>
        <v>-</v>
      </c>
      <c r="G84" s="445" t="str">
        <f t="shared" si="64"/>
        <v>-</v>
      </c>
      <c r="H84" s="445" t="str">
        <f t="shared" si="64"/>
        <v>-</v>
      </c>
      <c r="I84" s="445" t="str">
        <f t="shared" si="64"/>
        <v>-</v>
      </c>
      <c r="J84" s="445" t="str">
        <f t="shared" si="64"/>
        <v>-</v>
      </c>
      <c r="K84" s="446" t="str">
        <f t="shared" si="64"/>
        <v>-</v>
      </c>
      <c r="L84" s="446" t="str">
        <f t="shared" si="64"/>
        <v>-</v>
      </c>
      <c r="M84" s="446" t="str">
        <f t="shared" si="64"/>
        <v>-</v>
      </c>
      <c r="N84" s="828"/>
      <c r="O84" s="672"/>
      <c r="P84" s="673"/>
      <c r="Q84" s="673"/>
      <c r="R84" s="673"/>
      <c r="S84" s="672"/>
      <c r="T84" s="673"/>
      <c r="U84" s="673"/>
      <c r="V84" s="674"/>
      <c r="W84" s="512"/>
      <c r="X84" s="512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401"/>
      <c r="AJ84" s="401"/>
      <c r="AK84" s="401"/>
      <c r="AL84" s="401"/>
      <c r="AM84" s="401"/>
      <c r="AN84" s="401"/>
      <c r="AO84" s="401"/>
      <c r="AP84" s="401"/>
      <c r="AQ84" s="401"/>
      <c r="AR84" s="401"/>
      <c r="AS84" s="401"/>
      <c r="AT84" s="401"/>
      <c r="AU84" s="401"/>
      <c r="AV84" s="401"/>
      <c r="AW84" s="401"/>
      <c r="AX84" s="401"/>
      <c r="AY84" s="401"/>
      <c r="AZ84" s="401"/>
      <c r="BA84" s="401"/>
      <c r="BB84" s="401"/>
      <c r="BC84" s="536"/>
      <c r="BD84" s="429" t="str">
        <f>$B92</f>
        <v>Drive Mode 6</v>
      </c>
      <c r="BE84" s="435" t="e">
        <f t="shared" ref="BE84:BL84" si="65">F95</f>
        <v>#N/A</v>
      </c>
      <c r="BF84" s="435" t="e">
        <f t="shared" si="65"/>
        <v>#N/A</v>
      </c>
      <c r="BG84" s="435" t="e">
        <f t="shared" si="65"/>
        <v>#N/A</v>
      </c>
      <c r="BH84" s="435" t="e">
        <f t="shared" si="65"/>
        <v>#N/A</v>
      </c>
      <c r="BI84" s="435" t="e">
        <f t="shared" si="65"/>
        <v>#N/A</v>
      </c>
      <c r="BJ84" s="435" t="e">
        <f t="shared" si="65"/>
        <v>#N/A</v>
      </c>
      <c r="BK84" s="435" t="e">
        <f t="shared" si="65"/>
        <v>#N/A</v>
      </c>
      <c r="BL84" s="435" t="e">
        <f t="shared" si="65"/>
        <v>#N/A</v>
      </c>
      <c r="BU84" s="401"/>
      <c r="BV84" s="401"/>
      <c r="BW84" s="401"/>
      <c r="BX84" s="401"/>
      <c r="BY84" s="401"/>
      <c r="BZ84" s="401"/>
    </row>
    <row r="85" spans="1:78" s="405" customFormat="1" ht="15" customHeight="1" outlineLevel="1" thickBot="1" x14ac:dyDescent="0.3">
      <c r="A85" s="404"/>
      <c r="B85" s="680"/>
      <c r="C85" s="687"/>
      <c r="D85" s="690"/>
      <c r="E85" s="447" t="s">
        <v>97</v>
      </c>
      <c r="F85" s="448" t="e">
        <f t="shared" ref="F85:M85" si="66">IF(OR($C84="-",$C84="CET",$C84=""),"-",IF(AND(NOT(F84="-"),NOT(F$5="-"),NOT(F$5="")),F84/F$5,"-"))</f>
        <v>#N/A</v>
      </c>
      <c r="G85" s="448" t="e">
        <f t="shared" si="66"/>
        <v>#N/A</v>
      </c>
      <c r="H85" s="448" t="e">
        <f t="shared" si="66"/>
        <v>#N/A</v>
      </c>
      <c r="I85" s="448" t="e">
        <f t="shared" si="66"/>
        <v>#N/A</v>
      </c>
      <c r="J85" s="448" t="e">
        <f t="shared" si="66"/>
        <v>#N/A</v>
      </c>
      <c r="K85" s="449" t="e">
        <f t="shared" si="66"/>
        <v>#N/A</v>
      </c>
      <c r="L85" s="449" t="e">
        <f t="shared" si="66"/>
        <v>#N/A</v>
      </c>
      <c r="M85" s="449" t="e">
        <f t="shared" si="66"/>
        <v>#N/A</v>
      </c>
      <c r="N85" s="702"/>
      <c r="O85" s="672"/>
      <c r="P85" s="673"/>
      <c r="Q85" s="673"/>
      <c r="R85" s="673"/>
      <c r="S85" s="672"/>
      <c r="T85" s="673"/>
      <c r="U85" s="673"/>
      <c r="V85" s="674"/>
      <c r="W85" s="512"/>
      <c r="X85" s="512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401"/>
      <c r="AJ85" s="401"/>
      <c r="AK85" s="401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536"/>
      <c r="BD85" s="429" t="str">
        <f>"IEF " &amp;B67</f>
        <v>IEF Drive Mode 1</v>
      </c>
      <c r="BE85" s="435">
        <f t="shared" ref="BE85:BL85" si="67">IF(OR($C69="CET",$C69="-",$C69=""),"-",$C69)</f>
        <v>1</v>
      </c>
      <c r="BF85" s="435">
        <f t="shared" si="67"/>
        <v>1</v>
      </c>
      <c r="BG85" s="435">
        <f t="shared" si="67"/>
        <v>1</v>
      </c>
      <c r="BH85" s="435">
        <f t="shared" si="67"/>
        <v>1</v>
      </c>
      <c r="BI85" s="435">
        <f t="shared" si="67"/>
        <v>1</v>
      </c>
      <c r="BJ85" s="435">
        <f t="shared" si="67"/>
        <v>1</v>
      </c>
      <c r="BK85" s="435">
        <f t="shared" si="67"/>
        <v>1</v>
      </c>
      <c r="BL85" s="435">
        <f t="shared" si="67"/>
        <v>1</v>
      </c>
      <c r="BU85" s="401"/>
      <c r="BV85" s="401"/>
      <c r="BW85" s="401"/>
      <c r="BX85" s="401"/>
      <c r="BY85" s="401"/>
      <c r="BZ85" s="401"/>
    </row>
    <row r="86" spans="1:78" s="405" customFormat="1" ht="15" customHeight="1" outlineLevel="1" thickBot="1" x14ac:dyDescent="0.3">
      <c r="A86" s="404"/>
      <c r="B86" s="681"/>
      <c r="C86" s="688"/>
      <c r="D86" s="691"/>
      <c r="E86" s="451" t="s">
        <v>30</v>
      </c>
      <c r="F86" s="451" t="str">
        <f t="shared" ref="F86:M86" si="68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451" t="str">
        <f t="shared" si="68"/>
        <v>-</v>
      </c>
      <c r="H86" s="451" t="str">
        <f t="shared" si="68"/>
        <v>-</v>
      </c>
      <c r="I86" s="451" t="str">
        <f t="shared" si="68"/>
        <v>-</v>
      </c>
      <c r="J86" s="451" t="str">
        <f t="shared" si="68"/>
        <v>-</v>
      </c>
      <c r="K86" s="452" t="str">
        <f t="shared" si="68"/>
        <v>-</v>
      </c>
      <c r="L86" s="452" t="str">
        <f t="shared" si="68"/>
        <v>-</v>
      </c>
      <c r="M86" s="452" t="str">
        <f t="shared" si="68"/>
        <v>-</v>
      </c>
      <c r="N86" s="685"/>
      <c r="O86" s="672"/>
      <c r="P86" s="673"/>
      <c r="Q86" s="673"/>
      <c r="R86" s="673"/>
      <c r="S86" s="672"/>
      <c r="T86" s="673"/>
      <c r="U86" s="673"/>
      <c r="V86" s="674"/>
      <c r="W86" s="512"/>
      <c r="X86" s="512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401"/>
      <c r="AJ86" s="401"/>
      <c r="AK86" s="401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99" t="str">
        <f>IF(COUNTIF(F86:M86,"refused")&gt;0,"refused",IF(COUNTIF(F86:M86,"failed")&gt;0,"failed",IF(COUNTIF(F86:M86,"passed")&gt;0,"passed","-")))</f>
        <v>-</v>
      </c>
      <c r="BD86" s="429" t="str">
        <f>"IEF " &amp; B72</f>
        <v>IEF Drive Mode 2</v>
      </c>
      <c r="BE86" s="435">
        <f t="shared" ref="BE86:BL86" si="69">IF(OR($C74="CET",$C74="-",$C74=""),"-",$C74)</f>
        <v>1</v>
      </c>
      <c r="BF86" s="435">
        <f t="shared" si="69"/>
        <v>1</v>
      </c>
      <c r="BG86" s="435">
        <f t="shared" si="69"/>
        <v>1</v>
      </c>
      <c r="BH86" s="435">
        <f t="shared" si="69"/>
        <v>1</v>
      </c>
      <c r="BI86" s="435">
        <f t="shared" si="69"/>
        <v>1</v>
      </c>
      <c r="BJ86" s="435">
        <f t="shared" si="69"/>
        <v>1</v>
      </c>
      <c r="BK86" s="435">
        <f t="shared" si="69"/>
        <v>1</v>
      </c>
      <c r="BL86" s="435">
        <f t="shared" si="69"/>
        <v>1</v>
      </c>
      <c r="BU86" s="401"/>
      <c r="BV86" s="401"/>
      <c r="BW86" s="401"/>
      <c r="BX86" s="401"/>
      <c r="BY86" s="401"/>
      <c r="BZ86" s="401"/>
    </row>
    <row r="87" spans="1:78" s="405" customFormat="1" ht="15" customHeight="1" outlineLevel="1" x14ac:dyDescent="0.25">
      <c r="A87" s="404"/>
      <c r="B87" s="679" t="str">
        <f>'Variant 2a - Brazil Flex Fuel'!B87:B91</f>
        <v>Drive Mode 5</v>
      </c>
      <c r="C87" s="684" t="s">
        <v>114</v>
      </c>
      <c r="D87" s="684" t="s">
        <v>113</v>
      </c>
      <c r="E87" s="453" t="s">
        <v>94</v>
      </c>
      <c r="F87" s="437" t="s">
        <v>5</v>
      </c>
      <c r="G87" s="437" t="s">
        <v>5</v>
      </c>
      <c r="H87" s="437" t="s">
        <v>5</v>
      </c>
      <c r="I87" s="437" t="s">
        <v>5</v>
      </c>
      <c r="J87" s="437" t="s">
        <v>5</v>
      </c>
      <c r="K87" s="438" t="s">
        <v>5</v>
      </c>
      <c r="L87" s="438" t="s">
        <v>5</v>
      </c>
      <c r="M87" s="438" t="s">
        <v>5</v>
      </c>
      <c r="N87" s="437" t="s">
        <v>5</v>
      </c>
      <c r="O87" s="672"/>
      <c r="P87" s="673"/>
      <c r="Q87" s="673"/>
      <c r="R87" s="673"/>
      <c r="S87" s="672"/>
      <c r="T87" s="673"/>
      <c r="U87" s="673"/>
      <c r="V87" s="674"/>
      <c r="W87" s="512"/>
      <c r="X87" s="512"/>
      <c r="Y87" s="678"/>
      <c r="Z87" s="678"/>
      <c r="AA87" s="678"/>
      <c r="AB87" s="678"/>
      <c r="AC87" s="678"/>
      <c r="AD87" s="678"/>
      <c r="AE87" s="678"/>
      <c r="AF87" s="678"/>
      <c r="AG87" s="678"/>
      <c r="AH87" s="678"/>
      <c r="AI87" s="401"/>
      <c r="AJ87" s="401"/>
      <c r="AK87" s="401"/>
      <c r="AL87" s="401"/>
      <c r="AM87" s="401"/>
      <c r="AN87" s="401"/>
      <c r="AO87" s="401"/>
      <c r="AP87" s="401"/>
      <c r="AQ87" s="401"/>
      <c r="AR87" s="401"/>
      <c r="AS87" s="401"/>
      <c r="AT87" s="401"/>
      <c r="AU87" s="401"/>
      <c r="AV87" s="401"/>
      <c r="AW87" s="401"/>
      <c r="AX87" s="401"/>
      <c r="AY87" s="401"/>
      <c r="AZ87" s="401"/>
      <c r="BA87" s="401"/>
      <c r="BB87" s="401"/>
      <c r="BC87" s="536"/>
      <c r="BD87" s="429" t="str">
        <f>"IEF " &amp; B77</f>
        <v>IEF Drive Mode 3</v>
      </c>
      <c r="BE87" s="435">
        <f t="shared" ref="BE87:BL87" si="70">IF(OR($C79="CET",$C79="-",$C79=""),"-",$C79)</f>
        <v>1</v>
      </c>
      <c r="BF87" s="435">
        <f t="shared" si="70"/>
        <v>1</v>
      </c>
      <c r="BG87" s="435">
        <f t="shared" si="70"/>
        <v>1</v>
      </c>
      <c r="BH87" s="435">
        <f t="shared" si="70"/>
        <v>1</v>
      </c>
      <c r="BI87" s="435">
        <f t="shared" si="70"/>
        <v>1</v>
      </c>
      <c r="BJ87" s="435">
        <f t="shared" si="70"/>
        <v>1</v>
      </c>
      <c r="BK87" s="435">
        <f t="shared" si="70"/>
        <v>1</v>
      </c>
      <c r="BL87" s="435">
        <f t="shared" si="70"/>
        <v>1</v>
      </c>
      <c r="BU87" s="401"/>
      <c r="BV87" s="401"/>
      <c r="BW87" s="401"/>
      <c r="BX87" s="401"/>
      <c r="BY87" s="401"/>
      <c r="BZ87" s="401"/>
    </row>
    <row r="88" spans="1:78" s="405" customFormat="1" ht="15" customHeight="1" outlineLevel="1" thickBot="1" x14ac:dyDescent="0.3">
      <c r="A88" s="454"/>
      <c r="B88" s="680"/>
      <c r="C88" s="702"/>
      <c r="D88" s="685"/>
      <c r="E88" s="440" t="s">
        <v>95</v>
      </c>
      <c r="F88" s="441" t="s">
        <v>5</v>
      </c>
      <c r="G88" s="441" t="s">
        <v>5</v>
      </c>
      <c r="H88" s="441" t="s">
        <v>5</v>
      </c>
      <c r="I88" s="441" t="s">
        <v>5</v>
      </c>
      <c r="J88" s="441" t="s">
        <v>5</v>
      </c>
      <c r="K88" s="442" t="s">
        <v>5</v>
      </c>
      <c r="L88" s="442" t="s">
        <v>5</v>
      </c>
      <c r="M88" s="442" t="s">
        <v>5</v>
      </c>
      <c r="N88" s="441" t="s">
        <v>5</v>
      </c>
      <c r="O88" s="672"/>
      <c r="P88" s="673"/>
      <c r="Q88" s="673"/>
      <c r="R88" s="673"/>
      <c r="S88" s="672"/>
      <c r="T88" s="673"/>
      <c r="U88" s="673"/>
      <c r="V88" s="674"/>
      <c r="W88" s="443"/>
      <c r="X88" s="443"/>
      <c r="Y88" s="678"/>
      <c r="Z88" s="678"/>
      <c r="AA88" s="678"/>
      <c r="AB88" s="678"/>
      <c r="AC88" s="678"/>
      <c r="AD88" s="678"/>
      <c r="AE88" s="678"/>
      <c r="AF88" s="678"/>
      <c r="AG88" s="678"/>
      <c r="AH88" s="678"/>
      <c r="BC88" s="536"/>
      <c r="BD88" s="429" t="str">
        <f>"IEF " &amp; B82</f>
        <v>IEF Drive Mode 4</v>
      </c>
      <c r="BE88" s="435">
        <f t="shared" ref="BE88:BL88" si="71">IF(OR($C84="CET",$C84="-",$C84=""),"-",$C84)</f>
        <v>1</v>
      </c>
      <c r="BF88" s="435">
        <f t="shared" si="71"/>
        <v>1</v>
      </c>
      <c r="BG88" s="435">
        <f t="shared" si="71"/>
        <v>1</v>
      </c>
      <c r="BH88" s="435">
        <f t="shared" si="71"/>
        <v>1</v>
      </c>
      <c r="BI88" s="435">
        <f t="shared" si="71"/>
        <v>1</v>
      </c>
      <c r="BJ88" s="435">
        <f t="shared" si="71"/>
        <v>1</v>
      </c>
      <c r="BK88" s="435">
        <f t="shared" si="71"/>
        <v>1</v>
      </c>
      <c r="BL88" s="435">
        <f t="shared" si="71"/>
        <v>1</v>
      </c>
    </row>
    <row r="89" spans="1:78" s="405" customFormat="1" ht="15" customHeight="1" outlineLevel="1" thickBot="1" x14ac:dyDescent="0.3">
      <c r="A89" s="404"/>
      <c r="B89" s="680"/>
      <c r="C89" s="686">
        <v>1</v>
      </c>
      <c r="D89" s="689" t="str">
        <f>IF(AND(F89="-",G89="-",H89="-",I89="-",J89="-",K89="-",L89="-",M89="-"),"-",MAX(F89,G89,H89,I89,J89,K89,L89,M89))</f>
        <v>-</v>
      </c>
      <c r="E89" s="444" t="s">
        <v>177</v>
      </c>
      <c r="F89" s="445" t="str">
        <f t="shared" ref="F89:M89" si="72">IF(OR(F88="-",F88=""),IF(OR(F87="-",F87=""),"-",F87),IF(OR(F87="-",F87=""),F88,(F87+F88)/2))</f>
        <v>-</v>
      </c>
      <c r="G89" s="445" t="str">
        <f t="shared" si="72"/>
        <v>-</v>
      </c>
      <c r="H89" s="445" t="str">
        <f t="shared" si="72"/>
        <v>-</v>
      </c>
      <c r="I89" s="445" t="str">
        <f t="shared" si="72"/>
        <v>-</v>
      </c>
      <c r="J89" s="445" t="str">
        <f t="shared" si="72"/>
        <v>-</v>
      </c>
      <c r="K89" s="446" t="str">
        <f t="shared" si="72"/>
        <v>-</v>
      </c>
      <c r="L89" s="446" t="str">
        <f t="shared" si="72"/>
        <v>-</v>
      </c>
      <c r="M89" s="446" t="str">
        <f t="shared" si="72"/>
        <v>-</v>
      </c>
      <c r="N89" s="828"/>
      <c r="O89" s="672"/>
      <c r="P89" s="673"/>
      <c r="Q89" s="673"/>
      <c r="R89" s="673"/>
      <c r="S89" s="672"/>
      <c r="T89" s="673"/>
      <c r="U89" s="673"/>
      <c r="V89" s="674"/>
      <c r="W89" s="512"/>
      <c r="X89" s="512"/>
      <c r="Y89" s="678"/>
      <c r="Z89" s="678"/>
      <c r="AA89" s="678"/>
      <c r="AB89" s="678"/>
      <c r="AC89" s="678"/>
      <c r="AD89" s="678"/>
      <c r="AE89" s="678"/>
      <c r="AF89" s="678"/>
      <c r="AG89" s="678"/>
      <c r="AH89" s="678"/>
      <c r="AI89" s="401"/>
      <c r="AJ89" s="401"/>
      <c r="AK89" s="401"/>
      <c r="AL89" s="401"/>
      <c r="AM89" s="401"/>
      <c r="AN89" s="401"/>
      <c r="AO89" s="401"/>
      <c r="AP89" s="401"/>
      <c r="AQ89" s="401"/>
      <c r="AR89" s="401"/>
      <c r="AS89" s="401"/>
      <c r="AT89" s="401"/>
      <c r="AU89" s="401"/>
      <c r="AV89" s="401"/>
      <c r="AW89" s="401"/>
      <c r="AX89" s="401"/>
      <c r="AY89" s="401"/>
      <c r="AZ89" s="401"/>
      <c r="BA89" s="401"/>
      <c r="BB89" s="401"/>
      <c r="BC89" s="536"/>
      <c r="BD89" s="429" t="str">
        <f>"IEF " &amp; B87</f>
        <v>IEF Drive Mode 5</v>
      </c>
      <c r="BE89" s="435">
        <f t="shared" ref="BE89:BL89" si="73">IF(OR($C89="CET",$C89="-",$C89=""),"-",$C89)</f>
        <v>1</v>
      </c>
      <c r="BF89" s="435">
        <f t="shared" si="73"/>
        <v>1</v>
      </c>
      <c r="BG89" s="435">
        <f t="shared" si="73"/>
        <v>1</v>
      </c>
      <c r="BH89" s="435">
        <f t="shared" si="73"/>
        <v>1</v>
      </c>
      <c r="BI89" s="435">
        <f t="shared" si="73"/>
        <v>1</v>
      </c>
      <c r="BJ89" s="435">
        <f t="shared" si="73"/>
        <v>1</v>
      </c>
      <c r="BK89" s="435">
        <f t="shared" si="73"/>
        <v>1</v>
      </c>
      <c r="BL89" s="435">
        <f t="shared" si="73"/>
        <v>1</v>
      </c>
      <c r="BU89" s="401"/>
      <c r="BV89" s="401"/>
      <c r="BW89" s="401"/>
      <c r="BX89" s="401"/>
      <c r="BY89" s="401"/>
      <c r="BZ89" s="401"/>
    </row>
    <row r="90" spans="1:78" s="405" customFormat="1" ht="15" customHeight="1" outlineLevel="1" thickBot="1" x14ac:dyDescent="0.3">
      <c r="A90" s="404"/>
      <c r="B90" s="680"/>
      <c r="C90" s="687"/>
      <c r="D90" s="690"/>
      <c r="E90" s="447" t="s">
        <v>97</v>
      </c>
      <c r="F90" s="448" t="e">
        <f t="shared" ref="F90:M90" si="74">IF(OR($C89="-",$C89="CET",$C89=""),"-",IF(AND(NOT(F89="-"),NOT(F$5="-"),NOT(F$5="")),F89/F$5,"-"))</f>
        <v>#N/A</v>
      </c>
      <c r="G90" s="448" t="e">
        <f t="shared" si="74"/>
        <v>#N/A</v>
      </c>
      <c r="H90" s="448" t="e">
        <f t="shared" si="74"/>
        <v>#N/A</v>
      </c>
      <c r="I90" s="448" t="e">
        <f t="shared" si="74"/>
        <v>#N/A</v>
      </c>
      <c r="J90" s="448" t="e">
        <f t="shared" si="74"/>
        <v>#N/A</v>
      </c>
      <c r="K90" s="449" t="e">
        <f t="shared" si="74"/>
        <v>#N/A</v>
      </c>
      <c r="L90" s="449" t="e">
        <f t="shared" si="74"/>
        <v>#N/A</v>
      </c>
      <c r="M90" s="449" t="e">
        <f t="shared" si="74"/>
        <v>#N/A</v>
      </c>
      <c r="N90" s="702"/>
      <c r="O90" s="672"/>
      <c r="P90" s="673"/>
      <c r="Q90" s="673"/>
      <c r="R90" s="673"/>
      <c r="S90" s="672"/>
      <c r="T90" s="673"/>
      <c r="U90" s="673"/>
      <c r="V90" s="674"/>
      <c r="W90" s="512"/>
      <c r="X90" s="512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401"/>
      <c r="AJ90" s="401"/>
      <c r="AK90" s="401"/>
      <c r="AL90" s="401"/>
      <c r="AM90" s="401"/>
      <c r="AN90" s="401"/>
      <c r="AO90" s="401"/>
      <c r="AP90" s="401"/>
      <c r="AQ90" s="401"/>
      <c r="AR90" s="401"/>
      <c r="AS90" s="401"/>
      <c r="AT90" s="401"/>
      <c r="AU90" s="401"/>
      <c r="AV90" s="401"/>
      <c r="AW90" s="401"/>
      <c r="AX90" s="401"/>
      <c r="AY90" s="401"/>
      <c r="AZ90" s="401"/>
      <c r="BA90" s="401"/>
      <c r="BB90" s="401"/>
      <c r="BC90" s="536"/>
      <c r="BD90" s="429" t="str">
        <f>"IEF " &amp; B92</f>
        <v>IEF Drive Mode 6</v>
      </c>
      <c r="BE90" s="435">
        <f t="shared" ref="BE90:BL90" si="75">IF(OR($C94="CET",$C94="-",$C94=""),"-",$C94)</f>
        <v>1</v>
      </c>
      <c r="BF90" s="435">
        <f t="shared" si="75"/>
        <v>1</v>
      </c>
      <c r="BG90" s="435">
        <f t="shared" si="75"/>
        <v>1</v>
      </c>
      <c r="BH90" s="435">
        <f t="shared" si="75"/>
        <v>1</v>
      </c>
      <c r="BI90" s="435">
        <f t="shared" si="75"/>
        <v>1</v>
      </c>
      <c r="BJ90" s="435">
        <f t="shared" si="75"/>
        <v>1</v>
      </c>
      <c r="BK90" s="435">
        <f t="shared" si="75"/>
        <v>1</v>
      </c>
      <c r="BL90" s="435">
        <f t="shared" si="75"/>
        <v>1</v>
      </c>
      <c r="BU90" s="401"/>
      <c r="BV90" s="401"/>
      <c r="BW90" s="401"/>
      <c r="BX90" s="401"/>
      <c r="BY90" s="401"/>
      <c r="BZ90" s="401"/>
    </row>
    <row r="91" spans="1:78" s="405" customFormat="1" ht="15" customHeight="1" outlineLevel="1" thickBot="1" x14ac:dyDescent="0.3">
      <c r="A91" s="404"/>
      <c r="B91" s="681"/>
      <c r="C91" s="688"/>
      <c r="D91" s="691"/>
      <c r="E91" s="451" t="s">
        <v>30</v>
      </c>
      <c r="F91" s="451" t="str">
        <f t="shared" ref="F91:M91" si="76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451" t="str">
        <f t="shared" si="76"/>
        <v>-</v>
      </c>
      <c r="H91" s="451" t="str">
        <f t="shared" si="76"/>
        <v>-</v>
      </c>
      <c r="I91" s="451" t="str">
        <f t="shared" si="76"/>
        <v>-</v>
      </c>
      <c r="J91" s="451" t="str">
        <f t="shared" si="76"/>
        <v>-</v>
      </c>
      <c r="K91" s="452" t="str">
        <f t="shared" si="76"/>
        <v>-</v>
      </c>
      <c r="L91" s="452" t="str">
        <f t="shared" si="76"/>
        <v>-</v>
      </c>
      <c r="M91" s="452" t="str">
        <f t="shared" si="76"/>
        <v>-</v>
      </c>
      <c r="N91" s="685"/>
      <c r="O91" s="672"/>
      <c r="P91" s="673"/>
      <c r="Q91" s="673"/>
      <c r="R91" s="673"/>
      <c r="S91" s="672"/>
      <c r="T91" s="673"/>
      <c r="U91" s="673"/>
      <c r="V91" s="674"/>
      <c r="W91" s="512"/>
      <c r="X91" s="512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401"/>
      <c r="AJ91" s="401"/>
      <c r="AK91" s="401"/>
      <c r="AL91" s="401"/>
      <c r="AM91" s="401"/>
      <c r="AN91" s="401"/>
      <c r="AO91" s="401"/>
      <c r="AP91" s="401"/>
      <c r="AQ91" s="401"/>
      <c r="AR91" s="401"/>
      <c r="AS91" s="401"/>
      <c r="AT91" s="401"/>
      <c r="AU91" s="401"/>
      <c r="AV91" s="401"/>
      <c r="AW91" s="401"/>
      <c r="AX91" s="401"/>
      <c r="AY91" s="401"/>
      <c r="AZ91" s="401"/>
      <c r="BA91" s="401"/>
      <c r="BB91" s="401"/>
      <c r="BC91" s="399" t="str">
        <f>IF(COUNTIF(F91:M91,"refused")&gt;0,"refused",IF(COUNTIF(F91:M91,"failed")&gt;0,"failed",IF(COUNTIF(F91:M91,"passed")&gt;0,"passed","-")))</f>
        <v>-</v>
      </c>
      <c r="BU91" s="401"/>
      <c r="BV91" s="401"/>
      <c r="BW91" s="401"/>
      <c r="BX91" s="401"/>
      <c r="BY91" s="401"/>
      <c r="BZ91" s="401"/>
    </row>
    <row r="92" spans="1:78" s="405" customFormat="1" ht="15" customHeight="1" outlineLevel="1" x14ac:dyDescent="0.25">
      <c r="A92" s="404"/>
      <c r="B92" s="679" t="str">
        <f>'Variant 2a - Brazil Flex Fuel'!B92:B96</f>
        <v>Drive Mode 6</v>
      </c>
      <c r="C92" s="713" t="s">
        <v>114</v>
      </c>
      <c r="D92" s="684" t="s">
        <v>113</v>
      </c>
      <c r="E92" s="453" t="s">
        <v>94</v>
      </c>
      <c r="F92" s="437" t="s">
        <v>5</v>
      </c>
      <c r="G92" s="437" t="s">
        <v>5</v>
      </c>
      <c r="H92" s="437" t="s">
        <v>5</v>
      </c>
      <c r="I92" s="437" t="s">
        <v>5</v>
      </c>
      <c r="J92" s="437" t="s">
        <v>5</v>
      </c>
      <c r="K92" s="438" t="s">
        <v>5</v>
      </c>
      <c r="L92" s="438" t="s">
        <v>5</v>
      </c>
      <c r="M92" s="438" t="s">
        <v>5</v>
      </c>
      <c r="N92" s="437" t="s">
        <v>5</v>
      </c>
      <c r="O92" s="672"/>
      <c r="P92" s="673"/>
      <c r="Q92" s="673"/>
      <c r="R92" s="673"/>
      <c r="S92" s="672"/>
      <c r="T92" s="673"/>
      <c r="U92" s="673"/>
      <c r="V92" s="674"/>
      <c r="W92" s="512"/>
      <c r="X92" s="512"/>
      <c r="Y92" s="678"/>
      <c r="Z92" s="678"/>
      <c r="AA92" s="678"/>
      <c r="AB92" s="678"/>
      <c r="AC92" s="678"/>
      <c r="AD92" s="678"/>
      <c r="AE92" s="678"/>
      <c r="AF92" s="678"/>
      <c r="AG92" s="678"/>
      <c r="AH92" s="678"/>
      <c r="AI92" s="401"/>
      <c r="AJ92" s="401"/>
      <c r="AK92" s="401"/>
      <c r="AL92" s="401"/>
      <c r="AM92" s="401"/>
      <c r="AN92" s="401"/>
      <c r="AO92" s="401"/>
      <c r="AP92" s="401"/>
      <c r="AQ92" s="401"/>
      <c r="AR92" s="401"/>
      <c r="AS92" s="401"/>
      <c r="AT92" s="401"/>
      <c r="AU92" s="401"/>
      <c r="AV92" s="401"/>
      <c r="AW92" s="401"/>
      <c r="AX92" s="401"/>
      <c r="AY92" s="401"/>
      <c r="AZ92" s="401"/>
      <c r="BA92" s="401"/>
      <c r="BB92" s="401"/>
      <c r="BC92" s="536"/>
      <c r="BD92" s="459"/>
      <c r="BE92" s="459"/>
      <c r="BF92" s="459"/>
      <c r="BG92" s="459"/>
      <c r="BH92" s="459"/>
      <c r="BI92" s="459"/>
      <c r="BJ92" s="459"/>
      <c r="BK92" s="459"/>
      <c r="BL92" s="459"/>
      <c r="BU92" s="401"/>
      <c r="BV92" s="401"/>
      <c r="BW92" s="401"/>
      <c r="BX92" s="401"/>
      <c r="BY92" s="401"/>
      <c r="BZ92" s="401"/>
    </row>
    <row r="93" spans="1:78" s="405" customFormat="1" ht="15" customHeight="1" outlineLevel="1" thickBot="1" x14ac:dyDescent="0.3">
      <c r="A93" s="454"/>
      <c r="B93" s="680"/>
      <c r="C93" s="714"/>
      <c r="D93" s="685"/>
      <c r="E93" s="440" t="s">
        <v>95</v>
      </c>
      <c r="F93" s="441" t="s">
        <v>5</v>
      </c>
      <c r="G93" s="441" t="s">
        <v>5</v>
      </c>
      <c r="H93" s="441" t="s">
        <v>5</v>
      </c>
      <c r="I93" s="441" t="s">
        <v>5</v>
      </c>
      <c r="J93" s="441" t="s">
        <v>5</v>
      </c>
      <c r="K93" s="442" t="s">
        <v>5</v>
      </c>
      <c r="L93" s="442" t="s">
        <v>5</v>
      </c>
      <c r="M93" s="442" t="s">
        <v>5</v>
      </c>
      <c r="N93" s="441" t="s">
        <v>5</v>
      </c>
      <c r="O93" s="672"/>
      <c r="P93" s="673"/>
      <c r="Q93" s="673"/>
      <c r="R93" s="673"/>
      <c r="S93" s="672"/>
      <c r="T93" s="673"/>
      <c r="U93" s="673"/>
      <c r="V93" s="674"/>
      <c r="W93" s="443"/>
      <c r="X93" s="443"/>
      <c r="Y93" s="678"/>
      <c r="Z93" s="678"/>
      <c r="AA93" s="678"/>
      <c r="AB93" s="678"/>
      <c r="AC93" s="678"/>
      <c r="AD93" s="678"/>
      <c r="AE93" s="678"/>
      <c r="AF93" s="678"/>
      <c r="AG93" s="678"/>
      <c r="AH93" s="678"/>
      <c r="BC93" s="536"/>
      <c r="BD93" s="459"/>
      <c r="BE93" s="459"/>
      <c r="BF93" s="459"/>
      <c r="BG93" s="459"/>
      <c r="BH93" s="459"/>
      <c r="BI93" s="459"/>
      <c r="BJ93" s="459"/>
      <c r="BK93" s="459"/>
      <c r="BL93" s="459"/>
    </row>
    <row r="94" spans="1:78" s="405" customFormat="1" ht="15" customHeight="1" outlineLevel="1" thickBot="1" x14ac:dyDescent="0.3">
      <c r="A94" s="404"/>
      <c r="B94" s="680"/>
      <c r="C94" s="715">
        <v>1</v>
      </c>
      <c r="D94" s="689" t="str">
        <f>IF(AND(F94="-",G94="-",H94="-",I94="-",J94="-",K94="-",L94="-",M94="-"),"-",MAX(F94,G94,H94,I94,J94,K94,L94,M94))</f>
        <v>-</v>
      </c>
      <c r="E94" s="444" t="s">
        <v>177</v>
      </c>
      <c r="F94" s="445" t="str">
        <f t="shared" ref="F94:M94" si="77">IF(OR(F93="-",F93=""),IF(OR(F92="-",F92=""),"-",F92),IF(OR(F92="-",F92=""),F93,(F92+F93)/2))</f>
        <v>-</v>
      </c>
      <c r="G94" s="445" t="str">
        <f t="shared" si="77"/>
        <v>-</v>
      </c>
      <c r="H94" s="445" t="str">
        <f t="shared" si="77"/>
        <v>-</v>
      </c>
      <c r="I94" s="445" t="str">
        <f t="shared" si="77"/>
        <v>-</v>
      </c>
      <c r="J94" s="445" t="str">
        <f t="shared" si="77"/>
        <v>-</v>
      </c>
      <c r="K94" s="446" t="str">
        <f t="shared" si="77"/>
        <v>-</v>
      </c>
      <c r="L94" s="446" t="str">
        <f t="shared" si="77"/>
        <v>-</v>
      </c>
      <c r="M94" s="446" t="str">
        <f t="shared" si="77"/>
        <v>-</v>
      </c>
      <c r="N94" s="828"/>
      <c r="O94" s="672"/>
      <c r="P94" s="673"/>
      <c r="Q94" s="673"/>
      <c r="R94" s="673"/>
      <c r="S94" s="672"/>
      <c r="T94" s="673"/>
      <c r="U94" s="673"/>
      <c r="V94" s="674"/>
      <c r="W94" s="512"/>
      <c r="X94" s="512"/>
      <c r="Y94" s="678"/>
      <c r="Z94" s="678"/>
      <c r="AA94" s="678"/>
      <c r="AB94" s="678"/>
      <c r="AC94" s="678"/>
      <c r="AD94" s="678"/>
      <c r="AE94" s="678"/>
      <c r="AF94" s="678"/>
      <c r="AG94" s="678"/>
      <c r="AH94" s="678"/>
      <c r="AI94" s="401"/>
      <c r="AJ94" s="401"/>
      <c r="AK94" s="401"/>
      <c r="AL94" s="401"/>
      <c r="AM94" s="401"/>
      <c r="AN94" s="401"/>
      <c r="AO94" s="401"/>
      <c r="AP94" s="401"/>
      <c r="AQ94" s="401"/>
      <c r="AR94" s="401"/>
      <c r="AS94" s="401"/>
      <c r="AT94" s="401"/>
      <c r="AU94" s="401"/>
      <c r="AV94" s="401"/>
      <c r="AW94" s="401"/>
      <c r="AX94" s="401"/>
      <c r="AY94" s="401"/>
      <c r="AZ94" s="401"/>
      <c r="BA94" s="401"/>
      <c r="BB94" s="401"/>
      <c r="BC94" s="536"/>
      <c r="BD94" s="460"/>
      <c r="BE94" s="460"/>
      <c r="BF94" s="460"/>
      <c r="BG94" s="460"/>
      <c r="BH94" s="460"/>
      <c r="BI94" s="460"/>
      <c r="BJ94" s="460"/>
      <c r="BK94" s="460"/>
      <c r="BL94" s="460"/>
      <c r="BU94" s="401"/>
      <c r="BV94" s="401"/>
      <c r="BW94" s="401"/>
      <c r="BX94" s="401"/>
      <c r="BY94" s="401"/>
      <c r="BZ94" s="401"/>
    </row>
    <row r="95" spans="1:78" s="405" customFormat="1" ht="15" customHeight="1" outlineLevel="1" thickBot="1" x14ac:dyDescent="0.3">
      <c r="A95" s="404"/>
      <c r="B95" s="680"/>
      <c r="C95" s="716"/>
      <c r="D95" s="690"/>
      <c r="E95" s="447" t="s">
        <v>97</v>
      </c>
      <c r="F95" s="448" t="e">
        <f t="shared" ref="F95:M95" si="78">IF(OR($C94="-",$C94="CET",$C94=""),"-",IF(AND(NOT(F94="-"),NOT(F$5="-"),NOT(F$5="")),F94/F$5,"-"))</f>
        <v>#N/A</v>
      </c>
      <c r="G95" s="448" t="e">
        <f t="shared" si="78"/>
        <v>#N/A</v>
      </c>
      <c r="H95" s="448" t="e">
        <f t="shared" si="78"/>
        <v>#N/A</v>
      </c>
      <c r="I95" s="448" t="e">
        <f t="shared" si="78"/>
        <v>#N/A</v>
      </c>
      <c r="J95" s="448" t="e">
        <f t="shared" si="78"/>
        <v>#N/A</v>
      </c>
      <c r="K95" s="449" t="e">
        <f t="shared" si="78"/>
        <v>#N/A</v>
      </c>
      <c r="L95" s="449" t="e">
        <f t="shared" si="78"/>
        <v>#N/A</v>
      </c>
      <c r="M95" s="449" t="e">
        <f t="shared" si="78"/>
        <v>#N/A</v>
      </c>
      <c r="N95" s="702"/>
      <c r="O95" s="672"/>
      <c r="P95" s="673"/>
      <c r="Q95" s="673"/>
      <c r="R95" s="673"/>
      <c r="S95" s="672"/>
      <c r="T95" s="673"/>
      <c r="U95" s="673"/>
      <c r="V95" s="674"/>
      <c r="W95" s="512"/>
      <c r="X95" s="512"/>
      <c r="Y95" s="678"/>
      <c r="Z95" s="678"/>
      <c r="AA95" s="678"/>
      <c r="AB95" s="678"/>
      <c r="AC95" s="678"/>
      <c r="AD95" s="678"/>
      <c r="AE95" s="678"/>
      <c r="AF95" s="678"/>
      <c r="AG95" s="678"/>
      <c r="AH95" s="678"/>
      <c r="AI95" s="401"/>
      <c r="AJ95" s="401"/>
      <c r="AK95" s="401"/>
      <c r="AL95" s="401"/>
      <c r="AM95" s="401"/>
      <c r="AN95" s="401"/>
      <c r="AO95" s="401"/>
      <c r="AP95" s="401"/>
      <c r="AQ95" s="401"/>
      <c r="AR95" s="401"/>
      <c r="AS95" s="401"/>
      <c r="AT95" s="401"/>
      <c r="AU95" s="401"/>
      <c r="AV95" s="401"/>
      <c r="AW95" s="401"/>
      <c r="AX95" s="401"/>
      <c r="AY95" s="401"/>
      <c r="AZ95" s="401"/>
      <c r="BA95" s="401"/>
      <c r="BB95" s="401"/>
      <c r="BC95" s="536"/>
      <c r="BD95" s="460"/>
      <c r="BE95" s="460"/>
      <c r="BF95" s="460"/>
      <c r="BG95" s="460"/>
      <c r="BH95" s="460"/>
      <c r="BI95" s="460"/>
      <c r="BJ95" s="460"/>
      <c r="BK95" s="460"/>
      <c r="BL95" s="460"/>
      <c r="BU95" s="401"/>
      <c r="BV95" s="401"/>
      <c r="BW95" s="401"/>
      <c r="BX95" s="401"/>
      <c r="BY95" s="401"/>
      <c r="BZ95" s="401"/>
    </row>
    <row r="96" spans="1:78" s="405" customFormat="1" ht="15.75" outlineLevel="1" thickBot="1" x14ac:dyDescent="0.3">
      <c r="A96" s="401"/>
      <c r="B96" s="681"/>
      <c r="C96" s="717"/>
      <c r="D96" s="691"/>
      <c r="E96" s="451" t="s">
        <v>30</v>
      </c>
      <c r="F96" s="451" t="str">
        <f t="shared" ref="F96:M96" si="79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451" t="str">
        <f t="shared" si="79"/>
        <v>-</v>
      </c>
      <c r="H96" s="451" t="str">
        <f t="shared" si="79"/>
        <v>-</v>
      </c>
      <c r="I96" s="451" t="str">
        <f t="shared" si="79"/>
        <v>-</v>
      </c>
      <c r="J96" s="451" t="str">
        <f t="shared" si="79"/>
        <v>-</v>
      </c>
      <c r="K96" s="452" t="str">
        <f t="shared" si="79"/>
        <v>-</v>
      </c>
      <c r="L96" s="452" t="str">
        <f t="shared" si="79"/>
        <v>-</v>
      </c>
      <c r="M96" s="452" t="str">
        <f t="shared" si="79"/>
        <v>-</v>
      </c>
      <c r="N96" s="685"/>
      <c r="O96" s="675"/>
      <c r="P96" s="676"/>
      <c r="Q96" s="676"/>
      <c r="R96" s="676"/>
      <c r="S96" s="675"/>
      <c r="T96" s="676"/>
      <c r="U96" s="676"/>
      <c r="V96" s="677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  <c r="AI96" s="401"/>
      <c r="AJ96" s="401"/>
      <c r="AK96" s="401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399" t="str">
        <f>IF(COUNTIF(F96:M96,"refused")&gt;0,"refused",IF(COUNTIF(F96:M96,"failed")&gt;0,"failed",IF(COUNTIF(F96:M96,"passed")&gt;0,"passed","-")))</f>
        <v>-</v>
      </c>
      <c r="BD96" s="460"/>
      <c r="BE96" s="460"/>
      <c r="BF96" s="460"/>
      <c r="BG96" s="460"/>
      <c r="BH96" s="460"/>
      <c r="BI96" s="460"/>
      <c r="BJ96" s="460"/>
      <c r="BK96" s="460"/>
      <c r="BL96" s="460"/>
      <c r="BU96" s="401"/>
      <c r="BV96" s="401"/>
      <c r="BW96" s="401"/>
      <c r="BX96" s="401"/>
      <c r="BY96" s="401"/>
      <c r="BZ96" s="401"/>
    </row>
    <row r="97" spans="1:78" s="405" customFormat="1" ht="15" customHeight="1" x14ac:dyDescent="0.25">
      <c r="A97" s="401"/>
      <c r="B97" s="401"/>
      <c r="C97" s="401"/>
      <c r="D97" s="401"/>
      <c r="E97" s="401"/>
      <c r="F97" s="401"/>
      <c r="G97" s="401"/>
      <c r="H97" s="401"/>
      <c r="I97" s="401"/>
      <c r="J97" s="401"/>
      <c r="K97" s="458"/>
      <c r="L97" s="458"/>
      <c r="M97" s="458"/>
      <c r="N97" s="401"/>
      <c r="O97" s="401"/>
      <c r="P97" s="401"/>
      <c r="Q97" s="401"/>
      <c r="R97" s="401"/>
      <c r="S97" s="401"/>
      <c r="T97" s="401"/>
      <c r="U97" s="401"/>
      <c r="V97" s="401"/>
      <c r="W97" s="401"/>
      <c r="X97" s="401"/>
      <c r="Y97" s="401"/>
      <c r="Z97" s="401"/>
      <c r="AA97" s="401"/>
      <c r="AB97" s="401"/>
      <c r="AC97" s="401"/>
      <c r="AD97" s="401"/>
      <c r="AE97" s="401"/>
      <c r="AF97" s="401"/>
      <c r="AG97" s="401"/>
      <c r="AH97" s="401"/>
      <c r="AI97" s="401"/>
      <c r="AJ97" s="401"/>
      <c r="AK97" s="401"/>
      <c r="AL97" s="401"/>
      <c r="AM97" s="401"/>
      <c r="AN97" s="401"/>
      <c r="AO97" s="401"/>
      <c r="AP97" s="401"/>
      <c r="AQ97" s="401"/>
      <c r="AR97" s="401"/>
      <c r="AS97" s="401"/>
      <c r="AT97" s="401"/>
      <c r="AU97" s="401"/>
      <c r="AV97" s="401"/>
      <c r="AW97" s="401"/>
      <c r="AX97" s="401"/>
      <c r="AY97" s="401"/>
      <c r="AZ97" s="401"/>
      <c r="BA97" s="401"/>
      <c r="BB97" s="401"/>
      <c r="BC97" s="401"/>
      <c r="BD97" s="459"/>
      <c r="BE97" s="459"/>
      <c r="BF97" s="459"/>
      <c r="BG97" s="459"/>
      <c r="BH97" s="459"/>
      <c r="BI97" s="459"/>
      <c r="BJ97" s="459"/>
      <c r="BK97" s="459"/>
      <c r="BL97" s="459"/>
      <c r="BU97" s="401"/>
      <c r="BV97" s="401"/>
      <c r="BW97" s="401"/>
      <c r="BX97" s="401"/>
      <c r="BY97" s="401"/>
      <c r="BZ97" s="401"/>
    </row>
    <row r="98" spans="1:78" s="405" customFormat="1" ht="15" customHeight="1" x14ac:dyDescent="0.25">
      <c r="A98" s="401"/>
      <c r="B98" s="401"/>
      <c r="C98" s="401"/>
      <c r="D98" s="401"/>
      <c r="E98" s="401"/>
      <c r="F98" s="401"/>
      <c r="G98" s="401"/>
      <c r="H98" s="401"/>
      <c r="I98" s="401"/>
      <c r="J98" s="401"/>
      <c r="K98" s="458"/>
      <c r="L98" s="458"/>
      <c r="M98" s="458"/>
      <c r="N98" s="401"/>
      <c r="O98" s="401"/>
      <c r="P98" s="401"/>
      <c r="Q98" s="401"/>
      <c r="R98" s="401"/>
      <c r="S98" s="401"/>
      <c r="T98" s="401"/>
      <c r="U98" s="401"/>
      <c r="V98" s="401"/>
      <c r="W98" s="401"/>
      <c r="X98" s="401"/>
      <c r="Y98" s="401"/>
      <c r="Z98" s="401"/>
      <c r="AA98" s="401"/>
      <c r="AB98" s="401"/>
      <c r="AC98" s="401"/>
      <c r="AD98" s="401"/>
      <c r="AE98" s="401"/>
      <c r="AF98" s="401"/>
      <c r="AG98" s="401"/>
      <c r="AH98" s="401"/>
      <c r="AI98" s="401"/>
      <c r="AJ98" s="401"/>
      <c r="AK98" s="401"/>
      <c r="AL98" s="401"/>
      <c r="AM98" s="401"/>
      <c r="AN98" s="401"/>
      <c r="AO98" s="401"/>
      <c r="AP98" s="401"/>
      <c r="AQ98" s="401"/>
      <c r="AR98" s="401"/>
      <c r="AS98" s="401"/>
      <c r="AT98" s="401"/>
      <c r="AU98" s="401"/>
      <c r="AV98" s="401"/>
      <c r="AW98" s="401"/>
      <c r="AX98" s="401"/>
      <c r="AY98" s="401"/>
      <c r="AZ98" s="401"/>
      <c r="BA98" s="401"/>
      <c r="BB98" s="401"/>
      <c r="BC98" s="401"/>
      <c r="BD98" s="459"/>
      <c r="BE98" s="459"/>
      <c r="BF98" s="459"/>
      <c r="BG98" s="459"/>
      <c r="BH98" s="459"/>
      <c r="BI98" s="459"/>
      <c r="BJ98" s="459"/>
      <c r="BK98" s="459"/>
      <c r="BL98" s="459"/>
      <c r="BU98" s="401"/>
      <c r="BV98" s="401"/>
      <c r="BW98" s="401"/>
      <c r="BX98" s="401"/>
      <c r="BY98" s="401"/>
      <c r="BZ98" s="401"/>
    </row>
    <row r="99" spans="1:78" s="405" customFormat="1" ht="15" customHeight="1" thickBot="1" x14ac:dyDescent="0.3">
      <c r="A99" s="396"/>
      <c r="B99" s="401"/>
      <c r="C99" s="401"/>
      <c r="D99" s="401"/>
      <c r="E99" s="401"/>
      <c r="F99" s="401"/>
      <c r="G99" s="401"/>
      <c r="H99" s="401"/>
      <c r="I99" s="401"/>
      <c r="J99" s="401"/>
      <c r="K99" s="458"/>
      <c r="L99" s="458"/>
      <c r="M99" s="458"/>
      <c r="N99" s="401"/>
      <c r="O99" s="401"/>
      <c r="P99" s="401"/>
      <c r="Q99" s="401"/>
      <c r="R99" s="401"/>
      <c r="S99" s="401"/>
      <c r="T99" s="401"/>
      <c r="U99" s="401"/>
      <c r="V99" s="401"/>
      <c r="W99" s="414"/>
      <c r="X99" s="414"/>
      <c r="Y99" s="414"/>
      <c r="Z99" s="414"/>
      <c r="AA99" s="414"/>
      <c r="AB99" s="414"/>
      <c r="AC99" s="414"/>
      <c r="AD99" s="414"/>
      <c r="AE99" s="414"/>
      <c r="AF99" s="414"/>
      <c r="AG99" s="414"/>
      <c r="AH99" s="414"/>
      <c r="AI99" s="401"/>
      <c r="AJ99" s="401"/>
      <c r="AK99" s="401"/>
      <c r="AL99" s="401"/>
      <c r="AM99" s="401"/>
      <c r="AN99" s="401"/>
      <c r="AO99" s="401"/>
      <c r="AP99" s="401"/>
      <c r="AQ99" s="401"/>
      <c r="AR99" s="401"/>
      <c r="AS99" s="401"/>
      <c r="AT99" s="401"/>
      <c r="AU99" s="401"/>
      <c r="AV99" s="401"/>
      <c r="AW99" s="401"/>
      <c r="AX99" s="401"/>
      <c r="AY99" s="401"/>
      <c r="AZ99" s="401"/>
      <c r="BA99" s="401"/>
      <c r="BB99" s="401"/>
      <c r="BC99" s="401"/>
      <c r="BD99" s="459"/>
      <c r="BE99" s="459"/>
      <c r="BF99" s="459"/>
      <c r="BG99" s="459"/>
      <c r="BH99" s="459"/>
      <c r="BI99" s="459"/>
      <c r="BJ99" s="459"/>
      <c r="BK99" s="459"/>
      <c r="BL99" s="459"/>
      <c r="BU99" s="401"/>
      <c r="BV99" s="401"/>
      <c r="BW99" s="401"/>
      <c r="BX99" s="401"/>
      <c r="BY99" s="401"/>
      <c r="BZ99" s="401"/>
    </row>
    <row r="100" spans="1:78" s="405" customFormat="1" ht="24.95" customHeight="1" thickBot="1" x14ac:dyDescent="0.3">
      <c r="A100" s="396"/>
      <c r="B100" s="415">
        <v>4</v>
      </c>
      <c r="C100" s="706" t="s">
        <v>131</v>
      </c>
      <c r="D100" s="707"/>
      <c r="E100" s="707"/>
      <c r="F100" s="707"/>
      <c r="G100" s="707"/>
      <c r="H100" s="707"/>
      <c r="I100" s="707"/>
      <c r="J100" s="707"/>
      <c r="K100" s="707"/>
      <c r="L100" s="707"/>
      <c r="M100" s="707"/>
      <c r="N100" s="708"/>
      <c r="O100" s="416" t="s">
        <v>117</v>
      </c>
      <c r="P100" s="398" t="str">
        <f>IF(COUNTIF(F108:M115,"refused")&gt;0,"refused",IF(COUNTIF(F108:M115,"failed")&gt;0,"failed",IF(COUNTIF(F108:M115,"passed")&gt;0,"passed","-")))</f>
        <v>-</v>
      </c>
      <c r="Q100" s="399" t="s">
        <v>80</v>
      </c>
      <c r="R100" s="399" t="str">
        <f>IF(COUNT(F105:M106,F111:M112)&gt;0,"listed","not listed")</f>
        <v>not listed</v>
      </c>
      <c r="S100" s="511"/>
      <c r="T100" s="418"/>
      <c r="U100" s="418"/>
      <c r="V100" s="419"/>
      <c r="W100" s="414"/>
      <c r="X100" s="414"/>
      <c r="Y100" s="414"/>
      <c r="Z100" s="414"/>
      <c r="AA100" s="414"/>
      <c r="AB100" s="414"/>
      <c r="AC100" s="414"/>
      <c r="AD100" s="414"/>
      <c r="AE100" s="414"/>
      <c r="AF100" s="414"/>
      <c r="AG100" s="414"/>
      <c r="AH100" s="414"/>
      <c r="AI100" s="401"/>
      <c r="AJ100" s="401"/>
      <c r="AK100" s="401"/>
      <c r="AL100" s="401"/>
      <c r="AM100" s="401"/>
      <c r="AN100" s="401"/>
      <c r="AO100" s="401"/>
      <c r="AP100" s="401"/>
      <c r="AQ100" s="401"/>
      <c r="AR100" s="401"/>
      <c r="AS100" s="401"/>
      <c r="AT100" s="401"/>
      <c r="AU100" s="401"/>
      <c r="AV100" s="401"/>
      <c r="AW100" s="401"/>
      <c r="AX100" s="401"/>
      <c r="AY100" s="401"/>
      <c r="AZ100" s="401"/>
      <c r="BA100" s="401"/>
      <c r="BB100" s="401"/>
      <c r="BC100" s="401"/>
      <c r="BU100" s="401"/>
      <c r="BV100" s="401"/>
      <c r="BW100" s="401"/>
      <c r="BX100" s="401"/>
      <c r="BY100" s="401"/>
      <c r="BZ100" s="401"/>
    </row>
    <row r="101" spans="1:78" s="405" customFormat="1" ht="15" customHeight="1" outlineLevel="1" thickBot="1" x14ac:dyDescent="0.3">
      <c r="A101" s="396"/>
      <c r="B101" s="513"/>
      <c r="C101" s="514"/>
      <c r="D101" s="514"/>
      <c r="E101" s="514"/>
      <c r="F101" s="514"/>
      <c r="G101" s="514"/>
      <c r="H101" s="514"/>
      <c r="I101" s="514"/>
      <c r="J101" s="514"/>
      <c r="K101" s="421"/>
      <c r="L101" s="421"/>
      <c r="M101" s="421"/>
      <c r="N101" s="514"/>
      <c r="O101" s="514"/>
      <c r="P101" s="514"/>
      <c r="Q101" s="514"/>
      <c r="R101" s="514"/>
      <c r="S101" s="514"/>
      <c r="T101" s="422"/>
      <c r="U101" s="422"/>
      <c r="V101" s="423"/>
      <c r="W101" s="424"/>
      <c r="X101" s="424"/>
      <c r="Y101" s="698"/>
      <c r="Z101" s="698"/>
      <c r="AA101" s="698"/>
      <c r="AB101" s="698"/>
      <c r="AC101" s="698"/>
      <c r="AD101" s="698"/>
      <c r="AE101" s="698"/>
      <c r="AF101" s="698"/>
      <c r="AG101" s="698"/>
      <c r="AH101" s="698"/>
      <c r="AI101" s="401"/>
      <c r="AJ101" s="401"/>
      <c r="AK101" s="401"/>
      <c r="AL101" s="401"/>
      <c r="AM101" s="401"/>
      <c r="AN101" s="401"/>
      <c r="AO101" s="401"/>
      <c r="AP101" s="401"/>
      <c r="AQ101" s="401"/>
      <c r="AR101" s="401"/>
      <c r="AS101" s="401"/>
      <c r="AT101" s="401"/>
      <c r="AU101" s="401"/>
      <c r="AV101" s="401"/>
      <c r="AW101" s="401"/>
      <c r="AX101" s="401"/>
      <c r="AY101" s="401"/>
      <c r="AZ101" s="401"/>
      <c r="BA101" s="401"/>
      <c r="BB101" s="401"/>
      <c r="BC101" s="401"/>
      <c r="BU101" s="401"/>
      <c r="BV101" s="401"/>
      <c r="BW101" s="401"/>
      <c r="BX101" s="401"/>
      <c r="BY101" s="401"/>
      <c r="BZ101" s="401"/>
    </row>
    <row r="102" spans="1:78" s="405" customFormat="1" ht="15" customHeight="1" outlineLevel="1" thickBot="1" x14ac:dyDescent="0.3">
      <c r="A102" s="396"/>
      <c r="B102" s="695" t="s">
        <v>81</v>
      </c>
      <c r="C102" s="696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7"/>
      <c r="O102" s="695" t="s">
        <v>82</v>
      </c>
      <c r="P102" s="696"/>
      <c r="Q102" s="696"/>
      <c r="R102" s="697"/>
      <c r="S102" s="695" t="s">
        <v>83</v>
      </c>
      <c r="T102" s="696"/>
      <c r="U102" s="696"/>
      <c r="V102" s="697"/>
      <c r="W102" s="512"/>
      <c r="X102" s="512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401"/>
      <c r="AJ102" s="401"/>
      <c r="AK102" s="401"/>
      <c r="AL102" s="401"/>
      <c r="AM102" s="401"/>
      <c r="AN102" s="401"/>
      <c r="AO102" s="401"/>
      <c r="AP102" s="401"/>
      <c r="AQ102" s="401"/>
      <c r="AR102" s="401"/>
      <c r="AS102" s="401"/>
      <c r="AT102" s="401"/>
      <c r="AU102" s="401"/>
      <c r="AV102" s="401"/>
      <c r="AW102" s="401"/>
      <c r="AX102" s="401"/>
      <c r="AY102" s="401"/>
      <c r="AZ102" s="401"/>
      <c r="BA102" s="401"/>
      <c r="BB102" s="401"/>
      <c r="BC102" s="401"/>
      <c r="BU102" s="401"/>
      <c r="BV102" s="401"/>
      <c r="BW102" s="401"/>
      <c r="BX102" s="401"/>
      <c r="BY102" s="401"/>
      <c r="BZ102" s="401"/>
    </row>
    <row r="103" spans="1:78" s="405" customFormat="1" ht="35.1" customHeight="1" outlineLevel="1" thickBot="1" x14ac:dyDescent="0.3">
      <c r="A103" s="396"/>
      <c r="B103" s="731" t="s">
        <v>84</v>
      </c>
      <c r="C103" s="732"/>
      <c r="D103" s="732"/>
      <c r="E103" s="733"/>
      <c r="F103" s="425" t="s">
        <v>72</v>
      </c>
      <c r="G103" s="517" t="s">
        <v>73</v>
      </c>
      <c r="H103" s="425" t="s">
        <v>74</v>
      </c>
      <c r="I103" s="425" t="s">
        <v>75</v>
      </c>
      <c r="J103" s="425" t="s">
        <v>76</v>
      </c>
      <c r="K103" s="534" t="s">
        <v>170</v>
      </c>
      <c r="L103" s="535" t="str">
        <f>$L$4</f>
        <v>Additional
component</v>
      </c>
      <c r="M103" s="535" t="str">
        <f>$M$4</f>
        <v>Additional
component 2</v>
      </c>
      <c r="N103" s="425" t="s">
        <v>77</v>
      </c>
      <c r="O103" s="670"/>
      <c r="P103" s="670"/>
      <c r="Q103" s="670"/>
      <c r="R103" s="671"/>
      <c r="S103" s="669"/>
      <c r="T103" s="670"/>
      <c r="U103" s="670"/>
      <c r="V103" s="671"/>
      <c r="W103" s="512"/>
      <c r="X103" s="512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401"/>
      <c r="AJ103" s="401"/>
      <c r="AK103" s="401"/>
      <c r="AL103" s="401"/>
      <c r="AM103" s="401"/>
      <c r="AN103" s="401"/>
      <c r="AO103" s="401"/>
      <c r="AP103" s="401"/>
      <c r="AQ103" s="401"/>
      <c r="AR103" s="401"/>
      <c r="AS103" s="401"/>
      <c r="AT103" s="401"/>
      <c r="AU103" s="401"/>
      <c r="AV103" s="401"/>
      <c r="AW103" s="401"/>
      <c r="AX103" s="401"/>
      <c r="AY103" s="401"/>
      <c r="AZ103" s="401"/>
      <c r="BA103" s="401"/>
      <c r="BB103" s="401"/>
      <c r="BC103" s="536"/>
      <c r="BU103" s="401"/>
      <c r="BV103" s="401"/>
      <c r="BW103" s="401"/>
      <c r="BX103" s="401"/>
      <c r="BY103" s="401"/>
      <c r="BZ103" s="401"/>
    </row>
    <row r="104" spans="1:78" s="405" customFormat="1" ht="15" customHeight="1" outlineLevel="1" thickBot="1" x14ac:dyDescent="0.3">
      <c r="A104" s="396"/>
      <c r="B104" s="835" t="s">
        <v>131</v>
      </c>
      <c r="C104" s="515" t="s">
        <v>64</v>
      </c>
      <c r="D104" s="709" t="s">
        <v>119</v>
      </c>
      <c r="E104" s="683"/>
      <c r="F104" s="432" t="s">
        <v>64</v>
      </c>
      <c r="G104" s="432" t="s">
        <v>64</v>
      </c>
      <c r="H104" s="432" t="s">
        <v>64</v>
      </c>
      <c r="I104" s="432" t="s">
        <v>64</v>
      </c>
      <c r="J104" s="432" t="s">
        <v>64</v>
      </c>
      <c r="K104" s="433" t="s">
        <v>64</v>
      </c>
      <c r="L104" s="433" t="s">
        <v>64</v>
      </c>
      <c r="M104" s="433" t="s">
        <v>64</v>
      </c>
      <c r="N104" s="432" t="s">
        <v>64</v>
      </c>
      <c r="O104" s="673"/>
      <c r="P104" s="673"/>
      <c r="Q104" s="673"/>
      <c r="R104" s="674"/>
      <c r="S104" s="672"/>
      <c r="T104" s="673"/>
      <c r="U104" s="673"/>
      <c r="V104" s="674"/>
      <c r="W104" s="512"/>
      <c r="X104" s="512"/>
      <c r="Y104" s="678"/>
      <c r="Z104" s="678"/>
      <c r="AA104" s="678"/>
      <c r="AB104" s="678"/>
      <c r="AC104" s="678"/>
      <c r="AD104" s="678"/>
      <c r="AE104" s="678"/>
      <c r="AF104" s="678"/>
      <c r="AG104" s="678"/>
      <c r="AH104" s="678"/>
      <c r="AI104" s="401"/>
      <c r="AJ104" s="401"/>
      <c r="AK104" s="401"/>
      <c r="AL104" s="401"/>
      <c r="AM104" s="401"/>
      <c r="AN104" s="401"/>
      <c r="AO104" s="401"/>
      <c r="AP104" s="401"/>
      <c r="AQ104" s="401"/>
      <c r="AR104" s="401"/>
      <c r="AS104" s="401"/>
      <c r="AT104" s="401"/>
      <c r="AU104" s="401"/>
      <c r="AV104" s="401"/>
      <c r="AW104" s="401"/>
      <c r="AX104" s="401"/>
      <c r="AY104" s="401"/>
      <c r="AZ104" s="401"/>
      <c r="BA104" s="401"/>
      <c r="BB104" s="401"/>
      <c r="BC104" s="536"/>
      <c r="BU104" s="401"/>
      <c r="BV104" s="401"/>
      <c r="BW104" s="401"/>
      <c r="BX104" s="401"/>
      <c r="BY104" s="401"/>
      <c r="BZ104" s="401"/>
    </row>
    <row r="105" spans="1:78" s="405" customFormat="1" ht="15" customHeight="1" outlineLevel="1" x14ac:dyDescent="0.25">
      <c r="A105" s="439"/>
      <c r="B105" s="836"/>
      <c r="C105" s="684" t="s">
        <v>114</v>
      </c>
      <c r="D105" s="684" t="s">
        <v>113</v>
      </c>
      <c r="E105" s="453" t="s">
        <v>94</v>
      </c>
      <c r="F105" s="473" t="s">
        <v>5</v>
      </c>
      <c r="G105" s="473" t="s">
        <v>5</v>
      </c>
      <c r="H105" s="473" t="s">
        <v>5</v>
      </c>
      <c r="I105" s="473" t="s">
        <v>5</v>
      </c>
      <c r="J105" s="473" t="s">
        <v>5</v>
      </c>
      <c r="K105" s="474" t="s">
        <v>5</v>
      </c>
      <c r="L105" s="474" t="s">
        <v>5</v>
      </c>
      <c r="M105" s="474" t="s">
        <v>5</v>
      </c>
      <c r="N105" s="437" t="s">
        <v>5</v>
      </c>
      <c r="O105" s="673"/>
      <c r="P105" s="673"/>
      <c r="Q105" s="673"/>
      <c r="R105" s="674"/>
      <c r="S105" s="672"/>
      <c r="T105" s="673"/>
      <c r="U105" s="673"/>
      <c r="V105" s="674"/>
      <c r="W105" s="443"/>
      <c r="X105" s="443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BC105" s="536"/>
    </row>
    <row r="106" spans="1:78" s="405" customFormat="1" ht="15" customHeight="1" outlineLevel="1" thickBot="1" x14ac:dyDescent="0.3">
      <c r="A106" s="396"/>
      <c r="B106" s="836"/>
      <c r="C106" s="685"/>
      <c r="D106" s="685"/>
      <c r="E106" s="440" t="s">
        <v>95</v>
      </c>
      <c r="F106" s="475" t="s">
        <v>5</v>
      </c>
      <c r="G106" s="475" t="s">
        <v>5</v>
      </c>
      <c r="H106" s="475" t="s">
        <v>5</v>
      </c>
      <c r="I106" s="475" t="s">
        <v>5</v>
      </c>
      <c r="J106" s="475" t="s">
        <v>5</v>
      </c>
      <c r="K106" s="476" t="s">
        <v>5</v>
      </c>
      <c r="L106" s="476" t="s">
        <v>5</v>
      </c>
      <c r="M106" s="476" t="s">
        <v>5</v>
      </c>
      <c r="N106" s="441" t="s">
        <v>5</v>
      </c>
      <c r="O106" s="673"/>
      <c r="P106" s="673"/>
      <c r="Q106" s="673"/>
      <c r="R106" s="674"/>
      <c r="S106" s="672"/>
      <c r="T106" s="673"/>
      <c r="U106" s="673"/>
      <c r="V106" s="674"/>
      <c r="W106" s="512"/>
      <c r="X106" s="512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AI106" s="401"/>
      <c r="AJ106" s="401"/>
      <c r="AK106" s="401"/>
      <c r="AL106" s="401"/>
      <c r="AM106" s="401"/>
      <c r="AN106" s="401"/>
      <c r="AO106" s="401"/>
      <c r="AP106" s="401"/>
      <c r="AQ106" s="401"/>
      <c r="AR106" s="401"/>
      <c r="AS106" s="401"/>
      <c r="AT106" s="401"/>
      <c r="AU106" s="401"/>
      <c r="AV106" s="401"/>
      <c r="AW106" s="401"/>
      <c r="AX106" s="401"/>
      <c r="AY106" s="401"/>
      <c r="AZ106" s="401"/>
      <c r="BA106" s="401"/>
      <c r="BB106" s="401"/>
      <c r="BC106" s="536"/>
      <c r="BU106" s="401"/>
      <c r="BV106" s="401"/>
      <c r="BW106" s="401"/>
      <c r="BX106" s="401"/>
      <c r="BY106" s="401"/>
      <c r="BZ106" s="401"/>
    </row>
    <row r="107" spans="1:78" s="405" customFormat="1" ht="15" customHeight="1" outlineLevel="1" thickBot="1" x14ac:dyDescent="0.3">
      <c r="A107" s="396"/>
      <c r="B107" s="836"/>
      <c r="C107" s="832">
        <v>2</v>
      </c>
      <c r="D107" s="689" t="str">
        <f>IF(AND(F107="-",G107="-",H107="-",I107="-",J107="-",K107="-",L107="-",M107="-"),"-",MAX(F107,G107,H107,I107,J107,K107,L107,M107))</f>
        <v>-</v>
      </c>
      <c r="E107" s="444" t="s">
        <v>177</v>
      </c>
      <c r="F107" s="445" t="str">
        <f t="shared" ref="F107:M107" si="80">IF(OR(F106="-",F106=""),IF(OR(F105="-",F105=""),"-",F105),IF(OR(F105="-",F105=""),F106,(F105+F106)/2))</f>
        <v>-</v>
      </c>
      <c r="G107" s="445" t="str">
        <f t="shared" si="80"/>
        <v>-</v>
      </c>
      <c r="H107" s="445" t="str">
        <f t="shared" si="80"/>
        <v>-</v>
      </c>
      <c r="I107" s="445" t="str">
        <f t="shared" si="80"/>
        <v>-</v>
      </c>
      <c r="J107" s="445" t="str">
        <f t="shared" si="80"/>
        <v>-</v>
      </c>
      <c r="K107" s="446" t="str">
        <f t="shared" si="80"/>
        <v>-</v>
      </c>
      <c r="L107" s="446" t="str">
        <f t="shared" si="80"/>
        <v>-</v>
      </c>
      <c r="M107" s="446" t="str">
        <f t="shared" si="80"/>
        <v>-</v>
      </c>
      <c r="N107" s="828"/>
      <c r="O107" s="673"/>
      <c r="P107" s="673"/>
      <c r="Q107" s="673"/>
      <c r="R107" s="674"/>
      <c r="S107" s="672"/>
      <c r="T107" s="673"/>
      <c r="U107" s="673"/>
      <c r="V107" s="674"/>
      <c r="W107" s="512"/>
      <c r="X107" s="512"/>
      <c r="Y107" s="678"/>
      <c r="Z107" s="678"/>
      <c r="AA107" s="678"/>
      <c r="AB107" s="678"/>
      <c r="AC107" s="678"/>
      <c r="AD107" s="678"/>
      <c r="AE107" s="678"/>
      <c r="AF107" s="678"/>
      <c r="AG107" s="678"/>
      <c r="AH107" s="678"/>
      <c r="AI107" s="401"/>
      <c r="AJ107" s="401"/>
      <c r="AK107" s="401"/>
      <c r="AL107" s="401"/>
      <c r="AM107" s="401"/>
      <c r="AN107" s="401"/>
      <c r="AO107" s="401"/>
      <c r="AP107" s="401"/>
      <c r="AQ107" s="401"/>
      <c r="AR107" s="401"/>
      <c r="AS107" s="401"/>
      <c r="AT107" s="401"/>
      <c r="AU107" s="401"/>
      <c r="AV107" s="401"/>
      <c r="AW107" s="401"/>
      <c r="AX107" s="401"/>
      <c r="AY107" s="401"/>
      <c r="AZ107" s="401"/>
      <c r="BA107" s="401"/>
      <c r="BB107" s="401"/>
      <c r="BC107" s="536"/>
      <c r="BU107" s="401"/>
      <c r="BV107" s="401"/>
      <c r="BW107" s="401"/>
      <c r="BX107" s="401"/>
      <c r="BY107" s="401"/>
      <c r="BZ107" s="401"/>
    </row>
    <row r="108" spans="1:78" s="405" customFormat="1" ht="15" customHeight="1" outlineLevel="1" thickBot="1" x14ac:dyDescent="0.3">
      <c r="A108" s="396"/>
      <c r="B108" s="836"/>
      <c r="C108" s="833"/>
      <c r="D108" s="690"/>
      <c r="E108" s="447" t="s">
        <v>97</v>
      </c>
      <c r="F108" s="448" t="e">
        <f t="shared" ref="F108:M108" si="81">IF(AND(OR($C107="-",$C107="CET",$C107=""),OR(F104="-",F104="CET",F104="")),"-",IF(AND(NOT(F107="-"),NOT(F$5="-"),NOT(F$5="")),F107/F$5,"-"))</f>
        <v>#N/A</v>
      </c>
      <c r="G108" s="448" t="e">
        <f t="shared" si="81"/>
        <v>#N/A</v>
      </c>
      <c r="H108" s="448" t="e">
        <f t="shared" si="81"/>
        <v>#N/A</v>
      </c>
      <c r="I108" s="448" t="e">
        <f t="shared" si="81"/>
        <v>#N/A</v>
      </c>
      <c r="J108" s="448" t="e">
        <f t="shared" si="81"/>
        <v>#N/A</v>
      </c>
      <c r="K108" s="449" t="e">
        <f t="shared" si="81"/>
        <v>#N/A</v>
      </c>
      <c r="L108" s="449" t="e">
        <f t="shared" si="81"/>
        <v>#N/A</v>
      </c>
      <c r="M108" s="449" t="e">
        <f t="shared" si="81"/>
        <v>#N/A</v>
      </c>
      <c r="N108" s="702"/>
      <c r="O108" s="673"/>
      <c r="P108" s="673"/>
      <c r="Q108" s="673"/>
      <c r="R108" s="674"/>
      <c r="S108" s="672"/>
      <c r="T108" s="673"/>
      <c r="U108" s="673"/>
      <c r="V108" s="674"/>
      <c r="W108" s="512"/>
      <c r="X108" s="512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401"/>
      <c r="AJ108" s="401"/>
      <c r="AK108" s="401"/>
      <c r="AL108" s="401"/>
      <c r="AM108" s="401"/>
      <c r="AN108" s="401"/>
      <c r="AO108" s="401"/>
      <c r="AP108" s="401"/>
      <c r="AQ108" s="401"/>
      <c r="AR108" s="401"/>
      <c r="AS108" s="401"/>
      <c r="AT108" s="401"/>
      <c r="AU108" s="401"/>
      <c r="AV108" s="401"/>
      <c r="AW108" s="401"/>
      <c r="AX108" s="401"/>
      <c r="AY108" s="401"/>
      <c r="AZ108" s="401"/>
      <c r="BA108" s="401"/>
      <c r="BB108" s="401"/>
      <c r="BC108" s="536"/>
      <c r="BD108" s="429" t="s">
        <v>85</v>
      </c>
      <c r="BE108" s="430" t="str">
        <f>F$4</f>
        <v>NMHC 
[g/km]</v>
      </c>
      <c r="BF108" s="430" t="str">
        <f t="shared" ref="BF108:BL108" si="82">G$4</f>
        <v>THC
[g/km]</v>
      </c>
      <c r="BG108" s="430" t="str">
        <f t="shared" si="82"/>
        <v>CO
[g/km]</v>
      </c>
      <c r="BH108" s="430" t="str">
        <f t="shared" si="82"/>
        <v>NOx
[g/km]</v>
      </c>
      <c r="BI108" s="430" t="str">
        <f t="shared" si="82"/>
        <v>PM
[mg/km]</v>
      </c>
      <c r="BJ108" s="430" t="str">
        <f t="shared" si="82"/>
        <v>PN
[#/km]</v>
      </c>
      <c r="BK108" s="430" t="str">
        <f t="shared" si="82"/>
        <v>Additional
component</v>
      </c>
      <c r="BL108" s="430" t="str">
        <f t="shared" si="82"/>
        <v>Additional
component 2</v>
      </c>
      <c r="BU108" s="401"/>
      <c r="BV108" s="401"/>
      <c r="BW108" s="401"/>
      <c r="BX108" s="401"/>
      <c r="BY108" s="401"/>
      <c r="BZ108" s="401"/>
    </row>
    <row r="109" spans="1:78" s="405" customFormat="1" ht="15" customHeight="1" outlineLevel="1" thickBot="1" x14ac:dyDescent="0.3">
      <c r="A109" s="396"/>
      <c r="B109" s="837"/>
      <c r="C109" s="834"/>
      <c r="D109" s="691"/>
      <c r="E109" s="451" t="s">
        <v>30</v>
      </c>
      <c r="F109" s="451" t="str">
        <f t="shared" ref="F109:M109" si="83">IF(AND(OR(F105="-",F105=""),OR(F106="-",F106="")),"-",IF(AND(OR(F104="CET",F104="-",F104=""),OR($C107="CET",$C107="-",$C107="")),"-",IF($R$8="not listed","-",IF(AND(NOT(F$5="-"),NOT(F$5="")),IF(AND(AND(NOT(F105=0),NOT(F105="-"),NOT(F105="")),AND(NOT(F106="-"),NOT(F106=0),NOT(F106=""))),IF(AND((F105+F106)/2&lt;1*F$5*IF(OR(F104="CET",F104="-",F104=""),IF(OR($C107="CET",$C107="-",$C107=""),"-",$C107),F104),F105&lt;1.1*F$5*IF(OR(F104="CET",F104="-",F104=""),IF(OR($C107="CET",$C107="-",$C107=""),"-",$C107),F104),F106&lt;1.1*F$5*IF(OR(F104="CET",F104="-",F104=""),IF($C107="CET","-",$C107),F104)),"passed","refused"),IF(IF(OR(F105="-",F105=""),F106,F105)&lt;0.7*F$5*IF(OR(F104="CET",F104="-",F104=""),IF($C107="CET","-",$C107),F104),"passed",IF(IF(OR(F105="-",F105=""),F106,F105)&lt;1.1*IF(OR(F104="CET",F104="-",F104=""),IF($C107="CET","-",$C107),F104)*F$5,"failed","refused"))),"-"))))</f>
        <v>-</v>
      </c>
      <c r="G109" s="451" t="str">
        <f t="shared" si="83"/>
        <v>-</v>
      </c>
      <c r="H109" s="451" t="str">
        <f t="shared" si="83"/>
        <v>-</v>
      </c>
      <c r="I109" s="451" t="str">
        <f t="shared" si="83"/>
        <v>-</v>
      </c>
      <c r="J109" s="451" t="str">
        <f t="shared" si="83"/>
        <v>-</v>
      </c>
      <c r="K109" s="452" t="str">
        <f t="shared" si="83"/>
        <v>-</v>
      </c>
      <c r="L109" s="452" t="str">
        <f t="shared" si="83"/>
        <v>-</v>
      </c>
      <c r="M109" s="452" t="str">
        <f t="shared" si="83"/>
        <v>-</v>
      </c>
      <c r="N109" s="685"/>
      <c r="O109" s="673"/>
      <c r="P109" s="673"/>
      <c r="Q109" s="673"/>
      <c r="R109" s="674"/>
      <c r="S109" s="672"/>
      <c r="T109" s="673"/>
      <c r="U109" s="673"/>
      <c r="V109" s="674"/>
      <c r="W109" s="512"/>
      <c r="X109" s="512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401"/>
      <c r="AJ109" s="401"/>
      <c r="AK109" s="401"/>
      <c r="AL109" s="401"/>
      <c r="AM109" s="401"/>
      <c r="AN109" s="401"/>
      <c r="AO109" s="401"/>
      <c r="AP109" s="401"/>
      <c r="AQ109" s="401"/>
      <c r="AR109" s="401"/>
      <c r="AS109" s="401"/>
      <c r="AT109" s="401"/>
      <c r="AU109" s="401"/>
      <c r="AV109" s="401"/>
      <c r="AW109" s="401"/>
      <c r="AX109" s="401"/>
      <c r="AY109" s="401"/>
      <c r="AZ109" s="401"/>
      <c r="BA109" s="401"/>
      <c r="BB109" s="401"/>
      <c r="BC109" s="399" t="str">
        <f>IF(COUNTIF(F109:M109,"refused")&gt;0,"refused",IF(COUNTIF(F109:M109,"failed")&gt;0,"failed",IF(COUNTIF(F109:M109,"passed")&gt;0,"passed","-")))</f>
        <v>-</v>
      </c>
      <c r="BD109" s="429">
        <f>$E$4</f>
        <v>0</v>
      </c>
      <c r="BE109" s="435">
        <v>1</v>
      </c>
      <c r="BF109" s="435">
        <v>1</v>
      </c>
      <c r="BG109" s="435">
        <v>1</v>
      </c>
      <c r="BH109" s="435">
        <v>1</v>
      </c>
      <c r="BI109" s="435">
        <v>1</v>
      </c>
      <c r="BJ109" s="435">
        <v>1</v>
      </c>
      <c r="BK109" s="435">
        <v>1</v>
      </c>
      <c r="BL109" s="435">
        <v>1</v>
      </c>
      <c r="BU109" s="401"/>
      <c r="BV109" s="401"/>
      <c r="BW109" s="401"/>
      <c r="BX109" s="401"/>
      <c r="BY109" s="401"/>
      <c r="BZ109" s="401"/>
    </row>
    <row r="110" spans="1:78" s="405" customFormat="1" ht="15" customHeight="1" outlineLevel="1" x14ac:dyDescent="0.25">
      <c r="A110" s="396"/>
      <c r="B110" s="830"/>
      <c r="C110" s="541"/>
      <c r="D110" s="831"/>
      <c r="E110" s="831"/>
      <c r="F110" s="542"/>
      <c r="G110" s="542"/>
      <c r="H110" s="542"/>
      <c r="I110" s="542"/>
      <c r="J110" s="542"/>
      <c r="K110" s="543"/>
      <c r="L110" s="543"/>
      <c r="M110" s="543"/>
      <c r="N110" s="544"/>
      <c r="O110" s="673"/>
      <c r="P110" s="673"/>
      <c r="Q110" s="673"/>
      <c r="R110" s="674"/>
      <c r="S110" s="672"/>
      <c r="T110" s="673"/>
      <c r="U110" s="673"/>
      <c r="V110" s="674"/>
      <c r="W110" s="512"/>
      <c r="X110" s="512"/>
      <c r="Y110" s="678"/>
      <c r="Z110" s="678"/>
      <c r="AA110" s="678"/>
      <c r="AB110" s="678"/>
      <c r="AC110" s="678"/>
      <c r="AD110" s="678"/>
      <c r="AE110" s="678"/>
      <c r="AF110" s="678"/>
      <c r="AG110" s="678"/>
      <c r="AH110" s="678"/>
      <c r="AI110" s="401"/>
      <c r="AJ110" s="401"/>
      <c r="AK110" s="401"/>
      <c r="AL110" s="401"/>
      <c r="AM110" s="401"/>
      <c r="AN110" s="401"/>
      <c r="AO110" s="401"/>
      <c r="AP110" s="401"/>
      <c r="AQ110" s="401"/>
      <c r="AR110" s="401"/>
      <c r="AS110" s="401"/>
      <c r="AT110" s="401"/>
      <c r="AU110" s="401"/>
      <c r="AV110" s="401"/>
      <c r="AW110" s="401"/>
      <c r="AX110" s="401"/>
      <c r="AY110" s="401"/>
      <c r="AZ110" s="401"/>
      <c r="BA110" s="401"/>
      <c r="BB110" s="401"/>
      <c r="BC110" s="536"/>
      <c r="BD110" s="429" t="str">
        <f>"1st " &amp;  B104</f>
        <v>1st HWY</v>
      </c>
      <c r="BE110" s="435" t="str">
        <f t="shared" ref="BE110:BL110" si="84">IF((OR($C107="-",$C107="CET",$C107="")),"-",IF(AND(OR(F105="-",F105=""),OR(F106="-",F106="")),"-",IF(NOT(OR(F105="-",F105="")),F105/F$5,F106/F$5)))</f>
        <v>-</v>
      </c>
      <c r="BF110" s="435" t="str">
        <f t="shared" si="84"/>
        <v>-</v>
      </c>
      <c r="BG110" s="435" t="str">
        <f t="shared" si="84"/>
        <v>-</v>
      </c>
      <c r="BH110" s="435" t="str">
        <f t="shared" si="84"/>
        <v>-</v>
      </c>
      <c r="BI110" s="435" t="str">
        <f t="shared" si="84"/>
        <v>-</v>
      </c>
      <c r="BJ110" s="435" t="str">
        <f t="shared" si="84"/>
        <v>-</v>
      </c>
      <c r="BK110" s="435" t="str">
        <f t="shared" si="84"/>
        <v>-</v>
      </c>
      <c r="BL110" s="435" t="str">
        <f t="shared" si="84"/>
        <v>-</v>
      </c>
      <c r="BU110" s="401"/>
      <c r="BV110" s="401"/>
      <c r="BW110" s="401"/>
      <c r="BX110" s="401"/>
      <c r="BY110" s="401"/>
      <c r="BZ110" s="401"/>
    </row>
    <row r="111" spans="1:78" s="405" customFormat="1" ht="15" customHeight="1" outlineLevel="1" x14ac:dyDescent="0.25">
      <c r="A111" s="396"/>
      <c r="B111" s="830"/>
      <c r="C111" s="728"/>
      <c r="D111" s="728"/>
      <c r="E111" s="522"/>
      <c r="F111" s="523"/>
      <c r="G111" s="523"/>
      <c r="H111" s="523"/>
      <c r="I111" s="523"/>
      <c r="J111" s="523"/>
      <c r="K111" s="524"/>
      <c r="L111" s="524"/>
      <c r="M111" s="524"/>
      <c r="N111" s="525"/>
      <c r="O111" s="673"/>
      <c r="P111" s="673"/>
      <c r="Q111" s="673"/>
      <c r="R111" s="674"/>
      <c r="S111" s="672"/>
      <c r="T111" s="673"/>
      <c r="U111" s="673"/>
      <c r="V111" s="674"/>
      <c r="W111" s="512"/>
      <c r="X111" s="512"/>
      <c r="Y111" s="678"/>
      <c r="Z111" s="678"/>
      <c r="AA111" s="678"/>
      <c r="AB111" s="678"/>
      <c r="AC111" s="678"/>
      <c r="AD111" s="678"/>
      <c r="AE111" s="678"/>
      <c r="AF111" s="678"/>
      <c r="AG111" s="678"/>
      <c r="AH111" s="678"/>
      <c r="AI111" s="401"/>
      <c r="AJ111" s="401"/>
      <c r="AK111" s="401"/>
      <c r="AL111" s="401"/>
      <c r="AM111" s="401"/>
      <c r="AN111" s="401"/>
      <c r="AO111" s="401"/>
      <c r="AP111" s="401"/>
      <c r="AQ111" s="401"/>
      <c r="AR111" s="401"/>
      <c r="AS111" s="401"/>
      <c r="AT111" s="401"/>
      <c r="AU111" s="401"/>
      <c r="AV111" s="401"/>
      <c r="AW111" s="401"/>
      <c r="AX111" s="401"/>
      <c r="AY111" s="401"/>
      <c r="AZ111" s="401"/>
      <c r="BA111" s="401"/>
      <c r="BB111" s="401"/>
      <c r="BC111" s="536"/>
      <c r="BD111" s="429" t="str">
        <f>"1st " &amp;  B110</f>
        <v xml:space="preserve">1st </v>
      </c>
      <c r="BE111" s="435" t="str">
        <f t="shared" ref="BE111:BL111" si="85">IF((OR($C113="-",$C113="CET",$C113="")),"-",IF(AND(OR(F111="-",F111=""),OR(F112="-",F112="")),"-",IF(NOT(OR(F111="-",F111="")),F111/F$5,F112/F$5)))</f>
        <v>-</v>
      </c>
      <c r="BF111" s="435" t="str">
        <f t="shared" si="85"/>
        <v>-</v>
      </c>
      <c r="BG111" s="435" t="str">
        <f t="shared" si="85"/>
        <v>-</v>
      </c>
      <c r="BH111" s="435" t="str">
        <f t="shared" si="85"/>
        <v>-</v>
      </c>
      <c r="BI111" s="435" t="str">
        <f t="shared" si="85"/>
        <v>-</v>
      </c>
      <c r="BJ111" s="435" t="str">
        <f t="shared" si="85"/>
        <v>-</v>
      </c>
      <c r="BK111" s="435" t="str">
        <f t="shared" si="85"/>
        <v>-</v>
      </c>
      <c r="BL111" s="435" t="str">
        <f t="shared" si="85"/>
        <v>-</v>
      </c>
      <c r="BU111" s="401"/>
      <c r="BV111" s="401"/>
      <c r="BW111" s="401"/>
      <c r="BX111" s="401"/>
      <c r="BY111" s="401"/>
      <c r="BZ111" s="401"/>
    </row>
    <row r="112" spans="1:78" s="405" customFormat="1" ht="15" customHeight="1" outlineLevel="1" x14ac:dyDescent="0.25">
      <c r="A112" s="396"/>
      <c r="B112" s="830"/>
      <c r="C112" s="728"/>
      <c r="D112" s="728"/>
      <c r="E112" s="522"/>
      <c r="F112" s="523"/>
      <c r="G112" s="523"/>
      <c r="H112" s="523"/>
      <c r="I112" s="523"/>
      <c r="J112" s="523"/>
      <c r="K112" s="524"/>
      <c r="L112" s="524"/>
      <c r="M112" s="524"/>
      <c r="N112" s="525"/>
      <c r="O112" s="673"/>
      <c r="P112" s="673"/>
      <c r="Q112" s="673"/>
      <c r="R112" s="674"/>
      <c r="S112" s="672"/>
      <c r="T112" s="673"/>
      <c r="U112" s="673"/>
      <c r="V112" s="674"/>
      <c r="W112" s="512"/>
      <c r="X112" s="512"/>
      <c r="Y112" s="678"/>
      <c r="Z112" s="678"/>
      <c r="AA112" s="678"/>
      <c r="AB112" s="678"/>
      <c r="AC112" s="678"/>
      <c r="AD112" s="678"/>
      <c r="AE112" s="678"/>
      <c r="AF112" s="678"/>
      <c r="AG112" s="678"/>
      <c r="AH112" s="678"/>
      <c r="AI112" s="401"/>
      <c r="AJ112" s="401"/>
      <c r="AK112" s="401"/>
      <c r="AL112" s="401"/>
      <c r="AM112" s="401"/>
      <c r="AN112" s="401"/>
      <c r="AO112" s="401"/>
      <c r="AP112" s="401"/>
      <c r="AQ112" s="401"/>
      <c r="AR112" s="401"/>
      <c r="AS112" s="401"/>
      <c r="AT112" s="401"/>
      <c r="AU112" s="401"/>
      <c r="AV112" s="401"/>
      <c r="AW112" s="401"/>
      <c r="AX112" s="401"/>
      <c r="AY112" s="401"/>
      <c r="AZ112" s="401"/>
      <c r="BA112" s="401"/>
      <c r="BB112" s="401"/>
      <c r="BC112" s="536"/>
      <c r="BD112" s="429"/>
      <c r="BE112" s="435"/>
      <c r="BF112" s="435"/>
      <c r="BG112" s="435"/>
      <c r="BH112" s="435"/>
      <c r="BI112" s="435"/>
      <c r="BJ112" s="435"/>
      <c r="BK112" s="435"/>
      <c r="BL112" s="435"/>
      <c r="BU112" s="401"/>
      <c r="BV112" s="401"/>
      <c r="BW112" s="401"/>
      <c r="BX112" s="401"/>
      <c r="BY112" s="401"/>
      <c r="BZ112" s="401"/>
    </row>
    <row r="113" spans="1:78" s="405" customFormat="1" ht="15" customHeight="1" outlineLevel="1" x14ac:dyDescent="0.25">
      <c r="A113" s="404"/>
      <c r="B113" s="830"/>
      <c r="C113" s="729"/>
      <c r="D113" s="730"/>
      <c r="E113" s="526"/>
      <c r="F113" s="526"/>
      <c r="G113" s="526"/>
      <c r="H113" s="526"/>
      <c r="I113" s="526"/>
      <c r="J113" s="526"/>
      <c r="K113" s="527"/>
      <c r="L113" s="527"/>
      <c r="M113" s="527"/>
      <c r="N113" s="829"/>
      <c r="O113" s="673"/>
      <c r="P113" s="673"/>
      <c r="Q113" s="673"/>
      <c r="R113" s="674"/>
      <c r="S113" s="672"/>
      <c r="T113" s="673"/>
      <c r="U113" s="673"/>
      <c r="V113" s="674"/>
      <c r="W113" s="512"/>
      <c r="X113" s="512"/>
      <c r="Y113" s="678"/>
      <c r="Z113" s="678"/>
      <c r="AA113" s="678"/>
      <c r="AB113" s="678"/>
      <c r="AC113" s="678"/>
      <c r="AD113" s="678"/>
      <c r="AE113" s="678"/>
      <c r="AF113" s="678"/>
      <c r="AG113" s="678"/>
      <c r="AH113" s="678"/>
      <c r="AI113" s="401"/>
      <c r="AJ113" s="401"/>
      <c r="AK113" s="401"/>
      <c r="AL113" s="401"/>
      <c r="AM113" s="401"/>
      <c r="AN113" s="401"/>
      <c r="AO113" s="401"/>
      <c r="AP113" s="401"/>
      <c r="AQ113" s="401"/>
      <c r="AR113" s="401"/>
      <c r="AS113" s="401"/>
      <c r="AT113" s="401"/>
      <c r="AU113" s="401"/>
      <c r="AV113" s="401"/>
      <c r="AW113" s="401"/>
      <c r="AX113" s="401"/>
      <c r="AY113" s="401"/>
      <c r="AZ113" s="401"/>
      <c r="BA113" s="401"/>
      <c r="BB113" s="401"/>
      <c r="BC113" s="536"/>
      <c r="BD113" s="429"/>
      <c r="BE113" s="435"/>
      <c r="BF113" s="435"/>
      <c r="BG113" s="435"/>
      <c r="BH113" s="435"/>
      <c r="BI113" s="435"/>
      <c r="BJ113" s="435"/>
      <c r="BK113" s="435"/>
      <c r="BL113" s="435"/>
      <c r="BU113" s="401"/>
      <c r="BV113" s="401"/>
      <c r="BW113" s="401"/>
      <c r="BX113" s="401"/>
      <c r="BY113" s="401"/>
      <c r="BZ113" s="401"/>
    </row>
    <row r="114" spans="1:78" s="405" customFormat="1" ht="15" customHeight="1" outlineLevel="1" thickBot="1" x14ac:dyDescent="0.3">
      <c r="A114" s="404"/>
      <c r="B114" s="830"/>
      <c r="C114" s="729"/>
      <c r="D114" s="730"/>
      <c r="E114" s="529"/>
      <c r="F114" s="530"/>
      <c r="G114" s="530"/>
      <c r="H114" s="530"/>
      <c r="I114" s="530"/>
      <c r="J114" s="530"/>
      <c r="K114" s="527"/>
      <c r="L114" s="527"/>
      <c r="M114" s="527"/>
      <c r="N114" s="829"/>
      <c r="O114" s="673"/>
      <c r="P114" s="673"/>
      <c r="Q114" s="673"/>
      <c r="R114" s="674"/>
      <c r="S114" s="672"/>
      <c r="T114" s="673"/>
      <c r="U114" s="673"/>
      <c r="V114" s="674"/>
      <c r="W114" s="512"/>
      <c r="X114" s="512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401"/>
      <c r="AJ114" s="401"/>
      <c r="AK114" s="401"/>
      <c r="AL114" s="401"/>
      <c r="AM114" s="401"/>
      <c r="AN114" s="401"/>
      <c r="AO114" s="401"/>
      <c r="AP114" s="401"/>
      <c r="AQ114" s="401"/>
      <c r="AR114" s="401"/>
      <c r="AS114" s="401"/>
      <c r="AT114" s="401"/>
      <c r="AU114" s="401"/>
      <c r="AV114" s="401"/>
      <c r="AW114" s="401"/>
      <c r="AX114" s="401"/>
      <c r="AY114" s="401"/>
      <c r="AZ114" s="401"/>
      <c r="BA114" s="401"/>
      <c r="BB114" s="401"/>
      <c r="BC114" s="401"/>
      <c r="BD114" s="429" t="str">
        <f>"0.7*IEF " &amp; (B104)</f>
        <v>0.7*IEF HWY</v>
      </c>
      <c r="BE114" s="435">
        <f t="shared" ref="BE114:BL114" si="86">IF(AND(OR($C107="-",$C107="CET",$C107=""),OR(F104="-",F104="CET",F104="")),"-",0.7*IF(OR(F104="CET",F104="-",F104=""),IF(OR($C107="CET",$C107="-",$C107=""),"-",$C107),F104))</f>
        <v>1.4</v>
      </c>
      <c r="BF114" s="435">
        <f t="shared" si="86"/>
        <v>1.4</v>
      </c>
      <c r="BG114" s="435">
        <f t="shared" si="86"/>
        <v>1.4</v>
      </c>
      <c r="BH114" s="435">
        <f t="shared" si="86"/>
        <v>1.4</v>
      </c>
      <c r="BI114" s="435">
        <f t="shared" si="86"/>
        <v>1.4</v>
      </c>
      <c r="BJ114" s="435">
        <f t="shared" si="86"/>
        <v>1.4</v>
      </c>
      <c r="BK114" s="435">
        <f t="shared" si="86"/>
        <v>1.4</v>
      </c>
      <c r="BL114" s="435">
        <f t="shared" si="86"/>
        <v>1.4</v>
      </c>
      <c r="BU114" s="401"/>
      <c r="BV114" s="401"/>
      <c r="BW114" s="401"/>
      <c r="BX114" s="401"/>
      <c r="BY114" s="401"/>
      <c r="BZ114" s="401"/>
    </row>
    <row r="115" spans="1:78" s="405" customFormat="1" ht="15" customHeight="1" outlineLevel="1" thickBot="1" x14ac:dyDescent="0.3">
      <c r="A115" s="404"/>
      <c r="B115" s="830"/>
      <c r="C115" s="729"/>
      <c r="D115" s="730"/>
      <c r="E115" s="529"/>
      <c r="F115" s="529"/>
      <c r="G115" s="529"/>
      <c r="H115" s="529"/>
      <c r="I115" s="529"/>
      <c r="J115" s="529"/>
      <c r="K115" s="527"/>
      <c r="L115" s="527"/>
      <c r="M115" s="527"/>
      <c r="N115" s="829"/>
      <c r="O115" s="673"/>
      <c r="P115" s="673"/>
      <c r="Q115" s="673"/>
      <c r="R115" s="674"/>
      <c r="S115" s="672"/>
      <c r="T115" s="673"/>
      <c r="U115" s="673"/>
      <c r="V115" s="674"/>
      <c r="W115" s="512"/>
      <c r="X115" s="512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401"/>
      <c r="AJ115" s="401"/>
      <c r="AK115" s="401"/>
      <c r="AL115" s="401"/>
      <c r="AM115" s="401"/>
      <c r="AN115" s="401"/>
      <c r="AO115" s="401"/>
      <c r="AP115" s="401"/>
      <c r="AQ115" s="401"/>
      <c r="AR115" s="401"/>
      <c r="AS115" s="401"/>
      <c r="AT115" s="401"/>
      <c r="AU115" s="401"/>
      <c r="AV115" s="401"/>
      <c r="AW115" s="401"/>
      <c r="AX115" s="401"/>
      <c r="AY115" s="401"/>
      <c r="AZ115" s="401"/>
      <c r="BA115" s="401"/>
      <c r="BB115" s="401"/>
      <c r="BC115" s="399" t="str">
        <f>IF(COUNTIF(F115:M115,"refused")&gt;0,"refused",IF(COUNTIF(F115:M115,"failed")&gt;0,"failed",IF(COUNTIF(F115:M115,"passed")&gt;0,"passed","-")))</f>
        <v>-</v>
      </c>
      <c r="BD115" s="429" t="str">
        <f>"0.7*IEF " &amp; (B110)</f>
        <v xml:space="preserve">0.7*IEF </v>
      </c>
      <c r="BE115" s="435" t="str">
        <f t="shared" ref="BE115:BL115" si="87">IF(AND(OR($C113="-",$C113="CET",$C113=""),OR(F110="-",F110="CET",F110="")),"-",0.7*IF(OR(F110="CET",F110="-",F110=""),IF(OR($C113="CET",$C113="-",$C113=""),"-",$C113),F110))</f>
        <v>-</v>
      </c>
      <c r="BF115" s="435" t="str">
        <f t="shared" si="87"/>
        <v>-</v>
      </c>
      <c r="BG115" s="435" t="str">
        <f t="shared" si="87"/>
        <v>-</v>
      </c>
      <c r="BH115" s="435" t="str">
        <f t="shared" si="87"/>
        <v>-</v>
      </c>
      <c r="BI115" s="435" t="str">
        <f t="shared" si="87"/>
        <v>-</v>
      </c>
      <c r="BJ115" s="435" t="str">
        <f t="shared" si="87"/>
        <v>-</v>
      </c>
      <c r="BK115" s="435" t="str">
        <f t="shared" si="87"/>
        <v>-</v>
      </c>
      <c r="BL115" s="435" t="str">
        <f t="shared" si="87"/>
        <v>-</v>
      </c>
      <c r="BU115" s="401"/>
      <c r="BV115" s="401"/>
      <c r="BW115" s="401"/>
      <c r="BX115" s="401"/>
      <c r="BY115" s="401"/>
      <c r="BZ115" s="401"/>
    </row>
    <row r="116" spans="1:78" s="405" customFormat="1" ht="15" customHeight="1" outlineLevel="1" x14ac:dyDescent="0.25">
      <c r="A116" s="404"/>
      <c r="B116" s="539"/>
      <c r="C116" s="487"/>
      <c r="D116" s="510"/>
      <c r="E116" s="510"/>
      <c r="F116" s="466"/>
      <c r="G116" s="466"/>
      <c r="H116" s="466"/>
      <c r="I116" s="466"/>
      <c r="J116" s="466"/>
      <c r="K116" s="464"/>
      <c r="L116" s="464"/>
      <c r="M116" s="464"/>
      <c r="N116" s="467"/>
      <c r="O116" s="673"/>
      <c r="P116" s="673"/>
      <c r="Q116" s="673"/>
      <c r="R116" s="674"/>
      <c r="S116" s="672"/>
      <c r="T116" s="673"/>
      <c r="U116" s="673"/>
      <c r="V116" s="674"/>
      <c r="W116" s="512"/>
      <c r="X116" s="512"/>
      <c r="Y116" s="678"/>
      <c r="Z116" s="678"/>
      <c r="AA116" s="678"/>
      <c r="AB116" s="678"/>
      <c r="AC116" s="678"/>
      <c r="AD116" s="678"/>
      <c r="AE116" s="678"/>
      <c r="AF116" s="678"/>
      <c r="AG116" s="678"/>
      <c r="AH116" s="678"/>
      <c r="AI116" s="401"/>
      <c r="AJ116" s="401"/>
      <c r="AK116" s="401"/>
      <c r="AL116" s="401"/>
      <c r="AM116" s="401"/>
      <c r="AN116" s="401"/>
      <c r="AO116" s="401"/>
      <c r="AP116" s="401"/>
      <c r="AQ116" s="401"/>
      <c r="AR116" s="401"/>
      <c r="AS116" s="401"/>
      <c r="AT116" s="401"/>
      <c r="AU116" s="401"/>
      <c r="AV116" s="401"/>
      <c r="AW116" s="401"/>
      <c r="AX116" s="401"/>
      <c r="AY116" s="401"/>
      <c r="AZ116" s="401"/>
      <c r="BA116" s="401"/>
      <c r="BB116" s="401"/>
      <c r="BC116" s="401"/>
      <c r="BD116" s="429"/>
      <c r="BE116" s="435"/>
      <c r="BF116" s="435"/>
      <c r="BG116" s="435"/>
      <c r="BH116" s="435"/>
      <c r="BI116" s="435"/>
      <c r="BJ116" s="435"/>
      <c r="BK116" s="435"/>
      <c r="BL116" s="435"/>
      <c r="BU116" s="401"/>
      <c r="BV116" s="401"/>
      <c r="BW116" s="401"/>
      <c r="BX116" s="401"/>
      <c r="BY116" s="401"/>
      <c r="BZ116" s="401"/>
    </row>
    <row r="117" spans="1:78" s="405" customFormat="1" ht="15" customHeight="1" outlineLevel="1" x14ac:dyDescent="0.25">
      <c r="A117" s="404"/>
      <c r="B117" s="539"/>
      <c r="C117" s="487"/>
      <c r="D117" s="510"/>
      <c r="E117" s="510"/>
      <c r="F117" s="466"/>
      <c r="G117" s="466"/>
      <c r="H117" s="466"/>
      <c r="I117" s="466"/>
      <c r="J117" s="466"/>
      <c r="K117" s="464"/>
      <c r="L117" s="464"/>
      <c r="M117" s="464"/>
      <c r="N117" s="467"/>
      <c r="O117" s="673"/>
      <c r="P117" s="673"/>
      <c r="Q117" s="673"/>
      <c r="R117" s="674"/>
      <c r="S117" s="672"/>
      <c r="T117" s="673"/>
      <c r="U117" s="673"/>
      <c r="V117" s="674"/>
      <c r="W117" s="512"/>
      <c r="X117" s="512"/>
      <c r="Y117" s="678"/>
      <c r="Z117" s="678"/>
      <c r="AA117" s="678"/>
      <c r="AB117" s="678"/>
      <c r="AC117" s="678"/>
      <c r="AD117" s="678"/>
      <c r="AE117" s="678"/>
      <c r="AF117" s="678"/>
      <c r="AG117" s="678"/>
      <c r="AH117" s="678"/>
      <c r="AI117" s="401"/>
      <c r="AJ117" s="401"/>
      <c r="AK117" s="401"/>
      <c r="AL117" s="401"/>
      <c r="AM117" s="401"/>
      <c r="AN117" s="401"/>
      <c r="AO117" s="401"/>
      <c r="AP117" s="401"/>
      <c r="AQ117" s="401"/>
      <c r="AR117" s="401"/>
      <c r="AS117" s="401"/>
      <c r="AT117" s="401"/>
      <c r="AU117" s="401"/>
      <c r="AV117" s="401"/>
      <c r="AW117" s="401"/>
      <c r="AX117" s="401"/>
      <c r="AY117" s="401"/>
      <c r="AZ117" s="401"/>
      <c r="BA117" s="401"/>
      <c r="BB117" s="401"/>
      <c r="BC117" s="401"/>
      <c r="BD117" s="429"/>
      <c r="BE117" s="435"/>
      <c r="BF117" s="435"/>
      <c r="BG117" s="435"/>
      <c r="BH117" s="435"/>
      <c r="BI117" s="435"/>
      <c r="BJ117" s="435"/>
      <c r="BK117" s="435"/>
      <c r="BL117" s="435"/>
      <c r="BU117" s="401"/>
      <c r="BV117" s="401"/>
      <c r="BW117" s="401"/>
      <c r="BX117" s="401"/>
      <c r="BY117" s="401"/>
      <c r="BZ117" s="401"/>
    </row>
    <row r="118" spans="1:78" s="405" customFormat="1" ht="15" customHeight="1" outlineLevel="1" x14ac:dyDescent="0.25">
      <c r="A118" s="404"/>
      <c r="B118" s="539"/>
      <c r="C118" s="487"/>
      <c r="D118" s="510"/>
      <c r="E118" s="510"/>
      <c r="F118" s="510"/>
      <c r="G118" s="510"/>
      <c r="H118" s="510"/>
      <c r="I118" s="510"/>
      <c r="J118" s="510"/>
      <c r="K118" s="464"/>
      <c r="L118" s="464"/>
      <c r="M118" s="464"/>
      <c r="N118" s="468"/>
      <c r="O118" s="673"/>
      <c r="P118" s="673"/>
      <c r="Q118" s="673"/>
      <c r="R118" s="674"/>
      <c r="S118" s="672"/>
      <c r="T118" s="673"/>
      <c r="U118" s="673"/>
      <c r="V118" s="674"/>
      <c r="W118" s="512"/>
      <c r="X118" s="512"/>
      <c r="Y118" s="678"/>
      <c r="Z118" s="678"/>
      <c r="AA118" s="678"/>
      <c r="AB118" s="678"/>
      <c r="AC118" s="678"/>
      <c r="AD118" s="678"/>
      <c r="AE118" s="678"/>
      <c r="AF118" s="678"/>
      <c r="AG118" s="678"/>
      <c r="AH118" s="678"/>
      <c r="AI118" s="401"/>
      <c r="AJ118" s="401"/>
      <c r="AK118" s="401"/>
      <c r="AL118" s="401"/>
      <c r="AM118" s="401"/>
      <c r="AN118" s="401"/>
      <c r="AO118" s="401"/>
      <c r="AP118" s="401"/>
      <c r="AQ118" s="401"/>
      <c r="AR118" s="401"/>
      <c r="AS118" s="401"/>
      <c r="AT118" s="401"/>
      <c r="AU118" s="401"/>
      <c r="AV118" s="401"/>
      <c r="AW118" s="401"/>
      <c r="AX118" s="401"/>
      <c r="AY118" s="401"/>
      <c r="AZ118" s="401"/>
      <c r="BA118" s="401"/>
      <c r="BB118" s="401"/>
      <c r="BC118" s="401"/>
      <c r="BD118" s="429" t="str">
        <f>B104</f>
        <v>HWY</v>
      </c>
      <c r="BE118" s="435" t="e">
        <f t="shared" ref="BE118:BL118" si="88">F108</f>
        <v>#N/A</v>
      </c>
      <c r="BF118" s="435" t="e">
        <f t="shared" si="88"/>
        <v>#N/A</v>
      </c>
      <c r="BG118" s="435" t="e">
        <f t="shared" si="88"/>
        <v>#N/A</v>
      </c>
      <c r="BH118" s="435" t="e">
        <f t="shared" si="88"/>
        <v>#N/A</v>
      </c>
      <c r="BI118" s="435" t="e">
        <f t="shared" si="88"/>
        <v>#N/A</v>
      </c>
      <c r="BJ118" s="435" t="e">
        <f t="shared" si="88"/>
        <v>#N/A</v>
      </c>
      <c r="BK118" s="435" t="e">
        <f t="shared" si="88"/>
        <v>#N/A</v>
      </c>
      <c r="BL118" s="435" t="e">
        <f t="shared" si="88"/>
        <v>#N/A</v>
      </c>
      <c r="BU118" s="401"/>
      <c r="BV118" s="401"/>
      <c r="BW118" s="401"/>
      <c r="BX118" s="401"/>
      <c r="BY118" s="401"/>
      <c r="BZ118" s="401"/>
    </row>
    <row r="119" spans="1:78" s="405" customFormat="1" ht="15" customHeight="1" outlineLevel="1" x14ac:dyDescent="0.25">
      <c r="A119" s="404"/>
      <c r="B119" s="539"/>
      <c r="C119" s="487"/>
      <c r="D119" s="510"/>
      <c r="E119" s="510"/>
      <c r="F119" s="463"/>
      <c r="G119" s="463"/>
      <c r="H119" s="463"/>
      <c r="I119" s="463"/>
      <c r="J119" s="463"/>
      <c r="K119" s="464"/>
      <c r="L119" s="464"/>
      <c r="M119" s="464"/>
      <c r="N119" s="465"/>
      <c r="O119" s="673"/>
      <c r="P119" s="673"/>
      <c r="Q119" s="673"/>
      <c r="R119" s="674"/>
      <c r="S119" s="672"/>
      <c r="T119" s="673"/>
      <c r="U119" s="673"/>
      <c r="V119" s="674"/>
      <c r="W119" s="512"/>
      <c r="X119" s="512"/>
      <c r="Y119" s="678"/>
      <c r="Z119" s="678"/>
      <c r="AA119" s="678"/>
      <c r="AB119" s="678"/>
      <c r="AC119" s="678"/>
      <c r="AD119" s="678"/>
      <c r="AE119" s="678"/>
      <c r="AF119" s="678"/>
      <c r="AG119" s="678"/>
      <c r="AH119" s="678"/>
      <c r="AI119" s="401"/>
      <c r="AJ119" s="401"/>
      <c r="AK119" s="401"/>
      <c r="AL119" s="401"/>
      <c r="AM119" s="401"/>
      <c r="AN119" s="401"/>
      <c r="AO119" s="401"/>
      <c r="AP119" s="401"/>
      <c r="AQ119" s="401"/>
      <c r="AR119" s="401"/>
      <c r="AS119" s="401"/>
      <c r="AT119" s="401"/>
      <c r="AU119" s="401"/>
      <c r="AV119" s="401"/>
      <c r="AW119" s="401"/>
      <c r="AX119" s="401"/>
      <c r="AY119" s="401"/>
      <c r="AZ119" s="401"/>
      <c r="BA119" s="401"/>
      <c r="BB119" s="401"/>
      <c r="BC119" s="401"/>
      <c r="BD119" s="429">
        <f>B110</f>
        <v>0</v>
      </c>
      <c r="BE119" s="435">
        <f t="shared" ref="BE119:BL119" si="89">F114</f>
        <v>0</v>
      </c>
      <c r="BF119" s="435">
        <f t="shared" si="89"/>
        <v>0</v>
      </c>
      <c r="BG119" s="435">
        <f t="shared" si="89"/>
        <v>0</v>
      </c>
      <c r="BH119" s="435">
        <f t="shared" si="89"/>
        <v>0</v>
      </c>
      <c r="BI119" s="435">
        <f t="shared" si="89"/>
        <v>0</v>
      </c>
      <c r="BJ119" s="435">
        <f t="shared" si="89"/>
        <v>0</v>
      </c>
      <c r="BK119" s="435">
        <f t="shared" si="89"/>
        <v>0</v>
      </c>
      <c r="BL119" s="435">
        <f t="shared" si="89"/>
        <v>0</v>
      </c>
      <c r="BU119" s="401"/>
      <c r="BV119" s="401"/>
      <c r="BW119" s="401"/>
      <c r="BX119" s="401"/>
      <c r="BY119" s="401"/>
      <c r="BZ119" s="401"/>
    </row>
    <row r="120" spans="1:78" s="405" customFormat="1" ht="15" customHeight="1" outlineLevel="1" x14ac:dyDescent="0.25">
      <c r="A120" s="404"/>
      <c r="B120" s="539"/>
      <c r="C120" s="487"/>
      <c r="D120" s="510"/>
      <c r="E120" s="510"/>
      <c r="F120" s="463"/>
      <c r="G120" s="463"/>
      <c r="H120" s="463"/>
      <c r="I120" s="463"/>
      <c r="J120" s="463"/>
      <c r="K120" s="464"/>
      <c r="L120" s="464"/>
      <c r="M120" s="464"/>
      <c r="N120" s="465"/>
      <c r="O120" s="673"/>
      <c r="P120" s="673"/>
      <c r="Q120" s="673"/>
      <c r="R120" s="674"/>
      <c r="S120" s="672"/>
      <c r="T120" s="673"/>
      <c r="U120" s="673"/>
      <c r="V120" s="674"/>
      <c r="W120" s="512"/>
      <c r="X120" s="512"/>
      <c r="Y120" s="678"/>
      <c r="Z120" s="678"/>
      <c r="AA120" s="678"/>
      <c r="AB120" s="678"/>
      <c r="AC120" s="678"/>
      <c r="AD120" s="678"/>
      <c r="AE120" s="678"/>
      <c r="AF120" s="678"/>
      <c r="AG120" s="678"/>
      <c r="AH120" s="678"/>
      <c r="AI120" s="401"/>
      <c r="AJ120" s="401"/>
      <c r="AK120" s="401"/>
      <c r="AL120" s="401"/>
      <c r="AM120" s="401"/>
      <c r="AN120" s="401"/>
      <c r="AO120" s="401"/>
      <c r="AP120" s="401"/>
      <c r="AQ120" s="401"/>
      <c r="AR120" s="401"/>
      <c r="AS120" s="401"/>
      <c r="AT120" s="401"/>
      <c r="AU120" s="401"/>
      <c r="AV120" s="401"/>
      <c r="AW120" s="401"/>
      <c r="AX120" s="401"/>
      <c r="AY120" s="401"/>
      <c r="AZ120" s="401"/>
      <c r="BA120" s="401"/>
      <c r="BB120" s="401"/>
      <c r="BC120" s="401"/>
      <c r="BD120" s="429"/>
      <c r="BE120" s="435"/>
      <c r="BF120" s="435"/>
      <c r="BG120" s="435"/>
      <c r="BH120" s="435"/>
      <c r="BI120" s="435"/>
      <c r="BJ120" s="435"/>
      <c r="BK120" s="435"/>
      <c r="BL120" s="435"/>
      <c r="BU120" s="401"/>
      <c r="BV120" s="401"/>
      <c r="BW120" s="401"/>
      <c r="BX120" s="401"/>
      <c r="BY120" s="401"/>
      <c r="BZ120" s="401"/>
    </row>
    <row r="121" spans="1:78" s="405" customFormat="1" ht="15" customHeight="1" outlineLevel="1" x14ac:dyDescent="0.25">
      <c r="A121" s="404"/>
      <c r="B121" s="539"/>
      <c r="C121" s="487"/>
      <c r="D121" s="510"/>
      <c r="E121" s="510"/>
      <c r="F121" s="466"/>
      <c r="G121" s="466"/>
      <c r="H121" s="466"/>
      <c r="I121" s="466"/>
      <c r="J121" s="466"/>
      <c r="K121" s="464"/>
      <c r="L121" s="464"/>
      <c r="M121" s="464"/>
      <c r="N121" s="467"/>
      <c r="O121" s="673"/>
      <c r="P121" s="673"/>
      <c r="Q121" s="673"/>
      <c r="R121" s="674"/>
      <c r="S121" s="672"/>
      <c r="T121" s="673"/>
      <c r="U121" s="673"/>
      <c r="V121" s="674"/>
      <c r="W121" s="512"/>
      <c r="X121" s="512"/>
      <c r="Y121" s="678"/>
      <c r="Z121" s="678"/>
      <c r="AA121" s="678"/>
      <c r="AB121" s="678"/>
      <c r="AC121" s="678"/>
      <c r="AD121" s="678"/>
      <c r="AE121" s="678"/>
      <c r="AF121" s="678"/>
      <c r="AG121" s="678"/>
      <c r="AH121" s="678"/>
      <c r="AI121" s="401"/>
      <c r="AJ121" s="401"/>
      <c r="AK121" s="401"/>
      <c r="AL121" s="401"/>
      <c r="AM121" s="401"/>
      <c r="AN121" s="401"/>
      <c r="AO121" s="401"/>
      <c r="AP121" s="401"/>
      <c r="AQ121" s="401"/>
      <c r="AR121" s="401"/>
      <c r="AS121" s="401"/>
      <c r="AT121" s="401"/>
      <c r="AU121" s="401"/>
      <c r="AV121" s="401"/>
      <c r="AW121" s="401"/>
      <c r="AX121" s="401"/>
      <c r="AY121" s="401"/>
      <c r="AZ121" s="401"/>
      <c r="BA121" s="401"/>
      <c r="BB121" s="401"/>
      <c r="BC121" s="401"/>
      <c r="BD121" s="429" t="str">
        <f>"IEF " &amp;B104</f>
        <v>IEF HWY</v>
      </c>
      <c r="BE121" s="435">
        <f t="shared" ref="BE121:BL121" si="90">IF(AND(OR($C107="-",$C107="CET",$C107=""),OR(F104="-",F104="CET",F104="")),"-",IF(OR(F104="CET",F104="-",F104=""),IF(OR($C107="CET",$C107="-",$C107=""),"-",$C107),F104))</f>
        <v>2</v>
      </c>
      <c r="BF121" s="435">
        <f t="shared" si="90"/>
        <v>2</v>
      </c>
      <c r="BG121" s="435">
        <f t="shared" si="90"/>
        <v>2</v>
      </c>
      <c r="BH121" s="435">
        <f t="shared" si="90"/>
        <v>2</v>
      </c>
      <c r="BI121" s="435">
        <f t="shared" si="90"/>
        <v>2</v>
      </c>
      <c r="BJ121" s="435">
        <f t="shared" si="90"/>
        <v>2</v>
      </c>
      <c r="BK121" s="435">
        <f t="shared" si="90"/>
        <v>2</v>
      </c>
      <c r="BL121" s="435">
        <f t="shared" si="90"/>
        <v>2</v>
      </c>
      <c r="BU121" s="401"/>
      <c r="BV121" s="401"/>
      <c r="BW121" s="401"/>
      <c r="BX121" s="401"/>
      <c r="BY121" s="401"/>
      <c r="BZ121" s="401"/>
    </row>
    <row r="122" spans="1:78" s="405" customFormat="1" ht="15" customHeight="1" outlineLevel="1" x14ac:dyDescent="0.25">
      <c r="A122" s="404"/>
      <c r="B122" s="539"/>
      <c r="C122" s="487"/>
      <c r="D122" s="510"/>
      <c r="E122" s="510"/>
      <c r="F122" s="466"/>
      <c r="G122" s="466"/>
      <c r="H122" s="466"/>
      <c r="I122" s="466"/>
      <c r="J122" s="466"/>
      <c r="K122" s="464"/>
      <c r="L122" s="464"/>
      <c r="M122" s="464"/>
      <c r="N122" s="467"/>
      <c r="O122" s="673"/>
      <c r="P122" s="673"/>
      <c r="Q122" s="673"/>
      <c r="R122" s="674"/>
      <c r="S122" s="672"/>
      <c r="T122" s="673"/>
      <c r="U122" s="673"/>
      <c r="V122" s="674"/>
      <c r="W122" s="512"/>
      <c r="X122" s="512"/>
      <c r="Y122" s="678"/>
      <c r="Z122" s="678"/>
      <c r="AA122" s="678"/>
      <c r="AB122" s="678"/>
      <c r="AC122" s="678"/>
      <c r="AD122" s="678"/>
      <c r="AE122" s="678"/>
      <c r="AF122" s="678"/>
      <c r="AG122" s="678"/>
      <c r="AH122" s="678"/>
      <c r="AI122" s="401"/>
      <c r="AJ122" s="401"/>
      <c r="AK122" s="401"/>
      <c r="AL122" s="401"/>
      <c r="AM122" s="401"/>
      <c r="AN122" s="401"/>
      <c r="AO122" s="401"/>
      <c r="AP122" s="401"/>
      <c r="AQ122" s="401"/>
      <c r="AR122" s="401"/>
      <c r="AS122" s="401"/>
      <c r="AT122" s="401"/>
      <c r="AU122" s="401"/>
      <c r="AV122" s="401"/>
      <c r="AW122" s="401"/>
      <c r="AX122" s="401"/>
      <c r="AY122" s="401"/>
      <c r="AZ122" s="401"/>
      <c r="BA122" s="401"/>
      <c r="BB122" s="401"/>
      <c r="BC122" s="401"/>
      <c r="BD122" s="429" t="str">
        <f>"IEF " &amp;B110</f>
        <v xml:space="preserve">IEF </v>
      </c>
      <c r="BE122" s="435" t="str">
        <f t="shared" ref="BE122:BL122" si="91">IF(AND(OR($C113="-",$C113="CET",$C113=""),OR(F110="-",F110="CET",F110="")),"-",IF(OR(F110="CET",F110="-",F110=""),IF(OR($C113="CET",$C113="-",$C113=""),"-",$C113),F110))</f>
        <v>-</v>
      </c>
      <c r="BF122" s="435" t="str">
        <f t="shared" si="91"/>
        <v>-</v>
      </c>
      <c r="BG122" s="435" t="str">
        <f t="shared" si="91"/>
        <v>-</v>
      </c>
      <c r="BH122" s="435" t="str">
        <f t="shared" si="91"/>
        <v>-</v>
      </c>
      <c r="BI122" s="435" t="str">
        <f t="shared" si="91"/>
        <v>-</v>
      </c>
      <c r="BJ122" s="435" t="str">
        <f t="shared" si="91"/>
        <v>-</v>
      </c>
      <c r="BK122" s="435" t="str">
        <f t="shared" si="91"/>
        <v>-</v>
      </c>
      <c r="BL122" s="435" t="str">
        <f t="shared" si="91"/>
        <v>-</v>
      </c>
      <c r="BU122" s="401"/>
      <c r="BV122" s="401"/>
      <c r="BW122" s="401"/>
      <c r="BX122" s="401"/>
      <c r="BY122" s="401"/>
      <c r="BZ122" s="401"/>
    </row>
    <row r="123" spans="1:78" s="405" customFormat="1" ht="15.75" outlineLevel="1" thickBot="1" x14ac:dyDescent="0.3">
      <c r="A123" s="401"/>
      <c r="B123" s="540"/>
      <c r="C123" s="496"/>
      <c r="D123" s="516"/>
      <c r="E123" s="516"/>
      <c r="F123" s="516"/>
      <c r="G123" s="516"/>
      <c r="H123" s="516"/>
      <c r="I123" s="516"/>
      <c r="J123" s="516"/>
      <c r="K123" s="470"/>
      <c r="L123" s="470"/>
      <c r="M123" s="470"/>
      <c r="N123" s="471"/>
      <c r="O123" s="676"/>
      <c r="P123" s="676"/>
      <c r="Q123" s="676"/>
      <c r="R123" s="677"/>
      <c r="S123" s="675"/>
      <c r="T123" s="676"/>
      <c r="U123" s="676"/>
      <c r="V123" s="677"/>
      <c r="W123" s="401"/>
      <c r="X123" s="401"/>
      <c r="Y123" s="401"/>
      <c r="Z123" s="401"/>
      <c r="AA123" s="401"/>
      <c r="AB123" s="401"/>
      <c r="AC123" s="401"/>
      <c r="AD123" s="401"/>
      <c r="AE123" s="401"/>
      <c r="AF123" s="401"/>
      <c r="AG123" s="401"/>
      <c r="AH123" s="401"/>
      <c r="AI123" s="401"/>
      <c r="AJ123" s="401"/>
      <c r="AK123" s="401"/>
      <c r="AL123" s="401"/>
      <c r="AM123" s="401"/>
      <c r="AN123" s="401"/>
      <c r="AO123" s="401"/>
      <c r="AP123" s="401"/>
      <c r="AQ123" s="401"/>
      <c r="AR123" s="401"/>
      <c r="AS123" s="401"/>
      <c r="AT123" s="401"/>
      <c r="AU123" s="401"/>
      <c r="AV123" s="401"/>
      <c r="AW123" s="401"/>
      <c r="AX123" s="401"/>
      <c r="AY123" s="401"/>
      <c r="AZ123" s="401"/>
      <c r="BA123" s="401"/>
      <c r="BB123" s="401"/>
      <c r="BC123" s="401"/>
      <c r="BD123" s="459"/>
      <c r="BE123" s="459"/>
      <c r="BF123" s="459"/>
      <c r="BG123" s="459"/>
      <c r="BH123" s="459"/>
      <c r="BI123" s="459"/>
      <c r="BJ123" s="459"/>
      <c r="BK123" s="459"/>
      <c r="BL123" s="459"/>
      <c r="BU123" s="401"/>
      <c r="BV123" s="401"/>
      <c r="BW123" s="401"/>
      <c r="BX123" s="401"/>
      <c r="BY123" s="401"/>
      <c r="BZ123" s="401"/>
    </row>
    <row r="124" spans="1:78" s="405" customFormat="1" ht="15" customHeight="1" x14ac:dyDescent="0.25">
      <c r="A124" s="401"/>
      <c r="B124" s="401"/>
      <c r="C124" s="401"/>
      <c r="D124" s="401"/>
      <c r="E124" s="401"/>
      <c r="F124" s="401"/>
      <c r="G124" s="401"/>
      <c r="H124" s="401"/>
      <c r="I124" s="401"/>
      <c r="J124" s="401"/>
      <c r="K124" s="458"/>
      <c r="L124" s="458"/>
      <c r="M124" s="458"/>
      <c r="N124" s="401"/>
      <c r="O124" s="401"/>
      <c r="P124" s="401"/>
      <c r="Q124" s="401"/>
      <c r="R124" s="401"/>
      <c r="S124" s="401"/>
      <c r="T124" s="401"/>
      <c r="U124" s="401"/>
      <c r="V124" s="401"/>
      <c r="W124" s="401"/>
      <c r="X124" s="401"/>
      <c r="Y124" s="401"/>
      <c r="Z124" s="401"/>
      <c r="AA124" s="401"/>
      <c r="AB124" s="401"/>
      <c r="AC124" s="401"/>
      <c r="AD124" s="401"/>
      <c r="AE124" s="401"/>
      <c r="AF124" s="401"/>
      <c r="AG124" s="401"/>
      <c r="AH124" s="401"/>
      <c r="AI124" s="401"/>
      <c r="AJ124" s="401"/>
      <c r="AK124" s="401"/>
      <c r="AL124" s="401"/>
      <c r="AM124" s="401"/>
      <c r="AN124" s="401"/>
      <c r="AO124" s="401"/>
      <c r="AP124" s="401"/>
      <c r="AQ124" s="401"/>
      <c r="AR124" s="401"/>
      <c r="AS124" s="401"/>
      <c r="AT124" s="401"/>
      <c r="AU124" s="401"/>
      <c r="AV124" s="401"/>
      <c r="AW124" s="401"/>
      <c r="AX124" s="401"/>
      <c r="AY124" s="401"/>
      <c r="AZ124" s="401"/>
      <c r="BA124" s="401"/>
      <c r="BB124" s="401"/>
      <c r="BC124" s="401"/>
      <c r="BD124" s="459"/>
      <c r="BE124" s="459"/>
      <c r="BF124" s="459"/>
      <c r="BG124" s="459"/>
      <c r="BH124" s="459"/>
      <c r="BI124" s="459"/>
      <c r="BJ124" s="459"/>
      <c r="BK124" s="459"/>
      <c r="BL124" s="459"/>
      <c r="BU124" s="401"/>
      <c r="BV124" s="401"/>
      <c r="BW124" s="401"/>
      <c r="BX124" s="401"/>
      <c r="BY124" s="401"/>
      <c r="BZ124" s="401"/>
    </row>
    <row r="125" spans="1:78" s="405" customFormat="1" ht="15" customHeight="1" x14ac:dyDescent="0.25">
      <c r="A125" s="401"/>
      <c r="B125" s="401"/>
      <c r="C125" s="401"/>
      <c r="D125" s="401"/>
      <c r="E125" s="401"/>
      <c r="F125" s="401"/>
      <c r="G125" s="401"/>
      <c r="H125" s="401"/>
      <c r="I125" s="401"/>
      <c r="J125" s="401"/>
      <c r="K125" s="458"/>
      <c r="L125" s="458"/>
      <c r="M125" s="458"/>
      <c r="N125" s="401"/>
      <c r="O125" s="401"/>
      <c r="P125" s="401"/>
      <c r="Q125" s="401"/>
      <c r="R125" s="401"/>
      <c r="S125" s="401"/>
      <c r="T125" s="401"/>
      <c r="U125" s="401"/>
      <c r="V125" s="401"/>
      <c r="W125" s="401"/>
      <c r="X125" s="401"/>
      <c r="Y125" s="401"/>
      <c r="Z125" s="401"/>
      <c r="AA125" s="401"/>
      <c r="AB125" s="401"/>
      <c r="AC125" s="401"/>
      <c r="AD125" s="401"/>
      <c r="AE125" s="401"/>
      <c r="AF125" s="401"/>
      <c r="AG125" s="401"/>
      <c r="AH125" s="401"/>
      <c r="AI125" s="401"/>
      <c r="AJ125" s="401"/>
      <c r="AK125" s="401"/>
      <c r="AL125" s="401"/>
      <c r="AM125" s="401"/>
      <c r="AN125" s="401"/>
      <c r="AO125" s="401"/>
      <c r="AP125" s="401"/>
      <c r="AQ125" s="401"/>
      <c r="AR125" s="401"/>
      <c r="AS125" s="401"/>
      <c r="AT125" s="401"/>
      <c r="AU125" s="401"/>
      <c r="AV125" s="401"/>
      <c r="AW125" s="401"/>
      <c r="AX125" s="401"/>
      <c r="AY125" s="401"/>
      <c r="AZ125" s="401"/>
      <c r="BA125" s="401"/>
      <c r="BB125" s="401"/>
      <c r="BC125" s="401"/>
      <c r="BD125" s="459"/>
      <c r="BE125" s="459"/>
      <c r="BF125" s="459"/>
      <c r="BG125" s="459"/>
      <c r="BH125" s="459"/>
      <c r="BI125" s="459"/>
      <c r="BJ125" s="459"/>
      <c r="BK125" s="459"/>
      <c r="BL125" s="459"/>
      <c r="BU125" s="401"/>
      <c r="BV125" s="401"/>
      <c r="BW125" s="401"/>
      <c r="BX125" s="401"/>
      <c r="BY125" s="401"/>
      <c r="BZ125" s="401"/>
    </row>
    <row r="126" spans="1:78" s="405" customFormat="1" ht="15" customHeight="1" thickBot="1" x14ac:dyDescent="0.3">
      <c r="A126" s="396"/>
      <c r="B126" s="401"/>
      <c r="C126" s="401"/>
      <c r="D126" s="401"/>
      <c r="E126" s="401"/>
      <c r="F126" s="401"/>
      <c r="G126" s="401"/>
      <c r="H126" s="401"/>
      <c r="I126" s="401"/>
      <c r="J126" s="401"/>
      <c r="K126" s="458"/>
      <c r="L126" s="458"/>
      <c r="M126" s="458"/>
      <c r="N126" s="401"/>
      <c r="O126" s="401"/>
      <c r="P126" s="401"/>
      <c r="Q126" s="401"/>
      <c r="R126" s="401"/>
      <c r="S126" s="401"/>
      <c r="T126" s="401"/>
      <c r="U126" s="401"/>
      <c r="V126" s="401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AI126" s="401"/>
      <c r="AJ126" s="401"/>
      <c r="AK126" s="401"/>
      <c r="AL126" s="401"/>
      <c r="AM126" s="401"/>
      <c r="AN126" s="401"/>
      <c r="AO126" s="401"/>
      <c r="AP126" s="401"/>
      <c r="AQ126" s="401"/>
      <c r="AR126" s="401"/>
      <c r="AS126" s="401"/>
      <c r="AT126" s="401"/>
      <c r="AU126" s="401"/>
      <c r="AV126" s="401"/>
      <c r="AW126" s="401"/>
      <c r="AX126" s="401"/>
      <c r="AY126" s="401"/>
      <c r="AZ126" s="401"/>
      <c r="BA126" s="401"/>
      <c r="BB126" s="401"/>
      <c r="BC126" s="401"/>
      <c r="BD126" s="459"/>
      <c r="BE126" s="459"/>
      <c r="BF126" s="459"/>
      <c r="BG126" s="459"/>
      <c r="BH126" s="459"/>
      <c r="BI126" s="459"/>
      <c r="BJ126" s="459"/>
      <c r="BK126" s="459"/>
      <c r="BL126" s="459"/>
      <c r="BU126" s="401"/>
      <c r="BV126" s="401"/>
      <c r="BW126" s="401"/>
      <c r="BX126" s="401"/>
      <c r="BY126" s="401"/>
      <c r="BZ126" s="401"/>
    </row>
    <row r="127" spans="1:78" ht="24.95" customHeight="1" thickBot="1" x14ac:dyDescent="0.3">
      <c r="A127" s="396"/>
      <c r="B127" s="415">
        <v>5</v>
      </c>
      <c r="C127" s="706" t="s">
        <v>109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8"/>
      <c r="O127" s="416" t="s">
        <v>117</v>
      </c>
      <c r="P127" s="398" t="str">
        <f>IF(COUNTIF(F135:M135,"refused")&gt;0,"refused",IF(COUNTIF(F135:M135,"failed")&gt;0,"failed",IF(COUNTIF(F135:M135,"passed")&gt;0,"passed","-")))</f>
        <v>-</v>
      </c>
      <c r="Q127" s="399" t="s">
        <v>80</v>
      </c>
      <c r="R127" s="399" t="str">
        <f>IF(COUNT(F131:M132)&gt;0,"listed","not listed")</f>
        <v>not listed</v>
      </c>
      <c r="S127" s="511"/>
      <c r="T127" s="418"/>
      <c r="U127" s="418"/>
      <c r="V127" s="419"/>
      <c r="W127" s="424"/>
      <c r="X127" s="424"/>
      <c r="Y127" s="698"/>
      <c r="Z127" s="698"/>
      <c r="AA127" s="698"/>
      <c r="AB127" s="698"/>
      <c r="AC127" s="698"/>
      <c r="AD127" s="698"/>
      <c r="AE127" s="698"/>
      <c r="AF127" s="698"/>
      <c r="AG127" s="698"/>
      <c r="AH127" s="698"/>
    </row>
    <row r="128" spans="1:78" ht="15" customHeight="1" outlineLevel="1" thickBot="1" x14ac:dyDescent="0.3">
      <c r="A128" s="396"/>
      <c r="B128" s="513"/>
      <c r="C128" s="514"/>
      <c r="D128" s="514"/>
      <c r="E128" s="514"/>
      <c r="F128" s="514"/>
      <c r="G128" s="514"/>
      <c r="H128" s="514"/>
      <c r="I128" s="514"/>
      <c r="J128" s="514"/>
      <c r="K128" s="421"/>
      <c r="L128" s="421"/>
      <c r="M128" s="421"/>
      <c r="N128" s="514"/>
      <c r="O128" s="514"/>
      <c r="P128" s="514"/>
      <c r="Q128" s="514"/>
      <c r="R128" s="514"/>
      <c r="S128" s="514"/>
      <c r="T128" s="422"/>
      <c r="U128" s="422"/>
      <c r="V128" s="423"/>
      <c r="W128" s="512"/>
      <c r="X128" s="512"/>
      <c r="Y128" s="678"/>
      <c r="Z128" s="678"/>
      <c r="AA128" s="678"/>
      <c r="AB128" s="678"/>
      <c r="AC128" s="678"/>
      <c r="AD128" s="678"/>
      <c r="AE128" s="678"/>
      <c r="AF128" s="678"/>
      <c r="AG128" s="678"/>
      <c r="AH128" s="678"/>
    </row>
    <row r="129" spans="1:78" ht="15" customHeight="1" outlineLevel="1" thickBot="1" x14ac:dyDescent="0.3">
      <c r="A129" s="396"/>
      <c r="B129" s="695" t="s">
        <v>81</v>
      </c>
      <c r="C129" s="696"/>
      <c r="D129" s="696"/>
      <c r="E129" s="696"/>
      <c r="F129" s="696"/>
      <c r="G129" s="696"/>
      <c r="H129" s="696"/>
      <c r="I129" s="696"/>
      <c r="J129" s="696"/>
      <c r="K129" s="696"/>
      <c r="L129" s="696"/>
      <c r="M129" s="696"/>
      <c r="N129" s="697"/>
      <c r="O129" s="695" t="s">
        <v>82</v>
      </c>
      <c r="P129" s="696"/>
      <c r="Q129" s="696"/>
      <c r="R129" s="697"/>
      <c r="S129" s="695" t="s">
        <v>83</v>
      </c>
      <c r="T129" s="696"/>
      <c r="U129" s="696"/>
      <c r="V129" s="697"/>
      <c r="W129" s="512"/>
      <c r="X129" s="512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</row>
    <row r="130" spans="1:78" ht="35.1" customHeight="1" outlineLevel="1" thickBot="1" x14ac:dyDescent="0.3">
      <c r="A130" s="396"/>
      <c r="B130" s="709" t="s">
        <v>84</v>
      </c>
      <c r="C130" s="682"/>
      <c r="D130" s="682"/>
      <c r="E130" s="683"/>
      <c r="F130" s="425" t="s">
        <v>72</v>
      </c>
      <c r="G130" s="517" t="s">
        <v>73</v>
      </c>
      <c r="H130" s="425" t="s">
        <v>74</v>
      </c>
      <c r="I130" s="425" t="s">
        <v>75</v>
      </c>
      <c r="J130" s="425" t="s">
        <v>76</v>
      </c>
      <c r="K130" s="534" t="s">
        <v>170</v>
      </c>
      <c r="L130" s="535" t="str">
        <f>$L$4</f>
        <v>Additional
component</v>
      </c>
      <c r="M130" s="535" t="str">
        <f>$M$4</f>
        <v>Additional
component 2</v>
      </c>
      <c r="N130" s="425" t="s">
        <v>77</v>
      </c>
      <c r="O130" s="669"/>
      <c r="P130" s="670"/>
      <c r="Q130" s="670"/>
      <c r="R130" s="671"/>
      <c r="S130" s="669"/>
      <c r="T130" s="670"/>
      <c r="U130" s="670"/>
      <c r="V130" s="671"/>
      <c r="W130" s="512"/>
      <c r="X130" s="512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BC130" s="536"/>
    </row>
    <row r="131" spans="1:78" s="405" customFormat="1" ht="15" customHeight="1" outlineLevel="1" x14ac:dyDescent="0.25">
      <c r="A131" s="439"/>
      <c r="B131" s="718" t="s">
        <v>108</v>
      </c>
      <c r="C131" s="684" t="s">
        <v>114</v>
      </c>
      <c r="D131" s="684" t="s">
        <v>113</v>
      </c>
      <c r="E131" s="453" t="s">
        <v>94</v>
      </c>
      <c r="F131" s="473" t="s">
        <v>5</v>
      </c>
      <c r="G131" s="473" t="s">
        <v>5</v>
      </c>
      <c r="H131" s="473" t="s">
        <v>5</v>
      </c>
      <c r="I131" s="473" t="s">
        <v>5</v>
      </c>
      <c r="J131" s="473" t="s">
        <v>5</v>
      </c>
      <c r="K131" s="474" t="s">
        <v>5</v>
      </c>
      <c r="L131" s="474" t="s">
        <v>5</v>
      </c>
      <c r="M131" s="474" t="s">
        <v>5</v>
      </c>
      <c r="N131" s="473" t="s">
        <v>5</v>
      </c>
      <c r="O131" s="672"/>
      <c r="P131" s="673"/>
      <c r="Q131" s="673"/>
      <c r="R131" s="674"/>
      <c r="S131" s="672"/>
      <c r="T131" s="673"/>
      <c r="U131" s="673"/>
      <c r="V131" s="674"/>
      <c r="W131" s="443"/>
      <c r="X131" s="443"/>
      <c r="Y131" s="678"/>
      <c r="Z131" s="678"/>
      <c r="AA131" s="678"/>
      <c r="AB131" s="678"/>
      <c r="AC131" s="678"/>
      <c r="AD131" s="678"/>
      <c r="AE131" s="678"/>
      <c r="AF131" s="678"/>
      <c r="AG131" s="678"/>
      <c r="AH131" s="678"/>
    </row>
    <row r="132" spans="1:78" s="405" customFormat="1" ht="15" customHeight="1" outlineLevel="1" thickBot="1" x14ac:dyDescent="0.3">
      <c r="A132" s="396"/>
      <c r="B132" s="719"/>
      <c r="C132" s="702"/>
      <c r="D132" s="685"/>
      <c r="E132" s="440" t="s">
        <v>95</v>
      </c>
      <c r="F132" s="475" t="s">
        <v>5</v>
      </c>
      <c r="G132" s="475" t="s">
        <v>5</v>
      </c>
      <c r="H132" s="475" t="s">
        <v>5</v>
      </c>
      <c r="I132" s="475" t="s">
        <v>5</v>
      </c>
      <c r="J132" s="475" t="s">
        <v>5</v>
      </c>
      <c r="K132" s="476" t="s">
        <v>5</v>
      </c>
      <c r="L132" s="476" t="s">
        <v>5</v>
      </c>
      <c r="M132" s="476" t="s">
        <v>5</v>
      </c>
      <c r="N132" s="475" t="s">
        <v>5</v>
      </c>
      <c r="O132" s="672"/>
      <c r="P132" s="673"/>
      <c r="Q132" s="673"/>
      <c r="R132" s="674"/>
      <c r="S132" s="672"/>
      <c r="T132" s="673"/>
      <c r="U132" s="673"/>
      <c r="V132" s="674"/>
      <c r="W132" s="512"/>
      <c r="X132" s="512"/>
      <c r="Y132" s="678"/>
      <c r="Z132" s="678"/>
      <c r="AA132" s="678"/>
      <c r="AB132" s="678"/>
      <c r="AC132" s="678"/>
      <c r="AD132" s="678"/>
      <c r="AE132" s="678"/>
      <c r="AF132" s="678"/>
      <c r="AG132" s="678"/>
      <c r="AH132" s="678"/>
      <c r="AI132" s="401"/>
      <c r="AJ132" s="401"/>
      <c r="AK132" s="401"/>
      <c r="AL132" s="401"/>
      <c r="AM132" s="401"/>
      <c r="AN132" s="401"/>
      <c r="AO132" s="401"/>
      <c r="AP132" s="401"/>
      <c r="AQ132" s="401"/>
      <c r="AR132" s="401"/>
      <c r="AS132" s="401"/>
      <c r="AT132" s="401"/>
      <c r="AU132" s="401"/>
      <c r="AV132" s="401"/>
      <c r="AW132" s="401"/>
      <c r="AX132" s="401"/>
      <c r="AY132" s="401"/>
      <c r="AZ132" s="401"/>
      <c r="BA132" s="401"/>
      <c r="BB132" s="401"/>
      <c r="BC132" s="401"/>
      <c r="BU132" s="401"/>
      <c r="BV132" s="401"/>
      <c r="BW132" s="401"/>
      <c r="BX132" s="401"/>
      <c r="BY132" s="401"/>
      <c r="BZ132" s="401"/>
    </row>
    <row r="133" spans="1:78" s="405" customFormat="1" ht="15" customHeight="1" outlineLevel="1" thickBot="1" x14ac:dyDescent="0.3">
      <c r="A133" s="396"/>
      <c r="B133" s="719"/>
      <c r="C133" s="686" t="s">
        <v>5</v>
      </c>
      <c r="D133" s="689" t="str">
        <f>IF(AND(F133="-",G133="-",H133="-",I133="-",J133="-",K133="-",L133="-",M133="-"),"-",MAX(F133,G133,H133,I133,J133,K133,L133,M133))</f>
        <v>-</v>
      </c>
      <c r="E133" s="444" t="s">
        <v>177</v>
      </c>
      <c r="F133" s="445" t="str">
        <f t="shared" ref="F133:M133" si="92">IF(OR(F132="-",F132=""),IF(OR(F131="-",F131=""),"-",F131),IF(OR(F131="-",F131=""),F132,(F131+F132)/2))</f>
        <v>-</v>
      </c>
      <c r="G133" s="445" t="str">
        <f t="shared" si="92"/>
        <v>-</v>
      </c>
      <c r="H133" s="445" t="str">
        <f t="shared" si="92"/>
        <v>-</v>
      </c>
      <c r="I133" s="445" t="str">
        <f t="shared" si="92"/>
        <v>-</v>
      </c>
      <c r="J133" s="445" t="str">
        <f t="shared" si="92"/>
        <v>-</v>
      </c>
      <c r="K133" s="446" t="str">
        <f t="shared" si="92"/>
        <v>-</v>
      </c>
      <c r="L133" s="446" t="str">
        <f t="shared" si="92"/>
        <v>-</v>
      </c>
      <c r="M133" s="446" t="str">
        <f t="shared" si="92"/>
        <v>-</v>
      </c>
      <c r="N133" s="828"/>
      <c r="O133" s="672"/>
      <c r="P133" s="673"/>
      <c r="Q133" s="673"/>
      <c r="R133" s="674"/>
      <c r="S133" s="672"/>
      <c r="T133" s="673"/>
      <c r="U133" s="673"/>
      <c r="V133" s="674"/>
      <c r="W133" s="512"/>
      <c r="X133" s="512"/>
      <c r="Y133" s="678"/>
      <c r="Z133" s="678"/>
      <c r="AA133" s="678"/>
      <c r="AB133" s="678"/>
      <c r="AC133" s="678"/>
      <c r="AD133" s="678"/>
      <c r="AE133" s="678"/>
      <c r="AF133" s="678"/>
      <c r="AG133" s="678"/>
      <c r="AH133" s="678"/>
      <c r="AI133" s="401"/>
      <c r="AJ133" s="401"/>
      <c r="AK133" s="401"/>
      <c r="AL133" s="401"/>
      <c r="AM133" s="401"/>
      <c r="AN133" s="401"/>
      <c r="AO133" s="401"/>
      <c r="AP133" s="401"/>
      <c r="AQ133" s="401"/>
      <c r="AR133" s="401"/>
      <c r="AS133" s="401"/>
      <c r="AT133" s="401"/>
      <c r="AU133" s="401"/>
      <c r="AV133" s="401"/>
      <c r="AW133" s="401"/>
      <c r="AX133" s="401"/>
      <c r="AY133" s="401"/>
      <c r="AZ133" s="401"/>
      <c r="BA133" s="401"/>
      <c r="BB133" s="401"/>
      <c r="BC133" s="401"/>
      <c r="BU133" s="401"/>
      <c r="BV133" s="401"/>
      <c r="BW133" s="401"/>
      <c r="BX133" s="401"/>
      <c r="BY133" s="401"/>
      <c r="BZ133" s="401"/>
    </row>
    <row r="134" spans="1:78" s="405" customFormat="1" ht="15" customHeight="1" outlineLevel="1" thickBot="1" x14ac:dyDescent="0.3">
      <c r="A134" s="396"/>
      <c r="B134" s="719"/>
      <c r="C134" s="687"/>
      <c r="D134" s="690"/>
      <c r="E134" s="447" t="s">
        <v>97</v>
      </c>
      <c r="F134" s="448" t="str">
        <f t="shared" ref="F134:M134" si="93">IF(OR($C133="-",$C133="CET",$C133=""),"-",IF(AND(NOT(F133="-"),NOT(F$5="-"),NOT(F$5="")),F133/F$5,"-"))</f>
        <v>-</v>
      </c>
      <c r="G134" s="448" t="str">
        <f t="shared" si="93"/>
        <v>-</v>
      </c>
      <c r="H134" s="448" t="str">
        <f t="shared" si="93"/>
        <v>-</v>
      </c>
      <c r="I134" s="448" t="str">
        <f t="shared" si="93"/>
        <v>-</v>
      </c>
      <c r="J134" s="448" t="str">
        <f t="shared" si="93"/>
        <v>-</v>
      </c>
      <c r="K134" s="449" t="str">
        <f t="shared" si="93"/>
        <v>-</v>
      </c>
      <c r="L134" s="449" t="str">
        <f t="shared" si="93"/>
        <v>-</v>
      </c>
      <c r="M134" s="449" t="str">
        <f t="shared" si="93"/>
        <v>-</v>
      </c>
      <c r="N134" s="702"/>
      <c r="O134" s="672"/>
      <c r="P134" s="673"/>
      <c r="Q134" s="673"/>
      <c r="R134" s="674"/>
      <c r="S134" s="672"/>
      <c r="T134" s="673"/>
      <c r="U134" s="673"/>
      <c r="V134" s="674"/>
      <c r="W134" s="512"/>
      <c r="X134" s="512"/>
      <c r="Y134" s="678"/>
      <c r="Z134" s="678"/>
      <c r="AA134" s="678"/>
      <c r="AB134" s="678"/>
      <c r="AC134" s="678"/>
      <c r="AD134" s="678"/>
      <c r="AE134" s="678"/>
      <c r="AF134" s="678"/>
      <c r="AG134" s="678"/>
      <c r="AH134" s="678"/>
      <c r="AI134" s="401"/>
      <c r="AJ134" s="401"/>
      <c r="AK134" s="401"/>
      <c r="AL134" s="401"/>
      <c r="AM134" s="401"/>
      <c r="AN134" s="401"/>
      <c r="AO134" s="401"/>
      <c r="AP134" s="401"/>
      <c r="AQ134" s="401"/>
      <c r="AR134" s="401"/>
      <c r="AS134" s="401"/>
      <c r="AT134" s="401"/>
      <c r="AU134" s="401"/>
      <c r="AV134" s="401"/>
      <c r="AW134" s="401"/>
      <c r="AX134" s="401"/>
      <c r="AY134" s="401"/>
      <c r="AZ134" s="401"/>
      <c r="BA134" s="401"/>
      <c r="BB134" s="401"/>
      <c r="BC134" s="401"/>
      <c r="BD134" s="429" t="s">
        <v>85</v>
      </c>
      <c r="BE134" s="430" t="s">
        <v>86</v>
      </c>
      <c r="BF134" s="430" t="s">
        <v>87</v>
      </c>
      <c r="BG134" s="430" t="s">
        <v>88</v>
      </c>
      <c r="BH134" s="430" t="s">
        <v>89</v>
      </c>
      <c r="BI134" s="430" t="s">
        <v>90</v>
      </c>
      <c r="BJ134" s="430" t="s">
        <v>91</v>
      </c>
      <c r="BK134" s="430" t="s">
        <v>91</v>
      </c>
      <c r="BL134" s="430" t="s">
        <v>91</v>
      </c>
      <c r="BU134" s="401"/>
      <c r="BV134" s="401"/>
      <c r="BW134" s="401"/>
      <c r="BX134" s="401"/>
      <c r="BY134" s="401"/>
      <c r="BZ134" s="401"/>
    </row>
    <row r="135" spans="1:78" s="405" customFormat="1" ht="15" customHeight="1" outlineLevel="1" thickBot="1" x14ac:dyDescent="0.3">
      <c r="A135" s="396"/>
      <c r="B135" s="720"/>
      <c r="C135" s="688"/>
      <c r="D135" s="691"/>
      <c r="E135" s="451" t="s">
        <v>30</v>
      </c>
      <c r="F135" s="451" t="str">
        <f t="shared" ref="F135:M135" si="94">IF(AND(OR(F131="-",F131=""),OR(F132="-",F132="")),"-",IF(OR($C133="-",$C133="",$C133="CET"),"-",IF($R$127="not listed","-",IF(NOT(F$5="-"),IF(AND(AND(NOT(F131=0),NOT(F131="-"),NOT(F131="")),AND(NOT(F132="-"),NOT(F132=0),NOT(F132=""))),IF(AND((F131+F132)/2&lt;1*F$5*IF(OR($C133="CET",$C133="-",$C133=""),"-",$C133),F131&lt;1.1*F$5*IF(OR($C133="CET",$C133="-",$C133=""),"-",$C133),F132&lt;1.1*F$5*IF(OR($C133="CET",$C133="-",$C133=""),"-",$C133)),"passed","refused"),IF(IF(OR(F131="-",F131=""),F132,F131)&lt;0.7*F$5*IF(OR($C133="CET",$C133="-",$C133=""),"-",$C133),"passed",IF(IF(OR(F131="-",F131=""),F132,F131)&lt;1.1*IF(OR($C133="CET",$C133="-",$C133=""),"-",$C133)*F$5,"failed","refused"))),"-"))))</f>
        <v>-</v>
      </c>
      <c r="G135" s="451" t="str">
        <f t="shared" si="94"/>
        <v>-</v>
      </c>
      <c r="H135" s="451" t="str">
        <f t="shared" si="94"/>
        <v>-</v>
      </c>
      <c r="I135" s="451" t="str">
        <f t="shared" si="94"/>
        <v>-</v>
      </c>
      <c r="J135" s="451" t="str">
        <f t="shared" si="94"/>
        <v>-</v>
      </c>
      <c r="K135" s="452" t="str">
        <f t="shared" si="94"/>
        <v>-</v>
      </c>
      <c r="L135" s="452" t="str">
        <f t="shared" si="94"/>
        <v>-</v>
      </c>
      <c r="M135" s="452" t="str">
        <f t="shared" si="94"/>
        <v>-</v>
      </c>
      <c r="N135" s="685"/>
      <c r="O135" s="672"/>
      <c r="P135" s="673"/>
      <c r="Q135" s="673"/>
      <c r="R135" s="674"/>
      <c r="S135" s="672"/>
      <c r="T135" s="673"/>
      <c r="U135" s="673"/>
      <c r="V135" s="674"/>
      <c r="W135" s="512"/>
      <c r="X135" s="512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401"/>
      <c r="AJ135" s="401"/>
      <c r="AK135" s="401"/>
      <c r="AL135" s="401"/>
      <c r="AM135" s="401"/>
      <c r="AN135" s="401"/>
      <c r="AO135" s="401"/>
      <c r="AP135" s="401"/>
      <c r="AQ135" s="401"/>
      <c r="AR135" s="401"/>
      <c r="AS135" s="401"/>
      <c r="AT135" s="401"/>
      <c r="AU135" s="401"/>
      <c r="AV135" s="401"/>
      <c r="AW135" s="401"/>
      <c r="AX135" s="401"/>
      <c r="AY135" s="401"/>
      <c r="AZ135" s="401"/>
      <c r="BA135" s="401"/>
      <c r="BB135" s="401"/>
      <c r="BC135" s="399" t="str">
        <f>IF(COUNTIF(F135:M135,"refused")&gt;0,"refused",IF(COUNTIF(F135:M135,"failed")&gt;0,"failed",IF(COUNTIF(F135:M135,"passed")&gt;0,"passed","-")))</f>
        <v>-</v>
      </c>
      <c r="BD135" s="429">
        <f>$E$4</f>
        <v>0</v>
      </c>
      <c r="BE135" s="435">
        <v>1</v>
      </c>
      <c r="BF135" s="435">
        <v>1</v>
      </c>
      <c r="BG135" s="435">
        <v>1</v>
      </c>
      <c r="BH135" s="435">
        <v>1</v>
      </c>
      <c r="BI135" s="435">
        <v>1</v>
      </c>
      <c r="BJ135" s="435">
        <v>1</v>
      </c>
      <c r="BK135" s="435">
        <v>2</v>
      </c>
      <c r="BL135" s="435">
        <v>3</v>
      </c>
      <c r="BU135" s="401"/>
      <c r="BV135" s="401"/>
      <c r="BW135" s="401"/>
      <c r="BX135" s="401"/>
      <c r="BY135" s="401"/>
      <c r="BZ135" s="401"/>
    </row>
    <row r="136" spans="1:78" s="405" customFormat="1" ht="15" customHeight="1" outlineLevel="1" x14ac:dyDescent="0.25">
      <c r="A136" s="396"/>
      <c r="B136" s="721"/>
      <c r="C136" s="668"/>
      <c r="D136" s="510"/>
      <c r="E136" s="510"/>
      <c r="F136" s="463"/>
      <c r="G136" s="463"/>
      <c r="H136" s="463"/>
      <c r="I136" s="463"/>
      <c r="J136" s="463"/>
      <c r="K136" s="464"/>
      <c r="L136" s="464"/>
      <c r="M136" s="464"/>
      <c r="N136" s="465"/>
      <c r="O136" s="672"/>
      <c r="P136" s="673"/>
      <c r="Q136" s="673"/>
      <c r="R136" s="674"/>
      <c r="S136" s="672"/>
      <c r="T136" s="673"/>
      <c r="U136" s="673"/>
      <c r="V136" s="674"/>
      <c r="W136" s="512"/>
      <c r="X136" s="512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401"/>
      <c r="AJ136" s="401"/>
      <c r="AK136" s="401"/>
      <c r="AL136" s="401"/>
      <c r="AM136" s="401"/>
      <c r="AN136" s="401"/>
      <c r="AO136" s="401"/>
      <c r="AP136" s="401"/>
      <c r="AQ136" s="401"/>
      <c r="AR136" s="401"/>
      <c r="AS136" s="401"/>
      <c r="AT136" s="401"/>
      <c r="AU136" s="401"/>
      <c r="AV136" s="401"/>
      <c r="AW136" s="401"/>
      <c r="AX136" s="401"/>
      <c r="AY136" s="401"/>
      <c r="AZ136" s="401"/>
      <c r="BA136" s="401"/>
      <c r="BB136" s="401"/>
      <c r="BC136" s="401"/>
      <c r="BD136" s="429" t="str">
        <f>"1st " &amp;  B131</f>
        <v>1st s.s.e.t.</v>
      </c>
      <c r="BE136" s="435" t="str">
        <f t="shared" ref="BE136:BL136" si="95">IF((OR($C133="-",$C133="CET",$C133="")),"-",IF(AND(OR(F131="-",F131=""),OR(F132="-",F132="")),"-",IF(NOT(OR(F131="-",F131="")),F131/F$5,F132/F$5)))</f>
        <v>-</v>
      </c>
      <c r="BF136" s="435" t="str">
        <f t="shared" si="95"/>
        <v>-</v>
      </c>
      <c r="BG136" s="435" t="str">
        <f t="shared" si="95"/>
        <v>-</v>
      </c>
      <c r="BH136" s="435" t="str">
        <f t="shared" si="95"/>
        <v>-</v>
      </c>
      <c r="BI136" s="435" t="str">
        <f t="shared" si="95"/>
        <v>-</v>
      </c>
      <c r="BJ136" s="435" t="str">
        <f t="shared" si="95"/>
        <v>-</v>
      </c>
      <c r="BK136" s="435" t="str">
        <f t="shared" si="95"/>
        <v>-</v>
      </c>
      <c r="BL136" s="435" t="str">
        <f t="shared" si="95"/>
        <v>-</v>
      </c>
      <c r="BU136" s="401"/>
      <c r="BV136" s="401"/>
      <c r="BW136" s="401"/>
      <c r="BX136" s="401"/>
      <c r="BY136" s="401"/>
      <c r="BZ136" s="401"/>
    </row>
    <row r="137" spans="1:78" s="405" customFormat="1" ht="15" customHeight="1" outlineLevel="1" x14ac:dyDescent="0.25">
      <c r="A137" s="396"/>
      <c r="B137" s="721"/>
      <c r="C137" s="668"/>
      <c r="D137" s="510"/>
      <c r="E137" s="510"/>
      <c r="F137" s="463"/>
      <c r="G137" s="463"/>
      <c r="H137" s="463"/>
      <c r="I137" s="463"/>
      <c r="J137" s="463"/>
      <c r="K137" s="464"/>
      <c r="L137" s="464"/>
      <c r="M137" s="464"/>
      <c r="N137" s="465"/>
      <c r="O137" s="672"/>
      <c r="P137" s="673"/>
      <c r="Q137" s="673"/>
      <c r="R137" s="674"/>
      <c r="S137" s="672"/>
      <c r="T137" s="673"/>
      <c r="U137" s="673"/>
      <c r="V137" s="674"/>
      <c r="W137" s="512"/>
      <c r="X137" s="512"/>
      <c r="Y137" s="678"/>
      <c r="Z137" s="678"/>
      <c r="AA137" s="678"/>
      <c r="AB137" s="678"/>
      <c r="AC137" s="678"/>
      <c r="AD137" s="678"/>
      <c r="AE137" s="678"/>
      <c r="AF137" s="678"/>
      <c r="AG137" s="678"/>
      <c r="AH137" s="678"/>
      <c r="AI137" s="401"/>
      <c r="AJ137" s="401"/>
      <c r="AK137" s="401"/>
      <c r="AL137" s="401"/>
      <c r="AM137" s="401"/>
      <c r="AN137" s="401"/>
      <c r="AO137" s="401"/>
      <c r="AP137" s="401"/>
      <c r="AQ137" s="401"/>
      <c r="AR137" s="401"/>
      <c r="AS137" s="401"/>
      <c r="AT137" s="401"/>
      <c r="AU137" s="401"/>
      <c r="AV137" s="401"/>
      <c r="AW137" s="401"/>
      <c r="AX137" s="401"/>
      <c r="AY137" s="401"/>
      <c r="AZ137" s="401"/>
      <c r="BA137" s="401"/>
      <c r="BB137" s="401"/>
      <c r="BC137" s="401"/>
      <c r="BD137" s="429"/>
      <c r="BE137" s="435"/>
      <c r="BF137" s="435"/>
      <c r="BG137" s="435"/>
      <c r="BH137" s="435"/>
      <c r="BI137" s="435"/>
      <c r="BJ137" s="435"/>
      <c r="BK137" s="435"/>
      <c r="BL137" s="435"/>
      <c r="BU137" s="401"/>
      <c r="BV137" s="401"/>
      <c r="BW137" s="401"/>
      <c r="BX137" s="401"/>
      <c r="BY137" s="401"/>
      <c r="BZ137" s="401"/>
    </row>
    <row r="138" spans="1:78" s="405" customFormat="1" ht="15" customHeight="1" outlineLevel="1" x14ac:dyDescent="0.25">
      <c r="A138" s="396"/>
      <c r="B138" s="721"/>
      <c r="C138" s="668"/>
      <c r="D138" s="510"/>
      <c r="E138" s="510"/>
      <c r="F138" s="466"/>
      <c r="G138" s="466"/>
      <c r="H138" s="466"/>
      <c r="I138" s="466"/>
      <c r="J138" s="466"/>
      <c r="K138" s="464"/>
      <c r="L138" s="464"/>
      <c r="M138" s="464"/>
      <c r="N138" s="467"/>
      <c r="O138" s="672"/>
      <c r="P138" s="673"/>
      <c r="Q138" s="673"/>
      <c r="R138" s="674"/>
      <c r="S138" s="672"/>
      <c r="T138" s="673"/>
      <c r="U138" s="673"/>
      <c r="V138" s="674"/>
      <c r="W138" s="512"/>
      <c r="X138" s="512"/>
      <c r="Y138" s="678"/>
      <c r="Z138" s="678"/>
      <c r="AA138" s="678"/>
      <c r="AB138" s="678"/>
      <c r="AC138" s="678"/>
      <c r="AD138" s="678"/>
      <c r="AE138" s="678"/>
      <c r="AF138" s="678"/>
      <c r="AG138" s="678"/>
      <c r="AH138" s="678"/>
      <c r="AI138" s="401"/>
      <c r="AJ138" s="401"/>
      <c r="AK138" s="401"/>
      <c r="AL138" s="401"/>
      <c r="AM138" s="401"/>
      <c r="AN138" s="401"/>
      <c r="AO138" s="401"/>
      <c r="AP138" s="401"/>
      <c r="AQ138" s="401"/>
      <c r="AR138" s="401"/>
      <c r="AS138" s="401"/>
      <c r="AT138" s="401"/>
      <c r="AU138" s="401"/>
      <c r="AV138" s="401"/>
      <c r="AW138" s="401"/>
      <c r="AX138" s="401"/>
      <c r="AY138" s="401"/>
      <c r="AZ138" s="401"/>
      <c r="BA138" s="401"/>
      <c r="BB138" s="401"/>
      <c r="BC138" s="401"/>
      <c r="BD138" s="429"/>
      <c r="BE138" s="435"/>
      <c r="BF138" s="435"/>
      <c r="BG138" s="435"/>
      <c r="BH138" s="435"/>
      <c r="BI138" s="435"/>
      <c r="BJ138" s="435"/>
      <c r="BK138" s="435"/>
      <c r="BL138" s="435"/>
      <c r="BU138" s="401"/>
      <c r="BV138" s="401"/>
      <c r="BW138" s="401"/>
      <c r="BX138" s="401"/>
      <c r="BY138" s="401"/>
      <c r="BZ138" s="401"/>
    </row>
    <row r="139" spans="1:78" s="405" customFormat="1" ht="15" customHeight="1" outlineLevel="1" x14ac:dyDescent="0.25">
      <c r="A139" s="404"/>
      <c r="B139" s="721"/>
      <c r="C139" s="668"/>
      <c r="D139" s="510"/>
      <c r="E139" s="510"/>
      <c r="F139" s="466"/>
      <c r="G139" s="466"/>
      <c r="H139" s="466"/>
      <c r="I139" s="466"/>
      <c r="J139" s="466"/>
      <c r="K139" s="464"/>
      <c r="L139" s="464"/>
      <c r="M139" s="464"/>
      <c r="N139" s="467"/>
      <c r="O139" s="672"/>
      <c r="P139" s="673"/>
      <c r="Q139" s="673"/>
      <c r="R139" s="674"/>
      <c r="S139" s="672"/>
      <c r="T139" s="673"/>
      <c r="U139" s="673"/>
      <c r="V139" s="674"/>
      <c r="W139" s="512"/>
      <c r="X139" s="512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AI139" s="401"/>
      <c r="AJ139" s="401"/>
      <c r="AK139" s="401"/>
      <c r="AL139" s="401"/>
      <c r="AM139" s="401"/>
      <c r="AN139" s="401"/>
      <c r="AO139" s="401"/>
      <c r="AP139" s="401"/>
      <c r="AQ139" s="401"/>
      <c r="AR139" s="401"/>
      <c r="AS139" s="401"/>
      <c r="AT139" s="401"/>
      <c r="AU139" s="401"/>
      <c r="AV139" s="401"/>
      <c r="AW139" s="401"/>
      <c r="AX139" s="401"/>
      <c r="AY139" s="401"/>
      <c r="AZ139" s="401"/>
      <c r="BA139" s="401"/>
      <c r="BB139" s="401"/>
      <c r="BC139" s="401"/>
      <c r="BD139" s="429"/>
      <c r="BE139" s="435"/>
      <c r="BF139" s="435"/>
      <c r="BG139" s="435"/>
      <c r="BH139" s="435"/>
      <c r="BI139" s="435"/>
      <c r="BJ139" s="435"/>
      <c r="BK139" s="435"/>
      <c r="BL139" s="435"/>
      <c r="BU139" s="401"/>
      <c r="BV139" s="401"/>
      <c r="BW139" s="401"/>
      <c r="BX139" s="401"/>
      <c r="BY139" s="401"/>
      <c r="BZ139" s="401"/>
    </row>
    <row r="140" spans="1:78" s="405" customFormat="1" ht="15" customHeight="1" outlineLevel="1" x14ac:dyDescent="0.25">
      <c r="A140" s="404"/>
      <c r="B140" s="721"/>
      <c r="C140" s="668"/>
      <c r="D140" s="510"/>
      <c r="E140" s="510"/>
      <c r="F140" s="510"/>
      <c r="G140" s="510"/>
      <c r="H140" s="510"/>
      <c r="I140" s="510"/>
      <c r="J140" s="510"/>
      <c r="K140" s="464"/>
      <c r="L140" s="464"/>
      <c r="M140" s="464"/>
      <c r="N140" s="468"/>
      <c r="O140" s="672"/>
      <c r="P140" s="673"/>
      <c r="Q140" s="673"/>
      <c r="R140" s="674"/>
      <c r="S140" s="672"/>
      <c r="T140" s="673"/>
      <c r="U140" s="673"/>
      <c r="V140" s="674"/>
      <c r="W140" s="512"/>
      <c r="X140" s="512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401"/>
      <c r="AJ140" s="401"/>
      <c r="AK140" s="401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401"/>
      <c r="BD140" s="429" t="str">
        <f>"0.7*IEF " &amp; (B131)</f>
        <v>0.7*IEF s.s.e.t.</v>
      </c>
      <c r="BE140" s="435" t="str">
        <f t="shared" ref="BE140:BL140" si="96">IF(OR($C133="-",$C133="CET",$C133=""),"-",0.7*$C133)</f>
        <v>-</v>
      </c>
      <c r="BF140" s="435" t="str">
        <f t="shared" si="96"/>
        <v>-</v>
      </c>
      <c r="BG140" s="435" t="str">
        <f t="shared" si="96"/>
        <v>-</v>
      </c>
      <c r="BH140" s="435" t="str">
        <f t="shared" si="96"/>
        <v>-</v>
      </c>
      <c r="BI140" s="435" t="str">
        <f t="shared" si="96"/>
        <v>-</v>
      </c>
      <c r="BJ140" s="435" t="str">
        <f t="shared" si="96"/>
        <v>-</v>
      </c>
      <c r="BK140" s="435" t="str">
        <f t="shared" si="96"/>
        <v>-</v>
      </c>
      <c r="BL140" s="435" t="str">
        <f t="shared" si="96"/>
        <v>-</v>
      </c>
      <c r="BU140" s="401"/>
      <c r="BV140" s="401"/>
      <c r="BW140" s="401"/>
      <c r="BX140" s="401"/>
      <c r="BY140" s="401"/>
      <c r="BZ140" s="401"/>
    </row>
    <row r="141" spans="1:78" s="405" customFormat="1" ht="15" customHeight="1" outlineLevel="1" x14ac:dyDescent="0.25">
      <c r="A141" s="404"/>
      <c r="B141" s="721"/>
      <c r="C141" s="668"/>
      <c r="D141" s="510"/>
      <c r="E141" s="510"/>
      <c r="F141" s="463"/>
      <c r="G141" s="463"/>
      <c r="H141" s="463"/>
      <c r="I141" s="463"/>
      <c r="J141" s="463"/>
      <c r="K141" s="464"/>
      <c r="L141" s="464"/>
      <c r="M141" s="464"/>
      <c r="N141" s="465"/>
      <c r="O141" s="672"/>
      <c r="P141" s="673"/>
      <c r="Q141" s="673"/>
      <c r="R141" s="674"/>
      <c r="S141" s="672"/>
      <c r="T141" s="673"/>
      <c r="U141" s="673"/>
      <c r="V141" s="674"/>
      <c r="W141" s="512"/>
      <c r="X141" s="512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401"/>
      <c r="AJ141" s="401"/>
      <c r="AK141" s="401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401"/>
      <c r="BD141" s="429"/>
      <c r="BE141" s="435"/>
      <c r="BF141" s="435"/>
      <c r="BG141" s="435"/>
      <c r="BH141" s="435"/>
      <c r="BI141" s="435"/>
      <c r="BJ141" s="435"/>
      <c r="BK141" s="435"/>
      <c r="BL141" s="435"/>
      <c r="BU141" s="401"/>
      <c r="BV141" s="401"/>
      <c r="BW141" s="401"/>
      <c r="BX141" s="401"/>
      <c r="BY141" s="401"/>
      <c r="BZ141" s="401"/>
    </row>
    <row r="142" spans="1:78" s="405" customFormat="1" ht="15" customHeight="1" outlineLevel="1" x14ac:dyDescent="0.25">
      <c r="A142" s="404"/>
      <c r="B142" s="721"/>
      <c r="C142" s="668"/>
      <c r="D142" s="510"/>
      <c r="E142" s="510"/>
      <c r="F142" s="463"/>
      <c r="G142" s="463"/>
      <c r="H142" s="463"/>
      <c r="I142" s="463"/>
      <c r="J142" s="463"/>
      <c r="K142" s="464"/>
      <c r="L142" s="464"/>
      <c r="M142" s="464"/>
      <c r="N142" s="465"/>
      <c r="O142" s="672"/>
      <c r="P142" s="673"/>
      <c r="Q142" s="673"/>
      <c r="R142" s="674"/>
      <c r="S142" s="672"/>
      <c r="T142" s="673"/>
      <c r="U142" s="673"/>
      <c r="V142" s="674"/>
      <c r="W142" s="512"/>
      <c r="X142" s="512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401"/>
      <c r="AJ142" s="401"/>
      <c r="AK142" s="401"/>
      <c r="AL142" s="401"/>
      <c r="AM142" s="401"/>
      <c r="AN142" s="401"/>
      <c r="AO142" s="401"/>
      <c r="AP142" s="401"/>
      <c r="AQ142" s="401"/>
      <c r="AR142" s="401"/>
      <c r="AS142" s="401"/>
      <c r="AT142" s="401"/>
      <c r="AU142" s="401"/>
      <c r="AV142" s="401"/>
      <c r="AW142" s="401"/>
      <c r="AX142" s="401"/>
      <c r="AY142" s="401"/>
      <c r="AZ142" s="401"/>
      <c r="BA142" s="401"/>
      <c r="BB142" s="401"/>
      <c r="BC142" s="401"/>
      <c r="BD142" s="429"/>
      <c r="BE142" s="435"/>
      <c r="BF142" s="435"/>
      <c r="BG142" s="435"/>
      <c r="BH142" s="435"/>
      <c r="BI142" s="435"/>
      <c r="BJ142" s="435"/>
      <c r="BK142" s="435"/>
      <c r="BL142" s="435"/>
      <c r="BU142" s="401"/>
      <c r="BV142" s="401"/>
      <c r="BW142" s="401"/>
      <c r="BX142" s="401"/>
      <c r="BY142" s="401"/>
      <c r="BZ142" s="401"/>
    </row>
    <row r="143" spans="1:78" s="405" customFormat="1" ht="15" customHeight="1" outlineLevel="1" x14ac:dyDescent="0.25">
      <c r="A143" s="404"/>
      <c r="B143" s="721"/>
      <c r="C143" s="668"/>
      <c r="D143" s="510"/>
      <c r="E143" s="510"/>
      <c r="F143" s="466"/>
      <c r="G143" s="466"/>
      <c r="H143" s="466"/>
      <c r="I143" s="466"/>
      <c r="J143" s="466"/>
      <c r="K143" s="464"/>
      <c r="L143" s="464"/>
      <c r="M143" s="464"/>
      <c r="N143" s="467"/>
      <c r="O143" s="672"/>
      <c r="P143" s="673"/>
      <c r="Q143" s="673"/>
      <c r="R143" s="674"/>
      <c r="S143" s="672"/>
      <c r="T143" s="673"/>
      <c r="U143" s="673"/>
      <c r="V143" s="674"/>
      <c r="W143" s="512"/>
      <c r="X143" s="512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AI143" s="401"/>
      <c r="AJ143" s="401"/>
      <c r="AK143" s="401"/>
      <c r="AL143" s="401"/>
      <c r="AM143" s="401"/>
      <c r="AN143" s="401"/>
      <c r="AO143" s="401"/>
      <c r="AP143" s="401"/>
      <c r="AQ143" s="401"/>
      <c r="AR143" s="401"/>
      <c r="AS143" s="401"/>
      <c r="AT143" s="401"/>
      <c r="AU143" s="401"/>
      <c r="AV143" s="401"/>
      <c r="AW143" s="401"/>
      <c r="AX143" s="401"/>
      <c r="AY143" s="401"/>
      <c r="AZ143" s="401"/>
      <c r="BA143" s="401"/>
      <c r="BB143" s="401"/>
      <c r="BC143" s="401"/>
      <c r="BD143" s="429"/>
      <c r="BE143" s="435"/>
      <c r="BF143" s="435"/>
      <c r="BG143" s="435"/>
      <c r="BH143" s="435"/>
      <c r="BI143" s="435"/>
      <c r="BJ143" s="435"/>
      <c r="BK143" s="435"/>
      <c r="BL143" s="435"/>
      <c r="BU143" s="401"/>
      <c r="BV143" s="401"/>
      <c r="BW143" s="401"/>
      <c r="BX143" s="401"/>
      <c r="BY143" s="401"/>
      <c r="BZ143" s="401"/>
    </row>
    <row r="144" spans="1:78" s="405" customFormat="1" ht="15" customHeight="1" outlineLevel="1" x14ac:dyDescent="0.25">
      <c r="A144" s="404"/>
      <c r="B144" s="721"/>
      <c r="C144" s="668"/>
      <c r="D144" s="510"/>
      <c r="E144" s="510"/>
      <c r="F144" s="466"/>
      <c r="G144" s="466"/>
      <c r="H144" s="466"/>
      <c r="I144" s="466"/>
      <c r="J144" s="466"/>
      <c r="K144" s="464"/>
      <c r="L144" s="464"/>
      <c r="M144" s="464"/>
      <c r="N144" s="467"/>
      <c r="O144" s="672"/>
      <c r="P144" s="673"/>
      <c r="Q144" s="673"/>
      <c r="R144" s="674"/>
      <c r="S144" s="672"/>
      <c r="T144" s="673"/>
      <c r="U144" s="673"/>
      <c r="V144" s="674"/>
      <c r="W144" s="512"/>
      <c r="X144" s="512"/>
      <c r="Y144" s="678"/>
      <c r="Z144" s="678"/>
      <c r="AA144" s="678"/>
      <c r="AB144" s="678"/>
      <c r="AC144" s="678"/>
      <c r="AD144" s="678"/>
      <c r="AE144" s="678"/>
      <c r="AF144" s="678"/>
      <c r="AG144" s="678"/>
      <c r="AH144" s="678"/>
      <c r="AI144" s="401"/>
      <c r="AJ144" s="401"/>
      <c r="AK144" s="401"/>
      <c r="AL144" s="401"/>
      <c r="AM144" s="401"/>
      <c r="AN144" s="401"/>
      <c r="AO144" s="401"/>
      <c r="AP144" s="401"/>
      <c r="AQ144" s="401"/>
      <c r="AR144" s="401"/>
      <c r="AS144" s="401"/>
      <c r="AT144" s="401"/>
      <c r="AU144" s="401"/>
      <c r="AV144" s="401"/>
      <c r="AW144" s="401"/>
      <c r="AX144" s="401"/>
      <c r="AY144" s="401"/>
      <c r="AZ144" s="401"/>
      <c r="BA144" s="401"/>
      <c r="BB144" s="401"/>
      <c r="BC144" s="401"/>
      <c r="BD144" s="429" t="str">
        <f>B131</f>
        <v>s.s.e.t.</v>
      </c>
      <c r="BE144" s="435" t="str">
        <f t="shared" ref="BE144:BL144" si="97">F134</f>
        <v>-</v>
      </c>
      <c r="BF144" s="435" t="str">
        <f t="shared" si="97"/>
        <v>-</v>
      </c>
      <c r="BG144" s="435" t="str">
        <f t="shared" si="97"/>
        <v>-</v>
      </c>
      <c r="BH144" s="435" t="str">
        <f t="shared" si="97"/>
        <v>-</v>
      </c>
      <c r="BI144" s="435" t="str">
        <f t="shared" si="97"/>
        <v>-</v>
      </c>
      <c r="BJ144" s="435" t="str">
        <f t="shared" si="97"/>
        <v>-</v>
      </c>
      <c r="BK144" s="435" t="str">
        <f t="shared" si="97"/>
        <v>-</v>
      </c>
      <c r="BL144" s="435" t="str">
        <f t="shared" si="97"/>
        <v>-</v>
      </c>
      <c r="BU144" s="401"/>
      <c r="BV144" s="401"/>
      <c r="BW144" s="401"/>
      <c r="BX144" s="401"/>
      <c r="BY144" s="401"/>
      <c r="BZ144" s="401"/>
    </row>
    <row r="145" spans="1:78" s="405" customFormat="1" ht="15" customHeight="1" outlineLevel="1" x14ac:dyDescent="0.25">
      <c r="A145" s="404"/>
      <c r="B145" s="721"/>
      <c r="C145" s="668"/>
      <c r="D145" s="510"/>
      <c r="E145" s="510"/>
      <c r="F145" s="510"/>
      <c r="G145" s="510"/>
      <c r="H145" s="510"/>
      <c r="I145" s="510"/>
      <c r="J145" s="510"/>
      <c r="K145" s="464"/>
      <c r="L145" s="464"/>
      <c r="M145" s="464"/>
      <c r="N145" s="468"/>
      <c r="O145" s="672"/>
      <c r="P145" s="673"/>
      <c r="Q145" s="673"/>
      <c r="R145" s="674"/>
      <c r="S145" s="672"/>
      <c r="T145" s="673"/>
      <c r="U145" s="673"/>
      <c r="V145" s="674"/>
      <c r="W145" s="512"/>
      <c r="X145" s="512"/>
      <c r="Y145" s="678"/>
      <c r="Z145" s="678"/>
      <c r="AA145" s="678"/>
      <c r="AB145" s="678"/>
      <c r="AC145" s="678"/>
      <c r="AD145" s="678"/>
      <c r="AE145" s="678"/>
      <c r="AF145" s="678"/>
      <c r="AG145" s="678"/>
      <c r="AH145" s="678"/>
      <c r="AI145" s="401"/>
      <c r="AJ145" s="401"/>
      <c r="AK145" s="401"/>
      <c r="AL145" s="401"/>
      <c r="AM145" s="401"/>
      <c r="AN145" s="401"/>
      <c r="AO145" s="401"/>
      <c r="AP145" s="401"/>
      <c r="AQ145" s="401"/>
      <c r="AR145" s="401"/>
      <c r="AS145" s="401"/>
      <c r="AT145" s="401"/>
      <c r="AU145" s="401"/>
      <c r="AV145" s="401"/>
      <c r="AW145" s="401"/>
      <c r="AX145" s="401"/>
      <c r="AY145" s="401"/>
      <c r="AZ145" s="401"/>
      <c r="BA145" s="401"/>
      <c r="BB145" s="401"/>
      <c r="BC145" s="401"/>
      <c r="BD145" s="429"/>
      <c r="BE145" s="435"/>
      <c r="BF145" s="435"/>
      <c r="BG145" s="435"/>
      <c r="BH145" s="435"/>
      <c r="BI145" s="435"/>
      <c r="BJ145" s="435"/>
      <c r="BK145" s="435"/>
      <c r="BL145" s="435"/>
      <c r="BU145" s="401"/>
      <c r="BV145" s="401"/>
      <c r="BW145" s="401"/>
      <c r="BX145" s="401"/>
      <c r="BY145" s="401"/>
      <c r="BZ145" s="401"/>
    </row>
    <row r="146" spans="1:78" s="405" customFormat="1" ht="15" customHeight="1" outlineLevel="1" x14ac:dyDescent="0.25">
      <c r="A146" s="404"/>
      <c r="B146" s="721"/>
      <c r="C146" s="668"/>
      <c r="D146" s="510"/>
      <c r="E146" s="510"/>
      <c r="F146" s="463"/>
      <c r="G146" s="463"/>
      <c r="H146" s="463"/>
      <c r="I146" s="463"/>
      <c r="J146" s="463"/>
      <c r="K146" s="464"/>
      <c r="L146" s="464"/>
      <c r="M146" s="464"/>
      <c r="N146" s="465"/>
      <c r="O146" s="672"/>
      <c r="P146" s="673"/>
      <c r="Q146" s="673"/>
      <c r="R146" s="674"/>
      <c r="S146" s="672"/>
      <c r="T146" s="673"/>
      <c r="U146" s="673"/>
      <c r="V146" s="674"/>
      <c r="W146" s="512"/>
      <c r="X146" s="512"/>
      <c r="Y146" s="678"/>
      <c r="Z146" s="678"/>
      <c r="AA146" s="678"/>
      <c r="AB146" s="678"/>
      <c r="AC146" s="678"/>
      <c r="AD146" s="678"/>
      <c r="AE146" s="678"/>
      <c r="AF146" s="678"/>
      <c r="AG146" s="678"/>
      <c r="AH146" s="678"/>
      <c r="AI146" s="401"/>
      <c r="AJ146" s="401"/>
      <c r="AK146" s="401"/>
      <c r="AL146" s="401"/>
      <c r="AM146" s="401"/>
      <c r="AN146" s="401"/>
      <c r="AO146" s="401"/>
      <c r="AP146" s="401"/>
      <c r="AQ146" s="401"/>
      <c r="AR146" s="401"/>
      <c r="AS146" s="401"/>
      <c r="AT146" s="401"/>
      <c r="AU146" s="401"/>
      <c r="AV146" s="401"/>
      <c r="AW146" s="401"/>
      <c r="AX146" s="401"/>
      <c r="AY146" s="401"/>
      <c r="AZ146" s="401"/>
      <c r="BA146" s="401"/>
      <c r="BB146" s="401"/>
      <c r="BC146" s="401"/>
      <c r="BD146" s="429"/>
      <c r="BE146" s="435"/>
      <c r="BF146" s="435"/>
      <c r="BG146" s="435"/>
      <c r="BH146" s="435"/>
      <c r="BI146" s="435"/>
      <c r="BJ146" s="435"/>
      <c r="BK146" s="435"/>
      <c r="BL146" s="435"/>
      <c r="BU146" s="401"/>
      <c r="BV146" s="401"/>
      <c r="BW146" s="401"/>
      <c r="BX146" s="401"/>
      <c r="BY146" s="401"/>
      <c r="BZ146" s="401"/>
    </row>
    <row r="147" spans="1:78" s="405" customFormat="1" ht="15" customHeight="1" outlineLevel="1" x14ac:dyDescent="0.25">
      <c r="A147" s="404"/>
      <c r="B147" s="721"/>
      <c r="C147" s="668"/>
      <c r="D147" s="510"/>
      <c r="E147" s="510"/>
      <c r="F147" s="463"/>
      <c r="G147" s="463"/>
      <c r="H147" s="463"/>
      <c r="I147" s="463"/>
      <c r="J147" s="463"/>
      <c r="K147" s="464"/>
      <c r="L147" s="464"/>
      <c r="M147" s="464"/>
      <c r="N147" s="465"/>
      <c r="O147" s="672"/>
      <c r="P147" s="673"/>
      <c r="Q147" s="673"/>
      <c r="R147" s="674"/>
      <c r="S147" s="672"/>
      <c r="T147" s="673"/>
      <c r="U147" s="673"/>
      <c r="V147" s="674"/>
      <c r="W147" s="512"/>
      <c r="X147" s="512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401"/>
      <c r="AJ147" s="401"/>
      <c r="AK147" s="401"/>
      <c r="AL147" s="401"/>
      <c r="AM147" s="401"/>
      <c r="AN147" s="401"/>
      <c r="AO147" s="401"/>
      <c r="AP147" s="401"/>
      <c r="AQ147" s="401"/>
      <c r="AR147" s="401"/>
      <c r="AS147" s="401"/>
      <c r="AT147" s="401"/>
      <c r="AU147" s="401"/>
      <c r="AV147" s="401"/>
      <c r="AW147" s="401"/>
      <c r="AX147" s="401"/>
      <c r="AY147" s="401"/>
      <c r="AZ147" s="401"/>
      <c r="BA147" s="401"/>
      <c r="BB147" s="401"/>
      <c r="BC147" s="401"/>
      <c r="BD147" s="429"/>
      <c r="BE147" s="435"/>
      <c r="BF147" s="435"/>
      <c r="BG147" s="435"/>
      <c r="BH147" s="435"/>
      <c r="BI147" s="435"/>
      <c r="BJ147" s="435"/>
      <c r="BK147" s="435"/>
      <c r="BL147" s="435"/>
      <c r="BU147" s="401"/>
      <c r="BV147" s="401"/>
      <c r="BW147" s="401"/>
      <c r="BX147" s="401"/>
      <c r="BY147" s="401"/>
      <c r="BZ147" s="401"/>
    </row>
    <row r="148" spans="1:78" s="405" customFormat="1" ht="15" customHeight="1" outlineLevel="1" x14ac:dyDescent="0.25">
      <c r="A148" s="404"/>
      <c r="B148" s="721"/>
      <c r="C148" s="668"/>
      <c r="D148" s="510"/>
      <c r="E148" s="510"/>
      <c r="F148" s="466"/>
      <c r="G148" s="466"/>
      <c r="H148" s="466"/>
      <c r="I148" s="466"/>
      <c r="J148" s="466"/>
      <c r="K148" s="464"/>
      <c r="L148" s="464"/>
      <c r="M148" s="464"/>
      <c r="N148" s="467"/>
      <c r="O148" s="672"/>
      <c r="P148" s="673"/>
      <c r="Q148" s="673"/>
      <c r="R148" s="674"/>
      <c r="S148" s="672"/>
      <c r="T148" s="673"/>
      <c r="U148" s="673"/>
      <c r="V148" s="674"/>
      <c r="W148" s="512"/>
      <c r="X148" s="512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401"/>
      <c r="AJ148" s="401"/>
      <c r="AK148" s="401"/>
      <c r="AL148" s="401"/>
      <c r="AM148" s="401"/>
      <c r="AN148" s="401"/>
      <c r="AO148" s="401"/>
      <c r="AP148" s="401"/>
      <c r="AQ148" s="401"/>
      <c r="AR148" s="401"/>
      <c r="AS148" s="401"/>
      <c r="AT148" s="401"/>
      <c r="AU148" s="401"/>
      <c r="AV148" s="401"/>
      <c r="AW148" s="401"/>
      <c r="AX148" s="401"/>
      <c r="AY148" s="401"/>
      <c r="AZ148" s="401"/>
      <c r="BA148" s="401"/>
      <c r="BB148" s="401"/>
      <c r="BC148" s="401"/>
      <c r="BD148" s="429" t="str">
        <f>"IEF " &amp;B131</f>
        <v>IEF s.s.e.t.</v>
      </c>
      <c r="BE148" s="435" t="str">
        <f t="shared" ref="BE148:BL148" si="98">IF(OR($C141="-",$C141="CET",$C141=""),"-",$C141)</f>
        <v>-</v>
      </c>
      <c r="BF148" s="435" t="str">
        <f t="shared" si="98"/>
        <v>-</v>
      </c>
      <c r="BG148" s="435" t="str">
        <f t="shared" si="98"/>
        <v>-</v>
      </c>
      <c r="BH148" s="435" t="str">
        <f t="shared" si="98"/>
        <v>-</v>
      </c>
      <c r="BI148" s="435" t="str">
        <f t="shared" si="98"/>
        <v>-</v>
      </c>
      <c r="BJ148" s="435" t="str">
        <f t="shared" si="98"/>
        <v>-</v>
      </c>
      <c r="BK148" s="435" t="str">
        <f t="shared" si="98"/>
        <v>-</v>
      </c>
      <c r="BL148" s="435" t="str">
        <f t="shared" si="98"/>
        <v>-</v>
      </c>
      <c r="BU148" s="401"/>
      <c r="BV148" s="401"/>
      <c r="BW148" s="401"/>
      <c r="BX148" s="401"/>
      <c r="BY148" s="401"/>
      <c r="BZ148" s="401"/>
    </row>
    <row r="149" spans="1:78" s="405" customFormat="1" outlineLevel="1" x14ac:dyDescent="0.25">
      <c r="A149" s="401"/>
      <c r="B149" s="721"/>
      <c r="C149" s="668"/>
      <c r="D149" s="510"/>
      <c r="E149" s="510"/>
      <c r="F149" s="466"/>
      <c r="G149" s="466"/>
      <c r="H149" s="466"/>
      <c r="I149" s="466"/>
      <c r="J149" s="466"/>
      <c r="K149" s="464"/>
      <c r="L149" s="464"/>
      <c r="M149" s="464"/>
      <c r="N149" s="467"/>
      <c r="O149" s="672"/>
      <c r="P149" s="673"/>
      <c r="Q149" s="673"/>
      <c r="R149" s="674"/>
      <c r="S149" s="672"/>
      <c r="T149" s="673"/>
      <c r="U149" s="673"/>
      <c r="V149" s="674"/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401"/>
      <c r="AL149" s="401"/>
      <c r="AM149" s="401"/>
      <c r="AN149" s="401"/>
      <c r="AO149" s="401"/>
      <c r="AP149" s="401"/>
      <c r="AQ149" s="401"/>
      <c r="AR149" s="401"/>
      <c r="AS149" s="401"/>
      <c r="AT149" s="401"/>
      <c r="AU149" s="401"/>
      <c r="AV149" s="401"/>
      <c r="AW149" s="401"/>
      <c r="AX149" s="401"/>
      <c r="AY149" s="401"/>
      <c r="AZ149" s="401"/>
      <c r="BA149" s="401"/>
      <c r="BB149" s="401"/>
      <c r="BC149" s="401"/>
      <c r="BD149" s="459"/>
      <c r="BE149" s="459"/>
      <c r="BF149" s="459"/>
      <c r="BG149" s="459"/>
      <c r="BH149" s="459"/>
      <c r="BI149" s="459"/>
      <c r="BJ149" s="459"/>
      <c r="BK149" s="459"/>
      <c r="BL149" s="459"/>
      <c r="BU149" s="401"/>
      <c r="BV149" s="401"/>
      <c r="BW149" s="401"/>
      <c r="BX149" s="401"/>
      <c r="BY149" s="401"/>
      <c r="BZ149" s="401"/>
    </row>
    <row r="150" spans="1:78" s="405" customFormat="1" ht="15.75" outlineLevel="1" thickBot="1" x14ac:dyDescent="0.3">
      <c r="A150" s="401"/>
      <c r="B150" s="722"/>
      <c r="C150" s="723"/>
      <c r="D150" s="516"/>
      <c r="E150" s="516"/>
      <c r="F150" s="516"/>
      <c r="G150" s="516"/>
      <c r="H150" s="516"/>
      <c r="I150" s="516"/>
      <c r="J150" s="516"/>
      <c r="K150" s="470"/>
      <c r="L150" s="470"/>
      <c r="M150" s="470"/>
      <c r="N150" s="471"/>
      <c r="O150" s="675"/>
      <c r="P150" s="676"/>
      <c r="Q150" s="676"/>
      <c r="R150" s="677"/>
      <c r="S150" s="675"/>
      <c r="T150" s="676"/>
      <c r="U150" s="676"/>
      <c r="V150" s="677"/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401"/>
      <c r="AL150" s="401"/>
      <c r="AM150" s="401"/>
      <c r="AN150" s="401"/>
      <c r="AO150" s="401"/>
      <c r="AP150" s="401"/>
      <c r="AQ150" s="401"/>
      <c r="AR150" s="401"/>
      <c r="AS150" s="401"/>
      <c r="AT150" s="401"/>
      <c r="AU150" s="401"/>
      <c r="AV150" s="401"/>
      <c r="AW150" s="401"/>
      <c r="AX150" s="401"/>
      <c r="AY150" s="401"/>
      <c r="AZ150" s="401"/>
      <c r="BA150" s="401"/>
      <c r="BB150" s="401"/>
      <c r="BC150" s="401"/>
      <c r="BD150" s="459"/>
      <c r="BE150" s="459"/>
      <c r="BF150" s="459"/>
      <c r="BG150" s="459"/>
      <c r="BH150" s="459"/>
      <c r="BI150" s="459"/>
      <c r="BJ150" s="459"/>
      <c r="BK150" s="459"/>
      <c r="BL150" s="459"/>
      <c r="BU150" s="401"/>
      <c r="BV150" s="401"/>
      <c r="BW150" s="401"/>
      <c r="BX150" s="401"/>
      <c r="BY150" s="401"/>
      <c r="BZ150" s="401"/>
    </row>
    <row r="151" spans="1:78" s="405" customFormat="1" ht="15" customHeight="1" x14ac:dyDescent="0.25">
      <c r="A151" s="396"/>
      <c r="B151" s="401"/>
      <c r="C151" s="401"/>
      <c r="D151" s="401"/>
      <c r="E151" s="401"/>
      <c r="F151" s="401"/>
      <c r="G151" s="401"/>
      <c r="H151" s="401"/>
      <c r="I151" s="401"/>
      <c r="J151" s="401"/>
      <c r="K151" s="458"/>
      <c r="L151" s="458"/>
      <c r="M151" s="458"/>
      <c r="N151" s="401"/>
      <c r="O151" s="401"/>
      <c r="P151" s="401"/>
      <c r="Q151" s="401"/>
      <c r="R151" s="401"/>
      <c r="S151" s="401"/>
      <c r="T151" s="401"/>
      <c r="U151" s="401"/>
      <c r="V151" s="401"/>
      <c r="W151" s="414"/>
      <c r="X151" s="414"/>
      <c r="Y151" s="414"/>
      <c r="Z151" s="414"/>
      <c r="AA151" s="414"/>
      <c r="AB151" s="414"/>
      <c r="AC151" s="414"/>
      <c r="AD151" s="414"/>
      <c r="AE151" s="414"/>
      <c r="AF151" s="414"/>
      <c r="AG151" s="414"/>
      <c r="AH151" s="414"/>
      <c r="AI151" s="401"/>
      <c r="AJ151" s="401"/>
      <c r="AK151" s="401"/>
      <c r="AL151" s="401"/>
      <c r="AM151" s="401"/>
      <c r="AN151" s="401"/>
      <c r="AO151" s="401"/>
      <c r="AP151" s="401"/>
      <c r="AQ151" s="401"/>
      <c r="AR151" s="401"/>
      <c r="AS151" s="401"/>
      <c r="AT151" s="401"/>
      <c r="AU151" s="401"/>
      <c r="AV151" s="401"/>
      <c r="AW151" s="401"/>
      <c r="AX151" s="401"/>
      <c r="AY151" s="401"/>
      <c r="AZ151" s="401"/>
      <c r="BA151" s="401"/>
      <c r="BB151" s="401"/>
      <c r="BC151" s="401"/>
      <c r="BU151" s="401"/>
      <c r="BV151" s="401"/>
      <c r="BW151" s="401"/>
      <c r="BX151" s="401"/>
      <c r="BY151" s="401"/>
      <c r="BZ151" s="401"/>
    </row>
    <row r="152" spans="1:78" s="405" customFormat="1" ht="15" customHeight="1" x14ac:dyDescent="0.25">
      <c r="A152" s="396"/>
      <c r="B152" s="401"/>
      <c r="C152" s="401"/>
      <c r="D152" s="401"/>
      <c r="E152" s="401"/>
      <c r="F152" s="401"/>
      <c r="G152" s="401"/>
      <c r="H152" s="401"/>
      <c r="I152" s="401"/>
      <c r="J152" s="401"/>
      <c r="K152" s="458"/>
      <c r="L152" s="458"/>
      <c r="M152" s="458"/>
      <c r="N152" s="401"/>
      <c r="O152" s="401"/>
      <c r="P152" s="401"/>
      <c r="Q152" s="401"/>
      <c r="R152" s="401"/>
      <c r="S152" s="401"/>
      <c r="T152" s="401"/>
      <c r="U152" s="401"/>
      <c r="V152" s="401"/>
      <c r="W152" s="414"/>
      <c r="X152" s="414"/>
      <c r="Y152" s="414"/>
      <c r="Z152" s="414"/>
      <c r="AA152" s="414"/>
      <c r="AB152" s="414"/>
      <c r="AC152" s="414"/>
      <c r="AD152" s="414"/>
      <c r="AE152" s="414"/>
      <c r="AF152" s="414"/>
      <c r="AG152" s="414"/>
      <c r="AH152" s="414"/>
      <c r="AI152" s="401"/>
      <c r="AJ152" s="401"/>
      <c r="AK152" s="401"/>
      <c r="AL152" s="401"/>
      <c r="AM152" s="401"/>
      <c r="AN152" s="401"/>
      <c r="AO152" s="401"/>
      <c r="AP152" s="401"/>
      <c r="AQ152" s="401"/>
      <c r="AR152" s="401"/>
      <c r="AS152" s="401"/>
      <c r="AT152" s="401"/>
      <c r="AU152" s="401"/>
      <c r="AV152" s="401"/>
      <c r="AW152" s="401"/>
      <c r="AX152" s="401"/>
      <c r="AY152" s="401"/>
      <c r="AZ152" s="401"/>
      <c r="BA152" s="401"/>
      <c r="BB152" s="401"/>
      <c r="BC152" s="401"/>
      <c r="BU152" s="401"/>
      <c r="BV152" s="401"/>
      <c r="BW152" s="401"/>
      <c r="BX152" s="401"/>
      <c r="BY152" s="401"/>
      <c r="BZ152" s="401"/>
    </row>
    <row r="153" spans="1:78" s="405" customFormat="1" ht="15" customHeight="1" thickBot="1" x14ac:dyDescent="0.3">
      <c r="A153" s="396"/>
      <c r="B153" s="401"/>
      <c r="C153" s="401"/>
      <c r="D153" s="401"/>
      <c r="E153" s="401"/>
      <c r="F153" s="401"/>
      <c r="G153" s="401"/>
      <c r="H153" s="401"/>
      <c r="I153" s="401"/>
      <c r="J153" s="401"/>
      <c r="K153" s="458"/>
      <c r="L153" s="458"/>
      <c r="M153" s="458"/>
      <c r="N153" s="401"/>
      <c r="O153" s="401"/>
      <c r="P153" s="401"/>
      <c r="Q153" s="401"/>
      <c r="R153" s="401"/>
      <c r="S153" s="401"/>
      <c r="T153" s="401"/>
      <c r="U153" s="401"/>
      <c r="V153" s="401"/>
      <c r="W153" s="414"/>
      <c r="X153" s="414"/>
      <c r="Y153" s="414"/>
      <c r="Z153" s="414"/>
      <c r="AA153" s="414"/>
      <c r="AB153" s="414"/>
      <c r="AC153" s="414"/>
      <c r="AD153" s="414"/>
      <c r="AE153" s="414"/>
      <c r="AF153" s="414"/>
      <c r="AG153" s="414"/>
      <c r="AH153" s="414"/>
      <c r="AI153" s="401"/>
      <c r="AJ153" s="401"/>
      <c r="AK153" s="401"/>
      <c r="AL153" s="401"/>
      <c r="AM153" s="401"/>
      <c r="AN153" s="401"/>
      <c r="AO153" s="401"/>
      <c r="AP153" s="401"/>
      <c r="AQ153" s="401"/>
      <c r="AR153" s="401"/>
      <c r="AS153" s="401"/>
      <c r="AT153" s="401"/>
      <c r="AU153" s="401"/>
      <c r="AV153" s="401"/>
      <c r="AW153" s="401"/>
      <c r="AX153" s="401"/>
      <c r="AY153" s="401"/>
      <c r="AZ153" s="401"/>
      <c r="BA153" s="401"/>
      <c r="BB153" s="401"/>
      <c r="BC153" s="401"/>
      <c r="BU153" s="401"/>
      <c r="BV153" s="401"/>
      <c r="BW153" s="401"/>
      <c r="BX153" s="401"/>
      <c r="BY153" s="401"/>
      <c r="BZ153" s="401"/>
    </row>
    <row r="154" spans="1:78" s="405" customFormat="1" ht="24.95" customHeight="1" thickBot="1" x14ac:dyDescent="0.3">
      <c r="A154" s="396"/>
      <c r="B154" s="415">
        <v>6</v>
      </c>
      <c r="C154" s="706" t="s">
        <v>118</v>
      </c>
      <c r="D154" s="707"/>
      <c r="E154" s="707"/>
      <c r="F154" s="707"/>
      <c r="G154" s="707"/>
      <c r="H154" s="707"/>
      <c r="I154" s="707"/>
      <c r="J154" s="707"/>
      <c r="K154" s="707"/>
      <c r="L154" s="707"/>
      <c r="M154" s="707"/>
      <c r="N154" s="708"/>
      <c r="O154" s="416" t="s">
        <v>117</v>
      </c>
      <c r="P154" s="398" t="str">
        <f>IF(COUNTIF(F162:M167,"refused")&gt;0,"refused",IF(COUNTIF(F162:M167,"failed")&gt;0,"failed",IF(COUNTIF(F162:M167,"passed")&gt;0,"passed","-")))</f>
        <v>-</v>
      </c>
      <c r="Q154" s="399" t="s">
        <v>80</v>
      </c>
      <c r="R154" s="399" t="str">
        <f>IF(COUNT(F158:M159,F163:M164)&gt;0,"listed","not listed")</f>
        <v>not listed</v>
      </c>
      <c r="S154" s="511"/>
      <c r="T154" s="418"/>
      <c r="U154" s="418"/>
      <c r="V154" s="419"/>
      <c r="W154" s="424"/>
      <c r="X154" s="424"/>
      <c r="Y154" s="698"/>
      <c r="Z154" s="698"/>
      <c r="AA154" s="698"/>
      <c r="AB154" s="698"/>
      <c r="AC154" s="698"/>
      <c r="AD154" s="698"/>
      <c r="AE154" s="698"/>
      <c r="AF154" s="698"/>
      <c r="AG154" s="698"/>
      <c r="AH154" s="698"/>
      <c r="AI154" s="401"/>
      <c r="AJ154" s="401"/>
      <c r="AK154" s="401"/>
      <c r="AL154" s="401"/>
      <c r="AM154" s="401"/>
      <c r="AN154" s="401"/>
      <c r="AO154" s="401"/>
      <c r="AP154" s="401"/>
      <c r="AQ154" s="401"/>
      <c r="AR154" s="401"/>
      <c r="AS154" s="401"/>
      <c r="AT154" s="401"/>
      <c r="AU154" s="401"/>
      <c r="AV154" s="401"/>
      <c r="AW154" s="401"/>
      <c r="AX154" s="401"/>
      <c r="AY154" s="401"/>
      <c r="AZ154" s="401"/>
      <c r="BA154" s="401"/>
      <c r="BB154" s="401"/>
      <c r="BC154" s="401"/>
      <c r="BU154" s="401"/>
      <c r="BV154" s="401"/>
      <c r="BW154" s="401"/>
      <c r="BX154" s="401"/>
      <c r="BY154" s="401"/>
      <c r="BZ154" s="401"/>
    </row>
    <row r="155" spans="1:78" s="405" customFormat="1" ht="15" customHeight="1" outlineLevel="1" thickBot="1" x14ac:dyDescent="0.3">
      <c r="A155" s="396"/>
      <c r="B155" s="513"/>
      <c r="C155" s="514"/>
      <c r="D155" s="514"/>
      <c r="E155" s="514"/>
      <c r="F155" s="514"/>
      <c r="G155" s="514"/>
      <c r="H155" s="514"/>
      <c r="I155" s="514"/>
      <c r="J155" s="514"/>
      <c r="K155" s="421"/>
      <c r="L155" s="421"/>
      <c r="M155" s="421"/>
      <c r="N155" s="514"/>
      <c r="O155" s="514"/>
      <c r="P155" s="514"/>
      <c r="Q155" s="514"/>
      <c r="R155" s="514"/>
      <c r="S155" s="514"/>
      <c r="T155" s="422"/>
      <c r="U155" s="422"/>
      <c r="V155" s="423"/>
      <c r="W155" s="512"/>
      <c r="X155" s="512"/>
      <c r="Y155" s="678"/>
      <c r="Z155" s="678"/>
      <c r="AA155" s="678"/>
      <c r="AB155" s="678"/>
      <c r="AC155" s="678"/>
      <c r="AD155" s="678"/>
      <c r="AE155" s="678"/>
      <c r="AF155" s="678"/>
      <c r="AG155" s="678"/>
      <c r="AH155" s="678"/>
      <c r="AI155" s="401"/>
      <c r="AJ155" s="401"/>
      <c r="AK155" s="401"/>
      <c r="AL155" s="401"/>
      <c r="AM155" s="401"/>
      <c r="AN155" s="401"/>
      <c r="AO155" s="401"/>
      <c r="AP155" s="401"/>
      <c r="AQ155" s="401"/>
      <c r="AR155" s="401"/>
      <c r="AS155" s="401"/>
      <c r="AT155" s="401"/>
      <c r="AU155" s="401"/>
      <c r="AV155" s="401"/>
      <c r="AW155" s="401"/>
      <c r="AX155" s="401"/>
      <c r="AY155" s="401"/>
      <c r="AZ155" s="401"/>
      <c r="BA155" s="401"/>
      <c r="BB155" s="401"/>
      <c r="BC155" s="401"/>
      <c r="BD155" s="429" t="s">
        <v>85</v>
      </c>
      <c r="BE155" s="430" t="s">
        <v>86</v>
      </c>
      <c r="BF155" s="430" t="s">
        <v>87</v>
      </c>
      <c r="BG155" s="430" t="s">
        <v>88</v>
      </c>
      <c r="BH155" s="430" t="s">
        <v>89</v>
      </c>
      <c r="BI155" s="430" t="s">
        <v>90</v>
      </c>
      <c r="BJ155" s="430" t="s">
        <v>91</v>
      </c>
      <c r="BK155" s="430" t="s">
        <v>91</v>
      </c>
      <c r="BL155" s="430" t="s">
        <v>91</v>
      </c>
      <c r="BU155" s="401"/>
      <c r="BV155" s="401"/>
      <c r="BW155" s="401"/>
      <c r="BX155" s="401"/>
      <c r="BY155" s="401"/>
      <c r="BZ155" s="401"/>
    </row>
    <row r="156" spans="1:78" s="405" customFormat="1" ht="15" customHeight="1" outlineLevel="1" thickBot="1" x14ac:dyDescent="0.3">
      <c r="A156" s="396"/>
      <c r="B156" s="695" t="s">
        <v>81</v>
      </c>
      <c r="C156" s="696"/>
      <c r="D156" s="696"/>
      <c r="E156" s="696"/>
      <c r="F156" s="696"/>
      <c r="G156" s="696"/>
      <c r="H156" s="696"/>
      <c r="I156" s="696"/>
      <c r="J156" s="696"/>
      <c r="K156" s="696"/>
      <c r="L156" s="696"/>
      <c r="M156" s="696"/>
      <c r="N156" s="697"/>
      <c r="O156" s="695" t="s">
        <v>82</v>
      </c>
      <c r="P156" s="696"/>
      <c r="Q156" s="696"/>
      <c r="R156" s="697"/>
      <c r="S156" s="695" t="s">
        <v>83</v>
      </c>
      <c r="T156" s="696"/>
      <c r="U156" s="696"/>
      <c r="V156" s="697"/>
      <c r="W156" s="512"/>
      <c r="X156" s="512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401"/>
      <c r="AJ156" s="401"/>
      <c r="AK156" s="401"/>
      <c r="AL156" s="401"/>
      <c r="AM156" s="401"/>
      <c r="AN156" s="401"/>
      <c r="AO156" s="401"/>
      <c r="AP156" s="401"/>
      <c r="AQ156" s="401"/>
      <c r="AR156" s="401"/>
      <c r="AS156" s="401"/>
      <c r="AT156" s="401"/>
      <c r="AU156" s="401"/>
      <c r="AV156" s="401"/>
      <c r="AW156" s="401"/>
      <c r="AX156" s="401"/>
      <c r="AY156" s="401"/>
      <c r="AZ156" s="401"/>
      <c r="BA156" s="401"/>
      <c r="BB156" s="401"/>
      <c r="BC156" s="401"/>
      <c r="BD156" s="429">
        <f>$E$4</f>
        <v>0</v>
      </c>
      <c r="BE156" s="435">
        <v>1</v>
      </c>
      <c r="BF156" s="435">
        <v>1</v>
      </c>
      <c r="BG156" s="435">
        <v>1</v>
      </c>
      <c r="BH156" s="435">
        <v>1</v>
      </c>
      <c r="BI156" s="435">
        <v>1</v>
      </c>
      <c r="BJ156" s="435">
        <v>1</v>
      </c>
      <c r="BK156" s="435">
        <v>2</v>
      </c>
      <c r="BL156" s="435">
        <v>3</v>
      </c>
      <c r="BU156" s="401"/>
      <c r="BV156" s="401"/>
      <c r="BW156" s="401"/>
      <c r="BX156" s="401"/>
      <c r="BY156" s="401"/>
      <c r="BZ156" s="401"/>
    </row>
    <row r="157" spans="1:78" s="405" customFormat="1" ht="35.1" customHeight="1" outlineLevel="1" thickBot="1" x14ac:dyDescent="0.3">
      <c r="A157" s="396"/>
      <c r="B157" s="709" t="s">
        <v>84</v>
      </c>
      <c r="C157" s="682"/>
      <c r="D157" s="682"/>
      <c r="E157" s="683"/>
      <c r="F157" s="425" t="s">
        <v>72</v>
      </c>
      <c r="G157" s="517" t="s">
        <v>73</v>
      </c>
      <c r="H157" s="425" t="s">
        <v>74</v>
      </c>
      <c r="I157" s="425" t="s">
        <v>75</v>
      </c>
      <c r="J157" s="425" t="s">
        <v>76</v>
      </c>
      <c r="K157" s="534" t="s">
        <v>170</v>
      </c>
      <c r="L157" s="535" t="str">
        <f>$L$4</f>
        <v>Additional
component</v>
      </c>
      <c r="M157" s="535" t="str">
        <f>$M$4</f>
        <v>Additional
component 2</v>
      </c>
      <c r="N157" s="425" t="s">
        <v>77</v>
      </c>
      <c r="O157" s="669"/>
      <c r="P157" s="670"/>
      <c r="Q157" s="670"/>
      <c r="R157" s="671"/>
      <c r="S157" s="669"/>
      <c r="T157" s="670"/>
      <c r="U157" s="670"/>
      <c r="V157" s="671"/>
      <c r="W157" s="512"/>
      <c r="X157" s="512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401"/>
      <c r="AJ157" s="401"/>
      <c r="AK157" s="401"/>
      <c r="AL157" s="401"/>
      <c r="AM157" s="401"/>
      <c r="AN157" s="401"/>
      <c r="AO157" s="401"/>
      <c r="AP157" s="401"/>
      <c r="AQ157" s="401"/>
      <c r="AR157" s="401"/>
      <c r="AS157" s="401"/>
      <c r="AT157" s="401"/>
      <c r="AU157" s="401"/>
      <c r="AV157" s="401"/>
      <c r="AW157" s="401"/>
      <c r="AX157" s="401"/>
      <c r="AY157" s="401"/>
      <c r="AZ157" s="401"/>
      <c r="BA157" s="401"/>
      <c r="BB157" s="401"/>
      <c r="BC157" s="536"/>
      <c r="BD157" s="429" t="str">
        <f>"1st " &amp;  B158</f>
        <v>1st normal</v>
      </c>
      <c r="BE157" s="435" t="str">
        <f t="shared" ref="BE157:BL157" si="99">IF((OR($C160="-",$C160="CET",$C160="")),"-",IF(AND(OR(F158="-",F158=""),OR(F159="-",F159="")),"-",IF(NOT(OR(F158="-",F158="")),F158/F$5,F159/F$5)))</f>
        <v>-</v>
      </c>
      <c r="BF157" s="435" t="str">
        <f t="shared" si="99"/>
        <v>-</v>
      </c>
      <c r="BG157" s="435" t="str">
        <f t="shared" si="99"/>
        <v>-</v>
      </c>
      <c r="BH157" s="435" t="str">
        <f t="shared" si="99"/>
        <v>-</v>
      </c>
      <c r="BI157" s="435" t="str">
        <f t="shared" si="99"/>
        <v>-</v>
      </c>
      <c r="BJ157" s="435" t="str">
        <f t="shared" si="99"/>
        <v>-</v>
      </c>
      <c r="BK157" s="435" t="str">
        <f t="shared" si="99"/>
        <v>-</v>
      </c>
      <c r="BL157" s="435" t="str">
        <f t="shared" si="99"/>
        <v>-</v>
      </c>
      <c r="BU157" s="401"/>
      <c r="BV157" s="401"/>
      <c r="BW157" s="401"/>
      <c r="BX157" s="401"/>
      <c r="BY157" s="401"/>
      <c r="BZ157" s="401"/>
    </row>
    <row r="158" spans="1:78" s="405" customFormat="1" ht="15" customHeight="1" outlineLevel="1" x14ac:dyDescent="0.25">
      <c r="A158" s="439"/>
      <c r="B158" s="724" t="s">
        <v>116</v>
      </c>
      <c r="C158" s="684" t="s">
        <v>114</v>
      </c>
      <c r="D158" s="684" t="s">
        <v>113</v>
      </c>
      <c r="E158" s="453" t="s">
        <v>94</v>
      </c>
      <c r="F158" s="473" t="s">
        <v>5</v>
      </c>
      <c r="G158" s="473" t="s">
        <v>5</v>
      </c>
      <c r="H158" s="473" t="s">
        <v>5</v>
      </c>
      <c r="I158" s="473" t="s">
        <v>5</v>
      </c>
      <c r="J158" s="473" t="s">
        <v>5</v>
      </c>
      <c r="K158" s="474" t="s">
        <v>5</v>
      </c>
      <c r="L158" s="474" t="s">
        <v>5</v>
      </c>
      <c r="M158" s="474" t="s">
        <v>5</v>
      </c>
      <c r="N158" s="473" t="s">
        <v>5</v>
      </c>
      <c r="O158" s="672"/>
      <c r="P158" s="673"/>
      <c r="Q158" s="673"/>
      <c r="R158" s="674"/>
      <c r="S158" s="672"/>
      <c r="T158" s="673"/>
      <c r="U158" s="673"/>
      <c r="V158" s="674"/>
      <c r="W158" s="443"/>
      <c r="X158" s="443"/>
      <c r="Y158" s="678"/>
      <c r="Z158" s="678"/>
      <c r="AA158" s="678"/>
      <c r="AB158" s="678"/>
      <c r="AC158" s="678"/>
      <c r="AD158" s="678"/>
      <c r="AE158" s="678"/>
      <c r="AF158" s="678"/>
      <c r="AG158" s="678"/>
      <c r="AH158" s="678"/>
      <c r="BC158" s="536"/>
      <c r="BD158" s="429" t="str">
        <f>"1st " &amp; B163</f>
        <v>1st aggressive</v>
      </c>
      <c r="BE158" s="435" t="str">
        <f t="shared" ref="BE158:BL158" si="100">IF((OR($C165="-",$C165="CET",$C165="")),"-",IF(AND(OR(F163="-",F163=""),OR(F164="-",F164="")),"-",IF(NOT(OR(F163="-",F163="")),F163/F$5,F164/F$5)))</f>
        <v>-</v>
      </c>
      <c r="BF158" s="435" t="str">
        <f t="shared" si="100"/>
        <v>-</v>
      </c>
      <c r="BG158" s="435" t="str">
        <f t="shared" si="100"/>
        <v>-</v>
      </c>
      <c r="BH158" s="435" t="str">
        <f t="shared" si="100"/>
        <v>-</v>
      </c>
      <c r="BI158" s="435" t="str">
        <f t="shared" si="100"/>
        <v>-</v>
      </c>
      <c r="BJ158" s="435" t="str">
        <f t="shared" si="100"/>
        <v>-</v>
      </c>
      <c r="BK158" s="435" t="str">
        <f t="shared" si="100"/>
        <v>-</v>
      </c>
      <c r="BL158" s="435" t="str">
        <f t="shared" si="100"/>
        <v>-</v>
      </c>
    </row>
    <row r="159" spans="1:78" s="405" customFormat="1" ht="15" customHeight="1" outlineLevel="1" thickBot="1" x14ac:dyDescent="0.3">
      <c r="A159" s="396"/>
      <c r="B159" s="725"/>
      <c r="C159" s="702"/>
      <c r="D159" s="685"/>
      <c r="E159" s="440" t="s">
        <v>95</v>
      </c>
      <c r="F159" s="475" t="s">
        <v>5</v>
      </c>
      <c r="G159" s="475" t="s">
        <v>5</v>
      </c>
      <c r="H159" s="475" t="s">
        <v>5</v>
      </c>
      <c r="I159" s="475" t="s">
        <v>5</v>
      </c>
      <c r="J159" s="475" t="s">
        <v>5</v>
      </c>
      <c r="K159" s="476" t="s">
        <v>5</v>
      </c>
      <c r="L159" s="476" t="s">
        <v>5</v>
      </c>
      <c r="M159" s="476" t="s">
        <v>5</v>
      </c>
      <c r="N159" s="475" t="s">
        <v>5</v>
      </c>
      <c r="O159" s="672"/>
      <c r="P159" s="673"/>
      <c r="Q159" s="673"/>
      <c r="R159" s="674"/>
      <c r="S159" s="672"/>
      <c r="T159" s="673"/>
      <c r="U159" s="673"/>
      <c r="V159" s="674"/>
      <c r="W159" s="512"/>
      <c r="X159" s="512"/>
      <c r="Y159" s="678"/>
      <c r="Z159" s="678"/>
      <c r="AA159" s="678"/>
      <c r="AB159" s="678"/>
      <c r="AC159" s="678"/>
      <c r="AD159" s="678"/>
      <c r="AE159" s="678"/>
      <c r="AF159" s="678"/>
      <c r="AG159" s="678"/>
      <c r="AH159" s="678"/>
      <c r="AI159" s="401"/>
      <c r="AJ159" s="401"/>
      <c r="AK159" s="401"/>
      <c r="AL159" s="401"/>
      <c r="AM159" s="401"/>
      <c r="AN159" s="401"/>
      <c r="AO159" s="401"/>
      <c r="AP159" s="401"/>
      <c r="AQ159" s="401"/>
      <c r="AR159" s="401"/>
      <c r="AS159" s="401"/>
      <c r="AT159" s="401"/>
      <c r="AU159" s="401"/>
      <c r="AV159" s="401"/>
      <c r="AW159" s="401"/>
      <c r="AX159" s="401"/>
      <c r="AY159" s="401"/>
      <c r="AZ159" s="401"/>
      <c r="BA159" s="401"/>
      <c r="BB159" s="401"/>
      <c r="BC159" s="536"/>
      <c r="BD159" s="429"/>
      <c r="BE159" s="435"/>
      <c r="BF159" s="435"/>
      <c r="BG159" s="435"/>
      <c r="BH159" s="435"/>
      <c r="BI159" s="435"/>
      <c r="BJ159" s="435"/>
      <c r="BK159" s="435"/>
      <c r="BL159" s="435"/>
      <c r="BU159" s="401"/>
      <c r="BV159" s="401"/>
      <c r="BW159" s="401"/>
      <c r="BX159" s="401"/>
      <c r="BY159" s="401"/>
      <c r="BZ159" s="401"/>
    </row>
    <row r="160" spans="1:78" s="405" customFormat="1" ht="15" customHeight="1" outlineLevel="1" thickBot="1" x14ac:dyDescent="0.3">
      <c r="A160" s="396"/>
      <c r="B160" s="725"/>
      <c r="C160" s="686">
        <v>2</v>
      </c>
      <c r="D160" s="689" t="str">
        <f>IF(AND(F160="-",G160="-",H160="-",I160="-",J160="-",K160="-",L160="-",M160="-"),"-",MAX(F160,G160,H160,I160,J160,K160,L160,M160))</f>
        <v>-</v>
      </c>
      <c r="E160" s="444" t="s">
        <v>177</v>
      </c>
      <c r="F160" s="445" t="str">
        <f t="shared" ref="F160:M160" si="101">IF(OR(F159="-",F159=""),IF(OR(F158="-",F158=""),"-",F158),IF(OR(F158="-",F158=""),F159,(F158+F159)/2))</f>
        <v>-</v>
      </c>
      <c r="G160" s="445" t="str">
        <f t="shared" si="101"/>
        <v>-</v>
      </c>
      <c r="H160" s="445" t="str">
        <f t="shared" si="101"/>
        <v>-</v>
      </c>
      <c r="I160" s="445" t="str">
        <f t="shared" si="101"/>
        <v>-</v>
      </c>
      <c r="J160" s="445" t="str">
        <f t="shared" si="101"/>
        <v>-</v>
      </c>
      <c r="K160" s="446" t="str">
        <f t="shared" si="101"/>
        <v>-</v>
      </c>
      <c r="L160" s="446" t="str">
        <f t="shared" si="101"/>
        <v>-</v>
      </c>
      <c r="M160" s="446" t="str">
        <f t="shared" si="101"/>
        <v>-</v>
      </c>
      <c r="N160" s="828"/>
      <c r="O160" s="672"/>
      <c r="P160" s="673"/>
      <c r="Q160" s="673"/>
      <c r="R160" s="674"/>
      <c r="S160" s="672"/>
      <c r="T160" s="673"/>
      <c r="U160" s="673"/>
      <c r="V160" s="674"/>
      <c r="W160" s="512"/>
      <c r="X160" s="512"/>
      <c r="Y160" s="678"/>
      <c r="Z160" s="678"/>
      <c r="AA160" s="678"/>
      <c r="AB160" s="678"/>
      <c r="AC160" s="678"/>
      <c r="AD160" s="678"/>
      <c r="AE160" s="678"/>
      <c r="AF160" s="678"/>
      <c r="AG160" s="678"/>
      <c r="AH160" s="678"/>
      <c r="AI160" s="401"/>
      <c r="AJ160" s="401"/>
      <c r="AK160" s="401"/>
      <c r="AL160" s="401"/>
      <c r="AM160" s="401"/>
      <c r="AN160" s="401"/>
      <c r="AO160" s="401"/>
      <c r="AP160" s="401"/>
      <c r="AQ160" s="401"/>
      <c r="AR160" s="401"/>
      <c r="AS160" s="401"/>
      <c r="AT160" s="401"/>
      <c r="AU160" s="401"/>
      <c r="AV160" s="401"/>
      <c r="AW160" s="401"/>
      <c r="AX160" s="401"/>
      <c r="AY160" s="401"/>
      <c r="AZ160" s="401"/>
      <c r="BA160" s="401"/>
      <c r="BB160" s="401"/>
      <c r="BC160" s="536"/>
      <c r="BD160" s="429"/>
      <c r="BE160" s="435"/>
      <c r="BF160" s="435"/>
      <c r="BG160" s="435"/>
      <c r="BH160" s="435"/>
      <c r="BI160" s="435"/>
      <c r="BJ160" s="435"/>
      <c r="BK160" s="435"/>
      <c r="BL160" s="435"/>
      <c r="BU160" s="401"/>
      <c r="BV160" s="401"/>
      <c r="BW160" s="401"/>
      <c r="BX160" s="401"/>
      <c r="BY160" s="401"/>
      <c r="BZ160" s="401"/>
    </row>
    <row r="161" spans="1:78" s="405" customFormat="1" ht="15" customHeight="1" outlineLevel="1" thickBot="1" x14ac:dyDescent="0.3">
      <c r="A161" s="396"/>
      <c r="B161" s="725"/>
      <c r="C161" s="687"/>
      <c r="D161" s="690"/>
      <c r="E161" s="447" t="s">
        <v>97</v>
      </c>
      <c r="F161" s="448" t="e">
        <f t="shared" ref="F161:M161" si="102">IF(OR($C160="-",$C160="CET",$C160=""),"-",IF(AND(NOT(F160="-"),NOT(F$5="-"),NOT(F$5="")),F160/F$5,"-"))</f>
        <v>#N/A</v>
      </c>
      <c r="G161" s="448" t="e">
        <f t="shared" si="102"/>
        <v>#N/A</v>
      </c>
      <c r="H161" s="448" t="e">
        <f t="shared" si="102"/>
        <v>#N/A</v>
      </c>
      <c r="I161" s="448" t="e">
        <f t="shared" si="102"/>
        <v>#N/A</v>
      </c>
      <c r="J161" s="448" t="e">
        <f t="shared" si="102"/>
        <v>#N/A</v>
      </c>
      <c r="K161" s="449" t="e">
        <f t="shared" si="102"/>
        <v>#N/A</v>
      </c>
      <c r="L161" s="449" t="e">
        <f t="shared" si="102"/>
        <v>#N/A</v>
      </c>
      <c r="M161" s="449" t="e">
        <f t="shared" si="102"/>
        <v>#N/A</v>
      </c>
      <c r="N161" s="702"/>
      <c r="O161" s="672"/>
      <c r="P161" s="673"/>
      <c r="Q161" s="673"/>
      <c r="R161" s="674"/>
      <c r="S161" s="672"/>
      <c r="T161" s="673"/>
      <c r="U161" s="673"/>
      <c r="V161" s="674"/>
      <c r="W161" s="512"/>
      <c r="X161" s="512"/>
      <c r="Y161" s="678"/>
      <c r="Z161" s="678"/>
      <c r="AA161" s="678"/>
      <c r="AB161" s="678"/>
      <c r="AC161" s="678"/>
      <c r="AD161" s="678"/>
      <c r="AE161" s="678"/>
      <c r="AF161" s="678"/>
      <c r="AG161" s="678"/>
      <c r="AH161" s="678"/>
      <c r="AI161" s="401"/>
      <c r="AJ161" s="401"/>
      <c r="AK161" s="401"/>
      <c r="AL161" s="401"/>
      <c r="AM161" s="401"/>
      <c r="AN161" s="401"/>
      <c r="AO161" s="401"/>
      <c r="AP161" s="401"/>
      <c r="AQ161" s="401"/>
      <c r="AR161" s="401"/>
      <c r="AS161" s="401"/>
      <c r="AT161" s="401"/>
      <c r="AU161" s="401"/>
      <c r="AV161" s="401"/>
      <c r="AW161" s="401"/>
      <c r="AX161" s="401"/>
      <c r="AY161" s="401"/>
      <c r="AZ161" s="401"/>
      <c r="BA161" s="401"/>
      <c r="BB161" s="401"/>
      <c r="BC161" s="536"/>
      <c r="BD161" s="429"/>
      <c r="BE161" s="435"/>
      <c r="BF161" s="435"/>
      <c r="BG161" s="435"/>
      <c r="BH161" s="435"/>
      <c r="BI161" s="435"/>
      <c r="BJ161" s="435"/>
      <c r="BK161" s="435"/>
      <c r="BL161" s="435"/>
      <c r="BU161" s="401"/>
      <c r="BV161" s="401"/>
      <c r="BW161" s="401"/>
      <c r="BX161" s="401"/>
      <c r="BY161" s="401"/>
      <c r="BZ161" s="401"/>
    </row>
    <row r="162" spans="1:78" s="405" customFormat="1" ht="15" customHeight="1" outlineLevel="1" thickBot="1" x14ac:dyDescent="0.3">
      <c r="A162" s="396"/>
      <c r="B162" s="726"/>
      <c r="C162" s="688"/>
      <c r="D162" s="691"/>
      <c r="E162" s="450" t="s">
        <v>30</v>
      </c>
      <c r="F162" s="451" t="str">
        <f t="shared" ref="F162:M162" si="103">IF(AND(OR(F158="-",F158=""),OR(F159="-",F159="")),"-",IF(OR($C160="-",$C160="",$C160="CET"),"-",IF($R$154="not listed","-",IF(NOT(F$5="-"),IF(AND(AND(NOT(F158=0),NOT(F158="-"),NOT(F158="")),AND(NOT(F159="-"),NOT(F159=0),NOT(F159=""))),IF(AND((F158+F159)/2&lt;1*F$5*IF(OR($C160="CET",$C160="-",$C160=""),"-",$C160),F158&lt;1.1*F$5*IF(OR($C160="CET",$C160="-",$C160=""),"-",$C160),F159&lt;1.1*F$5*IF(OR($C160="CET",$C160="-",$C160=""),"-",$C160)),"passed","refused"),IF(IF(OR(F158="-",F158=""),F159,F158)&lt;0.7*F$5*IF(OR($C160="CET",$C160="-",$C160=""),"-",$C160),"passed",IF(IF(OR(F158="-",F158=""),F159,F158)&lt;1.1*IF(OR($C160="CET",$C160="-",$C160=""),"-",$C160)*F$5,"failed","refused"))),"-"))))</f>
        <v>-</v>
      </c>
      <c r="G162" s="451" t="str">
        <f t="shared" si="103"/>
        <v>-</v>
      </c>
      <c r="H162" s="451" t="str">
        <f t="shared" si="103"/>
        <v>-</v>
      </c>
      <c r="I162" s="451" t="str">
        <f t="shared" si="103"/>
        <v>-</v>
      </c>
      <c r="J162" s="451" t="str">
        <f t="shared" si="103"/>
        <v>-</v>
      </c>
      <c r="K162" s="452" t="str">
        <f t="shared" si="103"/>
        <v>-</v>
      </c>
      <c r="L162" s="452" t="str">
        <f t="shared" si="103"/>
        <v>-</v>
      </c>
      <c r="M162" s="452" t="str">
        <f t="shared" si="103"/>
        <v>-</v>
      </c>
      <c r="N162" s="685"/>
      <c r="O162" s="672"/>
      <c r="P162" s="673"/>
      <c r="Q162" s="673"/>
      <c r="R162" s="674"/>
      <c r="S162" s="672"/>
      <c r="T162" s="673"/>
      <c r="U162" s="673"/>
      <c r="V162" s="674"/>
      <c r="W162" s="512"/>
      <c r="X162" s="512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401"/>
      <c r="AJ162" s="401"/>
      <c r="AK162" s="401"/>
      <c r="AL162" s="401"/>
      <c r="AM162" s="401"/>
      <c r="AN162" s="401"/>
      <c r="AO162" s="401"/>
      <c r="AP162" s="401"/>
      <c r="AQ162" s="401"/>
      <c r="AR162" s="401"/>
      <c r="AS162" s="401"/>
      <c r="AT162" s="401"/>
      <c r="AU162" s="401"/>
      <c r="AV162" s="401"/>
      <c r="AW162" s="401"/>
      <c r="AX162" s="401"/>
      <c r="AY162" s="401"/>
      <c r="AZ162" s="401"/>
      <c r="BA162" s="401"/>
      <c r="BB162" s="401"/>
      <c r="BC162" s="399" t="str">
        <f>IF(COUNTIF(F162:M162,"refused")&gt;0,"refused",IF(COUNTIF(F162:M162,"failed")&gt;0,"failed",IF(COUNTIF(F162:M162,"passed")&gt;0,"passed","-")))</f>
        <v>-</v>
      </c>
      <c r="BD162" s="429"/>
      <c r="BE162" s="435"/>
      <c r="BF162" s="435"/>
      <c r="BG162" s="435"/>
      <c r="BH162" s="435"/>
      <c r="BI162" s="435"/>
      <c r="BJ162" s="435"/>
      <c r="BK162" s="435"/>
      <c r="BL162" s="435"/>
      <c r="BU162" s="401"/>
      <c r="BV162" s="401"/>
      <c r="BW162" s="401"/>
      <c r="BX162" s="401"/>
      <c r="BY162" s="401"/>
      <c r="BZ162" s="401"/>
    </row>
    <row r="163" spans="1:78" s="405" customFormat="1" ht="15" customHeight="1" outlineLevel="1" x14ac:dyDescent="0.25">
      <c r="A163" s="439"/>
      <c r="B163" s="724" t="s">
        <v>115</v>
      </c>
      <c r="C163" s="684" t="s">
        <v>114</v>
      </c>
      <c r="D163" s="684" t="s">
        <v>113</v>
      </c>
      <c r="E163" s="453" t="s">
        <v>94</v>
      </c>
      <c r="F163" s="473" t="s">
        <v>5</v>
      </c>
      <c r="G163" s="473" t="s">
        <v>5</v>
      </c>
      <c r="H163" s="473" t="s">
        <v>5</v>
      </c>
      <c r="I163" s="473" t="s">
        <v>5</v>
      </c>
      <c r="J163" s="473" t="s">
        <v>5</v>
      </c>
      <c r="K163" s="474" t="s">
        <v>5</v>
      </c>
      <c r="L163" s="474" t="s">
        <v>5</v>
      </c>
      <c r="M163" s="474" t="s">
        <v>5</v>
      </c>
      <c r="N163" s="473" t="s">
        <v>5</v>
      </c>
      <c r="O163" s="672"/>
      <c r="P163" s="673"/>
      <c r="Q163" s="673"/>
      <c r="R163" s="674"/>
      <c r="S163" s="672"/>
      <c r="T163" s="673"/>
      <c r="U163" s="673"/>
      <c r="V163" s="674"/>
      <c r="W163" s="443"/>
      <c r="X163" s="443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BC163" s="536"/>
      <c r="BD163" s="429" t="str">
        <f>"0.7*IEF " &amp; (B158)</f>
        <v>0.7*IEF normal</v>
      </c>
      <c r="BE163" s="435">
        <f t="shared" ref="BE163:BL163" si="104">IF(OR($C160="-",$C160="CET",$C160=""),"-",0.7*$C160)</f>
        <v>1.4</v>
      </c>
      <c r="BF163" s="435">
        <f t="shared" si="104"/>
        <v>1.4</v>
      </c>
      <c r="BG163" s="435">
        <f t="shared" si="104"/>
        <v>1.4</v>
      </c>
      <c r="BH163" s="435">
        <f t="shared" si="104"/>
        <v>1.4</v>
      </c>
      <c r="BI163" s="435">
        <f t="shared" si="104"/>
        <v>1.4</v>
      </c>
      <c r="BJ163" s="435">
        <f t="shared" si="104"/>
        <v>1.4</v>
      </c>
      <c r="BK163" s="435">
        <f t="shared" si="104"/>
        <v>1.4</v>
      </c>
      <c r="BL163" s="435">
        <f t="shared" si="104"/>
        <v>1.4</v>
      </c>
    </row>
    <row r="164" spans="1:78" s="405" customFormat="1" ht="15" customHeight="1" outlineLevel="1" thickBot="1" x14ac:dyDescent="0.3">
      <c r="A164" s="396"/>
      <c r="B164" s="725"/>
      <c r="C164" s="702"/>
      <c r="D164" s="685"/>
      <c r="E164" s="440" t="s">
        <v>95</v>
      </c>
      <c r="F164" s="475" t="s">
        <v>5</v>
      </c>
      <c r="G164" s="475" t="s">
        <v>5</v>
      </c>
      <c r="H164" s="475" t="s">
        <v>5</v>
      </c>
      <c r="I164" s="475" t="s">
        <v>5</v>
      </c>
      <c r="J164" s="475" t="s">
        <v>5</v>
      </c>
      <c r="K164" s="476" t="s">
        <v>5</v>
      </c>
      <c r="L164" s="476" t="s">
        <v>5</v>
      </c>
      <c r="M164" s="476" t="s">
        <v>5</v>
      </c>
      <c r="N164" s="475" t="s">
        <v>5</v>
      </c>
      <c r="O164" s="672"/>
      <c r="P164" s="673"/>
      <c r="Q164" s="673"/>
      <c r="R164" s="674"/>
      <c r="S164" s="672"/>
      <c r="T164" s="673"/>
      <c r="U164" s="673"/>
      <c r="V164" s="674"/>
      <c r="W164" s="512"/>
      <c r="X164" s="512"/>
      <c r="Y164" s="678"/>
      <c r="Z164" s="678"/>
      <c r="AA164" s="678"/>
      <c r="AB164" s="678"/>
      <c r="AC164" s="678"/>
      <c r="AD164" s="678"/>
      <c r="AE164" s="678"/>
      <c r="AF164" s="678"/>
      <c r="AG164" s="678"/>
      <c r="AH164" s="678"/>
      <c r="AI164" s="401"/>
      <c r="AJ164" s="401"/>
      <c r="AK164" s="401"/>
      <c r="AL164" s="401"/>
      <c r="AM164" s="401"/>
      <c r="AN164" s="401"/>
      <c r="AO164" s="401"/>
      <c r="AP164" s="401"/>
      <c r="AQ164" s="401"/>
      <c r="AR164" s="401"/>
      <c r="AS164" s="401"/>
      <c r="AT164" s="401"/>
      <c r="AU164" s="401"/>
      <c r="AV164" s="401"/>
      <c r="AW164" s="401"/>
      <c r="AX164" s="401"/>
      <c r="AY164" s="401"/>
      <c r="AZ164" s="401"/>
      <c r="BA164" s="401"/>
      <c r="BB164" s="401"/>
      <c r="BC164" s="536"/>
      <c r="BD164" s="429" t="str">
        <f>"0.7*IEF " &amp; B163</f>
        <v>0.7*IEF aggressive</v>
      </c>
      <c r="BE164" s="435">
        <f t="shared" ref="BE164:BL164" si="105">IF(OR($C165="-",$C165="CET",$C165=""),"-",0.7*$C165)</f>
        <v>2.8</v>
      </c>
      <c r="BF164" s="435">
        <f t="shared" si="105"/>
        <v>2.8</v>
      </c>
      <c r="BG164" s="435">
        <f t="shared" si="105"/>
        <v>2.8</v>
      </c>
      <c r="BH164" s="435">
        <f t="shared" si="105"/>
        <v>2.8</v>
      </c>
      <c r="BI164" s="435">
        <f t="shared" si="105"/>
        <v>2.8</v>
      </c>
      <c r="BJ164" s="435">
        <f t="shared" si="105"/>
        <v>2.8</v>
      </c>
      <c r="BK164" s="435">
        <f t="shared" si="105"/>
        <v>2.8</v>
      </c>
      <c r="BL164" s="435">
        <f t="shared" si="105"/>
        <v>2.8</v>
      </c>
      <c r="BU164" s="401"/>
      <c r="BV164" s="401"/>
      <c r="BW164" s="401"/>
      <c r="BX164" s="401"/>
      <c r="BY164" s="401"/>
      <c r="BZ164" s="401"/>
    </row>
    <row r="165" spans="1:78" s="405" customFormat="1" ht="15" customHeight="1" outlineLevel="1" thickBot="1" x14ac:dyDescent="0.3">
      <c r="A165" s="396"/>
      <c r="B165" s="725"/>
      <c r="C165" s="686">
        <v>4</v>
      </c>
      <c r="D165" s="689" t="str">
        <f>IF(AND(F165="-",G165="-",H165="-",I165="-",J165="-",K165="-",L165="-",M165="-"),"-",MAX(F165,G165,H165,I165,J165,K165,L165,M165))</f>
        <v>-</v>
      </c>
      <c r="E165" s="444" t="s">
        <v>177</v>
      </c>
      <c r="F165" s="445" t="str">
        <f t="shared" ref="F165:M165" si="106">IF(OR(F164="-",F164=""),IF(OR(F163="-",F163=""),"-",F163),IF(OR(F163="-",F163=""),F164,(F163+F164)/2))</f>
        <v>-</v>
      </c>
      <c r="G165" s="445" t="str">
        <f t="shared" si="106"/>
        <v>-</v>
      </c>
      <c r="H165" s="445" t="str">
        <f t="shared" si="106"/>
        <v>-</v>
      </c>
      <c r="I165" s="445" t="str">
        <f t="shared" si="106"/>
        <v>-</v>
      </c>
      <c r="J165" s="445" t="str">
        <f t="shared" si="106"/>
        <v>-</v>
      </c>
      <c r="K165" s="446" t="str">
        <f t="shared" si="106"/>
        <v>-</v>
      </c>
      <c r="L165" s="446" t="str">
        <f t="shared" si="106"/>
        <v>-</v>
      </c>
      <c r="M165" s="446" t="str">
        <f t="shared" si="106"/>
        <v>-</v>
      </c>
      <c r="N165" s="828"/>
      <c r="O165" s="672"/>
      <c r="P165" s="673"/>
      <c r="Q165" s="673"/>
      <c r="R165" s="674"/>
      <c r="S165" s="672"/>
      <c r="T165" s="673"/>
      <c r="U165" s="673"/>
      <c r="V165" s="674"/>
      <c r="W165" s="512"/>
      <c r="X165" s="512"/>
      <c r="Y165" s="678"/>
      <c r="Z165" s="678"/>
      <c r="AA165" s="678"/>
      <c r="AB165" s="678"/>
      <c r="AC165" s="678"/>
      <c r="AD165" s="678"/>
      <c r="AE165" s="678"/>
      <c r="AF165" s="678"/>
      <c r="AG165" s="678"/>
      <c r="AH165" s="678"/>
      <c r="AI165" s="401"/>
      <c r="AJ165" s="401"/>
      <c r="AK165" s="401"/>
      <c r="AL165" s="401"/>
      <c r="AM165" s="401"/>
      <c r="AN165" s="401"/>
      <c r="AO165" s="401"/>
      <c r="AP165" s="401"/>
      <c r="AQ165" s="401"/>
      <c r="AR165" s="401"/>
      <c r="AS165" s="401"/>
      <c r="AT165" s="401"/>
      <c r="AU165" s="401"/>
      <c r="AV165" s="401"/>
      <c r="AW165" s="401"/>
      <c r="AX165" s="401"/>
      <c r="AY165" s="401"/>
      <c r="AZ165" s="401"/>
      <c r="BA165" s="401"/>
      <c r="BB165" s="401"/>
      <c r="BC165" s="536"/>
      <c r="BD165" s="429"/>
      <c r="BE165" s="435"/>
      <c r="BF165" s="435"/>
      <c r="BG165" s="435"/>
      <c r="BH165" s="435"/>
      <c r="BI165" s="435"/>
      <c r="BJ165" s="435"/>
      <c r="BK165" s="435"/>
      <c r="BL165" s="435"/>
      <c r="BU165" s="401"/>
      <c r="BV165" s="401"/>
      <c r="BW165" s="401"/>
      <c r="BX165" s="401"/>
      <c r="BY165" s="401"/>
      <c r="BZ165" s="401"/>
    </row>
    <row r="166" spans="1:78" s="405" customFormat="1" ht="15" customHeight="1" outlineLevel="1" thickBot="1" x14ac:dyDescent="0.3">
      <c r="A166" s="404"/>
      <c r="B166" s="725"/>
      <c r="C166" s="687"/>
      <c r="D166" s="690"/>
      <c r="E166" s="447" t="s">
        <v>97</v>
      </c>
      <c r="F166" s="448" t="e">
        <f t="shared" ref="F166:M166" si="107">IF(OR($C165="-",$C165="CET",$C165=""),"-",IF(AND(NOT(F165="-"),NOT(F$5="-"),NOT(F$5="")),F165/F$5,"-"))</f>
        <v>#N/A</v>
      </c>
      <c r="G166" s="448" t="e">
        <f t="shared" si="107"/>
        <v>#N/A</v>
      </c>
      <c r="H166" s="448" t="e">
        <f t="shared" si="107"/>
        <v>#N/A</v>
      </c>
      <c r="I166" s="448" t="e">
        <f t="shared" si="107"/>
        <v>#N/A</v>
      </c>
      <c r="J166" s="448" t="e">
        <f t="shared" si="107"/>
        <v>#N/A</v>
      </c>
      <c r="K166" s="449" t="e">
        <f t="shared" si="107"/>
        <v>#N/A</v>
      </c>
      <c r="L166" s="449" t="e">
        <f t="shared" si="107"/>
        <v>#N/A</v>
      </c>
      <c r="M166" s="449" t="e">
        <f t="shared" si="107"/>
        <v>#N/A</v>
      </c>
      <c r="N166" s="702"/>
      <c r="O166" s="672"/>
      <c r="P166" s="673"/>
      <c r="Q166" s="673"/>
      <c r="R166" s="674"/>
      <c r="S166" s="672"/>
      <c r="T166" s="673"/>
      <c r="U166" s="673"/>
      <c r="V166" s="674"/>
      <c r="W166" s="512"/>
      <c r="X166" s="512"/>
      <c r="Y166" s="678"/>
      <c r="Z166" s="678"/>
      <c r="AA166" s="678"/>
      <c r="AB166" s="678"/>
      <c r="AC166" s="678"/>
      <c r="AD166" s="678"/>
      <c r="AE166" s="678"/>
      <c r="AF166" s="678"/>
      <c r="AG166" s="678"/>
      <c r="AH166" s="678"/>
      <c r="AI166" s="401"/>
      <c r="AJ166" s="401"/>
      <c r="AK166" s="401"/>
      <c r="AL166" s="401"/>
      <c r="AM166" s="401"/>
      <c r="AN166" s="401"/>
      <c r="AO166" s="401"/>
      <c r="AP166" s="401"/>
      <c r="AQ166" s="401"/>
      <c r="AR166" s="401"/>
      <c r="AS166" s="401"/>
      <c r="AT166" s="401"/>
      <c r="AU166" s="401"/>
      <c r="AV166" s="401"/>
      <c r="AW166" s="401"/>
      <c r="AX166" s="401"/>
      <c r="AY166" s="401"/>
      <c r="AZ166" s="401"/>
      <c r="BA166" s="401"/>
      <c r="BB166" s="401"/>
      <c r="BC166" s="536"/>
      <c r="BD166" s="429"/>
      <c r="BE166" s="435"/>
      <c r="BF166" s="435"/>
      <c r="BG166" s="435"/>
      <c r="BH166" s="435"/>
      <c r="BI166" s="435"/>
      <c r="BJ166" s="435"/>
      <c r="BK166" s="435"/>
      <c r="BL166" s="435"/>
      <c r="BU166" s="401"/>
      <c r="BV166" s="401"/>
      <c r="BW166" s="401"/>
      <c r="BX166" s="401"/>
      <c r="BY166" s="401"/>
      <c r="BZ166" s="401"/>
    </row>
    <row r="167" spans="1:78" s="405" customFormat="1" ht="15" customHeight="1" outlineLevel="1" thickBot="1" x14ac:dyDescent="0.3">
      <c r="A167" s="404"/>
      <c r="B167" s="726"/>
      <c r="C167" s="688"/>
      <c r="D167" s="691"/>
      <c r="E167" s="451" t="s">
        <v>30</v>
      </c>
      <c r="F167" s="451" t="str">
        <f t="shared" ref="F167:M167" si="108">IF(AND(OR(F163="-",F163=""),OR(F164="-",F164="")),"-",IF(OR($C165="-",$C165="",$C165="CET"),"-",IF($R$154="not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451" t="str">
        <f t="shared" si="108"/>
        <v>-</v>
      </c>
      <c r="H167" s="451" t="str">
        <f t="shared" si="108"/>
        <v>-</v>
      </c>
      <c r="I167" s="451" t="str">
        <f t="shared" si="108"/>
        <v>-</v>
      </c>
      <c r="J167" s="451" t="str">
        <f t="shared" si="108"/>
        <v>-</v>
      </c>
      <c r="K167" s="452" t="str">
        <f t="shared" si="108"/>
        <v>-</v>
      </c>
      <c r="L167" s="452" t="str">
        <f t="shared" si="108"/>
        <v>-</v>
      </c>
      <c r="M167" s="452" t="str">
        <f t="shared" si="108"/>
        <v>-</v>
      </c>
      <c r="N167" s="685"/>
      <c r="O167" s="672"/>
      <c r="P167" s="673"/>
      <c r="Q167" s="673"/>
      <c r="R167" s="674"/>
      <c r="S167" s="672"/>
      <c r="T167" s="673"/>
      <c r="U167" s="673"/>
      <c r="V167" s="674"/>
      <c r="W167" s="512"/>
      <c r="X167" s="512"/>
      <c r="Y167" s="678"/>
      <c r="Z167" s="678"/>
      <c r="AA167" s="678"/>
      <c r="AB167" s="678"/>
      <c r="AC167" s="678"/>
      <c r="AD167" s="678"/>
      <c r="AE167" s="678"/>
      <c r="AF167" s="678"/>
      <c r="AG167" s="678"/>
      <c r="AH167" s="678"/>
      <c r="AI167" s="401"/>
      <c r="AJ167" s="401"/>
      <c r="AK167" s="401"/>
      <c r="AL167" s="401"/>
      <c r="AM167" s="401"/>
      <c r="AN167" s="401"/>
      <c r="AO167" s="401"/>
      <c r="AP167" s="401"/>
      <c r="AQ167" s="401"/>
      <c r="AR167" s="401"/>
      <c r="AS167" s="401"/>
      <c r="AT167" s="401"/>
      <c r="AU167" s="401"/>
      <c r="AV167" s="401"/>
      <c r="AW167" s="401"/>
      <c r="AX167" s="401"/>
      <c r="AY167" s="401"/>
      <c r="AZ167" s="401"/>
      <c r="BA167" s="401"/>
      <c r="BB167" s="401"/>
      <c r="BC167" s="399" t="str">
        <f>IF(COUNTIF(F167:M167,"refused")&gt;0,"refused",IF(COUNTIF(F167:M167,"failed")&gt;0,"failed",IF(COUNTIF(F167:M167,"passed")&gt;0,"passed","-")))</f>
        <v>-</v>
      </c>
      <c r="BD167" s="429"/>
      <c r="BE167" s="435"/>
      <c r="BF167" s="435"/>
      <c r="BG167" s="435"/>
      <c r="BH167" s="435"/>
      <c r="BI167" s="435"/>
      <c r="BJ167" s="435"/>
      <c r="BK167" s="435"/>
      <c r="BL167" s="435"/>
      <c r="BU167" s="401"/>
      <c r="BV167" s="401"/>
      <c r="BW167" s="401"/>
      <c r="BX167" s="401"/>
      <c r="BY167" s="401"/>
      <c r="BZ167" s="401"/>
    </row>
    <row r="168" spans="1:78" s="405" customFormat="1" ht="15" customHeight="1" outlineLevel="1" x14ac:dyDescent="0.25">
      <c r="A168" s="454"/>
      <c r="B168" s="478"/>
      <c r="C168" s="479"/>
      <c r="D168" s="479"/>
      <c r="E168" s="480"/>
      <c r="F168" s="481"/>
      <c r="G168" s="481"/>
      <c r="H168" s="481"/>
      <c r="I168" s="481"/>
      <c r="J168" s="481"/>
      <c r="K168" s="482"/>
      <c r="L168" s="482"/>
      <c r="M168" s="482"/>
      <c r="N168" s="483"/>
      <c r="O168" s="672"/>
      <c r="P168" s="673"/>
      <c r="Q168" s="673"/>
      <c r="R168" s="674"/>
      <c r="S168" s="672"/>
      <c r="T168" s="673"/>
      <c r="U168" s="673"/>
      <c r="V168" s="674"/>
      <c r="W168" s="443"/>
      <c r="X168" s="443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BD168" s="429"/>
      <c r="BE168" s="435"/>
      <c r="BF168" s="435"/>
      <c r="BG168" s="435"/>
      <c r="BH168" s="435"/>
      <c r="BI168" s="435"/>
      <c r="BJ168" s="435"/>
      <c r="BK168" s="435"/>
      <c r="BL168" s="435"/>
    </row>
    <row r="169" spans="1:78" s="405" customFormat="1" ht="15" customHeight="1" outlineLevel="1" x14ac:dyDescent="0.25">
      <c r="A169" s="404"/>
      <c r="B169" s="484"/>
      <c r="C169" s="485"/>
      <c r="D169" s="485"/>
      <c r="E169" s="486"/>
      <c r="F169" s="463"/>
      <c r="G169" s="463"/>
      <c r="H169" s="463"/>
      <c r="I169" s="463"/>
      <c r="J169" s="463"/>
      <c r="K169" s="464"/>
      <c r="L169" s="464"/>
      <c r="M169" s="464"/>
      <c r="N169" s="465"/>
      <c r="O169" s="672"/>
      <c r="P169" s="673"/>
      <c r="Q169" s="673"/>
      <c r="R169" s="674"/>
      <c r="S169" s="672"/>
      <c r="T169" s="673"/>
      <c r="U169" s="673"/>
      <c r="V169" s="674"/>
      <c r="W169" s="512"/>
      <c r="X169" s="512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401"/>
      <c r="AJ169" s="401"/>
      <c r="AK169" s="401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01"/>
      <c r="BD169" s="429" t="str">
        <f>$B158</f>
        <v>normal</v>
      </c>
      <c r="BE169" s="435" t="e">
        <f t="shared" ref="BE169:BL169" si="109">F161</f>
        <v>#N/A</v>
      </c>
      <c r="BF169" s="435" t="e">
        <f t="shared" si="109"/>
        <v>#N/A</v>
      </c>
      <c r="BG169" s="435" t="e">
        <f t="shared" si="109"/>
        <v>#N/A</v>
      </c>
      <c r="BH169" s="435" t="e">
        <f t="shared" si="109"/>
        <v>#N/A</v>
      </c>
      <c r="BI169" s="435" t="e">
        <f t="shared" si="109"/>
        <v>#N/A</v>
      </c>
      <c r="BJ169" s="435" t="e">
        <f t="shared" si="109"/>
        <v>#N/A</v>
      </c>
      <c r="BK169" s="435" t="e">
        <f t="shared" si="109"/>
        <v>#N/A</v>
      </c>
      <c r="BL169" s="435" t="e">
        <f t="shared" si="109"/>
        <v>#N/A</v>
      </c>
      <c r="BU169" s="401"/>
      <c r="BV169" s="401"/>
      <c r="BW169" s="401"/>
      <c r="BX169" s="401"/>
      <c r="BY169" s="401"/>
      <c r="BZ169" s="401"/>
    </row>
    <row r="170" spans="1:78" s="405" customFormat="1" ht="15" customHeight="1" outlineLevel="1" x14ac:dyDescent="0.25">
      <c r="A170" s="404"/>
      <c r="B170" s="484"/>
      <c r="C170" s="487"/>
      <c r="D170" s="488"/>
      <c r="E170" s="489"/>
      <c r="F170" s="489"/>
      <c r="G170" s="489"/>
      <c r="H170" s="489"/>
      <c r="I170" s="489"/>
      <c r="J170" s="489"/>
      <c r="K170" s="490"/>
      <c r="L170" s="490"/>
      <c r="M170" s="490"/>
      <c r="N170" s="491"/>
      <c r="O170" s="672"/>
      <c r="P170" s="673"/>
      <c r="Q170" s="673"/>
      <c r="R170" s="674"/>
      <c r="S170" s="672"/>
      <c r="T170" s="673"/>
      <c r="U170" s="673"/>
      <c r="V170" s="674"/>
      <c r="W170" s="512"/>
      <c r="X170" s="512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AI170" s="401"/>
      <c r="AJ170" s="401"/>
      <c r="AK170" s="401"/>
      <c r="AL170" s="401"/>
      <c r="AM170" s="401"/>
      <c r="AN170" s="401"/>
      <c r="AO170" s="401"/>
      <c r="AP170" s="401"/>
      <c r="AQ170" s="401"/>
      <c r="AR170" s="401"/>
      <c r="AS170" s="401"/>
      <c r="AT170" s="401"/>
      <c r="AU170" s="401"/>
      <c r="AV170" s="401"/>
      <c r="AW170" s="401"/>
      <c r="AX170" s="401"/>
      <c r="AY170" s="401"/>
      <c r="AZ170" s="401"/>
      <c r="BA170" s="401"/>
      <c r="BB170" s="401"/>
      <c r="BC170" s="401"/>
      <c r="BD170" s="429" t="str">
        <f>$B163</f>
        <v>aggressive</v>
      </c>
      <c r="BE170" s="435" t="e">
        <f t="shared" ref="BE170:BL170" si="110">F166</f>
        <v>#N/A</v>
      </c>
      <c r="BF170" s="435" t="e">
        <f t="shared" si="110"/>
        <v>#N/A</v>
      </c>
      <c r="BG170" s="435" t="e">
        <f t="shared" si="110"/>
        <v>#N/A</v>
      </c>
      <c r="BH170" s="435" t="e">
        <f t="shared" si="110"/>
        <v>#N/A</v>
      </c>
      <c r="BI170" s="435" t="e">
        <f t="shared" si="110"/>
        <v>#N/A</v>
      </c>
      <c r="BJ170" s="435" t="e">
        <f t="shared" si="110"/>
        <v>#N/A</v>
      </c>
      <c r="BK170" s="435" t="e">
        <f t="shared" si="110"/>
        <v>#N/A</v>
      </c>
      <c r="BL170" s="435" t="e">
        <f t="shared" si="110"/>
        <v>#N/A</v>
      </c>
      <c r="BU170" s="401"/>
      <c r="BV170" s="401"/>
      <c r="BW170" s="401"/>
      <c r="BX170" s="401"/>
      <c r="BY170" s="401"/>
      <c r="BZ170" s="401"/>
    </row>
    <row r="171" spans="1:78" s="405" customFormat="1" ht="15" customHeight="1" outlineLevel="1" x14ac:dyDescent="0.25">
      <c r="A171" s="404"/>
      <c r="B171" s="484"/>
      <c r="C171" s="487"/>
      <c r="D171" s="488"/>
      <c r="E171" s="486"/>
      <c r="F171" s="492"/>
      <c r="G171" s="492"/>
      <c r="H171" s="492"/>
      <c r="I171" s="492"/>
      <c r="J171" s="492"/>
      <c r="K171" s="490"/>
      <c r="L171" s="490"/>
      <c r="M171" s="490"/>
      <c r="N171" s="493"/>
      <c r="O171" s="672"/>
      <c r="P171" s="673"/>
      <c r="Q171" s="673"/>
      <c r="R171" s="674"/>
      <c r="S171" s="672"/>
      <c r="T171" s="673"/>
      <c r="U171" s="673"/>
      <c r="V171" s="674"/>
      <c r="W171" s="512"/>
      <c r="X171" s="512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AI171" s="401"/>
      <c r="AJ171" s="401"/>
      <c r="AK171" s="401"/>
      <c r="AL171" s="401"/>
      <c r="AM171" s="401"/>
      <c r="AN171" s="401"/>
      <c r="AO171" s="401"/>
      <c r="AP171" s="401"/>
      <c r="AQ171" s="401"/>
      <c r="AR171" s="401"/>
      <c r="AS171" s="401"/>
      <c r="AT171" s="401"/>
      <c r="AU171" s="401"/>
      <c r="AV171" s="401"/>
      <c r="AW171" s="401"/>
      <c r="AX171" s="401"/>
      <c r="AY171" s="401"/>
      <c r="AZ171" s="401"/>
      <c r="BA171" s="401"/>
      <c r="BB171" s="401"/>
      <c r="BC171" s="401"/>
      <c r="BD171" s="429"/>
      <c r="BE171" s="435"/>
      <c r="BF171" s="435"/>
      <c r="BG171" s="435"/>
      <c r="BH171" s="435"/>
      <c r="BI171" s="435"/>
      <c r="BJ171" s="435"/>
      <c r="BK171" s="435"/>
      <c r="BL171" s="435"/>
      <c r="BU171" s="401"/>
      <c r="BV171" s="401"/>
      <c r="BW171" s="401"/>
      <c r="BX171" s="401"/>
      <c r="BY171" s="401"/>
      <c r="BZ171" s="401"/>
    </row>
    <row r="172" spans="1:78" s="405" customFormat="1" ht="15" customHeight="1" outlineLevel="1" x14ac:dyDescent="0.25">
      <c r="A172" s="404"/>
      <c r="B172" s="484"/>
      <c r="C172" s="487"/>
      <c r="D172" s="488"/>
      <c r="E172" s="486"/>
      <c r="F172" s="486"/>
      <c r="G172" s="486"/>
      <c r="H172" s="486"/>
      <c r="I172" s="486"/>
      <c r="J172" s="486"/>
      <c r="K172" s="490"/>
      <c r="L172" s="490"/>
      <c r="M172" s="490"/>
      <c r="N172" s="494"/>
      <c r="O172" s="672"/>
      <c r="P172" s="673"/>
      <c r="Q172" s="673"/>
      <c r="R172" s="674"/>
      <c r="S172" s="672"/>
      <c r="T172" s="673"/>
      <c r="U172" s="673"/>
      <c r="V172" s="674"/>
      <c r="W172" s="512"/>
      <c r="X172" s="512"/>
      <c r="Y172" s="678"/>
      <c r="Z172" s="678"/>
      <c r="AA172" s="678"/>
      <c r="AB172" s="678"/>
      <c r="AC172" s="678"/>
      <c r="AD172" s="678"/>
      <c r="AE172" s="678"/>
      <c r="AF172" s="678"/>
      <c r="AG172" s="678"/>
      <c r="AH172" s="678"/>
      <c r="AI172" s="401"/>
      <c r="AJ172" s="401"/>
      <c r="AK172" s="401"/>
      <c r="AL172" s="401"/>
      <c r="AM172" s="401"/>
      <c r="AN172" s="401"/>
      <c r="AO172" s="401"/>
      <c r="AP172" s="401"/>
      <c r="AQ172" s="401"/>
      <c r="AR172" s="401"/>
      <c r="AS172" s="401"/>
      <c r="AT172" s="401"/>
      <c r="AU172" s="401"/>
      <c r="AV172" s="401"/>
      <c r="AW172" s="401"/>
      <c r="AX172" s="401"/>
      <c r="AY172" s="401"/>
      <c r="AZ172" s="401"/>
      <c r="BA172" s="401"/>
      <c r="BB172" s="401"/>
      <c r="BC172" s="401"/>
      <c r="BD172" s="429"/>
      <c r="BE172" s="435"/>
      <c r="BF172" s="435"/>
      <c r="BG172" s="435"/>
      <c r="BH172" s="435"/>
      <c r="BI172" s="435"/>
      <c r="BJ172" s="435"/>
      <c r="BK172" s="435"/>
      <c r="BL172" s="435"/>
      <c r="BU172" s="401"/>
      <c r="BV172" s="401"/>
      <c r="BW172" s="401"/>
      <c r="BX172" s="401"/>
      <c r="BY172" s="401"/>
      <c r="BZ172" s="401"/>
    </row>
    <row r="173" spans="1:78" s="405" customFormat="1" ht="15" customHeight="1" outlineLevel="1" x14ac:dyDescent="0.25">
      <c r="A173" s="454"/>
      <c r="B173" s="484"/>
      <c r="C173" s="485"/>
      <c r="D173" s="485"/>
      <c r="E173" s="486"/>
      <c r="F173" s="463"/>
      <c r="G173" s="463"/>
      <c r="H173" s="463"/>
      <c r="I173" s="463"/>
      <c r="J173" s="463"/>
      <c r="K173" s="464"/>
      <c r="L173" s="464"/>
      <c r="M173" s="464"/>
      <c r="N173" s="465"/>
      <c r="O173" s="672"/>
      <c r="P173" s="673"/>
      <c r="Q173" s="673"/>
      <c r="R173" s="674"/>
      <c r="S173" s="672"/>
      <c r="T173" s="673"/>
      <c r="U173" s="673"/>
      <c r="V173" s="674"/>
      <c r="W173" s="443"/>
      <c r="X173" s="443"/>
      <c r="Y173" s="678"/>
      <c r="Z173" s="678"/>
      <c r="AA173" s="678"/>
      <c r="AB173" s="678"/>
      <c r="AC173" s="678"/>
      <c r="AD173" s="678"/>
      <c r="AE173" s="678"/>
      <c r="AF173" s="678"/>
      <c r="AG173" s="678"/>
      <c r="AH173" s="678"/>
      <c r="BD173" s="429"/>
      <c r="BE173" s="435"/>
      <c r="BF173" s="435"/>
      <c r="BG173" s="435"/>
      <c r="BH173" s="435"/>
      <c r="BI173" s="435"/>
      <c r="BJ173" s="435"/>
      <c r="BK173" s="435"/>
      <c r="BL173" s="435"/>
    </row>
    <row r="174" spans="1:78" s="405" customFormat="1" ht="15" customHeight="1" outlineLevel="1" x14ac:dyDescent="0.25">
      <c r="A174" s="404"/>
      <c r="B174" s="484"/>
      <c r="C174" s="485"/>
      <c r="D174" s="485"/>
      <c r="E174" s="486"/>
      <c r="F174" s="463"/>
      <c r="G174" s="463"/>
      <c r="H174" s="463"/>
      <c r="I174" s="463"/>
      <c r="J174" s="463"/>
      <c r="K174" s="464"/>
      <c r="L174" s="464"/>
      <c r="M174" s="464"/>
      <c r="N174" s="465"/>
      <c r="O174" s="672"/>
      <c r="P174" s="673"/>
      <c r="Q174" s="673"/>
      <c r="R174" s="674"/>
      <c r="S174" s="672"/>
      <c r="T174" s="673"/>
      <c r="U174" s="673"/>
      <c r="V174" s="674"/>
      <c r="W174" s="512"/>
      <c r="X174" s="512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401"/>
      <c r="AJ174" s="401"/>
      <c r="AK174" s="401"/>
      <c r="AL174" s="401"/>
      <c r="AM174" s="401"/>
      <c r="AN174" s="401"/>
      <c r="AO174" s="401"/>
      <c r="AP174" s="401"/>
      <c r="AQ174" s="401"/>
      <c r="AR174" s="401"/>
      <c r="AS174" s="401"/>
      <c r="AT174" s="401"/>
      <c r="AU174" s="401"/>
      <c r="AV174" s="401"/>
      <c r="AW174" s="401"/>
      <c r="AX174" s="401"/>
      <c r="AY174" s="401"/>
      <c r="AZ174" s="401"/>
      <c r="BA174" s="401"/>
      <c r="BB174" s="401"/>
      <c r="BC174" s="401"/>
      <c r="BD174" s="429"/>
      <c r="BE174" s="435"/>
      <c r="BF174" s="435"/>
      <c r="BG174" s="435"/>
      <c r="BH174" s="435"/>
      <c r="BI174" s="435"/>
      <c r="BJ174" s="435"/>
      <c r="BK174" s="435"/>
      <c r="BL174" s="435"/>
      <c r="BU174" s="401"/>
      <c r="BV174" s="401"/>
      <c r="BW174" s="401"/>
      <c r="BX174" s="401"/>
      <c r="BY174" s="401"/>
      <c r="BZ174" s="401"/>
    </row>
    <row r="175" spans="1:78" s="405" customFormat="1" ht="15" customHeight="1" outlineLevel="1" x14ac:dyDescent="0.25">
      <c r="A175" s="404"/>
      <c r="B175" s="484"/>
      <c r="C175" s="487"/>
      <c r="D175" s="488"/>
      <c r="E175" s="489"/>
      <c r="F175" s="489"/>
      <c r="G175" s="489"/>
      <c r="H175" s="489"/>
      <c r="I175" s="489"/>
      <c r="J175" s="489"/>
      <c r="K175" s="490"/>
      <c r="L175" s="490"/>
      <c r="M175" s="490"/>
      <c r="N175" s="491"/>
      <c r="O175" s="672"/>
      <c r="P175" s="673"/>
      <c r="Q175" s="673"/>
      <c r="R175" s="674"/>
      <c r="S175" s="672"/>
      <c r="T175" s="673"/>
      <c r="U175" s="673"/>
      <c r="V175" s="674"/>
      <c r="W175" s="512"/>
      <c r="X175" s="512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29" t="str">
        <f>"IEF " &amp;B158</f>
        <v>IEF normal</v>
      </c>
      <c r="BE175" s="435">
        <f t="shared" ref="BE175:BL175" si="111">IF(OR($C160="-",$C160="CET",$C160=""),"-",$C160)</f>
        <v>2</v>
      </c>
      <c r="BF175" s="435">
        <f t="shared" si="111"/>
        <v>2</v>
      </c>
      <c r="BG175" s="435">
        <f t="shared" si="111"/>
        <v>2</v>
      </c>
      <c r="BH175" s="435">
        <f t="shared" si="111"/>
        <v>2</v>
      </c>
      <c r="BI175" s="435">
        <f t="shared" si="111"/>
        <v>2</v>
      </c>
      <c r="BJ175" s="435">
        <f t="shared" si="111"/>
        <v>2</v>
      </c>
      <c r="BK175" s="435">
        <f t="shared" si="111"/>
        <v>2</v>
      </c>
      <c r="BL175" s="435">
        <f t="shared" si="111"/>
        <v>2</v>
      </c>
      <c r="BU175" s="401"/>
      <c r="BV175" s="401"/>
      <c r="BW175" s="401"/>
      <c r="BX175" s="401"/>
      <c r="BY175" s="401"/>
      <c r="BZ175" s="401"/>
    </row>
    <row r="176" spans="1:78" s="405" customFormat="1" ht="15" customHeight="1" outlineLevel="1" x14ac:dyDescent="0.25">
      <c r="A176" s="404"/>
      <c r="B176" s="484"/>
      <c r="C176" s="487"/>
      <c r="D176" s="488"/>
      <c r="E176" s="486"/>
      <c r="F176" s="492"/>
      <c r="G176" s="492"/>
      <c r="H176" s="492"/>
      <c r="I176" s="492"/>
      <c r="J176" s="492"/>
      <c r="K176" s="490"/>
      <c r="L176" s="490"/>
      <c r="M176" s="490"/>
      <c r="N176" s="493"/>
      <c r="O176" s="672"/>
      <c r="P176" s="673"/>
      <c r="Q176" s="673"/>
      <c r="R176" s="674"/>
      <c r="S176" s="672"/>
      <c r="T176" s="673"/>
      <c r="U176" s="673"/>
      <c r="V176" s="674"/>
      <c r="W176" s="512"/>
      <c r="X176" s="512"/>
      <c r="Y176" s="678"/>
      <c r="Z176" s="678"/>
      <c r="AA176" s="678"/>
      <c r="AB176" s="678"/>
      <c r="AC176" s="678"/>
      <c r="AD176" s="678"/>
      <c r="AE176" s="678"/>
      <c r="AF176" s="678"/>
      <c r="AG176" s="678"/>
      <c r="AH176" s="678"/>
      <c r="AI176" s="401"/>
      <c r="AJ176" s="401"/>
      <c r="AK176" s="401"/>
      <c r="AL176" s="401"/>
      <c r="AM176" s="401"/>
      <c r="AN176" s="401"/>
      <c r="AO176" s="401"/>
      <c r="AP176" s="401"/>
      <c r="AQ176" s="401"/>
      <c r="AR176" s="401"/>
      <c r="AS176" s="401"/>
      <c r="AT176" s="401"/>
      <c r="AU176" s="401"/>
      <c r="AV176" s="401"/>
      <c r="AW176" s="401"/>
      <c r="AX176" s="401"/>
      <c r="AY176" s="401"/>
      <c r="AZ176" s="401"/>
      <c r="BA176" s="401"/>
      <c r="BB176" s="401"/>
      <c r="BC176" s="401"/>
      <c r="BD176" s="429" t="str">
        <f>"IEF " &amp; B163</f>
        <v>IEF aggressive</v>
      </c>
      <c r="BE176" s="435">
        <f t="shared" ref="BE176:BL176" si="112">IF(OR($C165="-",$C165="CET",$C165=""),"-",$C165)</f>
        <v>4</v>
      </c>
      <c r="BF176" s="435">
        <f t="shared" si="112"/>
        <v>4</v>
      </c>
      <c r="BG176" s="435">
        <f t="shared" si="112"/>
        <v>4</v>
      </c>
      <c r="BH176" s="435">
        <f t="shared" si="112"/>
        <v>4</v>
      </c>
      <c r="BI176" s="435">
        <f t="shared" si="112"/>
        <v>4</v>
      </c>
      <c r="BJ176" s="435">
        <f t="shared" si="112"/>
        <v>4</v>
      </c>
      <c r="BK176" s="435">
        <f t="shared" si="112"/>
        <v>4</v>
      </c>
      <c r="BL176" s="435">
        <f t="shared" si="112"/>
        <v>4</v>
      </c>
      <c r="BU176" s="401"/>
      <c r="BV176" s="401"/>
      <c r="BW176" s="401"/>
      <c r="BX176" s="401"/>
      <c r="BY176" s="401"/>
      <c r="BZ176" s="401"/>
    </row>
    <row r="177" spans="1:78" s="405" customFormat="1" ht="15" customHeight="1" outlineLevel="1" thickBot="1" x14ac:dyDescent="0.3">
      <c r="A177" s="404"/>
      <c r="B177" s="495"/>
      <c r="C177" s="496"/>
      <c r="D177" s="497"/>
      <c r="E177" s="498"/>
      <c r="F177" s="498"/>
      <c r="G177" s="498"/>
      <c r="H177" s="498"/>
      <c r="I177" s="498"/>
      <c r="J177" s="498"/>
      <c r="K177" s="499"/>
      <c r="L177" s="499"/>
      <c r="M177" s="499"/>
      <c r="N177" s="500"/>
      <c r="O177" s="675"/>
      <c r="P177" s="676"/>
      <c r="Q177" s="676"/>
      <c r="R177" s="677"/>
      <c r="S177" s="675"/>
      <c r="T177" s="676"/>
      <c r="U177" s="676"/>
      <c r="V177" s="677"/>
      <c r="W177" s="512"/>
      <c r="X177" s="512"/>
      <c r="Y177" s="678"/>
      <c r="Z177" s="678"/>
      <c r="AA177" s="678"/>
      <c r="AB177" s="678"/>
      <c r="AC177" s="678"/>
      <c r="AD177" s="678"/>
      <c r="AE177" s="678"/>
      <c r="AF177" s="678"/>
      <c r="AG177" s="678"/>
      <c r="AH177" s="678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59"/>
      <c r="BE177" s="459"/>
      <c r="BF177" s="459"/>
      <c r="BG177" s="459"/>
      <c r="BH177" s="459"/>
      <c r="BI177" s="459"/>
      <c r="BJ177" s="459"/>
      <c r="BK177" s="459"/>
      <c r="BL177" s="459"/>
      <c r="BU177" s="401"/>
      <c r="BV177" s="401"/>
      <c r="BW177" s="401"/>
      <c r="BX177" s="401"/>
      <c r="BY177" s="401"/>
      <c r="BZ177" s="401"/>
    </row>
    <row r="178" spans="1:78" s="405" customFormat="1" ht="15" customHeight="1" x14ac:dyDescent="0.25">
      <c r="A178" s="454"/>
      <c r="B178" s="501"/>
      <c r="C178" s="485"/>
      <c r="D178" s="485"/>
      <c r="E178" s="486"/>
      <c r="F178" s="463"/>
      <c r="G178" s="463"/>
      <c r="H178" s="463"/>
      <c r="I178" s="463"/>
      <c r="J178" s="463"/>
      <c r="K178" s="464"/>
      <c r="L178" s="464"/>
      <c r="M178" s="464"/>
      <c r="N178" s="463"/>
      <c r="O178" s="403"/>
      <c r="P178" s="403"/>
      <c r="Q178" s="403"/>
      <c r="R178" s="403"/>
      <c r="S178" s="403"/>
      <c r="T178" s="403"/>
      <c r="U178" s="403"/>
      <c r="V178" s="403"/>
      <c r="W178" s="443"/>
      <c r="X178" s="443"/>
      <c r="Y178" s="678"/>
      <c r="Z178" s="678"/>
      <c r="AA178" s="678"/>
      <c r="AB178" s="678"/>
      <c r="AC178" s="678"/>
      <c r="AD178" s="678"/>
      <c r="AE178" s="678"/>
      <c r="AF178" s="678"/>
      <c r="AG178" s="678"/>
      <c r="AH178" s="678"/>
      <c r="BD178" s="459"/>
      <c r="BE178" s="459"/>
      <c r="BF178" s="459"/>
      <c r="BG178" s="459"/>
      <c r="BH178" s="459"/>
      <c r="BI178" s="459"/>
      <c r="BJ178" s="459"/>
      <c r="BK178" s="459"/>
      <c r="BL178" s="459"/>
    </row>
    <row r="179" spans="1:78" s="405" customFormat="1" ht="15" customHeight="1" x14ac:dyDescent="0.25">
      <c r="A179" s="404"/>
      <c r="B179" s="501"/>
      <c r="C179" s="485"/>
      <c r="D179" s="485"/>
      <c r="E179" s="486"/>
      <c r="F179" s="463"/>
      <c r="G179" s="463"/>
      <c r="H179" s="463"/>
      <c r="I179" s="463"/>
      <c r="J179" s="463"/>
      <c r="K179" s="464"/>
      <c r="L179" s="464"/>
      <c r="M179" s="464"/>
      <c r="N179" s="463"/>
      <c r="O179" s="403"/>
      <c r="P179" s="403"/>
      <c r="Q179" s="403"/>
      <c r="R179" s="403"/>
      <c r="S179" s="403"/>
      <c r="T179" s="403"/>
      <c r="U179" s="403"/>
      <c r="V179" s="403"/>
      <c r="W179" s="512"/>
      <c r="X179" s="512"/>
      <c r="Y179" s="678"/>
      <c r="Z179" s="678"/>
      <c r="AA179" s="678"/>
      <c r="AB179" s="678"/>
      <c r="AC179" s="678"/>
      <c r="AD179" s="678"/>
      <c r="AE179" s="678"/>
      <c r="AF179" s="678"/>
      <c r="AG179" s="678"/>
      <c r="AH179" s="678"/>
      <c r="AI179" s="401"/>
      <c r="AJ179" s="401"/>
      <c r="AK179" s="401"/>
      <c r="AL179" s="401"/>
      <c r="AM179" s="401"/>
      <c r="AN179" s="401"/>
      <c r="AO179" s="401"/>
      <c r="AP179" s="401"/>
      <c r="AQ179" s="401"/>
      <c r="AR179" s="401"/>
      <c r="AS179" s="401"/>
      <c r="AT179" s="401"/>
      <c r="AU179" s="401"/>
      <c r="AV179" s="401"/>
      <c r="AW179" s="401"/>
      <c r="AX179" s="401"/>
      <c r="AY179" s="401"/>
      <c r="AZ179" s="401"/>
      <c r="BA179" s="401"/>
      <c r="BB179" s="401"/>
      <c r="BC179" s="401"/>
      <c r="BD179" s="459"/>
      <c r="BE179" s="459"/>
      <c r="BF179" s="459"/>
      <c r="BG179" s="459"/>
      <c r="BH179" s="459"/>
      <c r="BI179" s="459"/>
      <c r="BJ179" s="459"/>
      <c r="BK179" s="459"/>
      <c r="BL179" s="459"/>
      <c r="BU179" s="401"/>
      <c r="BV179" s="401"/>
      <c r="BW179" s="401"/>
      <c r="BX179" s="401"/>
      <c r="BY179" s="401"/>
      <c r="BZ179" s="401"/>
    </row>
    <row r="180" spans="1:78" s="405" customFormat="1" ht="15" customHeight="1" thickBot="1" x14ac:dyDescent="0.3">
      <c r="A180" s="404"/>
      <c r="B180" s="501"/>
      <c r="C180" s="487"/>
      <c r="D180" s="488"/>
      <c r="E180" s="489"/>
      <c r="F180" s="489"/>
      <c r="G180" s="489"/>
      <c r="H180" s="489"/>
      <c r="I180" s="489"/>
      <c r="J180" s="489"/>
      <c r="K180" s="490"/>
      <c r="L180" s="490"/>
      <c r="M180" s="490"/>
      <c r="N180" s="489"/>
      <c r="O180" s="403"/>
      <c r="P180" s="403"/>
      <c r="Q180" s="403"/>
      <c r="R180" s="403"/>
      <c r="S180" s="403"/>
      <c r="T180" s="403"/>
      <c r="U180" s="403"/>
      <c r="V180" s="403"/>
      <c r="W180" s="512"/>
      <c r="X180" s="512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401"/>
      <c r="AJ180" s="401"/>
      <c r="AK180" s="401"/>
      <c r="AL180" s="401"/>
      <c r="AM180" s="401"/>
      <c r="AN180" s="401"/>
      <c r="AO180" s="401"/>
      <c r="AP180" s="401"/>
      <c r="AQ180" s="401"/>
      <c r="AR180" s="401"/>
      <c r="AS180" s="401"/>
      <c r="AT180" s="401"/>
      <c r="AU180" s="401"/>
      <c r="AV180" s="401"/>
      <c r="AW180" s="401"/>
      <c r="AX180" s="401"/>
      <c r="AY180" s="401"/>
      <c r="AZ180" s="401"/>
      <c r="BA180" s="401"/>
      <c r="BB180" s="401"/>
      <c r="BC180" s="401"/>
      <c r="BD180" s="459"/>
      <c r="BE180" s="459"/>
      <c r="BF180" s="459"/>
      <c r="BG180" s="459"/>
      <c r="BH180" s="459"/>
      <c r="BI180" s="459"/>
      <c r="BJ180" s="459"/>
      <c r="BK180" s="459"/>
      <c r="BL180" s="459"/>
      <c r="BU180" s="401"/>
      <c r="BV180" s="401"/>
      <c r="BW180" s="401"/>
      <c r="BX180" s="401"/>
      <c r="BY180" s="401"/>
      <c r="BZ180" s="401"/>
    </row>
    <row r="181" spans="1:78" s="405" customFormat="1" ht="24.95" customHeight="1" thickBot="1" x14ac:dyDescent="0.3">
      <c r="A181" s="396"/>
      <c r="B181" s="415">
        <v>7</v>
      </c>
      <c r="C181" s="706" t="s">
        <v>52</v>
      </c>
      <c r="D181" s="707"/>
      <c r="E181" s="707"/>
      <c r="F181" s="707"/>
      <c r="G181" s="707"/>
      <c r="H181" s="707"/>
      <c r="I181" s="707"/>
      <c r="J181" s="707"/>
      <c r="K181" s="707"/>
      <c r="L181" s="707"/>
      <c r="M181" s="707"/>
      <c r="N181" s="708"/>
      <c r="O181" s="416" t="s">
        <v>79</v>
      </c>
      <c r="P181" s="398" t="str">
        <f>IF(COUNTIF(F189:M214,"refused")&gt;0,"refused",IF(COUNTIF(F189:M214,"failed")&gt;0,"failed",IF(COUNTIF(F189:M214,"passed")&gt;0,"passed","-")))</f>
        <v>-</v>
      </c>
      <c r="Q181" s="399" t="s">
        <v>80</v>
      </c>
      <c r="R181" s="399" t="str">
        <f>IF(COUNT(F185:M186,F190:M191,F195:M196,F200:M201,F205:M206,F210:M211)&gt;0,"listed","not listed")</f>
        <v>not listed</v>
      </c>
      <c r="S181" s="502">
        <f>MAX(D187,D192,D197,D202,D207,D212)</f>
        <v>0</v>
      </c>
      <c r="T181" s="418"/>
      <c r="U181" s="418"/>
      <c r="V181" s="419"/>
      <c r="W181" s="424"/>
      <c r="X181" s="424"/>
      <c r="Y181" s="698"/>
      <c r="Z181" s="698"/>
      <c r="AA181" s="698"/>
      <c r="AB181" s="698"/>
      <c r="AC181" s="698"/>
      <c r="AD181" s="698"/>
      <c r="AE181" s="698"/>
      <c r="AF181" s="698"/>
      <c r="AG181" s="698"/>
      <c r="AH181" s="698"/>
      <c r="AI181" s="401"/>
      <c r="AJ181" s="401"/>
      <c r="AK181" s="401"/>
      <c r="AL181" s="401"/>
      <c r="AM181" s="401"/>
      <c r="AN181" s="401"/>
      <c r="AO181" s="401"/>
      <c r="AP181" s="401"/>
      <c r="AQ181" s="401"/>
      <c r="AR181" s="401"/>
      <c r="AS181" s="401"/>
      <c r="AT181" s="401"/>
      <c r="AU181" s="401"/>
      <c r="AV181" s="401"/>
      <c r="AW181" s="401"/>
      <c r="AX181" s="401"/>
      <c r="AY181" s="401"/>
      <c r="AZ181" s="401"/>
      <c r="BA181" s="401"/>
      <c r="BB181" s="401"/>
      <c r="BC181" s="401"/>
      <c r="BU181" s="401"/>
      <c r="BV181" s="401"/>
      <c r="BW181" s="401"/>
      <c r="BX181" s="401"/>
      <c r="BY181" s="401"/>
      <c r="BZ181" s="401"/>
    </row>
    <row r="182" spans="1:78" s="405" customFormat="1" ht="15" customHeight="1" outlineLevel="1" thickBot="1" x14ac:dyDescent="0.3">
      <c r="A182" s="396"/>
      <c r="B182" s="513"/>
      <c r="C182" s="514"/>
      <c r="D182" s="514"/>
      <c r="E182" s="514"/>
      <c r="F182" s="514"/>
      <c r="G182" s="514"/>
      <c r="H182" s="514"/>
      <c r="I182" s="514"/>
      <c r="J182" s="514"/>
      <c r="K182" s="421"/>
      <c r="L182" s="421"/>
      <c r="M182" s="421"/>
      <c r="N182" s="514"/>
      <c r="O182" s="514"/>
      <c r="P182" s="514"/>
      <c r="Q182" s="514"/>
      <c r="R182" s="514"/>
      <c r="S182" s="514"/>
      <c r="T182" s="422"/>
      <c r="U182" s="422"/>
      <c r="V182" s="423"/>
      <c r="W182" s="512"/>
      <c r="X182" s="512"/>
      <c r="Y182" s="678"/>
      <c r="Z182" s="678"/>
      <c r="AA182" s="678"/>
      <c r="AB182" s="678"/>
      <c r="AC182" s="678"/>
      <c r="AD182" s="678"/>
      <c r="AE182" s="678"/>
      <c r="AF182" s="678"/>
      <c r="AG182" s="678"/>
      <c r="AH182" s="678"/>
      <c r="AI182" s="401"/>
      <c r="AJ182" s="401"/>
      <c r="AK182" s="401"/>
      <c r="AL182" s="401"/>
      <c r="AM182" s="401"/>
      <c r="AN182" s="401"/>
      <c r="AO182" s="401"/>
      <c r="AP182" s="401"/>
      <c r="AQ182" s="401"/>
      <c r="AR182" s="401"/>
      <c r="AS182" s="401"/>
      <c r="AT182" s="401"/>
      <c r="AU182" s="401"/>
      <c r="AV182" s="401"/>
      <c r="AW182" s="401"/>
      <c r="AX182" s="401"/>
      <c r="AY182" s="401"/>
      <c r="AZ182" s="401"/>
      <c r="BA182" s="401"/>
      <c r="BB182" s="401"/>
      <c r="BC182" s="401"/>
      <c r="BD182" s="429" t="s">
        <v>85</v>
      </c>
      <c r="BE182" s="430" t="s">
        <v>86</v>
      </c>
      <c r="BF182" s="430" t="s">
        <v>87</v>
      </c>
      <c r="BG182" s="430" t="s">
        <v>88</v>
      </c>
      <c r="BH182" s="430" t="s">
        <v>89</v>
      </c>
      <c r="BI182" s="430" t="s">
        <v>90</v>
      </c>
      <c r="BJ182" s="430" t="s">
        <v>91</v>
      </c>
      <c r="BK182" s="430" t="s">
        <v>91</v>
      </c>
      <c r="BL182" s="430" t="s">
        <v>91</v>
      </c>
      <c r="BU182" s="401"/>
      <c r="BV182" s="401"/>
      <c r="BW182" s="401"/>
      <c r="BX182" s="401"/>
      <c r="BY182" s="401"/>
      <c r="BZ182" s="401"/>
    </row>
    <row r="183" spans="1:78" s="405" customFormat="1" ht="15" customHeight="1" outlineLevel="1" thickBot="1" x14ac:dyDescent="0.3">
      <c r="A183" s="396"/>
      <c r="B183" s="695" t="s">
        <v>81</v>
      </c>
      <c r="C183" s="696"/>
      <c r="D183" s="696"/>
      <c r="E183" s="696"/>
      <c r="F183" s="696"/>
      <c r="G183" s="696"/>
      <c r="H183" s="696"/>
      <c r="I183" s="696"/>
      <c r="J183" s="696"/>
      <c r="K183" s="696"/>
      <c r="L183" s="696"/>
      <c r="M183" s="696"/>
      <c r="N183" s="697"/>
      <c r="O183" s="695" t="s">
        <v>82</v>
      </c>
      <c r="P183" s="696"/>
      <c r="Q183" s="696"/>
      <c r="R183" s="697"/>
      <c r="S183" s="695" t="s">
        <v>83</v>
      </c>
      <c r="T183" s="696"/>
      <c r="U183" s="696"/>
      <c r="V183" s="697"/>
      <c r="W183" s="512"/>
      <c r="X183" s="512"/>
      <c r="Y183" s="678"/>
      <c r="Z183" s="678"/>
      <c r="AA183" s="678"/>
      <c r="AB183" s="678"/>
      <c r="AC183" s="678"/>
      <c r="AD183" s="678"/>
      <c r="AE183" s="678"/>
      <c r="AF183" s="678"/>
      <c r="AG183" s="678"/>
      <c r="AH183" s="678"/>
      <c r="AI183" s="401"/>
      <c r="AJ183" s="401"/>
      <c r="AK183" s="401"/>
      <c r="AL183" s="401"/>
      <c r="AM183" s="401"/>
      <c r="AN183" s="401"/>
      <c r="AO183" s="401"/>
      <c r="AP183" s="401"/>
      <c r="AQ183" s="401"/>
      <c r="AR183" s="401"/>
      <c r="AS183" s="401"/>
      <c r="AT183" s="401"/>
      <c r="AU183" s="401"/>
      <c r="AV183" s="401"/>
      <c r="AW183" s="401"/>
      <c r="AX183" s="401"/>
      <c r="AY183" s="401"/>
      <c r="AZ183" s="401"/>
      <c r="BA183" s="401"/>
      <c r="BB183" s="401"/>
      <c r="BC183" s="401"/>
      <c r="BD183" s="429">
        <f>$E$4</f>
        <v>0</v>
      </c>
      <c r="BE183" s="435">
        <v>1</v>
      </c>
      <c r="BF183" s="435">
        <v>1</v>
      </c>
      <c r="BG183" s="435">
        <v>1</v>
      </c>
      <c r="BH183" s="435">
        <v>1</v>
      </c>
      <c r="BI183" s="435">
        <v>1</v>
      </c>
      <c r="BJ183" s="435">
        <v>1</v>
      </c>
      <c r="BK183" s="435">
        <v>2</v>
      </c>
      <c r="BL183" s="435">
        <v>3</v>
      </c>
      <c r="BU183" s="401"/>
      <c r="BV183" s="401"/>
      <c r="BW183" s="401"/>
      <c r="BX183" s="401"/>
      <c r="BY183" s="401"/>
      <c r="BZ183" s="401"/>
    </row>
    <row r="184" spans="1:78" s="405" customFormat="1" ht="35.1" customHeight="1" outlineLevel="1" thickBot="1" x14ac:dyDescent="0.3">
      <c r="A184" s="396"/>
      <c r="B184" s="709" t="s">
        <v>84</v>
      </c>
      <c r="C184" s="682"/>
      <c r="D184" s="682"/>
      <c r="E184" s="683"/>
      <c r="F184" s="425" t="s">
        <v>72</v>
      </c>
      <c r="G184" s="517" t="s">
        <v>73</v>
      </c>
      <c r="H184" s="425" t="s">
        <v>74</v>
      </c>
      <c r="I184" s="425" t="s">
        <v>75</v>
      </c>
      <c r="J184" s="425" t="s">
        <v>76</v>
      </c>
      <c r="K184" s="534" t="s">
        <v>170</v>
      </c>
      <c r="L184" s="535" t="str">
        <f>$L$4</f>
        <v>Additional
component</v>
      </c>
      <c r="M184" s="535" t="str">
        <f>$M$4</f>
        <v>Additional
component 2</v>
      </c>
      <c r="N184" s="425" t="s">
        <v>77</v>
      </c>
      <c r="O184" s="669"/>
      <c r="P184" s="670"/>
      <c r="Q184" s="670"/>
      <c r="R184" s="670"/>
      <c r="S184" s="669"/>
      <c r="T184" s="670"/>
      <c r="U184" s="670"/>
      <c r="V184" s="671"/>
      <c r="W184" s="512"/>
      <c r="X184" s="512"/>
      <c r="Y184" s="678"/>
      <c r="Z184" s="678"/>
      <c r="AA184" s="678"/>
      <c r="AB184" s="678"/>
      <c r="AC184" s="678"/>
      <c r="AD184" s="678"/>
      <c r="AE184" s="678"/>
      <c r="AF184" s="678"/>
      <c r="AG184" s="678"/>
      <c r="AH184" s="678"/>
      <c r="AI184" s="401"/>
      <c r="AJ184" s="401"/>
      <c r="AK184" s="401"/>
      <c r="AL184" s="401"/>
      <c r="AM184" s="401"/>
      <c r="AN184" s="401"/>
      <c r="AO184" s="401"/>
      <c r="AP184" s="401"/>
      <c r="AQ184" s="401"/>
      <c r="AR184" s="401"/>
      <c r="AS184" s="401"/>
      <c r="AT184" s="401"/>
      <c r="AU184" s="401"/>
      <c r="AV184" s="401"/>
      <c r="AW184" s="401"/>
      <c r="AX184" s="401"/>
      <c r="AY184" s="401"/>
      <c r="AZ184" s="401"/>
      <c r="BA184" s="401"/>
      <c r="BB184" s="401"/>
      <c r="BC184" s="536"/>
      <c r="BD184" s="429" t="str">
        <f>"1st " &amp;  B185</f>
        <v>1st City (unweighted)</v>
      </c>
      <c r="BE184" s="435" t="str">
        <f t="shared" ref="BE184:BL184" si="113">IF((OR($C187="-",$C187="CET",$C187="")),"-",IF(AND(OR(F185="-",F185=""),OR(F186="-",F186="")),"-",IF(NOT(OR(F185="-",F185="")),F185/F$5,F186/F$5)))</f>
        <v>-</v>
      </c>
      <c r="BF184" s="435" t="str">
        <f t="shared" si="113"/>
        <v>-</v>
      </c>
      <c r="BG184" s="435" t="str">
        <f t="shared" si="113"/>
        <v>-</v>
      </c>
      <c r="BH184" s="435" t="str">
        <f t="shared" si="113"/>
        <v>-</v>
      </c>
      <c r="BI184" s="435" t="str">
        <f t="shared" si="113"/>
        <v>-</v>
      </c>
      <c r="BJ184" s="435" t="str">
        <f t="shared" si="113"/>
        <v>-</v>
      </c>
      <c r="BK184" s="435" t="str">
        <f t="shared" si="113"/>
        <v>-</v>
      </c>
      <c r="BL184" s="435" t="str">
        <f t="shared" si="113"/>
        <v>-</v>
      </c>
      <c r="BU184" s="401"/>
      <c r="BV184" s="401"/>
      <c r="BW184" s="401"/>
      <c r="BX184" s="401"/>
      <c r="BY184" s="401"/>
      <c r="BZ184" s="401"/>
    </row>
    <row r="185" spans="1:78" s="405" customFormat="1" ht="15" customHeight="1" outlineLevel="1" x14ac:dyDescent="0.25">
      <c r="A185" s="439"/>
      <c r="B185" s="724" t="s">
        <v>107</v>
      </c>
      <c r="C185" s="684" t="s">
        <v>114</v>
      </c>
      <c r="D185" s="684" t="s">
        <v>113</v>
      </c>
      <c r="E185" s="453" t="s">
        <v>94</v>
      </c>
      <c r="F185" s="473" t="s">
        <v>5</v>
      </c>
      <c r="G185" s="473" t="s">
        <v>5</v>
      </c>
      <c r="H185" s="473" t="s">
        <v>5</v>
      </c>
      <c r="I185" s="473" t="s">
        <v>5</v>
      </c>
      <c r="J185" s="473" t="s">
        <v>5</v>
      </c>
      <c r="K185" s="474" t="s">
        <v>5</v>
      </c>
      <c r="L185" s="474" t="s">
        <v>5</v>
      </c>
      <c r="M185" s="474" t="s">
        <v>5</v>
      </c>
      <c r="N185" s="473" t="s">
        <v>5</v>
      </c>
      <c r="O185" s="672"/>
      <c r="P185" s="673"/>
      <c r="Q185" s="673"/>
      <c r="R185" s="673"/>
      <c r="S185" s="672"/>
      <c r="T185" s="673"/>
      <c r="U185" s="673"/>
      <c r="V185" s="674"/>
      <c r="W185" s="443"/>
      <c r="X185" s="443"/>
      <c r="Y185" s="678"/>
      <c r="Z185" s="678"/>
      <c r="AA185" s="678"/>
      <c r="AB185" s="678"/>
      <c r="AC185" s="678"/>
      <c r="AD185" s="678"/>
      <c r="AE185" s="678"/>
      <c r="AF185" s="678"/>
      <c r="AG185" s="678"/>
      <c r="AH185" s="678"/>
      <c r="BC185" s="536"/>
      <c r="BD185" s="429" t="str">
        <f>"1st " &amp; B190</f>
        <v>1st City (EMROAD)</v>
      </c>
      <c r="BE185" s="435" t="str">
        <f t="shared" ref="BE185:BL185" si="114">IF((OR($C192="-",$C192="CET",$C192="")),"-",IF(AND(OR(F190="-",F190=""),OR(F191="-",F191="")),"-",IF(NOT(OR(F190="-",F190="")),F190/F$5,F191/F$5)))</f>
        <v>-</v>
      </c>
      <c r="BF185" s="435" t="str">
        <f t="shared" si="114"/>
        <v>-</v>
      </c>
      <c r="BG185" s="435" t="str">
        <f t="shared" si="114"/>
        <v>-</v>
      </c>
      <c r="BH185" s="435" t="str">
        <f t="shared" si="114"/>
        <v>-</v>
      </c>
      <c r="BI185" s="435" t="str">
        <f t="shared" si="114"/>
        <v>-</v>
      </c>
      <c r="BJ185" s="435" t="str">
        <f t="shared" si="114"/>
        <v>-</v>
      </c>
      <c r="BK185" s="435" t="str">
        <f t="shared" si="114"/>
        <v>-</v>
      </c>
      <c r="BL185" s="435" t="str">
        <f t="shared" si="114"/>
        <v>-</v>
      </c>
    </row>
    <row r="186" spans="1:78" s="405" customFormat="1" ht="15" customHeight="1" outlineLevel="1" thickBot="1" x14ac:dyDescent="0.3">
      <c r="A186" s="396"/>
      <c r="B186" s="725"/>
      <c r="C186" s="702"/>
      <c r="D186" s="685"/>
      <c r="E186" s="440" t="s">
        <v>95</v>
      </c>
      <c r="F186" s="475" t="s">
        <v>5</v>
      </c>
      <c r="G186" s="475" t="s">
        <v>5</v>
      </c>
      <c r="H186" s="475" t="s">
        <v>5</v>
      </c>
      <c r="I186" s="475" t="s">
        <v>5</v>
      </c>
      <c r="J186" s="475" t="s">
        <v>5</v>
      </c>
      <c r="K186" s="476" t="s">
        <v>5</v>
      </c>
      <c r="L186" s="476" t="s">
        <v>5</v>
      </c>
      <c r="M186" s="476" t="s">
        <v>5</v>
      </c>
      <c r="N186" s="475" t="s">
        <v>5</v>
      </c>
      <c r="O186" s="672"/>
      <c r="P186" s="673"/>
      <c r="Q186" s="673"/>
      <c r="R186" s="673"/>
      <c r="S186" s="672"/>
      <c r="T186" s="673"/>
      <c r="U186" s="673"/>
      <c r="V186" s="674"/>
      <c r="W186" s="512"/>
      <c r="X186" s="512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401"/>
      <c r="AJ186" s="401"/>
      <c r="AK186" s="401"/>
      <c r="AL186" s="401"/>
      <c r="AM186" s="401"/>
      <c r="AN186" s="401"/>
      <c r="AO186" s="401"/>
      <c r="AP186" s="401"/>
      <c r="AQ186" s="401"/>
      <c r="AR186" s="401"/>
      <c r="AS186" s="401"/>
      <c r="AT186" s="401"/>
      <c r="AU186" s="401"/>
      <c r="AV186" s="401"/>
      <c r="AW186" s="401"/>
      <c r="AX186" s="401"/>
      <c r="AY186" s="401"/>
      <c r="AZ186" s="401"/>
      <c r="BA186" s="401"/>
      <c r="BB186" s="401"/>
      <c r="BC186" s="536"/>
      <c r="BD186" s="429" t="str">
        <f>"1st " &amp; B195</f>
        <v>1st City
 (SPF)</v>
      </c>
      <c r="BE186" s="435" t="str">
        <f t="shared" ref="BE186:BL186" si="115">IF((OR($C197="-",$C197="CET",$C197="")),"-",IF(AND(OR(F195="-",F195=""),OR(F196="-",F196="")),"-",IF(NOT(OR(F195="-",F195="")),F195/F$5,F196/F$5)))</f>
        <v>-</v>
      </c>
      <c r="BF186" s="435" t="str">
        <f t="shared" si="115"/>
        <v>-</v>
      </c>
      <c r="BG186" s="435" t="str">
        <f t="shared" si="115"/>
        <v>-</v>
      </c>
      <c r="BH186" s="435" t="str">
        <f t="shared" si="115"/>
        <v>-</v>
      </c>
      <c r="BI186" s="435" t="str">
        <f t="shared" si="115"/>
        <v>-</v>
      </c>
      <c r="BJ186" s="435" t="str">
        <f t="shared" si="115"/>
        <v>-</v>
      </c>
      <c r="BK186" s="435" t="str">
        <f t="shared" si="115"/>
        <v>-</v>
      </c>
      <c r="BL186" s="435" t="str">
        <f t="shared" si="115"/>
        <v>-</v>
      </c>
      <c r="BU186" s="401"/>
      <c r="BV186" s="401"/>
      <c r="BW186" s="401"/>
      <c r="BX186" s="401"/>
      <c r="BY186" s="401"/>
      <c r="BZ186" s="401"/>
    </row>
    <row r="187" spans="1:78" s="405" customFormat="1" ht="15" customHeight="1" outlineLevel="1" thickBot="1" x14ac:dyDescent="0.3">
      <c r="A187" s="396"/>
      <c r="B187" s="725"/>
      <c r="C187" s="686">
        <v>4</v>
      </c>
      <c r="D187" s="689" t="str">
        <f>IF(AND(F187="-",G187="-",H187="-",I187="-",J187="-",K187="-",L187="-",M187="-"),"-",MAX(F187,G187,H187,I187,J187,K187,L187,M187))</f>
        <v>-</v>
      </c>
      <c r="E187" s="444" t="s">
        <v>177</v>
      </c>
      <c r="F187" s="445" t="str">
        <f t="shared" ref="F187:M187" si="116">IF(OR(F186="-",F186=""),IF(OR(F185="-",F185=""),"-",F185),IF(OR(F185="-",F185=""),F186,(F185+F186)/2))</f>
        <v>-</v>
      </c>
      <c r="G187" s="445" t="str">
        <f t="shared" si="116"/>
        <v>-</v>
      </c>
      <c r="H187" s="445" t="str">
        <f t="shared" si="116"/>
        <v>-</v>
      </c>
      <c r="I187" s="445" t="str">
        <f t="shared" si="116"/>
        <v>-</v>
      </c>
      <c r="J187" s="445" t="str">
        <f t="shared" si="116"/>
        <v>-</v>
      </c>
      <c r="K187" s="446" t="str">
        <f t="shared" si="116"/>
        <v>-</v>
      </c>
      <c r="L187" s="446" t="str">
        <f t="shared" si="116"/>
        <v>-</v>
      </c>
      <c r="M187" s="446" t="str">
        <f t="shared" si="116"/>
        <v>-</v>
      </c>
      <c r="N187" s="828"/>
      <c r="O187" s="672"/>
      <c r="P187" s="673"/>
      <c r="Q187" s="673"/>
      <c r="R187" s="673"/>
      <c r="S187" s="672"/>
      <c r="T187" s="673"/>
      <c r="U187" s="673"/>
      <c r="V187" s="674"/>
      <c r="W187" s="512"/>
      <c r="X187" s="512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401"/>
      <c r="AJ187" s="401"/>
      <c r="AK187" s="401"/>
      <c r="AL187" s="401"/>
      <c r="AM187" s="401"/>
      <c r="AN187" s="401"/>
      <c r="AO187" s="401"/>
      <c r="AP187" s="401"/>
      <c r="AQ187" s="401"/>
      <c r="AR187" s="401"/>
      <c r="AS187" s="401"/>
      <c r="AT187" s="401"/>
      <c r="AU187" s="401"/>
      <c r="AV187" s="401"/>
      <c r="AW187" s="401"/>
      <c r="AX187" s="401"/>
      <c r="AY187" s="401"/>
      <c r="AZ187" s="401"/>
      <c r="BA187" s="401"/>
      <c r="BB187" s="401"/>
      <c r="BC187" s="536"/>
      <c r="BD187" s="429" t="str">
        <f>"1st " &amp; B200</f>
        <v>1st Total (unweighted)</v>
      </c>
      <c r="BE187" s="435" t="str">
        <f t="shared" ref="BE187:BL187" si="117">IF((OR($C202="-",$C202="CET",$C202="")),"-",IF(AND(OR(F200="-",F200=""),OR(F201="-",F201="")),"-",IF(NOT(OR(F200="-",F200="")),F200/F$5,F201/F$5)))</f>
        <v>-</v>
      </c>
      <c r="BF187" s="435" t="str">
        <f t="shared" si="117"/>
        <v>-</v>
      </c>
      <c r="BG187" s="435" t="str">
        <f t="shared" si="117"/>
        <v>-</v>
      </c>
      <c r="BH187" s="435" t="str">
        <f t="shared" si="117"/>
        <v>-</v>
      </c>
      <c r="BI187" s="435" t="str">
        <f t="shared" si="117"/>
        <v>-</v>
      </c>
      <c r="BJ187" s="435" t="str">
        <f t="shared" si="117"/>
        <v>-</v>
      </c>
      <c r="BK187" s="435" t="str">
        <f t="shared" si="117"/>
        <v>-</v>
      </c>
      <c r="BL187" s="435" t="str">
        <f t="shared" si="117"/>
        <v>-</v>
      </c>
      <c r="BU187" s="401"/>
      <c r="BV187" s="401"/>
      <c r="BW187" s="401"/>
      <c r="BX187" s="401"/>
      <c r="BY187" s="401"/>
      <c r="BZ187" s="401"/>
    </row>
    <row r="188" spans="1:78" s="405" customFormat="1" ht="15" customHeight="1" outlineLevel="1" thickBot="1" x14ac:dyDescent="0.3">
      <c r="A188" s="396"/>
      <c r="B188" s="725"/>
      <c r="C188" s="687"/>
      <c r="D188" s="690"/>
      <c r="E188" s="447" t="s">
        <v>97</v>
      </c>
      <c r="F188" s="448" t="e">
        <f t="shared" ref="F188:M188" si="118">IF(OR($C187="-",$C187="CET",$C187=""),"-",IF(AND(NOT(F187="-"),NOT(F$5="-"),NOT(F$5="")),F187/F$5,"-"))</f>
        <v>#N/A</v>
      </c>
      <c r="G188" s="448" t="e">
        <f t="shared" si="118"/>
        <v>#N/A</v>
      </c>
      <c r="H188" s="448" t="e">
        <f t="shared" si="118"/>
        <v>#N/A</v>
      </c>
      <c r="I188" s="448" t="e">
        <f t="shared" si="118"/>
        <v>#N/A</v>
      </c>
      <c r="J188" s="448" t="e">
        <f t="shared" si="118"/>
        <v>#N/A</v>
      </c>
      <c r="K188" s="449" t="e">
        <f t="shared" si="118"/>
        <v>#N/A</v>
      </c>
      <c r="L188" s="449" t="e">
        <f t="shared" si="118"/>
        <v>#N/A</v>
      </c>
      <c r="M188" s="449" t="e">
        <f t="shared" si="118"/>
        <v>#N/A</v>
      </c>
      <c r="N188" s="702"/>
      <c r="O188" s="672"/>
      <c r="P188" s="673"/>
      <c r="Q188" s="673"/>
      <c r="R188" s="673"/>
      <c r="S188" s="672"/>
      <c r="T188" s="673"/>
      <c r="U188" s="673"/>
      <c r="V188" s="674"/>
      <c r="W188" s="512"/>
      <c r="X188" s="512"/>
      <c r="Y188" s="678"/>
      <c r="Z188" s="678"/>
      <c r="AA188" s="678"/>
      <c r="AB188" s="678"/>
      <c r="AC188" s="678"/>
      <c r="AD188" s="678"/>
      <c r="AE188" s="678"/>
      <c r="AF188" s="678"/>
      <c r="AG188" s="678"/>
      <c r="AH188" s="678"/>
      <c r="AI188" s="401"/>
      <c r="AJ188" s="401"/>
      <c r="AK188" s="401"/>
      <c r="AL188" s="401"/>
      <c r="AM188" s="401"/>
      <c r="AN188" s="401"/>
      <c r="AO188" s="401"/>
      <c r="AP188" s="401"/>
      <c r="AQ188" s="401"/>
      <c r="AR188" s="401"/>
      <c r="AS188" s="401"/>
      <c r="AT188" s="401"/>
      <c r="AU188" s="401"/>
      <c r="AV188" s="401"/>
      <c r="AW188" s="401"/>
      <c r="AX188" s="401"/>
      <c r="AY188" s="401"/>
      <c r="AZ188" s="401"/>
      <c r="BA188" s="401"/>
      <c r="BB188" s="401"/>
      <c r="BC188" s="536"/>
      <c r="BD188" s="429" t="str">
        <f>"1st " &amp; B205</f>
        <v>1st Total (EMROAD)</v>
      </c>
      <c r="BE188" s="435" t="str">
        <f t="shared" ref="BE188:BL188" si="119">IF((OR($C207="-",$C207="CET",$C207="")),"-",IF(AND(OR(F205="-",F205=""),OR(F206="-",F206="")),"-",IF(NOT(OR(F205="-",F205="")),F205/F$5,F206/F$5)))</f>
        <v>-</v>
      </c>
      <c r="BF188" s="435" t="str">
        <f t="shared" si="119"/>
        <v>-</v>
      </c>
      <c r="BG188" s="435" t="str">
        <f t="shared" si="119"/>
        <v>-</v>
      </c>
      <c r="BH188" s="435" t="str">
        <f t="shared" si="119"/>
        <v>-</v>
      </c>
      <c r="BI188" s="435" t="str">
        <f t="shared" si="119"/>
        <v>-</v>
      </c>
      <c r="BJ188" s="435" t="str">
        <f t="shared" si="119"/>
        <v>-</v>
      </c>
      <c r="BK188" s="435" t="str">
        <f t="shared" si="119"/>
        <v>-</v>
      </c>
      <c r="BL188" s="435" t="str">
        <f t="shared" si="119"/>
        <v>-</v>
      </c>
      <c r="BU188" s="401"/>
      <c r="BV188" s="401"/>
      <c r="BW188" s="401"/>
      <c r="BX188" s="401"/>
      <c r="BY188" s="401"/>
      <c r="BZ188" s="401"/>
    </row>
    <row r="189" spans="1:78" s="405" customFormat="1" ht="15" customHeight="1" outlineLevel="1" thickBot="1" x14ac:dyDescent="0.3">
      <c r="A189" s="396"/>
      <c r="B189" s="726"/>
      <c r="C189" s="688"/>
      <c r="D189" s="691"/>
      <c r="E189" s="450" t="s">
        <v>30</v>
      </c>
      <c r="F189" s="451" t="str">
        <f t="shared" ref="F189:M189" si="120">IF(AND(OR(F185="-",F185=""),OR(F186="-",F186="")),"-",IF(OR($C187="-",$C187="",$C187="CET"),"-",IF($R$181="not listed","-",IF(NOT(F$5="-"),IF(AND(AND(NOT(F185=0),NOT(F185="-"),NOT(F185="")),AND(NOT(F186="-"),NOT(F186=0),NOT(F186=""))),IF(AND((F185+F186)/2&lt;1*F$5*IF(OR($C187="CET",$C187="-",$C187=""),"-",$C187),F185&lt;1.1*F$5*IF(OR($C187="CET",$C187="-",$C187=""),"-",$C187),F186&lt;1.1*F$5*IF(OR($C187="CET",$C187="-",$C187=""),"-",$C187)),"passed","refused"),IF(IF(OR(F185="-",F185=""),F186,F185)&lt;0.7*F$5*IF(OR($C187="CET",$C187="-",$C187=""),"-",$C187),"passed",IF(IF(OR(F185="-",F185=""),F186,F185)&lt;1.1*IF(OR($C187="CET",$C187="-",$C187=""),"-",$C187)*F$5,"failed","refused"))),"-"))))</f>
        <v>-</v>
      </c>
      <c r="G189" s="451" t="str">
        <f t="shared" si="120"/>
        <v>-</v>
      </c>
      <c r="H189" s="451" t="str">
        <f t="shared" si="120"/>
        <v>-</v>
      </c>
      <c r="I189" s="451" t="str">
        <f t="shared" si="120"/>
        <v>-</v>
      </c>
      <c r="J189" s="451" t="str">
        <f t="shared" si="120"/>
        <v>-</v>
      </c>
      <c r="K189" s="452" t="str">
        <f t="shared" si="120"/>
        <v>-</v>
      </c>
      <c r="L189" s="452" t="str">
        <f t="shared" si="120"/>
        <v>-</v>
      </c>
      <c r="M189" s="452" t="str">
        <f t="shared" si="120"/>
        <v>-</v>
      </c>
      <c r="N189" s="685"/>
      <c r="O189" s="672"/>
      <c r="P189" s="673"/>
      <c r="Q189" s="673"/>
      <c r="R189" s="673"/>
      <c r="S189" s="672"/>
      <c r="T189" s="673"/>
      <c r="U189" s="673"/>
      <c r="V189" s="674"/>
      <c r="W189" s="512"/>
      <c r="X189" s="512"/>
      <c r="Y189" s="678"/>
      <c r="Z189" s="678"/>
      <c r="AA189" s="678"/>
      <c r="AB189" s="678"/>
      <c r="AC189" s="678"/>
      <c r="AD189" s="678"/>
      <c r="AE189" s="678"/>
      <c r="AF189" s="678"/>
      <c r="AG189" s="678"/>
      <c r="AH189" s="678"/>
      <c r="AI189" s="401"/>
      <c r="AJ189" s="401"/>
      <c r="AK189" s="401"/>
      <c r="AL189" s="401"/>
      <c r="AM189" s="401"/>
      <c r="AN189" s="401"/>
      <c r="AO189" s="401"/>
      <c r="AP189" s="401"/>
      <c r="AQ189" s="401"/>
      <c r="AR189" s="401"/>
      <c r="AS189" s="401"/>
      <c r="AT189" s="401"/>
      <c r="AU189" s="401"/>
      <c r="AV189" s="401"/>
      <c r="AW189" s="401"/>
      <c r="AX189" s="401"/>
      <c r="AY189" s="401"/>
      <c r="AZ189" s="401"/>
      <c r="BA189" s="401"/>
      <c r="BB189" s="401"/>
      <c r="BC189" s="399" t="str">
        <f>IF(COUNTIF(F189:M189,"refused")&gt;0,"refused",IF(COUNTIF(F189:M189,"failed")&gt;0,"failed",IF(COUNTIF(F189:M189,"passed")&gt;0,"passed","-")))</f>
        <v>-</v>
      </c>
      <c r="BD189" s="429" t="str">
        <f>"1st " &amp; B210</f>
        <v>1st Total (SPF)</v>
      </c>
      <c r="BE189" s="435" t="str">
        <f t="shared" ref="BE189:BL189" si="121">IF((OR($C212="-",$C212="CET",$C212="")),"-",IF(AND(OR(F210="-",F210=""),OR(F211="-",F211="")),"-",IF(NOT(OR(F210="-",F210="")),F210/F$5,F211/F$5)))</f>
        <v>-</v>
      </c>
      <c r="BF189" s="435" t="str">
        <f t="shared" si="121"/>
        <v>-</v>
      </c>
      <c r="BG189" s="435" t="str">
        <f t="shared" si="121"/>
        <v>-</v>
      </c>
      <c r="BH189" s="435" t="str">
        <f t="shared" si="121"/>
        <v>-</v>
      </c>
      <c r="BI189" s="435" t="str">
        <f t="shared" si="121"/>
        <v>-</v>
      </c>
      <c r="BJ189" s="435" t="str">
        <f t="shared" si="121"/>
        <v>-</v>
      </c>
      <c r="BK189" s="435" t="str">
        <f t="shared" si="121"/>
        <v>-</v>
      </c>
      <c r="BL189" s="435" t="str">
        <f t="shared" si="121"/>
        <v>-</v>
      </c>
      <c r="BU189" s="401"/>
      <c r="BV189" s="401"/>
      <c r="BW189" s="401"/>
      <c r="BX189" s="401"/>
      <c r="BY189" s="401"/>
      <c r="BZ189" s="401"/>
    </row>
    <row r="190" spans="1:78" s="405" customFormat="1" ht="15" customHeight="1" outlineLevel="1" x14ac:dyDescent="0.25">
      <c r="A190" s="439"/>
      <c r="B190" s="724" t="s">
        <v>106</v>
      </c>
      <c r="C190" s="684" t="s">
        <v>114</v>
      </c>
      <c r="D190" s="684" t="s">
        <v>113</v>
      </c>
      <c r="E190" s="453" t="s">
        <v>94</v>
      </c>
      <c r="F190" s="473" t="s">
        <v>5</v>
      </c>
      <c r="G190" s="473" t="s">
        <v>5</v>
      </c>
      <c r="H190" s="473" t="s">
        <v>5</v>
      </c>
      <c r="I190" s="473" t="s">
        <v>5</v>
      </c>
      <c r="J190" s="473" t="s">
        <v>5</v>
      </c>
      <c r="K190" s="474" t="s">
        <v>5</v>
      </c>
      <c r="L190" s="474" t="s">
        <v>5</v>
      </c>
      <c r="M190" s="474" t="s">
        <v>5</v>
      </c>
      <c r="N190" s="473" t="s">
        <v>5</v>
      </c>
      <c r="O190" s="672"/>
      <c r="P190" s="673"/>
      <c r="Q190" s="673"/>
      <c r="R190" s="673"/>
      <c r="S190" s="672"/>
      <c r="T190" s="673"/>
      <c r="U190" s="673"/>
      <c r="V190" s="674"/>
      <c r="W190" s="443"/>
      <c r="X190" s="443"/>
      <c r="Y190" s="678"/>
      <c r="Z190" s="678"/>
      <c r="AA190" s="678"/>
      <c r="AB190" s="678"/>
      <c r="AC190" s="678"/>
      <c r="AD190" s="678"/>
      <c r="AE190" s="678"/>
      <c r="AF190" s="678"/>
      <c r="AG190" s="678"/>
      <c r="AH190" s="678"/>
      <c r="BC190" s="536"/>
      <c r="BD190" s="429" t="str">
        <f>"0.7*IEF " &amp; (B185)</f>
        <v>0.7*IEF City (unweighted)</v>
      </c>
      <c r="BE190" s="435">
        <f t="shared" ref="BE190:BL190" si="122">IF(OR($C187="-",$C187="CET",$C187=""),"-",0.7*$C187)</f>
        <v>2.8</v>
      </c>
      <c r="BF190" s="435">
        <f t="shared" si="122"/>
        <v>2.8</v>
      </c>
      <c r="BG190" s="435">
        <f t="shared" si="122"/>
        <v>2.8</v>
      </c>
      <c r="BH190" s="435">
        <f t="shared" si="122"/>
        <v>2.8</v>
      </c>
      <c r="BI190" s="435">
        <f t="shared" si="122"/>
        <v>2.8</v>
      </c>
      <c r="BJ190" s="435">
        <f t="shared" si="122"/>
        <v>2.8</v>
      </c>
      <c r="BK190" s="435">
        <f t="shared" si="122"/>
        <v>2.8</v>
      </c>
      <c r="BL190" s="435">
        <f t="shared" si="122"/>
        <v>2.8</v>
      </c>
    </row>
    <row r="191" spans="1:78" s="405" customFormat="1" ht="15" customHeight="1" outlineLevel="1" thickBot="1" x14ac:dyDescent="0.3">
      <c r="A191" s="396"/>
      <c r="B191" s="725"/>
      <c r="C191" s="702"/>
      <c r="D191" s="685"/>
      <c r="E191" s="440" t="s">
        <v>95</v>
      </c>
      <c r="F191" s="475" t="s">
        <v>5</v>
      </c>
      <c r="G191" s="475" t="s">
        <v>5</v>
      </c>
      <c r="H191" s="475" t="s">
        <v>5</v>
      </c>
      <c r="I191" s="475" t="s">
        <v>5</v>
      </c>
      <c r="J191" s="475" t="s">
        <v>5</v>
      </c>
      <c r="K191" s="476" t="s">
        <v>5</v>
      </c>
      <c r="L191" s="476" t="s">
        <v>5</v>
      </c>
      <c r="M191" s="476" t="s">
        <v>5</v>
      </c>
      <c r="N191" s="475" t="s">
        <v>5</v>
      </c>
      <c r="O191" s="672"/>
      <c r="P191" s="673"/>
      <c r="Q191" s="673"/>
      <c r="R191" s="673"/>
      <c r="S191" s="672"/>
      <c r="T191" s="673"/>
      <c r="U191" s="673"/>
      <c r="V191" s="674"/>
      <c r="W191" s="512"/>
      <c r="X191" s="512"/>
      <c r="Y191" s="678"/>
      <c r="Z191" s="678"/>
      <c r="AA191" s="678"/>
      <c r="AB191" s="678"/>
      <c r="AC191" s="678"/>
      <c r="AD191" s="678"/>
      <c r="AE191" s="678"/>
      <c r="AF191" s="678"/>
      <c r="AG191" s="678"/>
      <c r="AH191" s="678"/>
      <c r="AI191" s="401"/>
      <c r="AJ191" s="401"/>
      <c r="AK191" s="401"/>
      <c r="AL191" s="401"/>
      <c r="AM191" s="401"/>
      <c r="AN191" s="401"/>
      <c r="AO191" s="401"/>
      <c r="AP191" s="401"/>
      <c r="AQ191" s="401"/>
      <c r="AR191" s="401"/>
      <c r="AS191" s="401"/>
      <c r="AT191" s="401"/>
      <c r="AU191" s="401"/>
      <c r="AV191" s="401"/>
      <c r="AW191" s="401"/>
      <c r="AX191" s="401"/>
      <c r="AY191" s="401"/>
      <c r="AZ191" s="401"/>
      <c r="BA191" s="401"/>
      <c r="BB191" s="401"/>
      <c r="BC191" s="536"/>
      <c r="BD191" s="429" t="str">
        <f>"0.7*IEF " &amp; B190</f>
        <v>0.7*IEF City (EMROAD)</v>
      </c>
      <c r="BE191" s="435">
        <f t="shared" ref="BE191:BL191" si="123">IF(OR($C192="-",$C192="CET",$C192=""),"-",0.7*$C192)</f>
        <v>2.8</v>
      </c>
      <c r="BF191" s="435">
        <f t="shared" si="123"/>
        <v>2.8</v>
      </c>
      <c r="BG191" s="435">
        <f t="shared" si="123"/>
        <v>2.8</v>
      </c>
      <c r="BH191" s="435">
        <f t="shared" si="123"/>
        <v>2.8</v>
      </c>
      <c r="BI191" s="435">
        <f t="shared" si="123"/>
        <v>2.8</v>
      </c>
      <c r="BJ191" s="435">
        <f t="shared" si="123"/>
        <v>2.8</v>
      </c>
      <c r="BK191" s="435">
        <f t="shared" si="123"/>
        <v>2.8</v>
      </c>
      <c r="BL191" s="435">
        <f t="shared" si="123"/>
        <v>2.8</v>
      </c>
      <c r="BU191" s="401"/>
      <c r="BV191" s="401"/>
      <c r="BW191" s="401"/>
      <c r="BX191" s="401"/>
      <c r="BY191" s="401"/>
      <c r="BZ191" s="401"/>
    </row>
    <row r="192" spans="1:78" s="405" customFormat="1" ht="15" customHeight="1" outlineLevel="1" thickBot="1" x14ac:dyDescent="0.3">
      <c r="A192" s="396"/>
      <c r="B192" s="725"/>
      <c r="C192" s="686">
        <v>4</v>
      </c>
      <c r="D192" s="689" t="str">
        <f>IF(AND(F192="-",G192="-",H192="-",I192="-",J192="-",K192="-",L192="-",M192="-"),"-",MAX(F192,G192,H192,I192,J192,K192,L192,M192))</f>
        <v>-</v>
      </c>
      <c r="E192" s="444" t="s">
        <v>177</v>
      </c>
      <c r="F192" s="445" t="str">
        <f t="shared" ref="F192:M192" si="124">IF(OR(F191="-",F191=""),IF(OR(F190="-",F190=""),"-",F190),IF(OR(F190="-",F190=""),F191,(F190+F191)/2))</f>
        <v>-</v>
      </c>
      <c r="G192" s="445" t="str">
        <f t="shared" si="124"/>
        <v>-</v>
      </c>
      <c r="H192" s="445" t="str">
        <f t="shared" si="124"/>
        <v>-</v>
      </c>
      <c r="I192" s="445" t="str">
        <f t="shared" si="124"/>
        <v>-</v>
      </c>
      <c r="J192" s="445" t="str">
        <f t="shared" si="124"/>
        <v>-</v>
      </c>
      <c r="K192" s="446" t="str">
        <f t="shared" si="124"/>
        <v>-</v>
      </c>
      <c r="L192" s="446" t="str">
        <f t="shared" si="124"/>
        <v>-</v>
      </c>
      <c r="M192" s="446" t="str">
        <f t="shared" si="124"/>
        <v>-</v>
      </c>
      <c r="N192" s="828"/>
      <c r="O192" s="672"/>
      <c r="P192" s="673"/>
      <c r="Q192" s="673"/>
      <c r="R192" s="673"/>
      <c r="S192" s="672"/>
      <c r="T192" s="673"/>
      <c r="U192" s="673"/>
      <c r="V192" s="674"/>
      <c r="W192" s="512"/>
      <c r="X192" s="512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401"/>
      <c r="AJ192" s="401"/>
      <c r="AK192" s="401"/>
      <c r="AL192" s="401"/>
      <c r="AM192" s="401"/>
      <c r="AN192" s="401"/>
      <c r="AO192" s="401"/>
      <c r="AP192" s="401"/>
      <c r="AQ192" s="401"/>
      <c r="AR192" s="401"/>
      <c r="AS192" s="401"/>
      <c r="AT192" s="401"/>
      <c r="AU192" s="401"/>
      <c r="AV192" s="401"/>
      <c r="AW192" s="401"/>
      <c r="AX192" s="401"/>
      <c r="AY192" s="401"/>
      <c r="AZ192" s="401"/>
      <c r="BA192" s="401"/>
      <c r="BB192" s="401"/>
      <c r="BC192" s="536"/>
      <c r="BD192" s="429" t="str">
        <f>"0.7*IEF " &amp; B195</f>
        <v>0.7*IEF City
 (SPF)</v>
      </c>
      <c r="BE192" s="435">
        <f t="shared" ref="BE192:BL192" si="125">IF(OR($C197="-",$C197="CET",$C197=""),"-",0.7*$C197)</f>
        <v>2.8</v>
      </c>
      <c r="BF192" s="435">
        <f t="shared" si="125"/>
        <v>2.8</v>
      </c>
      <c r="BG192" s="435">
        <f t="shared" si="125"/>
        <v>2.8</v>
      </c>
      <c r="BH192" s="435">
        <f t="shared" si="125"/>
        <v>2.8</v>
      </c>
      <c r="BI192" s="435">
        <f t="shared" si="125"/>
        <v>2.8</v>
      </c>
      <c r="BJ192" s="435">
        <f t="shared" si="125"/>
        <v>2.8</v>
      </c>
      <c r="BK192" s="435">
        <f t="shared" si="125"/>
        <v>2.8</v>
      </c>
      <c r="BL192" s="435">
        <f t="shared" si="125"/>
        <v>2.8</v>
      </c>
      <c r="BU192" s="401"/>
      <c r="BV192" s="401"/>
      <c r="BW192" s="401"/>
      <c r="BX192" s="401"/>
      <c r="BY192" s="401"/>
      <c r="BZ192" s="401"/>
    </row>
    <row r="193" spans="1:78" s="405" customFormat="1" ht="15" customHeight="1" outlineLevel="1" thickBot="1" x14ac:dyDescent="0.3">
      <c r="A193" s="404"/>
      <c r="B193" s="725"/>
      <c r="C193" s="687"/>
      <c r="D193" s="690"/>
      <c r="E193" s="447" t="s">
        <v>97</v>
      </c>
      <c r="F193" s="448" t="e">
        <f t="shared" ref="F193:M193" si="126">IF(OR($C192="-",$C192="CET",$C192=""),"-",IF(AND(NOT(F192="-"),NOT(F$5="-"),NOT(F$5="")),F192/F$5,"-"))</f>
        <v>#N/A</v>
      </c>
      <c r="G193" s="448" t="e">
        <f t="shared" si="126"/>
        <v>#N/A</v>
      </c>
      <c r="H193" s="448" t="e">
        <f>IF(OR($C192="-",$C192="CET",$C192=""),"-",IF(AND(NOT(H192="-"),NOT(H$5="-"),NOT(H$5="")),H192/H$5,"-"))</f>
        <v>#N/A</v>
      </c>
      <c r="I193" s="448" t="e">
        <f t="shared" si="126"/>
        <v>#N/A</v>
      </c>
      <c r="J193" s="448" t="e">
        <f t="shared" si="126"/>
        <v>#N/A</v>
      </c>
      <c r="K193" s="449" t="e">
        <f t="shared" si="126"/>
        <v>#N/A</v>
      </c>
      <c r="L193" s="449" t="e">
        <f t="shared" si="126"/>
        <v>#N/A</v>
      </c>
      <c r="M193" s="449" t="e">
        <f t="shared" si="126"/>
        <v>#N/A</v>
      </c>
      <c r="N193" s="702"/>
      <c r="O193" s="672"/>
      <c r="P193" s="673"/>
      <c r="Q193" s="673"/>
      <c r="R193" s="673"/>
      <c r="S193" s="672"/>
      <c r="T193" s="673"/>
      <c r="U193" s="673"/>
      <c r="V193" s="674"/>
      <c r="W193" s="512"/>
      <c r="X193" s="512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401"/>
      <c r="AJ193" s="401"/>
      <c r="AK193" s="401"/>
      <c r="AL193" s="401"/>
      <c r="AM193" s="401"/>
      <c r="AN193" s="401"/>
      <c r="AO193" s="401"/>
      <c r="AP193" s="401"/>
      <c r="AQ193" s="401"/>
      <c r="AR193" s="401"/>
      <c r="AS193" s="401"/>
      <c r="AT193" s="401"/>
      <c r="AU193" s="401"/>
      <c r="AV193" s="401"/>
      <c r="AW193" s="401"/>
      <c r="AX193" s="401"/>
      <c r="AY193" s="401"/>
      <c r="AZ193" s="401"/>
      <c r="BA193" s="401"/>
      <c r="BB193" s="401"/>
      <c r="BC193" s="536"/>
      <c r="BD193" s="429" t="str">
        <f>"0.7*IEF " &amp; B200</f>
        <v>0.7*IEF Total (unweighted)</v>
      </c>
      <c r="BE193" s="435">
        <f t="shared" ref="BE193:BL193" si="127">IF(OR($C202="-",$C202="CET",$C202=""),"-",0.7*$C202)</f>
        <v>2.8</v>
      </c>
      <c r="BF193" s="435">
        <f t="shared" si="127"/>
        <v>2.8</v>
      </c>
      <c r="BG193" s="435">
        <f t="shared" si="127"/>
        <v>2.8</v>
      </c>
      <c r="BH193" s="435">
        <f t="shared" si="127"/>
        <v>2.8</v>
      </c>
      <c r="BI193" s="435">
        <f t="shared" si="127"/>
        <v>2.8</v>
      </c>
      <c r="BJ193" s="435">
        <f t="shared" si="127"/>
        <v>2.8</v>
      </c>
      <c r="BK193" s="435">
        <f t="shared" si="127"/>
        <v>2.8</v>
      </c>
      <c r="BL193" s="435">
        <f t="shared" si="127"/>
        <v>2.8</v>
      </c>
      <c r="BU193" s="401"/>
      <c r="BV193" s="401"/>
      <c r="BW193" s="401"/>
      <c r="BX193" s="401"/>
      <c r="BY193" s="401"/>
      <c r="BZ193" s="401"/>
    </row>
    <row r="194" spans="1:78" s="405" customFormat="1" ht="15" customHeight="1" outlineLevel="1" thickBot="1" x14ac:dyDescent="0.3">
      <c r="A194" s="404"/>
      <c r="B194" s="726"/>
      <c r="C194" s="688"/>
      <c r="D194" s="691"/>
      <c r="E194" s="451" t="s">
        <v>30</v>
      </c>
      <c r="F194" s="451" t="str">
        <f t="shared" ref="F194:M194" si="128">IF(AND(OR(F190="-",F190=""),OR(F191="-",F191="")),"-",IF(OR($C192="-",$C192="",$C192="CET"),"-",IF($R$181="not listed","-",IF(NOT(F$5="-"),IF(AND(AND(NOT(F190=0),NOT(F190="-"),NOT(F190="")),AND(NOT(F191="-"),NOT(F191=0),NOT(F191=""))),IF(AND((F190+F191)/2&lt;1*F$5*IF(OR($C192="CET",$C192="-",$C192=""),"-",$C192),F190&lt;1.1*F$5*IF(OR($C192="CET",$C192="-",$C192=""),"-",$C192),F191&lt;1.1*F$5*IF(OR($C192="CET",$C192="-",$C192=""),"-",$C192)),"passed","refused"),IF(IF(OR(F190="-",F190=""),F191,F190)&lt;0.7*F$5*IF(OR($C192="CET",$C192="-",$C192=""),"-",$C192),"passed",IF(IF(OR(F190="-",F190=""),F191,F190)&lt;1.1*IF(OR($C192="CET",$C192="-",$C192=""),"-",$C192)*F$5,"failed","refused"))),"-"))))</f>
        <v>-</v>
      </c>
      <c r="G194" s="451" t="str">
        <f t="shared" si="128"/>
        <v>-</v>
      </c>
      <c r="H194" s="451" t="str">
        <f t="shared" si="128"/>
        <v>-</v>
      </c>
      <c r="I194" s="451" t="str">
        <f t="shared" si="128"/>
        <v>-</v>
      </c>
      <c r="J194" s="451" t="str">
        <f t="shared" si="128"/>
        <v>-</v>
      </c>
      <c r="K194" s="452" t="str">
        <f t="shared" si="128"/>
        <v>-</v>
      </c>
      <c r="L194" s="452" t="str">
        <f t="shared" si="128"/>
        <v>-</v>
      </c>
      <c r="M194" s="452" t="str">
        <f t="shared" si="128"/>
        <v>-</v>
      </c>
      <c r="N194" s="685"/>
      <c r="O194" s="672"/>
      <c r="P194" s="673"/>
      <c r="Q194" s="673"/>
      <c r="R194" s="673"/>
      <c r="S194" s="672"/>
      <c r="T194" s="673"/>
      <c r="U194" s="673"/>
      <c r="V194" s="674"/>
      <c r="W194" s="512"/>
      <c r="X194" s="512"/>
      <c r="Y194" s="678"/>
      <c r="Z194" s="678"/>
      <c r="AA194" s="678"/>
      <c r="AB194" s="678"/>
      <c r="AC194" s="678"/>
      <c r="AD194" s="678"/>
      <c r="AE194" s="678"/>
      <c r="AF194" s="678"/>
      <c r="AG194" s="678"/>
      <c r="AH194" s="678"/>
      <c r="AI194" s="401"/>
      <c r="AJ194" s="401"/>
      <c r="AK194" s="401"/>
      <c r="AL194" s="401"/>
      <c r="AM194" s="401"/>
      <c r="AN194" s="401"/>
      <c r="AO194" s="401"/>
      <c r="AP194" s="401"/>
      <c r="AQ194" s="401"/>
      <c r="AR194" s="401"/>
      <c r="AS194" s="401"/>
      <c r="AT194" s="401"/>
      <c r="AU194" s="401"/>
      <c r="AV194" s="401"/>
      <c r="AW194" s="401"/>
      <c r="AX194" s="401"/>
      <c r="AY194" s="401"/>
      <c r="AZ194" s="401"/>
      <c r="BA194" s="401"/>
      <c r="BB194" s="401"/>
      <c r="BC194" s="399" t="str">
        <f>IF(COUNTIF(F194:M194,"refused")&gt;0,"refused",IF(COUNTIF(F194:M194,"failed")&gt;0,"failed",IF(COUNTIF(F194:M194,"passed")&gt;0,"passed","-")))</f>
        <v>-</v>
      </c>
      <c r="BD194" s="429" t="str">
        <f>"0.7*IEF " &amp; B205</f>
        <v>0.7*IEF Total (EMROAD)</v>
      </c>
      <c r="BE194" s="435">
        <f t="shared" ref="BE194:BL194" si="129">IF(OR($C207="-",$C207="CET",$C207=""),"-",0.7*$C207)</f>
        <v>2.8</v>
      </c>
      <c r="BF194" s="435">
        <f t="shared" si="129"/>
        <v>2.8</v>
      </c>
      <c r="BG194" s="435">
        <f t="shared" si="129"/>
        <v>2.8</v>
      </c>
      <c r="BH194" s="435">
        <f t="shared" si="129"/>
        <v>2.8</v>
      </c>
      <c r="BI194" s="435">
        <f t="shared" si="129"/>
        <v>2.8</v>
      </c>
      <c r="BJ194" s="435">
        <f t="shared" si="129"/>
        <v>2.8</v>
      </c>
      <c r="BK194" s="435">
        <f t="shared" si="129"/>
        <v>2.8</v>
      </c>
      <c r="BL194" s="435">
        <f t="shared" si="129"/>
        <v>2.8</v>
      </c>
      <c r="BU194" s="401"/>
      <c r="BV194" s="401"/>
      <c r="BW194" s="401"/>
      <c r="BX194" s="401"/>
      <c r="BY194" s="401"/>
      <c r="BZ194" s="401"/>
    </row>
    <row r="195" spans="1:78" s="405" customFormat="1" ht="15" customHeight="1" outlineLevel="1" x14ac:dyDescent="0.25">
      <c r="A195" s="454"/>
      <c r="B195" s="718" t="s">
        <v>141</v>
      </c>
      <c r="C195" s="684" t="s">
        <v>114</v>
      </c>
      <c r="D195" s="684" t="s">
        <v>113</v>
      </c>
      <c r="E195" s="453" t="s">
        <v>94</v>
      </c>
      <c r="F195" s="473" t="s">
        <v>5</v>
      </c>
      <c r="G195" s="473" t="s">
        <v>5</v>
      </c>
      <c r="H195" s="473" t="s">
        <v>5</v>
      </c>
      <c r="I195" s="473" t="s">
        <v>5</v>
      </c>
      <c r="J195" s="473" t="s">
        <v>5</v>
      </c>
      <c r="K195" s="474" t="s">
        <v>5</v>
      </c>
      <c r="L195" s="474" t="s">
        <v>5</v>
      </c>
      <c r="M195" s="474" t="s">
        <v>5</v>
      </c>
      <c r="N195" s="473" t="s">
        <v>5</v>
      </c>
      <c r="O195" s="672"/>
      <c r="P195" s="673"/>
      <c r="Q195" s="673"/>
      <c r="R195" s="673"/>
      <c r="S195" s="672"/>
      <c r="T195" s="673"/>
      <c r="U195" s="673"/>
      <c r="V195" s="674"/>
      <c r="W195" s="443"/>
      <c r="X195" s="443"/>
      <c r="Y195" s="678"/>
      <c r="Z195" s="678"/>
      <c r="AA195" s="678"/>
      <c r="AB195" s="678"/>
      <c r="AC195" s="678"/>
      <c r="AD195" s="678"/>
      <c r="AE195" s="678"/>
      <c r="AF195" s="678"/>
      <c r="AG195" s="678"/>
      <c r="AH195" s="678"/>
      <c r="BC195" s="536"/>
      <c r="BD195" s="429" t="str">
        <f>"0.7*IEF " &amp; B210</f>
        <v>0.7*IEF Total (SPF)</v>
      </c>
      <c r="BE195" s="435">
        <f t="shared" ref="BE195:BL195" si="130">IF(OR($C212="-",$C212="CET",$C212=""),"-",0.7*$C212)</f>
        <v>2.8</v>
      </c>
      <c r="BF195" s="435">
        <f t="shared" si="130"/>
        <v>2.8</v>
      </c>
      <c r="BG195" s="435">
        <f t="shared" si="130"/>
        <v>2.8</v>
      </c>
      <c r="BH195" s="435">
        <f t="shared" si="130"/>
        <v>2.8</v>
      </c>
      <c r="BI195" s="435">
        <f t="shared" si="130"/>
        <v>2.8</v>
      </c>
      <c r="BJ195" s="435">
        <f t="shared" si="130"/>
        <v>2.8</v>
      </c>
      <c r="BK195" s="435">
        <f t="shared" si="130"/>
        <v>2.8</v>
      </c>
      <c r="BL195" s="435">
        <f t="shared" si="130"/>
        <v>2.8</v>
      </c>
    </row>
    <row r="196" spans="1:78" s="405" customFormat="1" ht="15" customHeight="1" outlineLevel="1" thickBot="1" x14ac:dyDescent="0.3">
      <c r="A196" s="404"/>
      <c r="B196" s="719"/>
      <c r="C196" s="702"/>
      <c r="D196" s="685"/>
      <c r="E196" s="440" t="s">
        <v>95</v>
      </c>
      <c r="F196" s="475" t="s">
        <v>5</v>
      </c>
      <c r="G196" s="475" t="s">
        <v>5</v>
      </c>
      <c r="H196" s="475" t="s">
        <v>5</v>
      </c>
      <c r="I196" s="475" t="s">
        <v>5</v>
      </c>
      <c r="J196" s="475" t="s">
        <v>5</v>
      </c>
      <c r="K196" s="476" t="s">
        <v>5</v>
      </c>
      <c r="L196" s="476" t="s">
        <v>5</v>
      </c>
      <c r="M196" s="476" t="s">
        <v>5</v>
      </c>
      <c r="N196" s="475" t="s">
        <v>5</v>
      </c>
      <c r="O196" s="672"/>
      <c r="P196" s="673"/>
      <c r="Q196" s="673"/>
      <c r="R196" s="673"/>
      <c r="S196" s="672"/>
      <c r="T196" s="673"/>
      <c r="U196" s="673"/>
      <c r="V196" s="674"/>
      <c r="W196" s="512"/>
      <c r="X196" s="512"/>
      <c r="Y196" s="678"/>
      <c r="Z196" s="678"/>
      <c r="AA196" s="678"/>
      <c r="AB196" s="678"/>
      <c r="AC196" s="678"/>
      <c r="AD196" s="678"/>
      <c r="AE196" s="678"/>
      <c r="AF196" s="678"/>
      <c r="AG196" s="678"/>
      <c r="AH196" s="678"/>
      <c r="AI196" s="401"/>
      <c r="AJ196" s="401"/>
      <c r="AK196" s="401"/>
      <c r="AL196" s="401"/>
      <c r="AM196" s="401"/>
      <c r="AN196" s="401"/>
      <c r="AO196" s="401"/>
      <c r="AP196" s="401"/>
      <c r="AQ196" s="401"/>
      <c r="AR196" s="401"/>
      <c r="AS196" s="401"/>
      <c r="AT196" s="401"/>
      <c r="AU196" s="401"/>
      <c r="AV196" s="401"/>
      <c r="AW196" s="401"/>
      <c r="AX196" s="401"/>
      <c r="AY196" s="401"/>
      <c r="AZ196" s="401"/>
      <c r="BA196" s="401"/>
      <c r="BB196" s="401"/>
      <c r="BC196" s="536"/>
      <c r="BD196" s="429" t="str">
        <f>$B185</f>
        <v>City (unweighted)</v>
      </c>
      <c r="BE196" s="435" t="e">
        <f t="shared" ref="BE196:BL196" si="131">F188</f>
        <v>#N/A</v>
      </c>
      <c r="BF196" s="435" t="e">
        <f t="shared" si="131"/>
        <v>#N/A</v>
      </c>
      <c r="BG196" s="435" t="e">
        <f t="shared" si="131"/>
        <v>#N/A</v>
      </c>
      <c r="BH196" s="435" t="e">
        <f t="shared" si="131"/>
        <v>#N/A</v>
      </c>
      <c r="BI196" s="435" t="e">
        <f t="shared" si="131"/>
        <v>#N/A</v>
      </c>
      <c r="BJ196" s="435" t="e">
        <f t="shared" si="131"/>
        <v>#N/A</v>
      </c>
      <c r="BK196" s="435" t="e">
        <f t="shared" si="131"/>
        <v>#N/A</v>
      </c>
      <c r="BL196" s="435" t="e">
        <f t="shared" si="131"/>
        <v>#N/A</v>
      </c>
      <c r="BU196" s="401"/>
      <c r="BV196" s="401"/>
      <c r="BW196" s="401"/>
      <c r="BX196" s="401"/>
      <c r="BY196" s="401"/>
      <c r="BZ196" s="401"/>
    </row>
    <row r="197" spans="1:78" s="405" customFormat="1" ht="15" customHeight="1" outlineLevel="1" thickBot="1" x14ac:dyDescent="0.3">
      <c r="A197" s="404"/>
      <c r="B197" s="719"/>
      <c r="C197" s="686">
        <v>4</v>
      </c>
      <c r="D197" s="689" t="str">
        <f>IF(AND(F197="-",G197="-",H197="-",I197="-",J197="-",K197="-",L197="-",M197="-"),"-",MAX(F197,G197,H197,I197,J197,K197,L197,M197))</f>
        <v>-</v>
      </c>
      <c r="E197" s="444" t="s">
        <v>177</v>
      </c>
      <c r="F197" s="445" t="str">
        <f t="shared" ref="F197:M197" si="132">IF(OR(F196="-",F196=""),IF(OR(F195="-",F195=""),"-",F195),IF(OR(F195="-",F195=""),F196,(F195+F196)/2))</f>
        <v>-</v>
      </c>
      <c r="G197" s="445" t="str">
        <f t="shared" si="132"/>
        <v>-</v>
      </c>
      <c r="H197" s="445" t="str">
        <f t="shared" si="132"/>
        <v>-</v>
      </c>
      <c r="I197" s="445" t="str">
        <f t="shared" si="132"/>
        <v>-</v>
      </c>
      <c r="J197" s="445" t="str">
        <f t="shared" si="132"/>
        <v>-</v>
      </c>
      <c r="K197" s="446" t="str">
        <f t="shared" si="132"/>
        <v>-</v>
      </c>
      <c r="L197" s="446" t="str">
        <f t="shared" si="132"/>
        <v>-</v>
      </c>
      <c r="M197" s="446" t="str">
        <f t="shared" si="132"/>
        <v>-</v>
      </c>
      <c r="N197" s="828"/>
      <c r="O197" s="672"/>
      <c r="P197" s="673"/>
      <c r="Q197" s="673"/>
      <c r="R197" s="673"/>
      <c r="S197" s="672"/>
      <c r="T197" s="673"/>
      <c r="U197" s="673"/>
      <c r="V197" s="674"/>
      <c r="W197" s="512"/>
      <c r="X197" s="512"/>
      <c r="Y197" s="678"/>
      <c r="Z197" s="678"/>
      <c r="AA197" s="678"/>
      <c r="AB197" s="678"/>
      <c r="AC197" s="678"/>
      <c r="AD197" s="678"/>
      <c r="AE197" s="678"/>
      <c r="AF197" s="678"/>
      <c r="AG197" s="678"/>
      <c r="AH197" s="678"/>
      <c r="AI197" s="401"/>
      <c r="AJ197" s="401"/>
      <c r="AK197" s="401"/>
      <c r="AL197" s="401"/>
      <c r="AM197" s="401"/>
      <c r="AN197" s="401"/>
      <c r="AO197" s="401"/>
      <c r="AP197" s="401"/>
      <c r="AQ197" s="401"/>
      <c r="AR197" s="401"/>
      <c r="AS197" s="401"/>
      <c r="AT197" s="401"/>
      <c r="AU197" s="401"/>
      <c r="AV197" s="401"/>
      <c r="AW197" s="401"/>
      <c r="AX197" s="401"/>
      <c r="AY197" s="401"/>
      <c r="AZ197" s="401"/>
      <c r="BA197" s="401"/>
      <c r="BB197" s="401"/>
      <c r="BC197" s="536"/>
      <c r="BD197" s="429" t="str">
        <f>$B190</f>
        <v>City (EMROAD)</v>
      </c>
      <c r="BE197" s="435" t="e">
        <f t="shared" ref="BE197:BL197" si="133">F193</f>
        <v>#N/A</v>
      </c>
      <c r="BF197" s="435" t="e">
        <f t="shared" si="133"/>
        <v>#N/A</v>
      </c>
      <c r="BG197" s="435" t="e">
        <f t="shared" si="133"/>
        <v>#N/A</v>
      </c>
      <c r="BH197" s="435" t="e">
        <f t="shared" si="133"/>
        <v>#N/A</v>
      </c>
      <c r="BI197" s="435" t="e">
        <f t="shared" si="133"/>
        <v>#N/A</v>
      </c>
      <c r="BJ197" s="435" t="e">
        <f t="shared" si="133"/>
        <v>#N/A</v>
      </c>
      <c r="BK197" s="435" t="e">
        <f t="shared" si="133"/>
        <v>#N/A</v>
      </c>
      <c r="BL197" s="435" t="e">
        <f t="shared" si="133"/>
        <v>#N/A</v>
      </c>
      <c r="BU197" s="401"/>
      <c r="BV197" s="401"/>
      <c r="BW197" s="401"/>
      <c r="BX197" s="401"/>
      <c r="BY197" s="401"/>
      <c r="BZ197" s="401"/>
    </row>
    <row r="198" spans="1:78" s="405" customFormat="1" ht="15" customHeight="1" outlineLevel="1" thickBot="1" x14ac:dyDescent="0.3">
      <c r="A198" s="404"/>
      <c r="B198" s="719"/>
      <c r="C198" s="687"/>
      <c r="D198" s="690"/>
      <c r="E198" s="447" t="s">
        <v>97</v>
      </c>
      <c r="F198" s="448" t="e">
        <f t="shared" ref="F198:M198" si="134">IF(OR($C197="-",$C197="CET",$C197=""),"-",IF(AND(NOT(F197="-"),NOT(F$5="-"),NOT(F$5="")),F197/F$5,"-"))</f>
        <v>#N/A</v>
      </c>
      <c r="G198" s="448" t="e">
        <f t="shared" si="134"/>
        <v>#N/A</v>
      </c>
      <c r="H198" s="448" t="e">
        <f t="shared" si="134"/>
        <v>#N/A</v>
      </c>
      <c r="I198" s="448" t="e">
        <f t="shared" si="134"/>
        <v>#N/A</v>
      </c>
      <c r="J198" s="448" t="e">
        <f t="shared" si="134"/>
        <v>#N/A</v>
      </c>
      <c r="K198" s="449" t="e">
        <f t="shared" si="134"/>
        <v>#N/A</v>
      </c>
      <c r="L198" s="449" t="e">
        <f t="shared" si="134"/>
        <v>#N/A</v>
      </c>
      <c r="M198" s="449" t="e">
        <f t="shared" si="134"/>
        <v>#N/A</v>
      </c>
      <c r="N198" s="702"/>
      <c r="O198" s="672"/>
      <c r="P198" s="673"/>
      <c r="Q198" s="673"/>
      <c r="R198" s="673"/>
      <c r="S198" s="672"/>
      <c r="T198" s="673"/>
      <c r="U198" s="673"/>
      <c r="V198" s="674"/>
      <c r="W198" s="512"/>
      <c r="X198" s="512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401"/>
      <c r="AJ198" s="401"/>
      <c r="AK198" s="401"/>
      <c r="AL198" s="401"/>
      <c r="AM198" s="401"/>
      <c r="AN198" s="401"/>
      <c r="AO198" s="401"/>
      <c r="AP198" s="401"/>
      <c r="AQ198" s="401"/>
      <c r="AR198" s="401"/>
      <c r="AS198" s="401"/>
      <c r="AT198" s="401"/>
      <c r="AU198" s="401"/>
      <c r="AV198" s="401"/>
      <c r="AW198" s="401"/>
      <c r="AX198" s="401"/>
      <c r="AY198" s="401"/>
      <c r="AZ198" s="401"/>
      <c r="BA198" s="401"/>
      <c r="BB198" s="401"/>
      <c r="BC198" s="536"/>
      <c r="BD198" s="429" t="str">
        <f>$B195</f>
        <v>City
 (SPF)</v>
      </c>
      <c r="BE198" s="435" t="e">
        <f t="shared" ref="BE198:BL198" si="135">F198</f>
        <v>#N/A</v>
      </c>
      <c r="BF198" s="435" t="e">
        <f t="shared" si="135"/>
        <v>#N/A</v>
      </c>
      <c r="BG198" s="435" t="e">
        <f t="shared" si="135"/>
        <v>#N/A</v>
      </c>
      <c r="BH198" s="435" t="e">
        <f t="shared" si="135"/>
        <v>#N/A</v>
      </c>
      <c r="BI198" s="435" t="e">
        <f t="shared" si="135"/>
        <v>#N/A</v>
      </c>
      <c r="BJ198" s="435" t="e">
        <f t="shared" si="135"/>
        <v>#N/A</v>
      </c>
      <c r="BK198" s="435" t="e">
        <f t="shared" si="135"/>
        <v>#N/A</v>
      </c>
      <c r="BL198" s="435" t="e">
        <f t="shared" si="135"/>
        <v>#N/A</v>
      </c>
      <c r="BU198" s="401"/>
      <c r="BV198" s="401"/>
      <c r="BW198" s="401"/>
      <c r="BX198" s="401"/>
      <c r="BY198" s="401"/>
      <c r="BZ198" s="401"/>
    </row>
    <row r="199" spans="1:78" s="405" customFormat="1" ht="15" customHeight="1" outlineLevel="1" thickBot="1" x14ac:dyDescent="0.3">
      <c r="A199" s="404"/>
      <c r="B199" s="720"/>
      <c r="C199" s="688"/>
      <c r="D199" s="691"/>
      <c r="E199" s="451" t="s">
        <v>30</v>
      </c>
      <c r="F199" s="451" t="str">
        <f t="shared" ref="F199:M199" si="136">IF(AND(OR(F195="-",F195=""),OR(F196="-",F196="")),"-",IF(OR($C197="-",$C197="",$C197="CET"),"-",IF($R$181="not listed","-",IF(NOT(F$5="-"),IF(AND(AND(NOT(F195=0),NOT(F195="-"),NOT(F195="")),AND(NOT(F196="-"),NOT(F196=0),NOT(F196=""))),IF(AND((F195+F196)/2&lt;1*F$5*IF(OR($C197="CET",$C197="-",$C197=""),"-",$C197),F195&lt;1.1*F$5*IF(OR($C197="CET",$C197="-",$C197=""),"-",$C197),F196&lt;1.1*F$5*IF(OR($C197="CET",$C197="-",$C197=""),"-",$C197)),"passed","refused"),IF(IF(OR(F195="-",F195=""),F196,F195)&lt;0.7*F$5*IF(OR($C197="CET",$C197="-",$C197=""),"-",$C197),"passed",IF(IF(OR(F195="-",F195=""),F196,F195)&lt;1.1*IF(OR($C197="CET",$C197="-",$C197=""),"-",$C197)*F$5,"failed","refused"))),"-"))))</f>
        <v>-</v>
      </c>
      <c r="G199" s="451" t="str">
        <f t="shared" si="136"/>
        <v>-</v>
      </c>
      <c r="H199" s="451" t="str">
        <f t="shared" si="136"/>
        <v>-</v>
      </c>
      <c r="I199" s="451" t="str">
        <f t="shared" si="136"/>
        <v>-</v>
      </c>
      <c r="J199" s="451" t="str">
        <f t="shared" si="136"/>
        <v>-</v>
      </c>
      <c r="K199" s="452" t="str">
        <f t="shared" si="136"/>
        <v>-</v>
      </c>
      <c r="L199" s="452" t="str">
        <f t="shared" si="136"/>
        <v>-</v>
      </c>
      <c r="M199" s="452" t="str">
        <f t="shared" si="136"/>
        <v>-</v>
      </c>
      <c r="N199" s="685"/>
      <c r="O199" s="672"/>
      <c r="P199" s="673"/>
      <c r="Q199" s="673"/>
      <c r="R199" s="673"/>
      <c r="S199" s="672"/>
      <c r="T199" s="673"/>
      <c r="U199" s="673"/>
      <c r="V199" s="674"/>
      <c r="W199" s="512"/>
      <c r="X199" s="512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401"/>
      <c r="AJ199" s="401"/>
      <c r="AK199" s="401"/>
      <c r="AL199" s="401"/>
      <c r="AM199" s="401"/>
      <c r="AN199" s="401"/>
      <c r="AO199" s="401"/>
      <c r="AP199" s="401"/>
      <c r="AQ199" s="401"/>
      <c r="AR199" s="401"/>
      <c r="AS199" s="401"/>
      <c r="AT199" s="401"/>
      <c r="AU199" s="401"/>
      <c r="AV199" s="401"/>
      <c r="AW199" s="401"/>
      <c r="AX199" s="401"/>
      <c r="AY199" s="401"/>
      <c r="AZ199" s="401"/>
      <c r="BA199" s="401"/>
      <c r="BB199" s="401"/>
      <c r="BC199" s="399" t="str">
        <f>IF(COUNTIF(F199:M199,"refused")&gt;0,"refused",IF(COUNTIF(F199:M199,"failed")&gt;0,"failed",IF(COUNTIF(F199:M199,"passed")&gt;0,"passed","-")))</f>
        <v>-</v>
      </c>
      <c r="BD199" s="429" t="str">
        <f>$B200</f>
        <v>Total (unweighted)</v>
      </c>
      <c r="BE199" s="435" t="e">
        <f t="shared" ref="BE199:BL199" si="137">F203</f>
        <v>#N/A</v>
      </c>
      <c r="BF199" s="435" t="e">
        <f t="shared" si="137"/>
        <v>#N/A</v>
      </c>
      <c r="BG199" s="435" t="e">
        <f t="shared" si="137"/>
        <v>#N/A</v>
      </c>
      <c r="BH199" s="435" t="e">
        <f t="shared" si="137"/>
        <v>#N/A</v>
      </c>
      <c r="BI199" s="435" t="e">
        <f t="shared" si="137"/>
        <v>#N/A</v>
      </c>
      <c r="BJ199" s="435" t="e">
        <f t="shared" si="137"/>
        <v>#N/A</v>
      </c>
      <c r="BK199" s="435" t="e">
        <f t="shared" si="137"/>
        <v>#N/A</v>
      </c>
      <c r="BL199" s="435" t="e">
        <f t="shared" si="137"/>
        <v>#N/A</v>
      </c>
      <c r="BU199" s="401"/>
      <c r="BV199" s="401"/>
      <c r="BW199" s="401"/>
      <c r="BX199" s="401"/>
      <c r="BY199" s="401"/>
      <c r="BZ199" s="401"/>
    </row>
    <row r="200" spans="1:78" s="405" customFormat="1" ht="15" customHeight="1" outlineLevel="1" x14ac:dyDescent="0.25">
      <c r="A200" s="454"/>
      <c r="B200" s="724" t="s">
        <v>105</v>
      </c>
      <c r="C200" s="684" t="s">
        <v>114</v>
      </c>
      <c r="D200" s="684" t="s">
        <v>113</v>
      </c>
      <c r="E200" s="453" t="s">
        <v>94</v>
      </c>
      <c r="F200" s="473" t="s">
        <v>5</v>
      </c>
      <c r="G200" s="473" t="s">
        <v>5</v>
      </c>
      <c r="H200" s="473" t="s">
        <v>5</v>
      </c>
      <c r="I200" s="473" t="s">
        <v>5</v>
      </c>
      <c r="J200" s="473" t="s">
        <v>5</v>
      </c>
      <c r="K200" s="474" t="s">
        <v>5</v>
      </c>
      <c r="L200" s="474" t="s">
        <v>5</v>
      </c>
      <c r="M200" s="474" t="s">
        <v>5</v>
      </c>
      <c r="N200" s="473" t="s">
        <v>5</v>
      </c>
      <c r="O200" s="672"/>
      <c r="P200" s="673"/>
      <c r="Q200" s="673"/>
      <c r="R200" s="673"/>
      <c r="S200" s="672"/>
      <c r="T200" s="673"/>
      <c r="U200" s="673"/>
      <c r="V200" s="674"/>
      <c r="W200" s="443"/>
      <c r="X200" s="443"/>
      <c r="Y200" s="678"/>
      <c r="Z200" s="678"/>
      <c r="AA200" s="678"/>
      <c r="AB200" s="678"/>
      <c r="AC200" s="678"/>
      <c r="AD200" s="678"/>
      <c r="AE200" s="678"/>
      <c r="AF200" s="678"/>
      <c r="AG200" s="678"/>
      <c r="AH200" s="678"/>
      <c r="BC200" s="536"/>
      <c r="BD200" s="429" t="str">
        <f>$B205</f>
        <v>Total (EMROAD)</v>
      </c>
      <c r="BE200" s="435" t="e">
        <f t="shared" ref="BE200:BL200" si="138">F208</f>
        <v>#N/A</v>
      </c>
      <c r="BF200" s="435" t="e">
        <f t="shared" si="138"/>
        <v>#N/A</v>
      </c>
      <c r="BG200" s="435" t="e">
        <f t="shared" si="138"/>
        <v>#N/A</v>
      </c>
      <c r="BH200" s="435" t="e">
        <f t="shared" si="138"/>
        <v>#N/A</v>
      </c>
      <c r="BI200" s="435" t="e">
        <f t="shared" si="138"/>
        <v>#N/A</v>
      </c>
      <c r="BJ200" s="435" t="e">
        <f t="shared" si="138"/>
        <v>#N/A</v>
      </c>
      <c r="BK200" s="435" t="e">
        <f t="shared" si="138"/>
        <v>#N/A</v>
      </c>
      <c r="BL200" s="435" t="e">
        <f t="shared" si="138"/>
        <v>#N/A</v>
      </c>
    </row>
    <row r="201" spans="1:78" s="405" customFormat="1" ht="15" customHeight="1" outlineLevel="1" thickBot="1" x14ac:dyDescent="0.3">
      <c r="A201" s="404"/>
      <c r="B201" s="725"/>
      <c r="C201" s="702"/>
      <c r="D201" s="685"/>
      <c r="E201" s="440" t="s">
        <v>95</v>
      </c>
      <c r="F201" s="475" t="s">
        <v>5</v>
      </c>
      <c r="G201" s="475" t="s">
        <v>5</v>
      </c>
      <c r="H201" s="475" t="s">
        <v>5</v>
      </c>
      <c r="I201" s="475" t="s">
        <v>5</v>
      </c>
      <c r="J201" s="475" t="s">
        <v>5</v>
      </c>
      <c r="K201" s="476" t="s">
        <v>5</v>
      </c>
      <c r="L201" s="476" t="s">
        <v>5</v>
      </c>
      <c r="M201" s="476" t="s">
        <v>5</v>
      </c>
      <c r="N201" s="475" t="s">
        <v>5</v>
      </c>
      <c r="O201" s="672"/>
      <c r="P201" s="673"/>
      <c r="Q201" s="673"/>
      <c r="R201" s="673"/>
      <c r="S201" s="672"/>
      <c r="T201" s="673"/>
      <c r="U201" s="673"/>
      <c r="V201" s="674"/>
      <c r="W201" s="512"/>
      <c r="X201" s="512"/>
      <c r="Y201" s="678"/>
      <c r="Z201" s="678"/>
      <c r="AA201" s="678"/>
      <c r="AB201" s="678"/>
      <c r="AC201" s="678"/>
      <c r="AD201" s="678"/>
      <c r="AE201" s="678"/>
      <c r="AF201" s="678"/>
      <c r="AG201" s="678"/>
      <c r="AH201" s="678"/>
      <c r="AI201" s="401"/>
      <c r="AJ201" s="401"/>
      <c r="AK201" s="401"/>
      <c r="AL201" s="401"/>
      <c r="AM201" s="401"/>
      <c r="AN201" s="401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1"/>
      <c r="BC201" s="536"/>
      <c r="BD201" s="429" t="str">
        <f>$B210</f>
        <v>Total (SPF)</v>
      </c>
      <c r="BE201" s="435" t="e">
        <f t="shared" ref="BE201:BL201" si="139">F213</f>
        <v>#N/A</v>
      </c>
      <c r="BF201" s="435" t="e">
        <f t="shared" si="139"/>
        <v>#N/A</v>
      </c>
      <c r="BG201" s="435" t="e">
        <f t="shared" si="139"/>
        <v>#N/A</v>
      </c>
      <c r="BH201" s="435" t="e">
        <f t="shared" si="139"/>
        <v>#N/A</v>
      </c>
      <c r="BI201" s="435" t="e">
        <f t="shared" si="139"/>
        <v>#N/A</v>
      </c>
      <c r="BJ201" s="435" t="e">
        <f t="shared" si="139"/>
        <v>#N/A</v>
      </c>
      <c r="BK201" s="435" t="e">
        <f t="shared" si="139"/>
        <v>#N/A</v>
      </c>
      <c r="BL201" s="435" t="e">
        <f t="shared" si="139"/>
        <v>#N/A</v>
      </c>
      <c r="BU201" s="401"/>
      <c r="BV201" s="401"/>
      <c r="BW201" s="401"/>
      <c r="BX201" s="401"/>
      <c r="BY201" s="401"/>
      <c r="BZ201" s="401"/>
    </row>
    <row r="202" spans="1:78" s="405" customFormat="1" ht="15" customHeight="1" outlineLevel="1" thickBot="1" x14ac:dyDescent="0.3">
      <c r="A202" s="404"/>
      <c r="B202" s="725"/>
      <c r="C202" s="686">
        <v>4</v>
      </c>
      <c r="D202" s="689" t="str">
        <f>IF(AND(F202="-",G202="-",H202="-",I202="-",J202="-",K202="-",L202="-",M202="-"),"-",MAX(F202,G202,H202,I202,J202,K202,L202,M202))</f>
        <v>-</v>
      </c>
      <c r="E202" s="444" t="s">
        <v>177</v>
      </c>
      <c r="F202" s="445" t="str">
        <f t="shared" ref="F202:M202" si="140">IF(OR(F201="-",F201=""),IF(OR(F200="-",F200=""),"-",F200),IF(OR(F200="-",F200=""),F201,(F200+F201)/2))</f>
        <v>-</v>
      </c>
      <c r="G202" s="445" t="str">
        <f t="shared" si="140"/>
        <v>-</v>
      </c>
      <c r="H202" s="445" t="str">
        <f t="shared" si="140"/>
        <v>-</v>
      </c>
      <c r="I202" s="445" t="str">
        <f t="shared" si="140"/>
        <v>-</v>
      </c>
      <c r="J202" s="445" t="str">
        <f t="shared" si="140"/>
        <v>-</v>
      </c>
      <c r="K202" s="446" t="str">
        <f t="shared" si="140"/>
        <v>-</v>
      </c>
      <c r="L202" s="446" t="str">
        <f t="shared" si="140"/>
        <v>-</v>
      </c>
      <c r="M202" s="446" t="str">
        <f t="shared" si="140"/>
        <v>-</v>
      </c>
      <c r="N202" s="828"/>
      <c r="O202" s="672"/>
      <c r="P202" s="673"/>
      <c r="Q202" s="673"/>
      <c r="R202" s="673"/>
      <c r="S202" s="672"/>
      <c r="T202" s="673"/>
      <c r="U202" s="673"/>
      <c r="V202" s="674"/>
      <c r="W202" s="512"/>
      <c r="X202" s="512"/>
      <c r="Y202" s="678"/>
      <c r="Z202" s="678"/>
      <c r="AA202" s="678"/>
      <c r="AB202" s="678"/>
      <c r="AC202" s="678"/>
      <c r="AD202" s="678"/>
      <c r="AE202" s="678"/>
      <c r="AF202" s="678"/>
      <c r="AG202" s="678"/>
      <c r="AH202" s="678"/>
      <c r="AI202" s="401"/>
      <c r="AJ202" s="401"/>
      <c r="AK202" s="401"/>
      <c r="AL202" s="401"/>
      <c r="AM202" s="401"/>
      <c r="AN202" s="401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1"/>
      <c r="BC202" s="536"/>
      <c r="BD202" s="429" t="str">
        <f>"IEF " &amp;B185</f>
        <v>IEF City (unweighted)</v>
      </c>
      <c r="BE202" s="435">
        <f t="shared" ref="BE202:BL202" si="141">IF(OR($C187="-",$C187="CET",$C187=""),"-",$C187)</f>
        <v>4</v>
      </c>
      <c r="BF202" s="435">
        <f t="shared" si="141"/>
        <v>4</v>
      </c>
      <c r="BG202" s="435">
        <f t="shared" si="141"/>
        <v>4</v>
      </c>
      <c r="BH202" s="435">
        <f t="shared" si="141"/>
        <v>4</v>
      </c>
      <c r="BI202" s="435">
        <f t="shared" si="141"/>
        <v>4</v>
      </c>
      <c r="BJ202" s="435">
        <f t="shared" si="141"/>
        <v>4</v>
      </c>
      <c r="BK202" s="435">
        <f t="shared" si="141"/>
        <v>4</v>
      </c>
      <c r="BL202" s="435">
        <f t="shared" si="141"/>
        <v>4</v>
      </c>
      <c r="BU202" s="401"/>
      <c r="BV202" s="401"/>
      <c r="BW202" s="401"/>
      <c r="BX202" s="401"/>
      <c r="BY202" s="401"/>
      <c r="BZ202" s="401"/>
    </row>
    <row r="203" spans="1:78" s="405" customFormat="1" ht="15" customHeight="1" outlineLevel="1" thickBot="1" x14ac:dyDescent="0.3">
      <c r="A203" s="404"/>
      <c r="B203" s="725"/>
      <c r="C203" s="687"/>
      <c r="D203" s="690"/>
      <c r="E203" s="447" t="s">
        <v>97</v>
      </c>
      <c r="F203" s="448" t="e">
        <f t="shared" ref="F203:M203" si="142">IF(OR($C202="-",$C202="CET",$C202=""),"-",IF(AND(NOT(F202="-"),NOT(F$5="-"),NOT(F$5="")),F202/F$5,"-"))</f>
        <v>#N/A</v>
      </c>
      <c r="G203" s="448" t="e">
        <f t="shared" si="142"/>
        <v>#N/A</v>
      </c>
      <c r="H203" s="448" t="e">
        <f t="shared" si="142"/>
        <v>#N/A</v>
      </c>
      <c r="I203" s="448" t="e">
        <f t="shared" si="142"/>
        <v>#N/A</v>
      </c>
      <c r="J203" s="448" t="e">
        <f t="shared" si="142"/>
        <v>#N/A</v>
      </c>
      <c r="K203" s="449" t="e">
        <f t="shared" si="142"/>
        <v>#N/A</v>
      </c>
      <c r="L203" s="449" t="e">
        <f t="shared" si="142"/>
        <v>#N/A</v>
      </c>
      <c r="M203" s="449" t="e">
        <f t="shared" si="142"/>
        <v>#N/A</v>
      </c>
      <c r="N203" s="702"/>
      <c r="O203" s="672"/>
      <c r="P203" s="673"/>
      <c r="Q203" s="673"/>
      <c r="R203" s="673"/>
      <c r="S203" s="672"/>
      <c r="T203" s="673"/>
      <c r="U203" s="673"/>
      <c r="V203" s="674"/>
      <c r="W203" s="512"/>
      <c r="X203" s="512"/>
      <c r="Y203" s="678"/>
      <c r="Z203" s="678"/>
      <c r="AA203" s="678"/>
      <c r="AB203" s="678"/>
      <c r="AC203" s="678"/>
      <c r="AD203" s="678"/>
      <c r="AE203" s="678"/>
      <c r="AF203" s="678"/>
      <c r="AG203" s="678"/>
      <c r="AH203" s="678"/>
      <c r="AI203" s="401"/>
      <c r="AJ203" s="401"/>
      <c r="AK203" s="401"/>
      <c r="AL203" s="401"/>
      <c r="AM203" s="401"/>
      <c r="AN203" s="401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1"/>
      <c r="BA203" s="401"/>
      <c r="BB203" s="401"/>
      <c r="BC203" s="536"/>
      <c r="BD203" s="429" t="str">
        <f>"IEF " &amp; B190</f>
        <v>IEF City (EMROAD)</v>
      </c>
      <c r="BE203" s="435">
        <f t="shared" ref="BE203:BL203" si="143">IF(OR($C192="-",$C192="CET",$C192=""),"-",$C192)</f>
        <v>4</v>
      </c>
      <c r="BF203" s="435">
        <f t="shared" si="143"/>
        <v>4</v>
      </c>
      <c r="BG203" s="435">
        <f t="shared" si="143"/>
        <v>4</v>
      </c>
      <c r="BH203" s="435">
        <f t="shared" si="143"/>
        <v>4</v>
      </c>
      <c r="BI203" s="435">
        <f t="shared" si="143"/>
        <v>4</v>
      </c>
      <c r="BJ203" s="435">
        <f t="shared" si="143"/>
        <v>4</v>
      </c>
      <c r="BK203" s="435">
        <f t="shared" si="143"/>
        <v>4</v>
      </c>
      <c r="BL203" s="435">
        <f t="shared" si="143"/>
        <v>4</v>
      </c>
      <c r="BU203" s="401"/>
      <c r="BV203" s="401"/>
      <c r="BW203" s="401"/>
      <c r="BX203" s="401"/>
      <c r="BY203" s="401"/>
      <c r="BZ203" s="401"/>
    </row>
    <row r="204" spans="1:78" s="405" customFormat="1" ht="15" customHeight="1" outlineLevel="1" thickBot="1" x14ac:dyDescent="0.3">
      <c r="A204" s="404"/>
      <c r="B204" s="726"/>
      <c r="C204" s="688"/>
      <c r="D204" s="691"/>
      <c r="E204" s="451" t="s">
        <v>30</v>
      </c>
      <c r="F204" s="451" t="str">
        <f t="shared" ref="F204:M204" si="144">IF(AND(OR(F200="-",F200=""),OR(F201="-",F201="")),"-",IF(OR($C202="-",$C202="",$C202="CET"),"-",IF($R$181="not listed","-",IF(NOT(F$5="-"),IF(AND(AND(NOT(F200=0),NOT(F200="-"),NOT(F200="")),AND(NOT(F201="-"),NOT(F201=0),NOT(F201=""))),IF(AND((F200+F201)/2&lt;1*F$5*IF(OR($C202="CET",$C202="-",$C202=""),"-",$C202),F200&lt;1.1*F$5*IF(OR($C202="CET",$C202="-",$C202=""),"-",$C202),F201&lt;1.1*F$5*IF(OR($C202="CET",$C202="-",$C202=""),"-",$C202)),"passed","refused"),IF(IF(OR(F200="-",F200=""),F201,F200)&lt;0.7*F$5*IF(OR($C202="CET",$C202="-",$C202=""),"-",$C202),"passed",IF(IF(OR(F200="-",F200=""),F201,F200)&lt;1.1*IF(OR($C202="CET",$C202="-",$C202=""),"-",$C202)*F$5,"failed","refused"))),"-"))))</f>
        <v>-</v>
      </c>
      <c r="G204" s="451" t="str">
        <f t="shared" si="144"/>
        <v>-</v>
      </c>
      <c r="H204" s="451" t="str">
        <f t="shared" si="144"/>
        <v>-</v>
      </c>
      <c r="I204" s="451" t="str">
        <f t="shared" si="144"/>
        <v>-</v>
      </c>
      <c r="J204" s="451" t="str">
        <f t="shared" si="144"/>
        <v>-</v>
      </c>
      <c r="K204" s="452" t="str">
        <f t="shared" si="144"/>
        <v>-</v>
      </c>
      <c r="L204" s="452" t="str">
        <f t="shared" si="144"/>
        <v>-</v>
      </c>
      <c r="M204" s="452" t="str">
        <f t="shared" si="144"/>
        <v>-</v>
      </c>
      <c r="N204" s="685"/>
      <c r="O204" s="672"/>
      <c r="P204" s="673"/>
      <c r="Q204" s="673"/>
      <c r="R204" s="673"/>
      <c r="S204" s="672"/>
      <c r="T204" s="673"/>
      <c r="U204" s="673"/>
      <c r="V204" s="674"/>
      <c r="W204" s="512"/>
      <c r="X204" s="512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401"/>
      <c r="AJ204" s="401"/>
      <c r="AK204" s="401"/>
      <c r="AL204" s="401"/>
      <c r="AM204" s="401"/>
      <c r="AN204" s="401"/>
      <c r="AO204" s="401"/>
      <c r="AP204" s="401"/>
      <c r="AQ204" s="401"/>
      <c r="AR204" s="401"/>
      <c r="AS204" s="401"/>
      <c r="AT204" s="401"/>
      <c r="AU204" s="401"/>
      <c r="AV204" s="401"/>
      <c r="AW204" s="401"/>
      <c r="AX204" s="401"/>
      <c r="AY204" s="401"/>
      <c r="AZ204" s="401"/>
      <c r="BA204" s="401"/>
      <c r="BB204" s="401"/>
      <c r="BC204" s="399" t="str">
        <f>IF(COUNTIF(F204:M204,"refused")&gt;0,"refused",IF(COUNTIF(F204:M204,"failed")&gt;0,"failed",IF(COUNTIF(F204:M204,"passed")&gt;0,"passed","-")))</f>
        <v>-</v>
      </c>
      <c r="BD204" s="429" t="str">
        <f>"IEF " &amp; B195</f>
        <v>IEF City
 (SPF)</v>
      </c>
      <c r="BE204" s="435">
        <f t="shared" ref="BE204:BL204" si="145">IF(OR($C197="-",$C197="CET",$C197=""),"-",$C197)</f>
        <v>4</v>
      </c>
      <c r="BF204" s="435">
        <f t="shared" si="145"/>
        <v>4</v>
      </c>
      <c r="BG204" s="435">
        <f t="shared" si="145"/>
        <v>4</v>
      </c>
      <c r="BH204" s="435">
        <f t="shared" si="145"/>
        <v>4</v>
      </c>
      <c r="BI204" s="435">
        <f t="shared" si="145"/>
        <v>4</v>
      </c>
      <c r="BJ204" s="435">
        <f t="shared" si="145"/>
        <v>4</v>
      </c>
      <c r="BK204" s="435">
        <f t="shared" si="145"/>
        <v>4</v>
      </c>
      <c r="BL204" s="435">
        <f t="shared" si="145"/>
        <v>4</v>
      </c>
      <c r="BU204" s="401"/>
      <c r="BV204" s="401"/>
      <c r="BW204" s="401"/>
      <c r="BX204" s="401"/>
      <c r="BY204" s="401"/>
      <c r="BZ204" s="401"/>
    </row>
    <row r="205" spans="1:78" s="405" customFormat="1" ht="15" customHeight="1" outlineLevel="1" x14ac:dyDescent="0.25">
      <c r="A205" s="454"/>
      <c r="B205" s="724" t="s">
        <v>104</v>
      </c>
      <c r="C205" s="684" t="s">
        <v>114</v>
      </c>
      <c r="D205" s="684" t="s">
        <v>113</v>
      </c>
      <c r="E205" s="453" t="s">
        <v>94</v>
      </c>
      <c r="F205" s="473" t="s">
        <v>5</v>
      </c>
      <c r="G205" s="473" t="s">
        <v>5</v>
      </c>
      <c r="H205" s="473" t="s">
        <v>5</v>
      </c>
      <c r="I205" s="473" t="s">
        <v>5</v>
      </c>
      <c r="J205" s="473" t="s">
        <v>5</v>
      </c>
      <c r="K205" s="474" t="s">
        <v>5</v>
      </c>
      <c r="L205" s="474" t="s">
        <v>5</v>
      </c>
      <c r="M205" s="474" t="s">
        <v>5</v>
      </c>
      <c r="N205" s="473" t="s">
        <v>5</v>
      </c>
      <c r="O205" s="672"/>
      <c r="P205" s="673"/>
      <c r="Q205" s="673"/>
      <c r="R205" s="673"/>
      <c r="S205" s="672"/>
      <c r="T205" s="673"/>
      <c r="U205" s="673"/>
      <c r="V205" s="674"/>
      <c r="W205" s="443"/>
      <c r="X205" s="443"/>
      <c r="Y205" s="678"/>
      <c r="Z205" s="678"/>
      <c r="AA205" s="678"/>
      <c r="AB205" s="678"/>
      <c r="AC205" s="678"/>
      <c r="AD205" s="678"/>
      <c r="AE205" s="678"/>
      <c r="AF205" s="678"/>
      <c r="AG205" s="678"/>
      <c r="AH205" s="678"/>
      <c r="BC205" s="536"/>
      <c r="BD205" s="429" t="str">
        <f>"IEF " &amp; B200</f>
        <v>IEF Total (unweighted)</v>
      </c>
      <c r="BE205" s="435">
        <f t="shared" ref="BE205:BL205" si="146">IF(OR($C202="-",$C202="CET",$C202=""),"-",$C202)</f>
        <v>4</v>
      </c>
      <c r="BF205" s="435">
        <f t="shared" si="146"/>
        <v>4</v>
      </c>
      <c r="BG205" s="435">
        <f t="shared" si="146"/>
        <v>4</v>
      </c>
      <c r="BH205" s="435">
        <f t="shared" si="146"/>
        <v>4</v>
      </c>
      <c r="BI205" s="435">
        <f t="shared" si="146"/>
        <v>4</v>
      </c>
      <c r="BJ205" s="435">
        <f t="shared" si="146"/>
        <v>4</v>
      </c>
      <c r="BK205" s="435">
        <f t="shared" si="146"/>
        <v>4</v>
      </c>
      <c r="BL205" s="435">
        <f t="shared" si="146"/>
        <v>4</v>
      </c>
    </row>
    <row r="206" spans="1:78" s="405" customFormat="1" ht="15" customHeight="1" outlineLevel="1" thickBot="1" x14ac:dyDescent="0.3">
      <c r="A206" s="404"/>
      <c r="B206" s="725"/>
      <c r="C206" s="702"/>
      <c r="D206" s="685"/>
      <c r="E206" s="440" t="s">
        <v>95</v>
      </c>
      <c r="F206" s="475" t="s">
        <v>5</v>
      </c>
      <c r="G206" s="475" t="s">
        <v>5</v>
      </c>
      <c r="H206" s="475" t="s">
        <v>5</v>
      </c>
      <c r="I206" s="475" t="s">
        <v>5</v>
      </c>
      <c r="J206" s="475" t="s">
        <v>5</v>
      </c>
      <c r="K206" s="476" t="s">
        <v>5</v>
      </c>
      <c r="L206" s="476" t="s">
        <v>5</v>
      </c>
      <c r="M206" s="476" t="s">
        <v>5</v>
      </c>
      <c r="N206" s="475" t="s">
        <v>5</v>
      </c>
      <c r="O206" s="672"/>
      <c r="P206" s="673"/>
      <c r="Q206" s="673"/>
      <c r="R206" s="673"/>
      <c r="S206" s="672"/>
      <c r="T206" s="673"/>
      <c r="U206" s="673"/>
      <c r="V206" s="674"/>
      <c r="W206" s="512"/>
      <c r="X206" s="512"/>
      <c r="Y206" s="678"/>
      <c r="Z206" s="678"/>
      <c r="AA206" s="678"/>
      <c r="AB206" s="678"/>
      <c r="AC206" s="678"/>
      <c r="AD206" s="678"/>
      <c r="AE206" s="678"/>
      <c r="AF206" s="678"/>
      <c r="AG206" s="678"/>
      <c r="AH206" s="678"/>
      <c r="AI206" s="401"/>
      <c r="AJ206" s="401"/>
      <c r="AK206" s="401"/>
      <c r="AL206" s="401"/>
      <c r="AM206" s="401"/>
      <c r="AN206" s="401"/>
      <c r="AO206" s="401"/>
      <c r="AP206" s="401"/>
      <c r="AQ206" s="401"/>
      <c r="AR206" s="401"/>
      <c r="AS206" s="401"/>
      <c r="AT206" s="401"/>
      <c r="AU206" s="401"/>
      <c r="AV206" s="401"/>
      <c r="AW206" s="401"/>
      <c r="AX206" s="401"/>
      <c r="AY206" s="401"/>
      <c r="AZ206" s="401"/>
      <c r="BA206" s="401"/>
      <c r="BB206" s="401"/>
      <c r="BC206" s="536"/>
      <c r="BD206" s="429" t="str">
        <f>"IEF " &amp; B205</f>
        <v>IEF Total (EMROAD)</v>
      </c>
      <c r="BE206" s="435">
        <f t="shared" ref="BE206:BL206" si="147">IF(OR($C207="-",$C207="CET",$C207=""),"-",$C207)</f>
        <v>4</v>
      </c>
      <c r="BF206" s="435">
        <f t="shared" si="147"/>
        <v>4</v>
      </c>
      <c r="BG206" s="435">
        <f t="shared" si="147"/>
        <v>4</v>
      </c>
      <c r="BH206" s="435">
        <f t="shared" si="147"/>
        <v>4</v>
      </c>
      <c r="BI206" s="435">
        <f t="shared" si="147"/>
        <v>4</v>
      </c>
      <c r="BJ206" s="435">
        <f t="shared" si="147"/>
        <v>4</v>
      </c>
      <c r="BK206" s="435">
        <f t="shared" si="147"/>
        <v>4</v>
      </c>
      <c r="BL206" s="435">
        <f t="shared" si="147"/>
        <v>4</v>
      </c>
      <c r="BU206" s="401"/>
      <c r="BV206" s="401"/>
      <c r="BW206" s="401"/>
      <c r="BX206" s="401"/>
      <c r="BY206" s="401"/>
      <c r="BZ206" s="401"/>
    </row>
    <row r="207" spans="1:78" s="405" customFormat="1" ht="15" customHeight="1" outlineLevel="1" thickBot="1" x14ac:dyDescent="0.3">
      <c r="A207" s="404"/>
      <c r="B207" s="725"/>
      <c r="C207" s="686">
        <v>4</v>
      </c>
      <c r="D207" s="689" t="str">
        <f>IF(AND(F207="-",G207="-",H207="-",I207="-",J207="-",K207="-",L207="-",M207="-"),"-",MAX(F207,G207,H207,I207,J207,K207,L207,M207))</f>
        <v>-</v>
      </c>
      <c r="E207" s="444" t="s">
        <v>177</v>
      </c>
      <c r="F207" s="445" t="str">
        <f t="shared" ref="F207:M207" si="148">IF(OR(F206="-",F206=""),IF(OR(F205="-",F205=""),"-",F205),IF(OR(F205="-",F205=""),F206,(F205+F206)/2))</f>
        <v>-</v>
      </c>
      <c r="G207" s="445" t="str">
        <f t="shared" si="148"/>
        <v>-</v>
      </c>
      <c r="H207" s="445" t="str">
        <f t="shared" si="148"/>
        <v>-</v>
      </c>
      <c r="I207" s="445" t="str">
        <f t="shared" si="148"/>
        <v>-</v>
      </c>
      <c r="J207" s="445" t="str">
        <f t="shared" si="148"/>
        <v>-</v>
      </c>
      <c r="K207" s="446" t="str">
        <f t="shared" si="148"/>
        <v>-</v>
      </c>
      <c r="L207" s="446" t="str">
        <f t="shared" si="148"/>
        <v>-</v>
      </c>
      <c r="M207" s="446" t="str">
        <f t="shared" si="148"/>
        <v>-</v>
      </c>
      <c r="N207" s="828"/>
      <c r="O207" s="672"/>
      <c r="P207" s="673"/>
      <c r="Q207" s="673"/>
      <c r="R207" s="673"/>
      <c r="S207" s="672"/>
      <c r="T207" s="673"/>
      <c r="U207" s="673"/>
      <c r="V207" s="674"/>
      <c r="W207" s="512"/>
      <c r="X207" s="512"/>
      <c r="Y207" s="678"/>
      <c r="Z207" s="678"/>
      <c r="AA207" s="678"/>
      <c r="AB207" s="678"/>
      <c r="AC207" s="678"/>
      <c r="AD207" s="678"/>
      <c r="AE207" s="678"/>
      <c r="AF207" s="678"/>
      <c r="AG207" s="678"/>
      <c r="AH207" s="678"/>
      <c r="AI207" s="401"/>
      <c r="AJ207" s="401"/>
      <c r="AK207" s="401"/>
      <c r="AL207" s="401"/>
      <c r="AM207" s="401"/>
      <c r="AN207" s="401"/>
      <c r="AO207" s="401"/>
      <c r="AP207" s="401"/>
      <c r="AQ207" s="401"/>
      <c r="AR207" s="401"/>
      <c r="AS207" s="401"/>
      <c r="AT207" s="401"/>
      <c r="AU207" s="401"/>
      <c r="AV207" s="401"/>
      <c r="AW207" s="401"/>
      <c r="AX207" s="401"/>
      <c r="AY207" s="401"/>
      <c r="AZ207" s="401"/>
      <c r="BA207" s="401"/>
      <c r="BB207" s="401"/>
      <c r="BC207" s="536"/>
      <c r="BD207" s="429" t="str">
        <f>"IEF " &amp; B210</f>
        <v>IEF Total (SPF)</v>
      </c>
      <c r="BE207" s="435">
        <f t="shared" ref="BE207:BL207" si="149">IF(OR($C212="-",$C212="CET",$C212=""),"-",$C212)</f>
        <v>4</v>
      </c>
      <c r="BF207" s="435">
        <f t="shared" si="149"/>
        <v>4</v>
      </c>
      <c r="BG207" s="435">
        <f t="shared" si="149"/>
        <v>4</v>
      </c>
      <c r="BH207" s="435">
        <f t="shared" si="149"/>
        <v>4</v>
      </c>
      <c r="BI207" s="435">
        <f t="shared" si="149"/>
        <v>4</v>
      </c>
      <c r="BJ207" s="435">
        <f t="shared" si="149"/>
        <v>4</v>
      </c>
      <c r="BK207" s="435">
        <f t="shared" si="149"/>
        <v>4</v>
      </c>
      <c r="BL207" s="435">
        <f t="shared" si="149"/>
        <v>4</v>
      </c>
      <c r="BU207" s="401"/>
      <c r="BV207" s="401"/>
      <c r="BW207" s="401"/>
      <c r="BX207" s="401"/>
      <c r="BY207" s="401"/>
      <c r="BZ207" s="401"/>
    </row>
    <row r="208" spans="1:78" s="405" customFormat="1" ht="15" customHeight="1" outlineLevel="1" thickBot="1" x14ac:dyDescent="0.3">
      <c r="A208" s="404"/>
      <c r="B208" s="725"/>
      <c r="C208" s="687"/>
      <c r="D208" s="690"/>
      <c r="E208" s="447" t="s">
        <v>97</v>
      </c>
      <c r="F208" s="448" t="e">
        <f t="shared" ref="F208:M208" si="150">IF(OR($C207="-",$C207="CET",$C207=""),"-",IF(AND(NOT(F207="-"),NOT(F$5="-"),NOT(F$5="")),F207/F$5,"-"))</f>
        <v>#N/A</v>
      </c>
      <c r="G208" s="448" t="e">
        <f t="shared" si="150"/>
        <v>#N/A</v>
      </c>
      <c r="H208" s="448" t="e">
        <f t="shared" si="150"/>
        <v>#N/A</v>
      </c>
      <c r="I208" s="448" t="e">
        <f t="shared" si="150"/>
        <v>#N/A</v>
      </c>
      <c r="J208" s="448" t="e">
        <f t="shared" si="150"/>
        <v>#N/A</v>
      </c>
      <c r="K208" s="449" t="e">
        <f t="shared" si="150"/>
        <v>#N/A</v>
      </c>
      <c r="L208" s="449" t="e">
        <f t="shared" si="150"/>
        <v>#N/A</v>
      </c>
      <c r="M208" s="449" t="e">
        <f t="shared" si="150"/>
        <v>#N/A</v>
      </c>
      <c r="N208" s="702"/>
      <c r="O208" s="672"/>
      <c r="P208" s="673"/>
      <c r="Q208" s="673"/>
      <c r="R208" s="673"/>
      <c r="S208" s="672"/>
      <c r="T208" s="673"/>
      <c r="U208" s="673"/>
      <c r="V208" s="674"/>
      <c r="W208" s="512"/>
      <c r="X208" s="512"/>
      <c r="Y208" s="678"/>
      <c r="Z208" s="678"/>
      <c r="AA208" s="678"/>
      <c r="AB208" s="678"/>
      <c r="AC208" s="678"/>
      <c r="AD208" s="678"/>
      <c r="AE208" s="678"/>
      <c r="AF208" s="678"/>
      <c r="AG208" s="678"/>
      <c r="AH208" s="678"/>
      <c r="AI208" s="401"/>
      <c r="AJ208" s="401"/>
      <c r="AK208" s="401"/>
      <c r="AL208" s="401"/>
      <c r="AM208" s="401"/>
      <c r="AN208" s="401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1"/>
      <c r="BC208" s="536"/>
      <c r="BU208" s="401"/>
      <c r="BV208" s="401"/>
      <c r="BW208" s="401"/>
      <c r="BX208" s="401"/>
      <c r="BY208" s="401"/>
      <c r="BZ208" s="401"/>
    </row>
    <row r="209" spans="1:78" s="405" customFormat="1" ht="15" customHeight="1" outlineLevel="1" thickBot="1" x14ac:dyDescent="0.3">
      <c r="A209" s="404"/>
      <c r="B209" s="726"/>
      <c r="C209" s="688"/>
      <c r="D209" s="691"/>
      <c r="E209" s="451" t="s">
        <v>30</v>
      </c>
      <c r="F209" s="451" t="str">
        <f t="shared" ref="F209:M209" si="151">IF(AND(OR(F205="-",F205=""),OR(F206="-",F206="")),"-",IF(OR($C207="-",$C207="",$C207="CET"),"-",IF($R$181="not listed","-",IF(NOT(F$5="-"),IF(AND(AND(NOT(F205=0),NOT(F205="-"),NOT(F205="")),AND(NOT(F206="-"),NOT(F206=0),NOT(F206=""))),IF(AND((F205+F206)/2&lt;1*F$5*IF(OR($C207="CET",$C207="-",$C207=""),"-",$C207),F205&lt;1.1*F$5*IF(OR($C207="CET",$C207="-",$C207=""),"-",$C207),F206&lt;1.1*F$5*IF(OR($C207="CET",$C207="-",$C207=""),"-",$C207)),"passed","refused"),IF(IF(OR(F205="-",F205=""),F206,F205)&lt;0.7*F$5*IF(OR($C207="CET",$C207="-",$C207=""),"-",$C207),"passed",IF(IF(OR(F205="-",F205=""),F206,F205)&lt;1.1*IF(OR($C207="CET",$C207="-",$C207=""),"-",$C207)*F$5,"failed","refused"))),"-"))))</f>
        <v>-</v>
      </c>
      <c r="G209" s="451" t="str">
        <f t="shared" si="151"/>
        <v>-</v>
      </c>
      <c r="H209" s="451" t="str">
        <f t="shared" si="151"/>
        <v>-</v>
      </c>
      <c r="I209" s="451" t="str">
        <f t="shared" si="151"/>
        <v>-</v>
      </c>
      <c r="J209" s="451" t="str">
        <f t="shared" si="151"/>
        <v>-</v>
      </c>
      <c r="K209" s="452" t="str">
        <f t="shared" si="151"/>
        <v>-</v>
      </c>
      <c r="L209" s="452" t="str">
        <f t="shared" si="151"/>
        <v>-</v>
      </c>
      <c r="M209" s="452" t="str">
        <f t="shared" si="151"/>
        <v>-</v>
      </c>
      <c r="N209" s="685"/>
      <c r="O209" s="672"/>
      <c r="P209" s="673"/>
      <c r="Q209" s="673"/>
      <c r="R209" s="673"/>
      <c r="S209" s="672"/>
      <c r="T209" s="673"/>
      <c r="U209" s="673"/>
      <c r="V209" s="674"/>
      <c r="W209" s="512"/>
      <c r="X209" s="512"/>
      <c r="Y209" s="678"/>
      <c r="Z209" s="678"/>
      <c r="AA209" s="678"/>
      <c r="AB209" s="678"/>
      <c r="AC209" s="678"/>
      <c r="AD209" s="678"/>
      <c r="AE209" s="678"/>
      <c r="AF209" s="678"/>
      <c r="AG209" s="678"/>
      <c r="AH209" s="678"/>
      <c r="AI209" s="401"/>
      <c r="AJ209" s="401"/>
      <c r="AK209" s="401"/>
      <c r="AL209" s="401"/>
      <c r="AM209" s="401"/>
      <c r="AN209" s="401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1"/>
      <c r="BC209" s="399" t="str">
        <f>IF(COUNTIF(F209:M209,"refused")&gt;0,"refused",IF(COUNTIF(F209:M209,"failed")&gt;0,"failed",IF(COUNTIF(F209:M209,"passed")&gt;0,"passed","-")))</f>
        <v>-</v>
      </c>
      <c r="BD209" s="459"/>
      <c r="BE209" s="459"/>
      <c r="BF209" s="459"/>
      <c r="BG209" s="459"/>
      <c r="BH209" s="459"/>
      <c r="BI209" s="459"/>
      <c r="BJ209" s="459"/>
      <c r="BK209" s="459"/>
      <c r="BL209" s="459"/>
      <c r="BU209" s="401"/>
      <c r="BV209" s="401"/>
      <c r="BW209" s="401"/>
      <c r="BX209" s="401"/>
      <c r="BY209" s="401"/>
      <c r="BZ209" s="401"/>
    </row>
    <row r="210" spans="1:78" s="405" customFormat="1" ht="15" customHeight="1" outlineLevel="1" x14ac:dyDescent="0.25">
      <c r="A210" s="454"/>
      <c r="B210" s="718" t="s">
        <v>140</v>
      </c>
      <c r="C210" s="684" t="s">
        <v>114</v>
      </c>
      <c r="D210" s="684" t="s">
        <v>113</v>
      </c>
      <c r="E210" s="453" t="s">
        <v>94</v>
      </c>
      <c r="F210" s="473" t="s">
        <v>5</v>
      </c>
      <c r="G210" s="473" t="s">
        <v>5</v>
      </c>
      <c r="H210" s="473" t="s">
        <v>5</v>
      </c>
      <c r="I210" s="473" t="s">
        <v>5</v>
      </c>
      <c r="J210" s="473" t="s">
        <v>5</v>
      </c>
      <c r="K210" s="474" t="s">
        <v>5</v>
      </c>
      <c r="L210" s="474" t="s">
        <v>5</v>
      </c>
      <c r="M210" s="474" t="s">
        <v>5</v>
      </c>
      <c r="N210" s="473" t="s">
        <v>5</v>
      </c>
      <c r="O210" s="672"/>
      <c r="P210" s="673"/>
      <c r="Q210" s="673"/>
      <c r="R210" s="673"/>
      <c r="S210" s="672"/>
      <c r="T210" s="673"/>
      <c r="U210" s="673"/>
      <c r="V210" s="674"/>
      <c r="W210" s="443"/>
      <c r="X210" s="443"/>
      <c r="Y210" s="678"/>
      <c r="Z210" s="678"/>
      <c r="AA210" s="678"/>
      <c r="AB210" s="678"/>
      <c r="AC210" s="678"/>
      <c r="AD210" s="678"/>
      <c r="AE210" s="678"/>
      <c r="AF210" s="678"/>
      <c r="AG210" s="678"/>
      <c r="AH210" s="678"/>
      <c r="BC210" s="536"/>
      <c r="BD210" s="459"/>
      <c r="BE210" s="459"/>
      <c r="BF210" s="459"/>
      <c r="BG210" s="459"/>
      <c r="BH210" s="459"/>
      <c r="BI210" s="459"/>
      <c r="BJ210" s="459"/>
      <c r="BK210" s="459"/>
      <c r="BL210" s="459"/>
    </row>
    <row r="211" spans="1:78" s="405" customFormat="1" ht="15" customHeight="1" outlineLevel="1" thickBot="1" x14ac:dyDescent="0.3">
      <c r="A211" s="404"/>
      <c r="B211" s="719"/>
      <c r="C211" s="702"/>
      <c r="D211" s="685"/>
      <c r="E211" s="440" t="s">
        <v>95</v>
      </c>
      <c r="F211" s="475" t="s">
        <v>5</v>
      </c>
      <c r="G211" s="475" t="s">
        <v>5</v>
      </c>
      <c r="H211" s="475" t="s">
        <v>5</v>
      </c>
      <c r="I211" s="475" t="s">
        <v>5</v>
      </c>
      <c r="J211" s="475" t="s">
        <v>5</v>
      </c>
      <c r="K211" s="476" t="s">
        <v>5</v>
      </c>
      <c r="L211" s="476" t="s">
        <v>5</v>
      </c>
      <c r="M211" s="476" t="s">
        <v>5</v>
      </c>
      <c r="N211" s="475" t="s">
        <v>5</v>
      </c>
      <c r="O211" s="672"/>
      <c r="P211" s="673"/>
      <c r="Q211" s="673"/>
      <c r="R211" s="673"/>
      <c r="S211" s="672"/>
      <c r="T211" s="673"/>
      <c r="U211" s="673"/>
      <c r="V211" s="674"/>
      <c r="W211" s="512"/>
      <c r="X211" s="512"/>
      <c r="Y211" s="678"/>
      <c r="Z211" s="678"/>
      <c r="AA211" s="678"/>
      <c r="AB211" s="678"/>
      <c r="AC211" s="678"/>
      <c r="AD211" s="678"/>
      <c r="AE211" s="678"/>
      <c r="AF211" s="678"/>
      <c r="AG211" s="678"/>
      <c r="AH211" s="678"/>
      <c r="AI211" s="401"/>
      <c r="AJ211" s="401"/>
      <c r="AK211" s="401"/>
      <c r="AL211" s="401"/>
      <c r="AM211" s="401"/>
      <c r="AN211" s="401"/>
      <c r="AO211" s="401"/>
      <c r="AP211" s="401"/>
      <c r="AQ211" s="401"/>
      <c r="AR211" s="401"/>
      <c r="AS211" s="401"/>
      <c r="AT211" s="401"/>
      <c r="AU211" s="401"/>
      <c r="AV211" s="401"/>
      <c r="AW211" s="401"/>
      <c r="AX211" s="401"/>
      <c r="AY211" s="401"/>
      <c r="AZ211" s="401"/>
      <c r="BA211" s="401"/>
      <c r="BB211" s="401"/>
      <c r="BC211" s="536"/>
      <c r="BD211" s="460"/>
      <c r="BE211" s="460"/>
      <c r="BF211" s="460"/>
      <c r="BG211" s="460"/>
      <c r="BH211" s="460"/>
      <c r="BI211" s="460"/>
      <c r="BJ211" s="460"/>
      <c r="BK211" s="460"/>
      <c r="BL211" s="460"/>
      <c r="BU211" s="401"/>
      <c r="BV211" s="401"/>
      <c r="BW211" s="401"/>
      <c r="BX211" s="401"/>
      <c r="BY211" s="401"/>
      <c r="BZ211" s="401"/>
    </row>
    <row r="212" spans="1:78" s="405" customFormat="1" ht="15" customHeight="1" outlineLevel="1" thickBot="1" x14ac:dyDescent="0.3">
      <c r="A212" s="404"/>
      <c r="B212" s="719"/>
      <c r="C212" s="686">
        <v>4</v>
      </c>
      <c r="D212" s="689" t="str">
        <f>IF(AND(F212="-",G212="-",H212="-",I212="-",J212="-",K212="-",L212="-",M212="-"),"-",MAX(F212,G212,H212,I212,J212,K212,L212,M212))</f>
        <v>-</v>
      </c>
      <c r="E212" s="444" t="s">
        <v>177</v>
      </c>
      <c r="F212" s="445" t="str">
        <f t="shared" ref="F212:M212" si="152">IF(OR(F211="-",F211=""),IF(OR(F210="-",F210=""),"-",F210),IF(OR(F210="-",F210=""),F211,(F210+F211)/2))</f>
        <v>-</v>
      </c>
      <c r="G212" s="445" t="str">
        <f t="shared" si="152"/>
        <v>-</v>
      </c>
      <c r="H212" s="445" t="str">
        <f t="shared" si="152"/>
        <v>-</v>
      </c>
      <c r="I212" s="445" t="str">
        <f t="shared" si="152"/>
        <v>-</v>
      </c>
      <c r="J212" s="445" t="str">
        <f t="shared" si="152"/>
        <v>-</v>
      </c>
      <c r="K212" s="446" t="str">
        <f t="shared" si="152"/>
        <v>-</v>
      </c>
      <c r="L212" s="446" t="str">
        <f t="shared" si="152"/>
        <v>-</v>
      </c>
      <c r="M212" s="446" t="str">
        <f t="shared" si="152"/>
        <v>-</v>
      </c>
      <c r="N212" s="828"/>
      <c r="O212" s="672"/>
      <c r="P212" s="673"/>
      <c r="Q212" s="673"/>
      <c r="R212" s="673"/>
      <c r="S212" s="672"/>
      <c r="T212" s="673"/>
      <c r="U212" s="673"/>
      <c r="V212" s="674"/>
      <c r="W212" s="512"/>
      <c r="X212" s="512"/>
      <c r="Y212" s="678"/>
      <c r="Z212" s="678"/>
      <c r="AA212" s="678"/>
      <c r="AB212" s="678"/>
      <c r="AC212" s="678"/>
      <c r="AD212" s="678"/>
      <c r="AE212" s="678"/>
      <c r="AF212" s="678"/>
      <c r="AG212" s="678"/>
      <c r="AH212" s="678"/>
      <c r="AI212" s="401"/>
      <c r="AJ212" s="401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1"/>
      <c r="BB212" s="401"/>
      <c r="BC212" s="536"/>
      <c r="BD212" s="460"/>
      <c r="BE212" s="460"/>
      <c r="BF212" s="460"/>
      <c r="BG212" s="460"/>
      <c r="BH212" s="460"/>
      <c r="BI212" s="460"/>
      <c r="BJ212" s="460"/>
      <c r="BK212" s="460"/>
      <c r="BL212" s="460"/>
      <c r="BU212" s="401"/>
      <c r="BV212" s="401"/>
      <c r="BW212" s="401"/>
      <c r="BX212" s="401"/>
      <c r="BY212" s="401"/>
      <c r="BZ212" s="401"/>
    </row>
    <row r="213" spans="1:78" s="405" customFormat="1" ht="15.75" outlineLevel="1" thickBot="1" x14ac:dyDescent="0.3">
      <c r="A213" s="401"/>
      <c r="B213" s="719"/>
      <c r="C213" s="687"/>
      <c r="D213" s="690"/>
      <c r="E213" s="447" t="s">
        <v>97</v>
      </c>
      <c r="F213" s="448" t="e">
        <f t="shared" ref="F213:M213" si="153">IF(OR($C212="-",$C212="CET",$C212=""),"-",IF(AND(NOT(F212="-"),NOT(F$5="-"),NOT(F$5="")),F212/F$5,"-"))</f>
        <v>#N/A</v>
      </c>
      <c r="G213" s="448" t="e">
        <f t="shared" si="153"/>
        <v>#N/A</v>
      </c>
      <c r="H213" s="448" t="e">
        <f t="shared" si="153"/>
        <v>#N/A</v>
      </c>
      <c r="I213" s="448" t="e">
        <f t="shared" si="153"/>
        <v>#N/A</v>
      </c>
      <c r="J213" s="448" t="e">
        <f t="shared" si="153"/>
        <v>#N/A</v>
      </c>
      <c r="K213" s="449" t="e">
        <f t="shared" si="153"/>
        <v>#N/A</v>
      </c>
      <c r="L213" s="449" t="e">
        <f t="shared" si="153"/>
        <v>#N/A</v>
      </c>
      <c r="M213" s="449" t="e">
        <f t="shared" si="153"/>
        <v>#N/A</v>
      </c>
      <c r="N213" s="702"/>
      <c r="O213" s="672"/>
      <c r="P213" s="673"/>
      <c r="Q213" s="673"/>
      <c r="R213" s="673"/>
      <c r="S213" s="672"/>
      <c r="T213" s="673"/>
      <c r="U213" s="673"/>
      <c r="V213" s="674"/>
      <c r="W213" s="401"/>
      <c r="X213" s="401"/>
      <c r="Y213" s="401"/>
      <c r="Z213" s="401"/>
      <c r="AA213" s="401"/>
      <c r="AB213" s="401"/>
      <c r="AC213" s="401"/>
      <c r="AD213" s="401"/>
      <c r="AE213" s="401"/>
      <c r="AF213" s="401"/>
      <c r="AG213" s="401"/>
      <c r="AH213" s="401"/>
      <c r="AI213" s="401"/>
      <c r="AJ213" s="401"/>
      <c r="AK213" s="401"/>
      <c r="AL213" s="401"/>
      <c r="AM213" s="401"/>
      <c r="AN213" s="401"/>
      <c r="AO213" s="401"/>
      <c r="AP213" s="401"/>
      <c r="AQ213" s="401"/>
      <c r="AR213" s="401"/>
      <c r="AS213" s="401"/>
      <c r="AT213" s="401"/>
      <c r="AU213" s="401"/>
      <c r="AV213" s="401"/>
      <c r="AW213" s="401"/>
      <c r="AX213" s="401"/>
      <c r="AY213" s="401"/>
      <c r="AZ213" s="401"/>
      <c r="BA213" s="401"/>
      <c r="BB213" s="401"/>
      <c r="BC213" s="536"/>
      <c r="BU213" s="401"/>
      <c r="BV213" s="401"/>
      <c r="BW213" s="401"/>
      <c r="BX213" s="401"/>
      <c r="BY213" s="401"/>
      <c r="BZ213" s="401"/>
    </row>
    <row r="214" spans="1:78" s="405" customFormat="1" ht="15.75" outlineLevel="1" thickBot="1" x14ac:dyDescent="0.3">
      <c r="A214" s="401"/>
      <c r="B214" s="720"/>
      <c r="C214" s="688"/>
      <c r="D214" s="691"/>
      <c r="E214" s="451" t="s">
        <v>30</v>
      </c>
      <c r="F214" s="451" t="str">
        <f t="shared" ref="F214:M214" si="154">IF(AND(OR(F210="-",F210=""),OR(F211="-",F211="")),"-",IF(OR($C212="-",$C212="",$C212="CET"),"-",IF($R$181="not listed","-",IF(NOT(F$5="-"),IF(AND(AND(NOT(F210=0),NOT(F210="-"),NOT(F210="")),AND(NOT(F211="-"),NOT(F211=0),NOT(F211=""))),IF(AND((F210+F211)/2&lt;1*F$5*IF(OR($C212="CET",$C212="-",$C212=""),"-",$C212),F210&lt;1.1*F$5*IF(OR($C212="CET",$C212="-",$C212=""),"-",$C212),F211&lt;1.1*F$5*IF(OR($C212="CET",$C212="-",$C212=""),"-",$C212)),"passed","refused"),IF(IF(OR(F210="-",F210=""),F211,F210)&lt;0.7*F$5*IF(OR($C212="CET",$C212="-",$C212=""),"-",$C212),"passed",IF(IF(OR(F210="-",F210=""),F211,F210)&lt;1.1*IF(OR($C212="CET",$C212="-",$C212=""),"-",$C212)*F$5,"failed","refused"))),"-"))))</f>
        <v>-</v>
      </c>
      <c r="G214" s="451" t="str">
        <f t="shared" si="154"/>
        <v>-</v>
      </c>
      <c r="H214" s="451" t="str">
        <f t="shared" si="154"/>
        <v>-</v>
      </c>
      <c r="I214" s="451" t="str">
        <f t="shared" si="154"/>
        <v>-</v>
      </c>
      <c r="J214" s="451" t="str">
        <f t="shared" si="154"/>
        <v>-</v>
      </c>
      <c r="K214" s="452" t="str">
        <f t="shared" si="154"/>
        <v>-</v>
      </c>
      <c r="L214" s="452" t="str">
        <f t="shared" si="154"/>
        <v>-</v>
      </c>
      <c r="M214" s="452" t="str">
        <f t="shared" si="154"/>
        <v>-</v>
      </c>
      <c r="N214" s="685"/>
      <c r="O214" s="675"/>
      <c r="P214" s="676"/>
      <c r="Q214" s="676"/>
      <c r="R214" s="676"/>
      <c r="S214" s="675"/>
      <c r="T214" s="676"/>
      <c r="U214" s="676"/>
      <c r="V214" s="677"/>
      <c r="W214" s="401"/>
      <c r="X214" s="401"/>
      <c r="Y214" s="401"/>
      <c r="Z214" s="401"/>
      <c r="AA214" s="401"/>
      <c r="AB214" s="401"/>
      <c r="AC214" s="401"/>
      <c r="AD214" s="401"/>
      <c r="AE214" s="401"/>
      <c r="AF214" s="401"/>
      <c r="AG214" s="401"/>
      <c r="AH214" s="401"/>
      <c r="AI214" s="401"/>
      <c r="AJ214" s="401"/>
      <c r="AK214" s="401"/>
      <c r="AL214" s="401"/>
      <c r="AM214" s="401"/>
      <c r="AN214" s="401"/>
      <c r="AO214" s="401"/>
      <c r="AP214" s="401"/>
      <c r="AQ214" s="401"/>
      <c r="AR214" s="401"/>
      <c r="AS214" s="401"/>
      <c r="AT214" s="401"/>
      <c r="AU214" s="401"/>
      <c r="AV214" s="401"/>
      <c r="AW214" s="401"/>
      <c r="AX214" s="401"/>
      <c r="AY214" s="401"/>
      <c r="AZ214" s="401"/>
      <c r="BA214" s="401"/>
      <c r="BB214" s="401"/>
      <c r="BC214" s="399" t="str">
        <f>IF(COUNTIF(F214:M214,"refused")&gt;0,"refused",IF(COUNTIF(F214:M214,"failed")&gt;0,"failed",IF(COUNTIF(F214:M214,"passed")&gt;0,"passed","-")))</f>
        <v>-</v>
      </c>
      <c r="BU214" s="401"/>
      <c r="BV214" s="401"/>
      <c r="BW214" s="401"/>
      <c r="BX214" s="401"/>
      <c r="BY214" s="401"/>
      <c r="BZ214" s="401"/>
    </row>
  </sheetData>
  <sheetProtection selectLockedCells="1"/>
  <mergeCells count="222">
    <mergeCell ref="A1:J2"/>
    <mergeCell ref="K1:Q2"/>
    <mergeCell ref="B4:D4"/>
    <mergeCell ref="O4:P4"/>
    <mergeCell ref="B5:E5"/>
    <mergeCell ref="O5:P5"/>
    <mergeCell ref="C8:N8"/>
    <mergeCell ref="B10:N10"/>
    <mergeCell ref="O10:R10"/>
    <mergeCell ref="S10:V10"/>
    <mergeCell ref="Y10:AH10"/>
    <mergeCell ref="B11:E11"/>
    <mergeCell ref="O11:R32"/>
    <mergeCell ref="S11:V32"/>
    <mergeCell ref="Y11:AH31"/>
    <mergeCell ref="B12:B17"/>
    <mergeCell ref="B18:B22"/>
    <mergeCell ref="C18:C19"/>
    <mergeCell ref="D18:D19"/>
    <mergeCell ref="C20:C22"/>
    <mergeCell ref="D20:D22"/>
    <mergeCell ref="N20:N22"/>
    <mergeCell ref="D12:E12"/>
    <mergeCell ref="C13:C14"/>
    <mergeCell ref="D13:D14"/>
    <mergeCell ref="C15:C17"/>
    <mergeCell ref="D15:D17"/>
    <mergeCell ref="N15:N17"/>
    <mergeCell ref="B28:B32"/>
    <mergeCell ref="C28:C29"/>
    <mergeCell ref="D28:D29"/>
    <mergeCell ref="C30:C32"/>
    <mergeCell ref="D30:D32"/>
    <mergeCell ref="N30:N32"/>
    <mergeCell ref="B23:B27"/>
    <mergeCell ref="C23:C24"/>
    <mergeCell ref="D23:D24"/>
    <mergeCell ref="C25:C27"/>
    <mergeCell ref="D25:D27"/>
    <mergeCell ref="N25:N27"/>
    <mergeCell ref="N42:N44"/>
    <mergeCell ref="B45:B49"/>
    <mergeCell ref="C45:C46"/>
    <mergeCell ref="C47:C49"/>
    <mergeCell ref="C36:N3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4"/>
    <mergeCell ref="B50:B54"/>
    <mergeCell ref="C50:C51"/>
    <mergeCell ref="C52:C54"/>
    <mergeCell ref="B55:B59"/>
    <mergeCell ref="C55:C56"/>
    <mergeCell ref="C57:C59"/>
    <mergeCell ref="C40:C41"/>
    <mergeCell ref="D40:D41"/>
    <mergeCell ref="C42:C44"/>
    <mergeCell ref="D42:D44"/>
    <mergeCell ref="C63:N63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C67:C68"/>
    <mergeCell ref="D67:D68"/>
    <mergeCell ref="C69:C71"/>
    <mergeCell ref="D69:D71"/>
    <mergeCell ref="N69:N71"/>
    <mergeCell ref="B72:B76"/>
    <mergeCell ref="C72:C73"/>
    <mergeCell ref="D72:D73"/>
    <mergeCell ref="C74:C76"/>
    <mergeCell ref="D74:D76"/>
    <mergeCell ref="B82:B86"/>
    <mergeCell ref="C82:C83"/>
    <mergeCell ref="D82:D83"/>
    <mergeCell ref="C84:C86"/>
    <mergeCell ref="D84:D86"/>
    <mergeCell ref="N84:N86"/>
    <mergeCell ref="N74:N76"/>
    <mergeCell ref="B77:B81"/>
    <mergeCell ref="C77:C78"/>
    <mergeCell ref="D77:D78"/>
    <mergeCell ref="C79:C81"/>
    <mergeCell ref="D79:D81"/>
    <mergeCell ref="N79:N81"/>
    <mergeCell ref="B92:B96"/>
    <mergeCell ref="C92:C93"/>
    <mergeCell ref="D92:D93"/>
    <mergeCell ref="C94:C96"/>
    <mergeCell ref="D94:D96"/>
    <mergeCell ref="N94:N96"/>
    <mergeCell ref="B87:B91"/>
    <mergeCell ref="C87:C88"/>
    <mergeCell ref="D87:D88"/>
    <mergeCell ref="C89:C91"/>
    <mergeCell ref="D89:D91"/>
    <mergeCell ref="N89:N91"/>
    <mergeCell ref="D104:E104"/>
    <mergeCell ref="C105:C106"/>
    <mergeCell ref="D105:D106"/>
    <mergeCell ref="C107:C109"/>
    <mergeCell ref="D107:D109"/>
    <mergeCell ref="N107:N109"/>
    <mergeCell ref="C100:N100"/>
    <mergeCell ref="Y101:AH101"/>
    <mergeCell ref="B102:N102"/>
    <mergeCell ref="O102:R102"/>
    <mergeCell ref="S102:V102"/>
    <mergeCell ref="Y102:AH122"/>
    <mergeCell ref="B103:E103"/>
    <mergeCell ref="O103:R123"/>
    <mergeCell ref="S103:V123"/>
    <mergeCell ref="B104:B109"/>
    <mergeCell ref="N113:N115"/>
    <mergeCell ref="B110:B115"/>
    <mergeCell ref="D110:E110"/>
    <mergeCell ref="C111:C112"/>
    <mergeCell ref="D111:D112"/>
    <mergeCell ref="C113:C115"/>
    <mergeCell ref="D113:D115"/>
    <mergeCell ref="C127:N127"/>
    <mergeCell ref="Y127:AH127"/>
    <mergeCell ref="Y128:AH148"/>
    <mergeCell ref="B129:N129"/>
    <mergeCell ref="O129:R129"/>
    <mergeCell ref="S129:V129"/>
    <mergeCell ref="B130:E130"/>
    <mergeCell ref="O130:R150"/>
    <mergeCell ref="S130:V150"/>
    <mergeCell ref="B136:B140"/>
    <mergeCell ref="C136:C137"/>
    <mergeCell ref="C138:C140"/>
    <mergeCell ref="B141:B145"/>
    <mergeCell ref="C141:C142"/>
    <mergeCell ref="C143:C145"/>
    <mergeCell ref="B131:B135"/>
    <mergeCell ref="C131:C132"/>
    <mergeCell ref="D131:D132"/>
    <mergeCell ref="C133:C135"/>
    <mergeCell ref="D133:D135"/>
    <mergeCell ref="B146:B150"/>
    <mergeCell ref="C146:C147"/>
    <mergeCell ref="C148:C150"/>
    <mergeCell ref="C154:N154"/>
    <mergeCell ref="Y154:AH154"/>
    <mergeCell ref="N133:N135"/>
    <mergeCell ref="C181:N181"/>
    <mergeCell ref="Y181:AH181"/>
    <mergeCell ref="O157:R177"/>
    <mergeCell ref="S157:V177"/>
    <mergeCell ref="B158:B162"/>
    <mergeCell ref="C158:C159"/>
    <mergeCell ref="D158:D159"/>
    <mergeCell ref="C160:C162"/>
    <mergeCell ref="D160:D162"/>
    <mergeCell ref="N160:N162"/>
    <mergeCell ref="B163:B167"/>
    <mergeCell ref="C163:C164"/>
    <mergeCell ref="Y155:AH180"/>
    <mergeCell ref="B156:N156"/>
    <mergeCell ref="O156:R156"/>
    <mergeCell ref="S156:V156"/>
    <mergeCell ref="B157:E157"/>
    <mergeCell ref="D163:D164"/>
    <mergeCell ref="C165:C167"/>
    <mergeCell ref="D165:D167"/>
    <mergeCell ref="N165:N167"/>
    <mergeCell ref="Y182:AH212"/>
    <mergeCell ref="B183:N183"/>
    <mergeCell ref="O183:R183"/>
    <mergeCell ref="S183:V183"/>
    <mergeCell ref="B184:E184"/>
    <mergeCell ref="O184:R214"/>
    <mergeCell ref="S184:V214"/>
    <mergeCell ref="B185:B189"/>
    <mergeCell ref="C185:C186"/>
    <mergeCell ref="D185:D186"/>
    <mergeCell ref="C187:C189"/>
    <mergeCell ref="D187:D189"/>
    <mergeCell ref="N187:N189"/>
    <mergeCell ref="B190:B194"/>
    <mergeCell ref="C190:C191"/>
    <mergeCell ref="D190:D191"/>
    <mergeCell ref="C192:C194"/>
    <mergeCell ref="D192:D194"/>
    <mergeCell ref="N192:N194"/>
    <mergeCell ref="B200:B204"/>
    <mergeCell ref="C200:C201"/>
    <mergeCell ref="D200:D201"/>
    <mergeCell ref="C202:C204"/>
    <mergeCell ref="D202:D204"/>
    <mergeCell ref="N202:N204"/>
    <mergeCell ref="B195:B199"/>
    <mergeCell ref="C195:C196"/>
    <mergeCell ref="D195:D196"/>
    <mergeCell ref="C197:C199"/>
    <mergeCell ref="D197:D199"/>
    <mergeCell ref="N197:N199"/>
    <mergeCell ref="B210:B214"/>
    <mergeCell ref="C210:C211"/>
    <mergeCell ref="D210:D211"/>
    <mergeCell ref="C212:C214"/>
    <mergeCell ref="D212:D214"/>
    <mergeCell ref="N212:N214"/>
    <mergeCell ref="B205:B209"/>
    <mergeCell ref="C205:C206"/>
    <mergeCell ref="D205:D206"/>
    <mergeCell ref="C207:C209"/>
    <mergeCell ref="D207:D209"/>
    <mergeCell ref="N207:N209"/>
  </mergeCells>
  <conditionalFormatting sqref="A3 P8 F177:N177 F172:N172 P36 P63 P100 P127 P154 P181 F17:M17 F22:M22 F27:M27 F32:M32 F44:M44 F71:M71 F76:M76 F81:M81 F86:M86 F91:M91 F96:M96 F135:M135 F162:M162 F167:M167 F189:M189 F194:M194 F199:M199 F204:M204 F209:M209 F214:M214">
    <cfRule type="containsText" dxfId="1969" priority="111" operator="containsText" text="passed">
      <formula>NOT(ISERROR(SEARCH("passed",A3)))</formula>
    </cfRule>
    <cfRule type="containsText" dxfId="1968" priority="112" operator="containsText" text="failed">
      <formula>NOT(ISERROR(SEARCH("failed",A3)))</formula>
    </cfRule>
    <cfRule type="containsText" dxfId="1967" priority="113" operator="containsText" text="refused">
      <formula>NOT(ISERROR(SEARCH("refused",A3)))</formula>
    </cfRule>
  </conditionalFormatting>
  <conditionalFormatting sqref="F109:M109">
    <cfRule type="containsText" dxfId="1966" priority="108" operator="containsText" text="passed">
      <formula>NOT(ISERROR(SEARCH("passed",F109)))</formula>
    </cfRule>
    <cfRule type="containsText" dxfId="1965" priority="109" operator="containsText" text="failed">
      <formula>NOT(ISERROR(SEARCH("failed",F109)))</formula>
    </cfRule>
    <cfRule type="containsText" dxfId="1964" priority="110" operator="containsText" text="refused">
      <formula>NOT(ISERROR(SEARCH("refused",F109)))</formula>
    </cfRule>
  </conditionalFormatting>
  <conditionalFormatting sqref="F115:M115">
    <cfRule type="containsText" dxfId="1963" priority="105" operator="containsText" text="passed">
      <formula>NOT(ISERROR(SEARCH("passed",F115)))</formula>
    </cfRule>
    <cfRule type="containsText" dxfId="1962" priority="106" operator="containsText" text="failed">
      <formula>NOT(ISERROR(SEARCH("failed",F115)))</formula>
    </cfRule>
    <cfRule type="containsText" dxfId="1961" priority="107" operator="containsText" text="refused">
      <formula>NOT(ISERROR(SEARCH("refused",F115)))</formula>
    </cfRule>
  </conditionalFormatting>
  <conditionalFormatting sqref="F23:M24">
    <cfRule type="expression" dxfId="1960" priority="104">
      <formula>IF(AND(NOT(F23=""),NOT(F23="-")),F23&gt;=1.1*F$5*BE$27,"-")</formula>
    </cfRule>
  </conditionalFormatting>
  <conditionalFormatting sqref="F28:M29">
    <cfRule type="expression" dxfId="1959" priority="103">
      <formula>IF(AND(NOT(F28=""),NOT(F28="-")),F28&gt;=1.1*F$5*BE$28,"-")</formula>
    </cfRule>
  </conditionalFormatting>
  <conditionalFormatting sqref="F77:M78">
    <cfRule type="expression" dxfId="1958" priority="102">
      <formula>IF(AND(NOT(F77=""),NOT(F77="-")),F77&gt;=1.1*F$5*BE$87,"-")</formula>
    </cfRule>
  </conditionalFormatting>
  <conditionalFormatting sqref="F87:M88">
    <cfRule type="expression" dxfId="1957" priority="101">
      <formula>IF(AND(NOT(F87=""),NOT(F87="-")),F87&gt;=1.1*F$5*BE$89,"-")</formula>
    </cfRule>
  </conditionalFormatting>
  <conditionalFormatting sqref="F92:M93">
    <cfRule type="expression" dxfId="1956" priority="100">
      <formula>IF(AND(NOT(F92=""),NOT(F92="-")),F92&gt;=1.1*F$5*BE$90,"-")</formula>
    </cfRule>
  </conditionalFormatting>
  <conditionalFormatting sqref="F82:M83">
    <cfRule type="expression" dxfId="1955" priority="99">
      <formula>IF(AND(NOT(F82=""),NOT(F82="-")),F82&gt;=1.1*F$5*BE$88,"-")</formula>
    </cfRule>
  </conditionalFormatting>
  <conditionalFormatting sqref="F200:M201">
    <cfRule type="expression" dxfId="1954" priority="98">
      <formula>IF(AND(NOT(F200=""),NOT(F200="-")),F200&gt;=1.1*F$5*BE$205,"-")</formula>
    </cfRule>
  </conditionalFormatting>
  <conditionalFormatting sqref="N13:N14">
    <cfRule type="expression" dxfId="1953" priority="97">
      <formula>IF(AND(NOT(N13=""),NOT(N13="-")),N13&gt;=1.1*N$5*#REF!,"-")</formula>
    </cfRule>
  </conditionalFormatting>
  <conditionalFormatting sqref="N18:N19">
    <cfRule type="expression" dxfId="1952" priority="96">
      <formula>IF(AND(NOT(N18=""),NOT(N18="-")),N18&gt;=1.1*N$5*#REF!,"-")</formula>
    </cfRule>
  </conditionalFormatting>
  <conditionalFormatting sqref="N23:N24">
    <cfRule type="expression" dxfId="1951" priority="95">
      <formula>IF(AND(NOT(N23=""),NOT(N23="-")),N23&gt;=1.1*N$5*#REF!,"-")</formula>
    </cfRule>
  </conditionalFormatting>
  <conditionalFormatting sqref="N28:N29">
    <cfRule type="expression" dxfId="1950" priority="94">
      <formula>IF(AND(NOT(N28=""),NOT(N28="-")),N28&gt;=1.1*N$5*#REF!,"-")</formula>
    </cfRule>
  </conditionalFormatting>
  <conditionalFormatting sqref="N67:N68">
    <cfRule type="expression" dxfId="1949" priority="93">
      <formula>IF(AND(NOT(N67=""),NOT(N67="-")),N67&gt;=1.1*N$5*#REF!,"-")</formula>
    </cfRule>
  </conditionalFormatting>
  <conditionalFormatting sqref="N131:N132">
    <cfRule type="expression" dxfId="1948" priority="92">
      <formula>IF(AND(NOT(N131=""),NOT(N131="-")),N131&gt;=1.1*N$5*#REF!,"-")</formula>
    </cfRule>
  </conditionalFormatting>
  <conditionalFormatting sqref="N158:N159">
    <cfRule type="expression" dxfId="1947" priority="91">
      <formula>IF(AND(NOT(N158=""),NOT(N158="-")),N158&gt;=1.1*N$5*#REF!,"-")</formula>
    </cfRule>
  </conditionalFormatting>
  <conditionalFormatting sqref="N163:N164">
    <cfRule type="expression" dxfId="1946" priority="90">
      <formula>IF(AND(NOT(N163=""),NOT(N163="-")),N163&gt;=1.1*N$5*#REF!,"-")</formula>
    </cfRule>
  </conditionalFormatting>
  <conditionalFormatting sqref="N185:N186">
    <cfRule type="expression" dxfId="1945" priority="89">
      <formula>IF(AND(NOT(N185=""),NOT(N185="-")),N185&gt;=1.1*N$5*#REF!,"-")</formula>
    </cfRule>
  </conditionalFormatting>
  <conditionalFormatting sqref="N111:N112">
    <cfRule type="expression" dxfId="1944" priority="88">
      <formula>IF(AND(NOT(N111=""),NOT(N111="-")),N111&gt;=1.1*N$5*#REF!,"-")</formula>
    </cfRule>
  </conditionalFormatting>
  <conditionalFormatting sqref="M40:M41">
    <cfRule type="expression" dxfId="1943" priority="87">
      <formula>IF(AND(NOT(M40=""),NOT(M40="-")),M40&gt;=1.1*M$5*#REF!,"-")</formula>
    </cfRule>
  </conditionalFormatting>
  <conditionalFormatting sqref="N72:N73 N77:N78 N82:N83 N87:N88 N92:N93">
    <cfRule type="expression" dxfId="1942" priority="86">
      <formula>IF(AND(NOT(N72=""),NOT(N72="-")),N72&gt;=1.1*N$5*#REF!,"-")</formula>
    </cfRule>
  </conditionalFormatting>
  <conditionalFormatting sqref="N105:N106">
    <cfRule type="expression" dxfId="1941" priority="85">
      <formula>IF(AND(NOT(N105=""),NOT(N105="-")),N105&gt;=1.1*N$5*#REF!,"-")</formula>
    </cfRule>
  </conditionalFormatting>
  <conditionalFormatting sqref="N190:N191 N195:N196 N200:N201 N205:N206 N210:N211">
    <cfRule type="expression" dxfId="1940" priority="84">
      <formula>IF(AND(NOT(N190=""),NOT(N190="-")),N190&gt;=1.1*N$5*#REF!,"-")</formula>
    </cfRule>
  </conditionalFormatting>
  <conditionalFormatting sqref="F205:M206">
    <cfRule type="expression" dxfId="1939" priority="83">
      <formula>IF(AND(NOT(F205=""),NOT(F205="-")),F205&gt;=1.1*F$5*BE$206,"-")</formula>
    </cfRule>
  </conditionalFormatting>
  <conditionalFormatting sqref="BC17">
    <cfRule type="containsText" dxfId="1938" priority="80" operator="containsText" text="passed">
      <formula>NOT(ISERROR(SEARCH("passed",BC17)))</formula>
    </cfRule>
    <cfRule type="containsText" dxfId="1937" priority="81" operator="containsText" text="failed">
      <formula>NOT(ISERROR(SEARCH("failed",BC17)))</formula>
    </cfRule>
    <cfRule type="containsText" dxfId="1936" priority="82" operator="containsText" text="refused">
      <formula>NOT(ISERROR(SEARCH("refused",BC17)))</formula>
    </cfRule>
  </conditionalFormatting>
  <conditionalFormatting sqref="BC22">
    <cfRule type="containsText" dxfId="1935" priority="77" operator="containsText" text="passed">
      <formula>NOT(ISERROR(SEARCH("passed",BC22)))</formula>
    </cfRule>
    <cfRule type="containsText" dxfId="1934" priority="78" operator="containsText" text="failed">
      <formula>NOT(ISERROR(SEARCH("failed",BC22)))</formula>
    </cfRule>
    <cfRule type="containsText" dxfId="1933" priority="79" operator="containsText" text="refused">
      <formula>NOT(ISERROR(SEARCH("refused",BC22)))</formula>
    </cfRule>
  </conditionalFormatting>
  <conditionalFormatting sqref="BC27">
    <cfRule type="containsText" dxfId="1932" priority="74" operator="containsText" text="passed">
      <formula>NOT(ISERROR(SEARCH("passed",BC27)))</formula>
    </cfRule>
    <cfRule type="containsText" dxfId="1931" priority="75" operator="containsText" text="failed">
      <formula>NOT(ISERROR(SEARCH("failed",BC27)))</formula>
    </cfRule>
    <cfRule type="containsText" dxfId="1930" priority="76" operator="containsText" text="refused">
      <formula>NOT(ISERROR(SEARCH("refused",BC27)))</formula>
    </cfRule>
  </conditionalFormatting>
  <conditionalFormatting sqref="BC32">
    <cfRule type="containsText" dxfId="1929" priority="71" operator="containsText" text="passed">
      <formula>NOT(ISERROR(SEARCH("passed",BC32)))</formula>
    </cfRule>
    <cfRule type="containsText" dxfId="1928" priority="72" operator="containsText" text="failed">
      <formula>NOT(ISERROR(SEARCH("failed",BC32)))</formula>
    </cfRule>
    <cfRule type="containsText" dxfId="1927" priority="73" operator="containsText" text="refused">
      <formula>NOT(ISERROR(SEARCH("refused",BC32)))</formula>
    </cfRule>
  </conditionalFormatting>
  <conditionalFormatting sqref="BC44">
    <cfRule type="containsText" dxfId="1926" priority="68" operator="containsText" text="passed">
      <formula>NOT(ISERROR(SEARCH("passed",BC44)))</formula>
    </cfRule>
    <cfRule type="containsText" dxfId="1925" priority="69" operator="containsText" text="failed">
      <formula>NOT(ISERROR(SEARCH("failed",BC44)))</formula>
    </cfRule>
    <cfRule type="containsText" dxfId="1924" priority="70" operator="containsText" text="refused">
      <formula>NOT(ISERROR(SEARCH("refused",BC44)))</formula>
    </cfRule>
  </conditionalFormatting>
  <conditionalFormatting sqref="BC71">
    <cfRule type="containsText" dxfId="1923" priority="65" operator="containsText" text="passed">
      <formula>NOT(ISERROR(SEARCH("passed",BC71)))</formula>
    </cfRule>
    <cfRule type="containsText" dxfId="1922" priority="66" operator="containsText" text="failed">
      <formula>NOT(ISERROR(SEARCH("failed",BC71)))</formula>
    </cfRule>
    <cfRule type="containsText" dxfId="1921" priority="67" operator="containsText" text="refused">
      <formula>NOT(ISERROR(SEARCH("refused",BC71)))</formula>
    </cfRule>
  </conditionalFormatting>
  <conditionalFormatting sqref="BC76">
    <cfRule type="containsText" dxfId="1920" priority="62" operator="containsText" text="passed">
      <formula>NOT(ISERROR(SEARCH("passed",BC76)))</formula>
    </cfRule>
    <cfRule type="containsText" dxfId="1919" priority="63" operator="containsText" text="failed">
      <formula>NOT(ISERROR(SEARCH("failed",BC76)))</formula>
    </cfRule>
    <cfRule type="containsText" dxfId="1918" priority="64" operator="containsText" text="refused">
      <formula>NOT(ISERROR(SEARCH("refused",BC76)))</formula>
    </cfRule>
  </conditionalFormatting>
  <conditionalFormatting sqref="BC81">
    <cfRule type="containsText" dxfId="1917" priority="59" operator="containsText" text="passed">
      <formula>NOT(ISERROR(SEARCH("passed",BC81)))</formula>
    </cfRule>
    <cfRule type="containsText" dxfId="1916" priority="60" operator="containsText" text="failed">
      <formula>NOT(ISERROR(SEARCH("failed",BC81)))</formula>
    </cfRule>
    <cfRule type="containsText" dxfId="1915" priority="61" operator="containsText" text="refused">
      <formula>NOT(ISERROR(SEARCH("refused",BC81)))</formula>
    </cfRule>
  </conditionalFormatting>
  <conditionalFormatting sqref="BC86">
    <cfRule type="containsText" dxfId="1914" priority="56" operator="containsText" text="passed">
      <formula>NOT(ISERROR(SEARCH("passed",BC86)))</formula>
    </cfRule>
    <cfRule type="containsText" dxfId="1913" priority="57" operator="containsText" text="failed">
      <formula>NOT(ISERROR(SEARCH("failed",BC86)))</formula>
    </cfRule>
    <cfRule type="containsText" dxfId="1912" priority="58" operator="containsText" text="refused">
      <formula>NOT(ISERROR(SEARCH("refused",BC86)))</formula>
    </cfRule>
  </conditionalFormatting>
  <conditionalFormatting sqref="BC91">
    <cfRule type="containsText" dxfId="1911" priority="53" operator="containsText" text="passed">
      <formula>NOT(ISERROR(SEARCH("passed",BC91)))</formula>
    </cfRule>
    <cfRule type="containsText" dxfId="1910" priority="54" operator="containsText" text="failed">
      <formula>NOT(ISERROR(SEARCH("failed",BC91)))</formula>
    </cfRule>
    <cfRule type="containsText" dxfId="1909" priority="55" operator="containsText" text="refused">
      <formula>NOT(ISERROR(SEARCH("refused",BC91)))</formula>
    </cfRule>
  </conditionalFormatting>
  <conditionalFormatting sqref="BC96">
    <cfRule type="containsText" dxfId="1908" priority="50" operator="containsText" text="passed">
      <formula>NOT(ISERROR(SEARCH("passed",BC96)))</formula>
    </cfRule>
    <cfRule type="containsText" dxfId="1907" priority="51" operator="containsText" text="failed">
      <formula>NOT(ISERROR(SEARCH("failed",BC96)))</formula>
    </cfRule>
    <cfRule type="containsText" dxfId="1906" priority="52" operator="containsText" text="refused">
      <formula>NOT(ISERROR(SEARCH("refused",BC96)))</formula>
    </cfRule>
  </conditionalFormatting>
  <conditionalFormatting sqref="BC109">
    <cfRule type="containsText" dxfId="1905" priority="47" operator="containsText" text="passed">
      <formula>NOT(ISERROR(SEARCH("passed",BC109)))</formula>
    </cfRule>
    <cfRule type="containsText" dxfId="1904" priority="48" operator="containsText" text="failed">
      <formula>NOT(ISERROR(SEARCH("failed",BC109)))</formula>
    </cfRule>
    <cfRule type="containsText" dxfId="1903" priority="49" operator="containsText" text="refused">
      <formula>NOT(ISERROR(SEARCH("refused",BC109)))</formula>
    </cfRule>
  </conditionalFormatting>
  <conditionalFormatting sqref="BC115">
    <cfRule type="containsText" dxfId="1902" priority="44" operator="containsText" text="passed">
      <formula>NOT(ISERROR(SEARCH("passed",BC115)))</formula>
    </cfRule>
    <cfRule type="containsText" dxfId="1901" priority="45" operator="containsText" text="failed">
      <formula>NOT(ISERROR(SEARCH("failed",BC115)))</formula>
    </cfRule>
    <cfRule type="containsText" dxfId="1900" priority="46" operator="containsText" text="refused">
      <formula>NOT(ISERROR(SEARCH("refused",BC115)))</formula>
    </cfRule>
  </conditionalFormatting>
  <conditionalFormatting sqref="BC135">
    <cfRule type="containsText" dxfId="1899" priority="41" operator="containsText" text="passed">
      <formula>NOT(ISERROR(SEARCH("passed",BC135)))</formula>
    </cfRule>
    <cfRule type="containsText" dxfId="1898" priority="42" operator="containsText" text="failed">
      <formula>NOT(ISERROR(SEARCH("failed",BC135)))</formula>
    </cfRule>
    <cfRule type="containsText" dxfId="1897" priority="43" operator="containsText" text="refused">
      <formula>NOT(ISERROR(SEARCH("refused",BC135)))</formula>
    </cfRule>
  </conditionalFormatting>
  <conditionalFormatting sqref="BC162">
    <cfRule type="containsText" dxfId="1896" priority="38" operator="containsText" text="passed">
      <formula>NOT(ISERROR(SEARCH("passed",BC162)))</formula>
    </cfRule>
    <cfRule type="containsText" dxfId="1895" priority="39" operator="containsText" text="failed">
      <formula>NOT(ISERROR(SEARCH("failed",BC162)))</formula>
    </cfRule>
    <cfRule type="containsText" dxfId="1894" priority="40" operator="containsText" text="refused">
      <formula>NOT(ISERROR(SEARCH("refused",BC162)))</formula>
    </cfRule>
  </conditionalFormatting>
  <conditionalFormatting sqref="BC167">
    <cfRule type="containsText" dxfId="1893" priority="35" operator="containsText" text="passed">
      <formula>NOT(ISERROR(SEARCH("passed",BC167)))</formula>
    </cfRule>
    <cfRule type="containsText" dxfId="1892" priority="36" operator="containsText" text="failed">
      <formula>NOT(ISERROR(SEARCH("failed",BC167)))</formula>
    </cfRule>
    <cfRule type="containsText" dxfId="1891" priority="37" operator="containsText" text="refused">
      <formula>NOT(ISERROR(SEARCH("refused",BC167)))</formula>
    </cfRule>
  </conditionalFormatting>
  <conditionalFormatting sqref="BC189">
    <cfRule type="containsText" dxfId="1890" priority="32" operator="containsText" text="passed">
      <formula>NOT(ISERROR(SEARCH("passed",BC189)))</formula>
    </cfRule>
    <cfRule type="containsText" dxfId="1889" priority="33" operator="containsText" text="failed">
      <formula>NOT(ISERROR(SEARCH("failed",BC189)))</formula>
    </cfRule>
    <cfRule type="containsText" dxfId="1888" priority="34" operator="containsText" text="refused">
      <formula>NOT(ISERROR(SEARCH("refused",BC189)))</formula>
    </cfRule>
  </conditionalFormatting>
  <conditionalFormatting sqref="BC194">
    <cfRule type="containsText" dxfId="1887" priority="29" operator="containsText" text="passed">
      <formula>NOT(ISERROR(SEARCH("passed",BC194)))</formula>
    </cfRule>
    <cfRule type="containsText" dxfId="1886" priority="30" operator="containsText" text="failed">
      <formula>NOT(ISERROR(SEARCH("failed",BC194)))</formula>
    </cfRule>
    <cfRule type="containsText" dxfId="1885" priority="31" operator="containsText" text="refused">
      <formula>NOT(ISERROR(SEARCH("refused",BC194)))</formula>
    </cfRule>
  </conditionalFormatting>
  <conditionalFormatting sqref="BC199">
    <cfRule type="containsText" dxfId="1884" priority="26" operator="containsText" text="passed">
      <formula>NOT(ISERROR(SEARCH("passed",BC199)))</formula>
    </cfRule>
    <cfRule type="containsText" dxfId="1883" priority="27" operator="containsText" text="failed">
      <formula>NOT(ISERROR(SEARCH("failed",BC199)))</formula>
    </cfRule>
    <cfRule type="containsText" dxfId="1882" priority="28" operator="containsText" text="refused">
      <formula>NOT(ISERROR(SEARCH("refused",BC199)))</formula>
    </cfRule>
  </conditionalFormatting>
  <conditionalFormatting sqref="BC204">
    <cfRule type="containsText" dxfId="1881" priority="23" operator="containsText" text="passed">
      <formula>NOT(ISERROR(SEARCH("passed",BC204)))</formula>
    </cfRule>
    <cfRule type="containsText" dxfId="1880" priority="24" operator="containsText" text="failed">
      <formula>NOT(ISERROR(SEARCH("failed",BC204)))</formula>
    </cfRule>
    <cfRule type="containsText" dxfId="1879" priority="25" operator="containsText" text="refused">
      <formula>NOT(ISERROR(SEARCH("refused",BC204)))</formula>
    </cfRule>
  </conditionalFormatting>
  <conditionalFormatting sqref="BC209">
    <cfRule type="containsText" dxfId="1878" priority="20" operator="containsText" text="passed">
      <formula>NOT(ISERROR(SEARCH("passed",BC209)))</formula>
    </cfRule>
    <cfRule type="containsText" dxfId="1877" priority="21" operator="containsText" text="failed">
      <formula>NOT(ISERROR(SEARCH("failed",BC209)))</formula>
    </cfRule>
    <cfRule type="containsText" dxfId="1876" priority="22" operator="containsText" text="refused">
      <formula>NOT(ISERROR(SEARCH("refused",BC209)))</formula>
    </cfRule>
  </conditionalFormatting>
  <conditionalFormatting sqref="BC214">
    <cfRule type="containsText" dxfId="1875" priority="17" operator="containsText" text="passed">
      <formula>NOT(ISERROR(SEARCH("passed",BC214)))</formula>
    </cfRule>
    <cfRule type="containsText" dxfId="1874" priority="18" operator="containsText" text="failed">
      <formula>NOT(ISERROR(SEARCH("failed",BC214)))</formula>
    </cfRule>
    <cfRule type="containsText" dxfId="1873" priority="19" operator="containsText" text="refused">
      <formula>NOT(ISERROR(SEARCH("refused",BC214)))</formula>
    </cfRule>
  </conditionalFormatting>
  <conditionalFormatting sqref="F195:M196">
    <cfRule type="expression" dxfId="1872" priority="16">
      <formula>IF(AND(NOT(F195=""),NOT(F195="-")),F195&gt;=1.1*F$5*BE$204,"-")</formula>
    </cfRule>
  </conditionalFormatting>
  <conditionalFormatting sqref="F210:M211">
    <cfRule type="expression" dxfId="1871" priority="15">
      <formula>IF(AND(NOT(F210=""),NOT(F210="-")),F210&gt;=1.1*F$5*BE$207,"-")</formula>
    </cfRule>
  </conditionalFormatting>
  <conditionalFormatting sqref="F13:M14">
    <cfRule type="expression" dxfId="1870" priority="14">
      <formula>IF(AND(NOT(F13=""),NOT(F13="-")),F13&gt;=1.1*F$5*BE$25,"-")</formula>
    </cfRule>
  </conditionalFormatting>
  <conditionalFormatting sqref="F18:M19">
    <cfRule type="expression" dxfId="1869" priority="13">
      <formula>IF(AND(NOT(F18=""),NOT(F18="-")),F18&gt;=1.1*F$5*BE$26,"-")</formula>
    </cfRule>
  </conditionalFormatting>
  <conditionalFormatting sqref="F67:M68">
    <cfRule type="expression" dxfId="1868" priority="12">
      <formula>IF(AND(NOT(F67=""),NOT(F67="-")),F67&gt;=1.1*F$5*BE$85,"-")</formula>
    </cfRule>
  </conditionalFormatting>
  <conditionalFormatting sqref="F72:M73">
    <cfRule type="expression" dxfId="1867" priority="11">
      <formula>IF(AND(NOT(F72=""),NOT(F72="-")),F72&gt;=1.1*F$5*BE$86,"-")</formula>
    </cfRule>
  </conditionalFormatting>
  <conditionalFormatting sqref="F190:M191">
    <cfRule type="expression" dxfId="1866" priority="10">
      <formula>IF(AND(NOT(F190=""),NOT(F190="-")),F190&gt;=1.1*F$5*BE$203,"-")</formula>
    </cfRule>
  </conditionalFormatting>
  <conditionalFormatting sqref="F105:M106">
    <cfRule type="expression" dxfId="1865" priority="9">
      <formula>IF(AND(NOT(F105=""),NOT(F105="-")),F105&gt;=1.1*F$5*BE$121,"-")</formula>
    </cfRule>
  </conditionalFormatting>
  <conditionalFormatting sqref="F111:M112">
    <cfRule type="expression" dxfId="1864" priority="8">
      <formula>IF(AND(NOT(F111=""),NOT(F111="-")),F111&gt;=1.1*F$5*BE$122,"-")</formula>
    </cfRule>
  </conditionalFormatting>
  <conditionalFormatting sqref="N40:N41">
    <cfRule type="expression" dxfId="1863" priority="7">
      <formula>IF(AND(NOT(N40=""),NOT(N40="-")),N40&gt;=1.1*N$5*BT$52,"-")</formula>
    </cfRule>
  </conditionalFormatting>
  <conditionalFormatting sqref="F40:K41">
    <cfRule type="expression" dxfId="1862" priority="6">
      <formula>IF(AND(NOT(F40=""),NOT(F40="-")),F40&gt;=1.1*F$5*BM$52,"-")</formula>
    </cfRule>
  </conditionalFormatting>
  <conditionalFormatting sqref="L40:L41">
    <cfRule type="expression" dxfId="1861" priority="5">
      <formula>IF(AND(NOT(L40=""),NOT(L40="-")),L40&gt;=1.1*L$5*BT$52,"-")</formula>
    </cfRule>
  </conditionalFormatting>
  <conditionalFormatting sqref="F163:M164">
    <cfRule type="expression" dxfId="1860" priority="4">
      <formula>IF(AND(NOT(F163=""),NOT(F163="-")),F163&gt;=1.1*F$5*BE$176,"-")</formula>
    </cfRule>
  </conditionalFormatting>
  <conditionalFormatting sqref="F158:M159">
    <cfRule type="expression" dxfId="1859" priority="3">
      <formula>IF(AND(NOT(F158=""),NOT(F158="-")),F158&gt;=1.1*F$5*BE$175,"-")</formula>
    </cfRule>
  </conditionalFormatting>
  <conditionalFormatting sqref="F185:M186">
    <cfRule type="expression" dxfId="1858" priority="2">
      <formula>IF(AND(NOT(F185=""),NOT(F185="-")),F185&gt;=1.1*F$5*BE$202,"-")</formula>
    </cfRule>
  </conditionalFormatting>
  <conditionalFormatting sqref="F131:M132">
    <cfRule type="expression" dxfId="1857" priority="1">
      <formula>IF(AND(NOT(F131=""),NOT(F131="-")),F131&gt;=1.1*F$5*BE$148,"-")</formula>
    </cfRule>
  </conditionalFormatting>
  <pageMargins left="0.7" right="0.7" top="0.75" bottom="0.75" header="0.3" footer="0.3"/>
  <pageSetup paperSize="9" scale="45" fitToHeight="0" orientation="landscape" r:id="rId1"/>
  <rowBreaks count="4" manualBreakCount="4">
    <brk id="59" max="19" man="1"/>
    <brk id="98" max="19" man="1"/>
    <brk id="151" max="19" man="1"/>
    <brk id="178" max="19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DC456"/>
  <sheetViews>
    <sheetView topLeftCell="Y1" workbookViewId="0">
      <selection activeCell="AT14" sqref="AT14"/>
    </sheetView>
  </sheetViews>
  <sheetFormatPr baseColWidth="10" defaultColWidth="8.5703125" defaultRowHeight="12.75" x14ac:dyDescent="0.2"/>
  <cols>
    <col min="1" max="1" width="51.85546875" style="182" customWidth="1"/>
    <col min="2" max="2" width="57.42578125" style="182" customWidth="1"/>
    <col min="3" max="4" width="7.140625" style="206" customWidth="1"/>
    <col min="5" max="6" width="7.140625" style="182" customWidth="1"/>
    <col min="7" max="7" width="8.5703125" style="182"/>
    <col min="8" max="8" width="26.42578125" style="182" customWidth="1"/>
    <col min="9" max="9" width="25.42578125" style="182" customWidth="1"/>
    <col min="10" max="12" width="8.5703125" style="182"/>
    <col min="13" max="13" width="31.28515625" style="182" customWidth="1"/>
    <col min="14" max="14" width="18.28515625" style="182" customWidth="1"/>
    <col min="15" max="15" width="50.140625" style="182" customWidth="1"/>
    <col min="16" max="16" width="8.5703125" style="182"/>
    <col min="17" max="17" width="8.5703125" style="182" customWidth="1"/>
    <col min="18" max="31" width="8.5703125" style="182"/>
    <col min="32" max="32" width="30.42578125" style="182" bestFit="1" customWidth="1"/>
    <col min="33" max="33" width="30" style="182" customWidth="1"/>
    <col min="34" max="38" width="8.5703125" style="182"/>
    <col min="39" max="39" width="9" style="182" bestFit="1" customWidth="1"/>
    <col min="40" max="40" width="9" style="182" customWidth="1"/>
    <col min="41" max="42" width="8.5703125" style="182"/>
    <col min="43" max="43" width="26.5703125" style="182" bestFit="1" customWidth="1"/>
    <col min="44" max="44" width="19.5703125" style="182" customWidth="1"/>
    <col min="45" max="53" width="8.5703125" style="182"/>
    <col min="54" max="54" width="14.140625" style="182" customWidth="1"/>
    <col min="55" max="55" width="19.7109375" style="182" customWidth="1"/>
    <col min="56" max="64" width="8.5703125" style="182"/>
    <col min="65" max="65" width="26.5703125" style="182" bestFit="1" customWidth="1"/>
    <col min="66" max="66" width="19.7109375" style="182" customWidth="1"/>
    <col min="67" max="82" width="8.5703125" style="182"/>
    <col min="83" max="83" width="9" style="182" bestFit="1" customWidth="1"/>
    <col min="84" max="16384" width="8.5703125" style="182"/>
  </cols>
  <sheetData>
    <row r="1" spans="1:107" ht="15" customHeight="1" x14ac:dyDescent="0.2">
      <c r="A1" s="205"/>
      <c r="B1" s="287" t="s">
        <v>29</v>
      </c>
      <c r="C1" s="288"/>
      <c r="D1" s="288"/>
      <c r="E1" s="289" t="s">
        <v>30</v>
      </c>
      <c r="F1" s="184"/>
      <c r="G1" s="183" t="s">
        <v>196</v>
      </c>
      <c r="K1" s="192"/>
      <c r="M1" s="867"/>
      <c r="N1" s="208"/>
      <c r="O1" s="209"/>
      <c r="Q1" s="253"/>
      <c r="R1" s="246" t="s">
        <v>129</v>
      </c>
      <c r="S1" s="246"/>
      <c r="T1" s="259"/>
      <c r="U1" s="246"/>
      <c r="V1" s="246"/>
      <c r="W1" s="246"/>
      <c r="X1" s="246"/>
      <c r="Y1" s="246"/>
      <c r="Z1" s="246"/>
      <c r="AA1" s="259"/>
      <c r="AB1" s="259"/>
      <c r="AC1" s="246"/>
      <c r="AD1" s="301"/>
    </row>
    <row r="2" spans="1:107" ht="15" x14ac:dyDescent="0.2">
      <c r="A2" s="205"/>
      <c r="B2" s="290" t="str">
        <f>A381</f>
        <v>default</v>
      </c>
      <c r="C2" s="291"/>
      <c r="D2" s="291"/>
      <c r="E2" s="292" t="s">
        <v>31</v>
      </c>
      <c r="F2" s="184"/>
      <c r="G2" s="183" t="s">
        <v>197</v>
      </c>
      <c r="J2" s="207"/>
      <c r="K2" s="210"/>
      <c r="M2" s="867"/>
      <c r="N2" s="211"/>
      <c r="O2" s="211"/>
      <c r="Q2" s="253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301"/>
    </row>
    <row r="3" spans="1:107" x14ac:dyDescent="0.2">
      <c r="B3" s="290" t="str">
        <f>A147</f>
        <v>Emission Robustness Evaluation_V1.4 - Variant 1 - NEDC</v>
      </c>
      <c r="C3" s="184"/>
      <c r="D3" s="184"/>
      <c r="E3" s="292" t="s">
        <v>32</v>
      </c>
      <c r="F3" s="184"/>
      <c r="G3" s="184" t="s">
        <v>198</v>
      </c>
      <c r="K3" s="192"/>
      <c r="M3" s="212"/>
      <c r="N3" s="213"/>
      <c r="O3" s="213"/>
      <c r="Q3" s="253"/>
      <c r="R3" s="864" t="s">
        <v>282</v>
      </c>
      <c r="S3" s="865"/>
      <c r="T3" s="595"/>
      <c r="U3" s="304"/>
      <c r="V3" s="304"/>
      <c r="W3" s="594" t="s">
        <v>185</v>
      </c>
      <c r="X3" s="650"/>
      <c r="Y3" s="650"/>
      <c r="Z3" s="650"/>
      <c r="AA3" s="650"/>
      <c r="AB3" s="595"/>
      <c r="AC3" s="246"/>
      <c r="AD3" s="302"/>
    </row>
    <row r="4" spans="1:107" x14ac:dyDescent="0.2">
      <c r="B4" s="290" t="str">
        <f>A186</f>
        <v>Emission Robustness Evaluation_V1.4 - Variant 2 - FTP75</v>
      </c>
      <c r="C4" s="184"/>
      <c r="D4" s="184"/>
      <c r="E4" s="292" t="s">
        <v>33</v>
      </c>
      <c r="F4" s="184"/>
      <c r="G4" s="184" t="s">
        <v>199</v>
      </c>
      <c r="K4" s="192"/>
      <c r="M4" s="212"/>
      <c r="N4" s="213"/>
      <c r="O4" s="213"/>
      <c r="Q4" s="253"/>
      <c r="R4" s="596"/>
      <c r="S4" s="651"/>
      <c r="T4" s="597"/>
      <c r="U4" s="304"/>
      <c r="V4" s="304"/>
      <c r="W4" s="596"/>
      <c r="X4" s="651"/>
      <c r="Y4" s="651"/>
      <c r="Z4" s="651"/>
      <c r="AA4" s="651"/>
      <c r="AB4" s="597"/>
      <c r="AC4" s="246"/>
      <c r="AD4" s="302"/>
    </row>
    <row r="5" spans="1:107" x14ac:dyDescent="0.2">
      <c r="B5" s="290" t="s">
        <v>233</v>
      </c>
      <c r="C5" s="184"/>
      <c r="D5" s="184"/>
      <c r="E5" s="292" t="s">
        <v>186</v>
      </c>
      <c r="F5" s="385"/>
      <c r="G5" s="385"/>
      <c r="H5" s="385"/>
      <c r="I5" s="385"/>
      <c r="J5" s="385"/>
      <c r="K5" s="386"/>
      <c r="M5" s="212"/>
      <c r="N5" s="213"/>
      <c r="O5" s="213"/>
      <c r="Q5" s="253"/>
      <c r="R5" s="596"/>
      <c r="S5" s="651"/>
      <c r="T5" s="597"/>
      <c r="U5" s="304"/>
      <c r="V5" s="304"/>
      <c r="W5" s="596"/>
      <c r="X5" s="651"/>
      <c r="Y5" s="651"/>
      <c r="Z5" s="651"/>
      <c r="AA5" s="651"/>
      <c r="AB5" s="597"/>
      <c r="AC5" s="246"/>
      <c r="AD5" s="302"/>
    </row>
    <row r="6" spans="1:107" x14ac:dyDescent="0.2">
      <c r="B6" s="290" t="str">
        <f>A225</f>
        <v>Emission Robustness Evaluation_V1.4 - Variant 3 - JC08</v>
      </c>
      <c r="C6" s="184"/>
      <c r="D6" s="184"/>
      <c r="E6" s="292" t="s">
        <v>188</v>
      </c>
      <c r="F6" s="385"/>
      <c r="G6" s="385"/>
      <c r="H6" s="385"/>
      <c r="I6" s="385"/>
      <c r="J6" s="386"/>
      <c r="K6" s="387"/>
      <c r="L6" s="214"/>
      <c r="M6" s="212"/>
      <c r="N6" s="213"/>
      <c r="O6" s="213"/>
      <c r="Q6" s="253"/>
      <c r="R6" s="596"/>
      <c r="S6" s="651"/>
      <c r="T6" s="597"/>
      <c r="U6" s="304"/>
      <c r="V6" s="304"/>
      <c r="W6" s="596"/>
      <c r="X6" s="651"/>
      <c r="Y6" s="651"/>
      <c r="Z6" s="651"/>
      <c r="AA6" s="651"/>
      <c r="AB6" s="597"/>
      <c r="AC6" s="246"/>
      <c r="AD6" s="302"/>
    </row>
    <row r="7" spans="1:107" x14ac:dyDescent="0.2">
      <c r="B7" s="290" t="str">
        <f>A264</f>
        <v>Emission Robustness Evaluation_V1.4 - Variant 4 - MIDC</v>
      </c>
      <c r="C7" s="184"/>
      <c r="D7" s="184"/>
      <c r="E7" s="292" t="s">
        <v>5</v>
      </c>
      <c r="F7" s="184"/>
      <c r="G7" s="184"/>
      <c r="J7" s="192"/>
      <c r="K7" s="192"/>
      <c r="M7" s="212"/>
      <c r="N7" s="213"/>
      <c r="O7" s="215"/>
      <c r="Q7" s="253"/>
      <c r="R7" s="598"/>
      <c r="S7" s="652"/>
      <c r="T7" s="599"/>
      <c r="U7" s="304"/>
      <c r="V7" s="304"/>
      <c r="W7" s="598"/>
      <c r="X7" s="652"/>
      <c r="Y7" s="652"/>
      <c r="Z7" s="652"/>
      <c r="AA7" s="652"/>
      <c r="AB7" s="599"/>
      <c r="AC7" s="246"/>
      <c r="AD7" s="302"/>
    </row>
    <row r="8" spans="1:107" x14ac:dyDescent="0.2">
      <c r="A8" s="192"/>
      <c r="B8" s="290" t="str">
        <f>A303</f>
        <v>Emission Robustness Evaluation_V1.4 - Variant 5 - WMTC</v>
      </c>
      <c r="C8" s="184"/>
      <c r="D8" s="184"/>
      <c r="E8" s="292" t="s">
        <v>189</v>
      </c>
      <c r="F8" s="184"/>
      <c r="G8" s="184"/>
      <c r="J8" s="192"/>
      <c r="K8" s="192"/>
      <c r="M8" s="216"/>
      <c r="N8" s="213"/>
      <c r="O8" s="213"/>
      <c r="Q8" s="253"/>
      <c r="R8" s="246"/>
      <c r="S8" s="246"/>
      <c r="T8" s="296"/>
      <c r="U8" s="296"/>
      <c r="V8" s="296"/>
      <c r="W8" s="296"/>
      <c r="X8" s="246"/>
      <c r="Y8" s="296"/>
      <c r="Z8" s="296"/>
      <c r="AA8" s="296"/>
      <c r="AB8" s="246"/>
      <c r="AC8" s="296"/>
      <c r="AD8" s="302"/>
    </row>
    <row r="9" spans="1:107" x14ac:dyDescent="0.2">
      <c r="B9" s="290" t="str">
        <f>A342</f>
        <v>Emission Robustness Evaluation_V1.4 - Variant 6 - WLTC</v>
      </c>
      <c r="C9" s="182"/>
      <c r="D9" s="182"/>
      <c r="E9" s="206"/>
      <c r="J9" s="192"/>
      <c r="K9" s="192"/>
      <c r="M9" s="216"/>
      <c r="N9" s="213"/>
      <c r="O9" s="213"/>
      <c r="Q9" s="253"/>
      <c r="R9" s="866"/>
      <c r="S9" s="866"/>
      <c r="T9" s="866"/>
      <c r="U9" s="246"/>
      <c r="V9" s="246"/>
      <c r="W9" s="305"/>
      <c r="X9" s="305"/>
      <c r="Y9" s="305"/>
      <c r="Z9" s="305"/>
      <c r="AA9" s="305"/>
      <c r="AB9" s="305"/>
      <c r="AC9" s="246"/>
      <c r="AD9" s="301"/>
    </row>
    <row r="10" spans="1:107" ht="13.5" thickBot="1" x14ac:dyDescent="0.25">
      <c r="C10" s="182"/>
      <c r="D10" s="182"/>
      <c r="E10" s="206"/>
      <c r="F10" s="206"/>
      <c r="I10" s="207"/>
      <c r="J10" s="192"/>
      <c r="K10" s="192"/>
      <c r="M10" s="216"/>
      <c r="N10" s="213"/>
      <c r="O10" s="216"/>
      <c r="Q10" s="260"/>
      <c r="R10" s="306" t="s">
        <v>130</v>
      </c>
      <c r="S10" s="306"/>
      <c r="T10" s="261"/>
      <c r="U10" s="261"/>
      <c r="V10" s="261"/>
      <c r="W10" s="307"/>
      <c r="X10" s="307"/>
      <c r="Y10" s="307"/>
      <c r="Z10" s="307"/>
      <c r="AA10" s="307"/>
      <c r="AB10" s="307"/>
      <c r="AC10" s="307"/>
      <c r="AD10" s="308"/>
    </row>
    <row r="11" spans="1:107" ht="18" x14ac:dyDescent="0.25">
      <c r="B11" s="192"/>
      <c r="C11" s="182"/>
      <c r="D11" s="182"/>
      <c r="E11" s="206"/>
      <c r="F11" s="206"/>
      <c r="M11" s="216"/>
      <c r="N11" s="213"/>
      <c r="O11" s="213"/>
      <c r="AF11" s="330" t="s">
        <v>256</v>
      </c>
    </row>
    <row r="12" spans="1:107" ht="13.5" thickBot="1" x14ac:dyDescent="0.25">
      <c r="A12" s="182" t="s">
        <v>248</v>
      </c>
      <c r="B12" s="192" t="s">
        <v>374</v>
      </c>
      <c r="C12" s="182"/>
      <c r="D12" s="182"/>
      <c r="E12" s="206"/>
      <c r="F12" s="192"/>
      <c r="M12" s="216"/>
      <c r="N12" s="213"/>
      <c r="O12" s="213"/>
    </row>
    <row r="13" spans="1:107" ht="64.5" thickBot="1" x14ac:dyDescent="0.25">
      <c r="A13" s="182" t="s">
        <v>249</v>
      </c>
      <c r="B13" s="192" t="s">
        <v>19</v>
      </c>
      <c r="C13" s="182"/>
      <c r="D13" s="182"/>
      <c r="E13" s="206"/>
      <c r="M13" s="216"/>
      <c r="N13" s="213"/>
      <c r="O13" s="216"/>
      <c r="AF13" s="69" t="s">
        <v>78</v>
      </c>
      <c r="AG13" s="69" t="s">
        <v>257</v>
      </c>
      <c r="AH13" s="69" t="s">
        <v>72</v>
      </c>
      <c r="AI13" s="364" t="s">
        <v>73</v>
      </c>
      <c r="AJ13" s="69" t="s">
        <v>74</v>
      </c>
      <c r="AK13" s="69" t="s">
        <v>75</v>
      </c>
      <c r="AL13" s="69" t="s">
        <v>76</v>
      </c>
      <c r="AM13" s="163" t="s">
        <v>170</v>
      </c>
      <c r="AN13" s="163" t="s">
        <v>293</v>
      </c>
      <c r="AO13" s="69" t="s">
        <v>294</v>
      </c>
      <c r="AQ13" s="342" t="s">
        <v>267</v>
      </c>
      <c r="AR13" s="69" t="s">
        <v>257</v>
      </c>
      <c r="AS13" s="69" t="s">
        <v>153</v>
      </c>
      <c r="AT13" s="364" t="s">
        <v>154</v>
      </c>
      <c r="AU13" s="69" t="s">
        <v>155</v>
      </c>
      <c r="AV13" s="69" t="s">
        <v>156</v>
      </c>
      <c r="AW13" s="69" t="s">
        <v>157</v>
      </c>
      <c r="AX13" s="163" t="s">
        <v>158</v>
      </c>
      <c r="AY13" s="163" t="s">
        <v>295</v>
      </c>
      <c r="AZ13" s="163" t="s">
        <v>295</v>
      </c>
      <c r="BB13" s="69" t="s">
        <v>286</v>
      </c>
      <c r="BC13" s="69" t="s">
        <v>257</v>
      </c>
      <c r="BD13" s="69" t="s">
        <v>153</v>
      </c>
      <c r="BE13" s="364" t="s">
        <v>154</v>
      </c>
      <c r="BF13" s="69" t="s">
        <v>155</v>
      </c>
      <c r="BG13" s="69" t="s">
        <v>156</v>
      </c>
      <c r="BH13" s="69" t="s">
        <v>157</v>
      </c>
      <c r="BI13" s="163" t="s">
        <v>158</v>
      </c>
      <c r="BJ13" s="163" t="s">
        <v>295</v>
      </c>
      <c r="BK13" s="163" t="s">
        <v>295</v>
      </c>
      <c r="BM13" s="69" t="s">
        <v>159</v>
      </c>
      <c r="BN13" s="69" t="s">
        <v>257</v>
      </c>
      <c r="BO13" s="69" t="s">
        <v>153</v>
      </c>
      <c r="BP13" s="364" t="s">
        <v>154</v>
      </c>
      <c r="BQ13" s="69" t="s">
        <v>155</v>
      </c>
      <c r="BR13" s="69" t="s">
        <v>156</v>
      </c>
      <c r="BS13" s="69" t="s">
        <v>157</v>
      </c>
      <c r="BT13" s="163" t="s">
        <v>158</v>
      </c>
      <c r="BU13" s="163" t="s">
        <v>295</v>
      </c>
      <c r="BV13" s="163" t="s">
        <v>295</v>
      </c>
      <c r="BX13" s="69" t="s">
        <v>172</v>
      </c>
      <c r="BY13" s="69" t="s">
        <v>257</v>
      </c>
      <c r="BZ13" s="69" t="s">
        <v>153</v>
      </c>
      <c r="CA13" s="364" t="s">
        <v>154</v>
      </c>
      <c r="CB13" s="69" t="s">
        <v>155</v>
      </c>
      <c r="CC13" s="69" t="s">
        <v>156</v>
      </c>
      <c r="CD13" s="69" t="s">
        <v>157</v>
      </c>
      <c r="CE13" s="163" t="s">
        <v>158</v>
      </c>
      <c r="CF13" s="163" t="s">
        <v>295</v>
      </c>
      <c r="CG13" s="163" t="s">
        <v>295</v>
      </c>
      <c r="CI13" s="69" t="s">
        <v>175</v>
      </c>
      <c r="CJ13" s="69" t="s">
        <v>257</v>
      </c>
      <c r="CK13" s="69" t="s">
        <v>153</v>
      </c>
      <c r="CL13" s="364" t="s">
        <v>154</v>
      </c>
      <c r="CM13" s="69" t="s">
        <v>155</v>
      </c>
      <c r="CN13" s="69" t="s">
        <v>156</v>
      </c>
      <c r="CO13" s="69" t="s">
        <v>157</v>
      </c>
      <c r="CP13" s="163" t="s">
        <v>158</v>
      </c>
      <c r="CQ13" s="163" t="s">
        <v>295</v>
      </c>
      <c r="CR13" s="163" t="s">
        <v>295</v>
      </c>
      <c r="CT13" s="69" t="s">
        <v>173</v>
      </c>
      <c r="CU13" s="69" t="s">
        <v>257</v>
      </c>
      <c r="CV13" s="69" t="s">
        <v>153</v>
      </c>
      <c r="CW13" s="364" t="s">
        <v>154</v>
      </c>
      <c r="CX13" s="69" t="s">
        <v>155</v>
      </c>
      <c r="CY13" s="69" t="s">
        <v>156</v>
      </c>
      <c r="CZ13" s="69" t="s">
        <v>157</v>
      </c>
      <c r="DA13" s="163" t="s">
        <v>158</v>
      </c>
      <c r="DB13" s="163" t="s">
        <v>295</v>
      </c>
      <c r="DC13" s="163" t="s">
        <v>295</v>
      </c>
    </row>
    <row r="14" spans="1:107" x14ac:dyDescent="0.2">
      <c r="A14" s="182" t="s">
        <v>254</v>
      </c>
      <c r="B14" s="192" t="s">
        <v>19</v>
      </c>
      <c r="C14" s="182"/>
      <c r="D14" s="182"/>
      <c r="E14" s="206"/>
      <c r="M14" s="216"/>
      <c r="N14" s="213"/>
      <c r="O14" s="216"/>
      <c r="AF14" s="182" t="s">
        <v>143</v>
      </c>
      <c r="AG14" s="182" t="s">
        <v>258</v>
      </c>
      <c r="AH14" s="182" t="s">
        <v>5</v>
      </c>
      <c r="AI14" s="182">
        <v>0.97</v>
      </c>
      <c r="AJ14" s="182">
        <v>2.72</v>
      </c>
      <c r="AK14" s="182">
        <v>0.97</v>
      </c>
      <c r="AL14" s="182" t="s">
        <v>5</v>
      </c>
      <c r="AM14" s="331" t="s">
        <v>5</v>
      </c>
      <c r="AN14" s="331" t="s">
        <v>5</v>
      </c>
      <c r="AO14" s="182" t="s">
        <v>5</v>
      </c>
      <c r="AQ14" s="182" t="s">
        <v>143</v>
      </c>
      <c r="AR14" s="182" t="s">
        <v>268</v>
      </c>
      <c r="AS14" s="182">
        <v>0.25</v>
      </c>
      <c r="AT14" s="182">
        <v>0.41</v>
      </c>
      <c r="AU14" s="182">
        <v>3.4</v>
      </c>
      <c r="AV14" s="182">
        <v>0.4</v>
      </c>
      <c r="AW14" s="182">
        <v>80</v>
      </c>
      <c r="AX14" s="182" t="s">
        <v>5</v>
      </c>
      <c r="AY14" s="182" t="s">
        <v>5</v>
      </c>
      <c r="AZ14" s="182" t="s">
        <v>5</v>
      </c>
      <c r="BB14" s="182">
        <v>20</v>
      </c>
      <c r="BC14" s="182" t="s">
        <v>287</v>
      </c>
      <c r="BD14" s="182">
        <v>0.16</v>
      </c>
      <c r="BE14" s="182">
        <v>0.3</v>
      </c>
      <c r="BF14" s="182">
        <v>2</v>
      </c>
      <c r="BG14" s="182">
        <v>0.25</v>
      </c>
      <c r="BH14" s="182">
        <v>0.05</v>
      </c>
      <c r="BI14" s="182" t="s">
        <v>5</v>
      </c>
      <c r="BJ14" s="182" t="s">
        <v>5</v>
      </c>
      <c r="BK14" s="182" t="s">
        <v>5</v>
      </c>
      <c r="BM14" s="182" t="s">
        <v>143</v>
      </c>
      <c r="BN14" s="182" t="s">
        <v>288</v>
      </c>
      <c r="BO14" s="182">
        <v>0.08</v>
      </c>
      <c r="BP14" s="182" t="s">
        <v>5</v>
      </c>
      <c r="BQ14" s="182">
        <v>0.67</v>
      </c>
      <c r="BR14" s="182">
        <v>0.25</v>
      </c>
      <c r="BS14" s="182" t="s">
        <v>5</v>
      </c>
      <c r="BT14" s="182" t="s">
        <v>5</v>
      </c>
      <c r="BU14" s="182" t="s">
        <v>5</v>
      </c>
      <c r="BV14" s="182" t="s">
        <v>5</v>
      </c>
      <c r="BX14" s="182">
        <v>20</v>
      </c>
      <c r="BY14" s="182" t="s">
        <v>319</v>
      </c>
      <c r="BZ14" s="182">
        <v>0.08</v>
      </c>
      <c r="CA14" s="182" t="s">
        <v>5</v>
      </c>
      <c r="CB14" s="182">
        <v>2.72</v>
      </c>
      <c r="CC14" s="182" t="s">
        <v>5</v>
      </c>
      <c r="CD14" s="182" t="s">
        <v>5</v>
      </c>
      <c r="CE14" s="182" t="s">
        <v>5</v>
      </c>
      <c r="CF14" s="182" t="s">
        <v>5</v>
      </c>
      <c r="CG14" s="182" t="s">
        <v>5</v>
      </c>
      <c r="CI14" s="182" t="s">
        <v>143</v>
      </c>
      <c r="CJ14" s="182" t="s">
        <v>264</v>
      </c>
      <c r="CK14" s="182">
        <v>6.8000000000000005E-2</v>
      </c>
      <c r="CL14" s="182">
        <v>0.1</v>
      </c>
      <c r="CM14" s="182">
        <v>1</v>
      </c>
      <c r="CN14" s="182">
        <v>0.06</v>
      </c>
      <c r="CO14" s="182">
        <v>4.5</v>
      </c>
      <c r="CP14" s="331">
        <v>600000000000</v>
      </c>
      <c r="CQ14" s="331" t="s">
        <v>5</v>
      </c>
      <c r="CR14" s="182" t="s">
        <v>5</v>
      </c>
      <c r="CT14" s="182">
        <v>20</v>
      </c>
      <c r="CU14" s="182" t="s">
        <v>308</v>
      </c>
      <c r="CV14" s="182" t="s">
        <v>5</v>
      </c>
      <c r="CW14" s="182" t="s">
        <v>5</v>
      </c>
      <c r="CX14" s="182" t="s">
        <v>5</v>
      </c>
      <c r="CY14" s="182" t="s">
        <v>5</v>
      </c>
      <c r="CZ14" s="182" t="s">
        <v>5</v>
      </c>
      <c r="DA14" s="182" t="s">
        <v>5</v>
      </c>
      <c r="DB14" s="182" t="s">
        <v>5</v>
      </c>
      <c r="DC14" s="182" t="s">
        <v>5</v>
      </c>
    </row>
    <row r="15" spans="1:107" x14ac:dyDescent="0.2">
      <c r="A15" s="182" t="s">
        <v>250</v>
      </c>
      <c r="B15" s="192" t="s">
        <v>19</v>
      </c>
      <c r="C15" s="182"/>
      <c r="D15" s="182"/>
      <c r="E15" s="206"/>
      <c r="M15" s="216"/>
      <c r="N15" s="213"/>
      <c r="O15" s="216"/>
      <c r="AF15" s="182" t="s">
        <v>143</v>
      </c>
      <c r="AG15" s="182" t="s">
        <v>259</v>
      </c>
      <c r="AH15" s="182" t="s">
        <v>5</v>
      </c>
      <c r="AI15" s="182">
        <v>0.5</v>
      </c>
      <c r="AJ15" s="182">
        <v>2.2000000000000002</v>
      </c>
      <c r="AK15" s="182">
        <v>0.5</v>
      </c>
      <c r="AL15" s="182" t="s">
        <v>5</v>
      </c>
      <c r="AM15" s="331" t="s">
        <v>5</v>
      </c>
      <c r="AN15" s="331" t="s">
        <v>5</v>
      </c>
      <c r="AO15" s="182" t="s">
        <v>5</v>
      </c>
      <c r="AQ15" s="182" t="s">
        <v>143</v>
      </c>
      <c r="AR15" s="182" t="s">
        <v>270</v>
      </c>
      <c r="AS15" s="182">
        <v>7.4999999999999997E-2</v>
      </c>
      <c r="AT15" s="182">
        <v>0.09</v>
      </c>
      <c r="AU15" s="182">
        <v>3.4</v>
      </c>
      <c r="AV15" s="182">
        <v>0.05</v>
      </c>
      <c r="AW15" s="182" t="s">
        <v>5</v>
      </c>
      <c r="AX15" s="182" t="s">
        <v>5</v>
      </c>
      <c r="AY15" s="182" t="s">
        <v>5</v>
      </c>
      <c r="AZ15" s="182" t="s">
        <v>5</v>
      </c>
      <c r="BB15" s="182">
        <v>20</v>
      </c>
      <c r="BC15" s="182" t="s">
        <v>289</v>
      </c>
      <c r="BD15" s="182">
        <v>0.05</v>
      </c>
      <c r="BE15" s="182">
        <v>0.3</v>
      </c>
      <c r="BF15" s="182">
        <v>2</v>
      </c>
      <c r="BG15" s="182">
        <v>0.12</v>
      </c>
      <c r="BH15" s="182">
        <v>0.05</v>
      </c>
      <c r="BI15" s="182" t="s">
        <v>5</v>
      </c>
      <c r="BJ15" s="182" t="s">
        <v>5</v>
      </c>
      <c r="BK15" s="182" t="s">
        <v>5</v>
      </c>
      <c r="BM15" s="182" t="s">
        <v>143</v>
      </c>
      <c r="BN15" s="182" t="s">
        <v>290</v>
      </c>
      <c r="BO15" s="182">
        <v>0.05</v>
      </c>
      <c r="BP15" s="182" t="s">
        <v>5</v>
      </c>
      <c r="BQ15" s="182">
        <v>1.1499999999999999</v>
      </c>
      <c r="BR15" s="182">
        <v>0.12</v>
      </c>
      <c r="BS15" s="182" t="s">
        <v>5</v>
      </c>
      <c r="BT15" s="182" t="s">
        <v>5</v>
      </c>
      <c r="BU15" s="182" t="s">
        <v>5</v>
      </c>
      <c r="BV15" s="182" t="s">
        <v>5</v>
      </c>
      <c r="BX15" s="182">
        <v>20</v>
      </c>
      <c r="BY15" s="182" t="s">
        <v>320</v>
      </c>
      <c r="BZ15" s="182">
        <v>0.05</v>
      </c>
      <c r="CA15" s="182" t="s">
        <v>5</v>
      </c>
      <c r="CB15" s="182">
        <v>2.2000000000000002</v>
      </c>
      <c r="CC15" s="182" t="s">
        <v>5</v>
      </c>
      <c r="CD15" s="182" t="s">
        <v>5</v>
      </c>
      <c r="CE15" s="182" t="s">
        <v>5</v>
      </c>
      <c r="CF15" s="182" t="s">
        <v>5</v>
      </c>
      <c r="CG15" s="182" t="s">
        <v>5</v>
      </c>
      <c r="CI15" s="182" t="s">
        <v>143</v>
      </c>
      <c r="CJ15" s="182" t="s">
        <v>265</v>
      </c>
      <c r="CK15" s="182">
        <v>6.8000000000000005E-2</v>
      </c>
      <c r="CL15" s="182">
        <v>0.1</v>
      </c>
      <c r="CM15" s="182">
        <v>1</v>
      </c>
      <c r="CN15" s="182">
        <v>0.06</v>
      </c>
      <c r="CO15" s="182">
        <v>4.5</v>
      </c>
      <c r="CP15" s="331">
        <v>600000000000</v>
      </c>
      <c r="CQ15" s="331" t="s">
        <v>5</v>
      </c>
      <c r="CR15" s="182" t="s">
        <v>5</v>
      </c>
    </row>
    <row r="16" spans="1:107" x14ac:dyDescent="0.2">
      <c r="A16" s="182" t="s">
        <v>251</v>
      </c>
      <c r="B16" s="192" t="s">
        <v>19</v>
      </c>
      <c r="C16" s="182"/>
      <c r="D16" s="182"/>
      <c r="E16" s="206"/>
      <c r="M16" s="217"/>
      <c r="N16" s="213"/>
      <c r="O16" s="216"/>
      <c r="AF16" s="182" t="s">
        <v>143</v>
      </c>
      <c r="AG16" s="182" t="s">
        <v>260</v>
      </c>
      <c r="AH16" s="182" t="s">
        <v>5</v>
      </c>
      <c r="AI16" s="182">
        <v>0.2</v>
      </c>
      <c r="AJ16" s="182">
        <v>2.2999999999999998</v>
      </c>
      <c r="AK16" s="182">
        <v>0.15</v>
      </c>
      <c r="AL16" s="182" t="s">
        <v>5</v>
      </c>
      <c r="AM16" s="331" t="s">
        <v>5</v>
      </c>
      <c r="AN16" s="331" t="s">
        <v>5</v>
      </c>
      <c r="AO16" s="182" t="s">
        <v>5</v>
      </c>
      <c r="AQ16" s="182" t="s">
        <v>143</v>
      </c>
      <c r="AR16" s="182" t="s">
        <v>271</v>
      </c>
      <c r="AS16" s="182">
        <v>7.4999999999999997E-2</v>
      </c>
      <c r="AT16" s="182">
        <v>0.09</v>
      </c>
      <c r="AU16" s="182">
        <v>3.4</v>
      </c>
      <c r="AV16" s="182">
        <v>0.08</v>
      </c>
      <c r="AW16" s="182" t="s">
        <v>5</v>
      </c>
      <c r="AX16" s="182" t="s">
        <v>5</v>
      </c>
      <c r="AY16" s="182" t="s">
        <v>5</v>
      </c>
      <c r="AZ16" s="182" t="s">
        <v>5</v>
      </c>
      <c r="BB16" s="182">
        <v>20</v>
      </c>
      <c r="BC16" s="182" t="s">
        <v>291</v>
      </c>
      <c r="BD16" s="182">
        <v>0.05</v>
      </c>
      <c r="BE16" s="182">
        <v>0.3</v>
      </c>
      <c r="BF16" s="182">
        <v>1.3</v>
      </c>
      <c r="BG16" s="182">
        <v>0.08</v>
      </c>
      <c r="BH16" s="182">
        <v>2.5000000000000001E-2</v>
      </c>
      <c r="BI16" s="182" t="s">
        <v>5</v>
      </c>
      <c r="BJ16" s="182" t="s">
        <v>5</v>
      </c>
      <c r="BK16" s="182" t="s">
        <v>5</v>
      </c>
      <c r="BM16" s="182" t="s">
        <v>143</v>
      </c>
      <c r="BN16" s="182" t="s">
        <v>292</v>
      </c>
      <c r="BO16" s="182">
        <v>0.05</v>
      </c>
      <c r="BP16" s="182" t="s">
        <v>5</v>
      </c>
      <c r="BQ16" s="182">
        <v>1.1499999999999999</v>
      </c>
      <c r="BR16" s="182">
        <v>0.08</v>
      </c>
      <c r="BS16" s="182">
        <v>5.0000000000000001E-3</v>
      </c>
      <c r="BT16" s="182" t="s">
        <v>5</v>
      </c>
      <c r="BU16" s="182" t="s">
        <v>5</v>
      </c>
      <c r="BV16" s="182" t="s">
        <v>5</v>
      </c>
      <c r="BX16" s="182">
        <v>20</v>
      </c>
      <c r="BY16" s="182" t="s">
        <v>321</v>
      </c>
      <c r="BZ16" s="182" t="s">
        <v>5</v>
      </c>
      <c r="CA16" s="182">
        <v>0.2</v>
      </c>
      <c r="CB16" s="182">
        <v>2.2999999999999998</v>
      </c>
      <c r="CC16" s="182">
        <v>0.15</v>
      </c>
      <c r="CD16" s="182" t="s">
        <v>5</v>
      </c>
      <c r="CE16" s="182" t="s">
        <v>5</v>
      </c>
      <c r="CF16" s="182" t="s">
        <v>5</v>
      </c>
      <c r="CG16" s="182" t="s">
        <v>5</v>
      </c>
      <c r="CI16" s="182">
        <v>20</v>
      </c>
      <c r="CJ16" s="182" t="s">
        <v>308</v>
      </c>
      <c r="CK16" s="182" t="s">
        <v>5</v>
      </c>
      <c r="CL16" s="182" t="s">
        <v>5</v>
      </c>
      <c r="CM16" s="182" t="s">
        <v>5</v>
      </c>
      <c r="CN16" s="182" t="s">
        <v>5</v>
      </c>
      <c r="CO16" s="182" t="s">
        <v>5</v>
      </c>
      <c r="CP16" s="182" t="s">
        <v>5</v>
      </c>
      <c r="CQ16" s="182" t="s">
        <v>5</v>
      </c>
      <c r="CR16" s="182" t="s">
        <v>5</v>
      </c>
    </row>
    <row r="17" spans="1:107" x14ac:dyDescent="0.2">
      <c r="A17" s="182" t="s">
        <v>252</v>
      </c>
      <c r="B17" s="192" t="s">
        <v>19</v>
      </c>
      <c r="C17" s="182"/>
      <c r="D17" s="182"/>
      <c r="E17" s="206"/>
      <c r="M17" s="218" t="s">
        <v>226</v>
      </c>
      <c r="AF17" s="182" t="s">
        <v>143</v>
      </c>
      <c r="AG17" s="182" t="s">
        <v>261</v>
      </c>
      <c r="AH17" s="182" t="s">
        <v>5</v>
      </c>
      <c r="AI17" s="182">
        <v>0.1</v>
      </c>
      <c r="AJ17" s="182">
        <v>1</v>
      </c>
      <c r="AK17" s="182">
        <v>0.08</v>
      </c>
      <c r="AL17" s="182" t="s">
        <v>5</v>
      </c>
      <c r="AM17" s="331" t="s">
        <v>5</v>
      </c>
      <c r="AN17" s="331" t="s">
        <v>5</v>
      </c>
      <c r="AO17" s="182" t="s">
        <v>5</v>
      </c>
      <c r="AQ17" s="182" t="s">
        <v>143</v>
      </c>
      <c r="AR17" s="182" t="s">
        <v>272</v>
      </c>
      <c r="AS17" s="182">
        <v>7.4999999999999997E-2</v>
      </c>
      <c r="AT17" s="182">
        <v>0.09</v>
      </c>
      <c r="AU17" s="182">
        <v>3.4</v>
      </c>
      <c r="AV17" s="182">
        <v>0.11</v>
      </c>
      <c r="AW17" s="182" t="s">
        <v>5</v>
      </c>
      <c r="AX17" s="182" t="s">
        <v>5</v>
      </c>
      <c r="AY17" s="182" t="s">
        <v>5</v>
      </c>
      <c r="AZ17" s="182" t="s">
        <v>5</v>
      </c>
      <c r="BB17" s="182">
        <v>20</v>
      </c>
      <c r="BC17" s="182" t="s">
        <v>308</v>
      </c>
      <c r="BD17" s="182" t="s">
        <v>5</v>
      </c>
      <c r="BE17" s="182" t="s">
        <v>5</v>
      </c>
      <c r="BF17" s="182" t="s">
        <v>5</v>
      </c>
      <c r="BG17" s="182" t="s">
        <v>5</v>
      </c>
      <c r="BH17" s="182" t="s">
        <v>5</v>
      </c>
      <c r="BI17" s="182" t="s">
        <v>5</v>
      </c>
      <c r="BJ17" s="182" t="s">
        <v>5</v>
      </c>
      <c r="BK17" s="182" t="s">
        <v>5</v>
      </c>
      <c r="BM17" s="182" t="s">
        <v>143</v>
      </c>
      <c r="BN17" s="182" t="s">
        <v>308</v>
      </c>
      <c r="BO17" s="182" t="s">
        <v>5</v>
      </c>
      <c r="BP17" s="182" t="s">
        <v>5</v>
      </c>
      <c r="BQ17" s="182" t="s">
        <v>5</v>
      </c>
      <c r="BR17" s="182" t="s">
        <v>5</v>
      </c>
      <c r="BS17" s="182" t="s">
        <v>5</v>
      </c>
      <c r="BT17" s="182" t="s">
        <v>5</v>
      </c>
      <c r="BU17" s="182" t="s">
        <v>5</v>
      </c>
      <c r="BV17" s="182" t="s">
        <v>5</v>
      </c>
      <c r="BX17" s="182">
        <v>20</v>
      </c>
      <c r="BY17" s="182" t="s">
        <v>322</v>
      </c>
      <c r="BZ17" s="182" t="s">
        <v>5</v>
      </c>
      <c r="CA17" s="182">
        <v>0.1</v>
      </c>
      <c r="CB17" s="182">
        <v>1</v>
      </c>
      <c r="CC17" s="182">
        <v>0.08</v>
      </c>
      <c r="CD17" s="182" t="s">
        <v>5</v>
      </c>
      <c r="CE17" s="182" t="s">
        <v>5</v>
      </c>
      <c r="CF17" s="182" t="s">
        <v>5</v>
      </c>
      <c r="CG17" s="182" t="s">
        <v>5</v>
      </c>
      <c r="CI17" s="182">
        <v>-7</v>
      </c>
      <c r="CJ17" s="182" t="s">
        <v>264</v>
      </c>
      <c r="CK17" s="182" t="s">
        <v>5</v>
      </c>
      <c r="CL17" s="182">
        <v>1.8</v>
      </c>
      <c r="CM17" s="182">
        <v>15</v>
      </c>
      <c r="CN17" s="182" t="s">
        <v>5</v>
      </c>
      <c r="CO17" s="182" t="s">
        <v>5</v>
      </c>
      <c r="CP17" s="182" t="s">
        <v>5</v>
      </c>
      <c r="CQ17" s="182" t="s">
        <v>5</v>
      </c>
      <c r="CR17" s="182" t="s">
        <v>5</v>
      </c>
    </row>
    <row r="18" spans="1:107" x14ac:dyDescent="0.2">
      <c r="A18" s="182" t="s">
        <v>253</v>
      </c>
      <c r="B18" s="192" t="s">
        <v>19</v>
      </c>
      <c r="C18" s="182"/>
      <c r="D18" s="182"/>
      <c r="E18" s="206"/>
      <c r="AF18" s="182" t="s">
        <v>143</v>
      </c>
      <c r="AG18" s="182" t="s">
        <v>266</v>
      </c>
      <c r="AH18" s="182">
        <v>6.8000000000000005E-2</v>
      </c>
      <c r="AI18" s="182">
        <v>0.1</v>
      </c>
      <c r="AJ18" s="182">
        <v>1</v>
      </c>
      <c r="AK18" s="182">
        <v>0.06</v>
      </c>
      <c r="AL18" s="182">
        <v>5</v>
      </c>
      <c r="AM18" s="331" t="s">
        <v>5</v>
      </c>
      <c r="AN18" s="331" t="s">
        <v>5</v>
      </c>
      <c r="AO18" s="182" t="s">
        <v>5</v>
      </c>
      <c r="AQ18" s="182" t="s">
        <v>143</v>
      </c>
      <c r="AR18" s="182" t="s">
        <v>273</v>
      </c>
      <c r="AS18" s="182">
        <v>0.1</v>
      </c>
      <c r="AT18" s="182">
        <v>0.125</v>
      </c>
      <c r="AU18" s="182">
        <v>3.4</v>
      </c>
      <c r="AV18" s="182">
        <v>0.14000000000000001</v>
      </c>
      <c r="AW18" s="182" t="s">
        <v>5</v>
      </c>
      <c r="AX18" s="182" t="s">
        <v>5</v>
      </c>
      <c r="AY18" s="182" t="s">
        <v>5</v>
      </c>
      <c r="AZ18" s="182" t="s">
        <v>5</v>
      </c>
      <c r="BX18" s="182">
        <v>20</v>
      </c>
      <c r="BY18" s="182" t="s">
        <v>323</v>
      </c>
      <c r="BZ18" s="182">
        <v>6.8000000000000005E-2</v>
      </c>
      <c r="CA18" s="182">
        <v>0.1</v>
      </c>
      <c r="CB18" s="182">
        <v>1</v>
      </c>
      <c r="CC18" s="182">
        <v>0.06</v>
      </c>
      <c r="CD18" s="182">
        <v>4.4999999999999997E-3</v>
      </c>
      <c r="CE18" s="182" t="s">
        <v>5</v>
      </c>
      <c r="CF18" s="182" t="s">
        <v>5</v>
      </c>
      <c r="CG18" s="182" t="s">
        <v>5</v>
      </c>
      <c r="CI18" s="182">
        <v>-7</v>
      </c>
      <c r="CJ18" s="182" t="s">
        <v>265</v>
      </c>
      <c r="CK18" s="182" t="s">
        <v>5</v>
      </c>
      <c r="CL18" s="182" t="s">
        <v>5</v>
      </c>
      <c r="CM18" s="182" t="s">
        <v>5</v>
      </c>
      <c r="CN18" s="182" t="s">
        <v>5</v>
      </c>
      <c r="CO18" s="182" t="s">
        <v>5</v>
      </c>
      <c r="CP18" s="182" t="s">
        <v>5</v>
      </c>
      <c r="CQ18" s="182" t="s">
        <v>5</v>
      </c>
      <c r="CR18" s="182" t="s">
        <v>5</v>
      </c>
    </row>
    <row r="19" spans="1:107" ht="13.5" thickBot="1" x14ac:dyDescent="0.25">
      <c r="B19" s="217"/>
      <c r="C19" s="182"/>
      <c r="D19" s="182"/>
      <c r="E19" s="206"/>
      <c r="AF19" s="182" t="s">
        <v>143</v>
      </c>
      <c r="AG19" s="182" t="s">
        <v>269</v>
      </c>
      <c r="AH19" s="182">
        <v>6.8000000000000005E-2</v>
      </c>
      <c r="AI19" s="182">
        <v>0.1</v>
      </c>
      <c r="AJ19" s="182">
        <v>1</v>
      </c>
      <c r="AK19" s="182">
        <v>0.06</v>
      </c>
      <c r="AL19" s="182">
        <v>4.5</v>
      </c>
      <c r="AM19" s="182" t="s">
        <v>5</v>
      </c>
      <c r="AN19" s="182" t="s">
        <v>5</v>
      </c>
      <c r="AO19" s="182" t="s">
        <v>5</v>
      </c>
      <c r="AQ19" s="182" t="s">
        <v>143</v>
      </c>
      <c r="AR19" s="182" t="s">
        <v>274</v>
      </c>
      <c r="AS19" s="182">
        <v>7.4999999999999997E-2</v>
      </c>
      <c r="AT19" s="182">
        <v>0.09</v>
      </c>
      <c r="AU19" s="182">
        <v>3.4</v>
      </c>
      <c r="AV19" s="182">
        <v>0.2</v>
      </c>
      <c r="AW19" s="182" t="s">
        <v>5</v>
      </c>
      <c r="AX19" s="182" t="s">
        <v>5</v>
      </c>
      <c r="AY19" s="182" t="s">
        <v>5</v>
      </c>
      <c r="AZ19" s="182" t="s">
        <v>5</v>
      </c>
      <c r="BX19" s="182">
        <v>20</v>
      </c>
      <c r="BY19" s="182" t="s">
        <v>324</v>
      </c>
      <c r="BZ19" s="182">
        <v>6.8000000000000005E-2</v>
      </c>
      <c r="CA19" s="182">
        <v>0.1</v>
      </c>
      <c r="CB19" s="182">
        <v>1</v>
      </c>
      <c r="CC19" s="182">
        <v>0.06</v>
      </c>
      <c r="CD19" s="182">
        <v>4.4999999999999997E-3</v>
      </c>
      <c r="CE19" s="331">
        <v>600000000000</v>
      </c>
      <c r="CF19" s="182" t="s">
        <v>5</v>
      </c>
      <c r="CG19" s="182" t="s">
        <v>5</v>
      </c>
      <c r="CI19" s="182">
        <v>-7</v>
      </c>
      <c r="CJ19" s="182" t="s">
        <v>308</v>
      </c>
      <c r="CK19" s="182" t="s">
        <v>5</v>
      </c>
      <c r="CL19" s="182" t="s">
        <v>5</v>
      </c>
      <c r="CM19" s="182" t="s">
        <v>5</v>
      </c>
      <c r="CN19" s="182" t="s">
        <v>5</v>
      </c>
      <c r="CO19" s="182" t="s">
        <v>5</v>
      </c>
      <c r="CP19" s="182" t="s">
        <v>5</v>
      </c>
      <c r="CQ19" s="182" t="s">
        <v>5</v>
      </c>
      <c r="CR19" s="182" t="s">
        <v>5</v>
      </c>
    </row>
    <row r="20" spans="1:107" ht="24.75" customHeight="1" x14ac:dyDescent="0.2">
      <c r="B20" s="217"/>
      <c r="C20" s="182"/>
      <c r="D20" s="182"/>
      <c r="E20" s="206"/>
      <c r="M20" s="583" t="s">
        <v>195</v>
      </c>
      <c r="N20" s="581"/>
      <c r="O20" s="582"/>
      <c r="AF20" s="182" t="s">
        <v>143</v>
      </c>
      <c r="AG20" s="182" t="s">
        <v>262</v>
      </c>
      <c r="AH20" s="182">
        <v>6.8000000000000005E-2</v>
      </c>
      <c r="AI20" s="182">
        <v>0.1</v>
      </c>
      <c r="AJ20" s="182">
        <v>1</v>
      </c>
      <c r="AK20" s="182">
        <v>0.06</v>
      </c>
      <c r="AL20" s="182">
        <v>4.5</v>
      </c>
      <c r="AM20" s="331">
        <v>6000000000000</v>
      </c>
      <c r="AN20" s="331" t="s">
        <v>5</v>
      </c>
      <c r="AO20" s="182" t="s">
        <v>5</v>
      </c>
      <c r="AQ20" s="182" t="s">
        <v>143</v>
      </c>
      <c r="AR20" s="182" t="s">
        <v>275</v>
      </c>
      <c r="AS20" s="182">
        <v>0.125</v>
      </c>
      <c r="AT20" s="182">
        <v>0.14000000000000001</v>
      </c>
      <c r="AU20" s="182">
        <v>3.4</v>
      </c>
      <c r="AV20" s="182">
        <v>0.4</v>
      </c>
      <c r="AW20" s="182" t="s">
        <v>5</v>
      </c>
      <c r="AX20" s="182" t="s">
        <v>5</v>
      </c>
      <c r="AY20" s="182" t="s">
        <v>5</v>
      </c>
      <c r="AZ20" s="182" t="s">
        <v>5</v>
      </c>
      <c r="BX20" s="182">
        <v>20</v>
      </c>
      <c r="BY20" s="182" t="s">
        <v>354</v>
      </c>
      <c r="BZ20" s="182">
        <v>1</v>
      </c>
      <c r="CB20" s="182" t="s">
        <v>5</v>
      </c>
      <c r="CC20" s="182" t="s">
        <v>5</v>
      </c>
      <c r="CD20" s="182" t="s">
        <v>5</v>
      </c>
      <c r="CE20" s="182" t="s">
        <v>5</v>
      </c>
      <c r="CF20" s="182" t="s">
        <v>5</v>
      </c>
      <c r="CG20" s="182" t="s">
        <v>5</v>
      </c>
      <c r="CU20" s="182" t="s">
        <v>308</v>
      </c>
    </row>
    <row r="21" spans="1:107" ht="17.25" customHeight="1" thickBot="1" x14ac:dyDescent="0.25">
      <c r="B21" s="217"/>
      <c r="C21" s="182"/>
      <c r="D21" s="182"/>
      <c r="E21" s="206"/>
      <c r="M21" s="584"/>
      <c r="N21" s="194" t="s">
        <v>191</v>
      </c>
      <c r="O21" s="195" t="s">
        <v>194</v>
      </c>
      <c r="AF21" s="182" t="s">
        <v>143</v>
      </c>
      <c r="AG21" s="182" t="s">
        <v>263</v>
      </c>
      <c r="AH21" s="182">
        <v>6.8000000000000005E-2</v>
      </c>
      <c r="AI21" s="182">
        <v>0.1</v>
      </c>
      <c r="AJ21" s="182">
        <v>1</v>
      </c>
      <c r="AK21" s="182">
        <v>0.06</v>
      </c>
      <c r="AL21" s="182">
        <v>4.5</v>
      </c>
      <c r="AM21" s="331">
        <v>600000000000</v>
      </c>
      <c r="AN21" s="331" t="s">
        <v>5</v>
      </c>
      <c r="AO21" s="182" t="s">
        <v>5</v>
      </c>
      <c r="AQ21" s="182" t="s">
        <v>143</v>
      </c>
      <c r="AR21" s="182" t="s">
        <v>276</v>
      </c>
      <c r="AS21" s="182">
        <v>0.19</v>
      </c>
      <c r="AT21" s="182">
        <v>0.20499999999999999</v>
      </c>
      <c r="AU21" s="182">
        <v>3.4</v>
      </c>
      <c r="AV21" s="182">
        <v>0.6</v>
      </c>
      <c r="AW21" s="182" t="s">
        <v>5</v>
      </c>
      <c r="AX21" s="182" t="s">
        <v>5</v>
      </c>
      <c r="AY21" s="182" t="s">
        <v>5</v>
      </c>
      <c r="AZ21" s="182" t="s">
        <v>5</v>
      </c>
      <c r="CT21" s="182">
        <v>20</v>
      </c>
      <c r="CU21" s="182" t="s">
        <v>325</v>
      </c>
      <c r="CV21" s="182" t="s">
        <v>5</v>
      </c>
      <c r="CW21" s="182" t="s">
        <v>5</v>
      </c>
      <c r="CX21" s="182">
        <v>2</v>
      </c>
      <c r="CY21" s="182">
        <v>2</v>
      </c>
      <c r="CZ21" s="182" t="s">
        <v>5</v>
      </c>
      <c r="DA21" s="182" t="s">
        <v>5</v>
      </c>
      <c r="DB21" s="182" t="s">
        <v>5</v>
      </c>
      <c r="DC21" s="182" t="s">
        <v>5</v>
      </c>
    </row>
    <row r="22" spans="1:107" x14ac:dyDescent="0.2">
      <c r="AF22" s="182" t="s">
        <v>143</v>
      </c>
      <c r="AG22" s="182" t="s">
        <v>264</v>
      </c>
      <c r="AH22" s="182">
        <v>6.8000000000000005E-2</v>
      </c>
      <c r="AI22" s="182">
        <v>0.1</v>
      </c>
      <c r="AJ22" s="182">
        <v>1</v>
      </c>
      <c r="AK22" s="182">
        <v>0.06</v>
      </c>
      <c r="AL22" s="182">
        <v>4.5</v>
      </c>
      <c r="AM22" s="331">
        <v>600000000000</v>
      </c>
      <c r="AN22" s="331" t="s">
        <v>5</v>
      </c>
      <c r="AO22" s="182" t="s">
        <v>5</v>
      </c>
      <c r="AQ22" s="182" t="s">
        <v>143</v>
      </c>
      <c r="AR22" s="182" t="s">
        <v>308</v>
      </c>
      <c r="AS22" s="182" t="s">
        <v>5</v>
      </c>
      <c r="AT22" s="182" t="s">
        <v>5</v>
      </c>
      <c r="AU22" s="182" t="s">
        <v>5</v>
      </c>
      <c r="AV22" s="182" t="s">
        <v>5</v>
      </c>
      <c r="AW22" s="182" t="s">
        <v>5</v>
      </c>
      <c r="AX22" s="182" t="s">
        <v>5</v>
      </c>
      <c r="AY22" s="182" t="s">
        <v>5</v>
      </c>
      <c r="AZ22" s="182" t="s">
        <v>5</v>
      </c>
      <c r="CT22" s="182">
        <v>20</v>
      </c>
      <c r="CU22" s="182" t="s">
        <v>326</v>
      </c>
      <c r="CV22" s="182" t="s">
        <v>5</v>
      </c>
      <c r="CW22" s="182" t="s">
        <v>5</v>
      </c>
      <c r="CX22" s="182">
        <v>1.5</v>
      </c>
      <c r="CY22" s="182">
        <v>1.5</v>
      </c>
      <c r="CZ22" s="182" t="s">
        <v>5</v>
      </c>
      <c r="DA22" s="182" t="s">
        <v>5</v>
      </c>
      <c r="DB22" s="182" t="s">
        <v>5</v>
      </c>
      <c r="DC22" s="182" t="s">
        <v>5</v>
      </c>
    </row>
    <row r="23" spans="1:107" ht="15.75" customHeight="1" x14ac:dyDescent="0.2">
      <c r="AF23" s="182" t="s">
        <v>143</v>
      </c>
      <c r="AG23" s="182" t="s">
        <v>265</v>
      </c>
      <c r="AH23" s="182">
        <v>6.8000000000000005E-2</v>
      </c>
      <c r="AI23" s="182">
        <v>0.1</v>
      </c>
      <c r="AJ23" s="182">
        <v>1</v>
      </c>
      <c r="AK23" s="182">
        <v>0.06</v>
      </c>
      <c r="AL23" s="182">
        <v>4.5</v>
      </c>
      <c r="AM23" s="331">
        <v>600000000000</v>
      </c>
      <c r="AN23" s="331" t="s">
        <v>5</v>
      </c>
      <c r="AO23" s="182" t="s">
        <v>5</v>
      </c>
      <c r="AQ23" s="182" t="s">
        <v>205</v>
      </c>
      <c r="AR23" s="182" t="s">
        <v>268</v>
      </c>
      <c r="AS23" s="182">
        <v>0.25</v>
      </c>
      <c r="AT23" s="182">
        <v>0.41</v>
      </c>
      <c r="AU23" s="182">
        <v>3.4</v>
      </c>
      <c r="AV23" s="182">
        <v>0.4</v>
      </c>
      <c r="AW23" s="182">
        <v>80</v>
      </c>
      <c r="AX23" s="182" t="s">
        <v>5</v>
      </c>
      <c r="AY23" s="182" t="s">
        <v>5</v>
      </c>
      <c r="AZ23" s="182" t="s">
        <v>5</v>
      </c>
      <c r="CT23" s="182">
        <v>20</v>
      </c>
      <c r="CU23" s="182" t="s">
        <v>327</v>
      </c>
      <c r="CV23" s="182" t="s">
        <v>5</v>
      </c>
      <c r="CW23" s="182" t="s">
        <v>5</v>
      </c>
      <c r="CX23" s="182">
        <v>1</v>
      </c>
      <c r="CY23" s="182">
        <v>1</v>
      </c>
      <c r="CZ23" s="182" t="s">
        <v>5</v>
      </c>
      <c r="DA23" s="182" t="s">
        <v>5</v>
      </c>
      <c r="DB23" s="182" t="s">
        <v>5</v>
      </c>
      <c r="DC23" s="182" t="s">
        <v>5</v>
      </c>
    </row>
    <row r="24" spans="1:107" ht="13.5" customHeight="1" thickBot="1" x14ac:dyDescent="0.25">
      <c r="B24" s="217"/>
      <c r="C24" s="182"/>
      <c r="D24" s="182"/>
      <c r="E24" s="206"/>
      <c r="M24" s="184" t="s">
        <v>134</v>
      </c>
      <c r="AF24" s="182" t="s">
        <v>143</v>
      </c>
      <c r="AG24" s="182" t="s">
        <v>308</v>
      </c>
      <c r="AH24" s="182" t="s">
        <v>5</v>
      </c>
      <c r="AI24" s="182" t="s">
        <v>5</v>
      </c>
      <c r="AJ24" s="182" t="s">
        <v>5</v>
      </c>
      <c r="AK24" s="182" t="s">
        <v>5</v>
      </c>
      <c r="AL24" s="182" t="s">
        <v>5</v>
      </c>
      <c r="AM24" s="331" t="s">
        <v>5</v>
      </c>
      <c r="AN24" s="331" t="s">
        <v>5</v>
      </c>
      <c r="AO24" s="182" t="s">
        <v>5</v>
      </c>
      <c r="AQ24" s="182" t="s">
        <v>205</v>
      </c>
      <c r="AR24" s="182" t="s">
        <v>270</v>
      </c>
      <c r="AS24" s="182">
        <v>7.4999999999999997E-2</v>
      </c>
      <c r="AT24" s="182">
        <v>0.09</v>
      </c>
      <c r="AU24" s="182">
        <v>3.4</v>
      </c>
      <c r="AV24" s="182">
        <v>0.05</v>
      </c>
      <c r="AW24" s="182" t="s">
        <v>5</v>
      </c>
      <c r="AX24" s="182" t="s">
        <v>5</v>
      </c>
      <c r="AY24" s="182" t="s">
        <v>5</v>
      </c>
      <c r="AZ24" s="182" t="s">
        <v>5</v>
      </c>
      <c r="CT24" s="182">
        <v>20</v>
      </c>
      <c r="CU24" s="182" t="s">
        <v>328</v>
      </c>
      <c r="CV24" s="182" t="s">
        <v>5</v>
      </c>
      <c r="CW24" s="182" t="s">
        <v>5</v>
      </c>
      <c r="CX24" s="182">
        <v>4</v>
      </c>
      <c r="CY24" s="182">
        <v>2</v>
      </c>
      <c r="CZ24" s="182" t="s">
        <v>5</v>
      </c>
      <c r="DA24" s="182" t="s">
        <v>5</v>
      </c>
      <c r="DB24" s="182" t="s">
        <v>5</v>
      </c>
      <c r="DC24" s="182" t="s">
        <v>5</v>
      </c>
    </row>
    <row r="25" spans="1:107" ht="15" customHeight="1" x14ac:dyDescent="0.2">
      <c r="B25" s="217"/>
      <c r="C25" s="182"/>
      <c r="D25" s="182"/>
      <c r="E25" s="206"/>
      <c r="M25" s="238" t="s">
        <v>144</v>
      </c>
      <c r="N25" s="196"/>
      <c r="O25" s="197"/>
      <c r="AF25" s="182" t="s">
        <v>142</v>
      </c>
      <c r="AG25" s="182" t="s">
        <v>258</v>
      </c>
      <c r="AH25" s="182" t="s">
        <v>5</v>
      </c>
      <c r="AI25" s="182">
        <v>0.97</v>
      </c>
      <c r="AJ25" s="182">
        <v>2.72</v>
      </c>
      <c r="AK25" s="182">
        <v>0.97</v>
      </c>
      <c r="AL25" s="182" t="s">
        <v>5</v>
      </c>
      <c r="AM25" s="331" t="s">
        <v>5</v>
      </c>
      <c r="AN25" s="331" t="s">
        <v>5</v>
      </c>
      <c r="AO25" s="182" t="s">
        <v>5</v>
      </c>
      <c r="AQ25" s="182" t="s">
        <v>205</v>
      </c>
      <c r="AR25" s="182" t="s">
        <v>271</v>
      </c>
      <c r="AS25" s="182">
        <v>7.4999999999999997E-2</v>
      </c>
      <c r="AT25" s="182">
        <v>0.09</v>
      </c>
      <c r="AU25" s="182">
        <v>3.4</v>
      </c>
      <c r="AV25" s="182">
        <v>0.08</v>
      </c>
      <c r="AW25" s="182" t="s">
        <v>5</v>
      </c>
      <c r="AX25" s="182" t="s">
        <v>5</v>
      </c>
      <c r="AY25" s="182" t="s">
        <v>5</v>
      </c>
      <c r="AZ25" s="182" t="s">
        <v>5</v>
      </c>
      <c r="CT25" s="182">
        <v>20</v>
      </c>
      <c r="CU25" s="182" t="s">
        <v>329</v>
      </c>
      <c r="CV25" s="182" t="s">
        <v>5</v>
      </c>
      <c r="CW25" s="182" t="s">
        <v>5</v>
      </c>
      <c r="CX25" s="182">
        <v>2.25</v>
      </c>
      <c r="CY25" s="182">
        <v>2</v>
      </c>
      <c r="CZ25" s="182" t="s">
        <v>5</v>
      </c>
      <c r="DA25" s="182" t="s">
        <v>5</v>
      </c>
      <c r="DB25" s="182" t="s">
        <v>5</v>
      </c>
      <c r="DC25" s="182" t="s">
        <v>5</v>
      </c>
    </row>
    <row r="26" spans="1:107" ht="12.75" customHeight="1" x14ac:dyDescent="0.2">
      <c r="M26" s="239" t="s">
        <v>53</v>
      </c>
      <c r="N26" s="198"/>
      <c r="O26" s="199"/>
      <c r="AF26" s="182" t="s">
        <v>142</v>
      </c>
      <c r="AG26" s="182" t="s">
        <v>259</v>
      </c>
      <c r="AH26" s="182" t="s">
        <v>5</v>
      </c>
      <c r="AI26" s="182">
        <v>0.5</v>
      </c>
      <c r="AJ26" s="182">
        <v>2.2000000000000002</v>
      </c>
      <c r="AK26" s="182">
        <v>0.5</v>
      </c>
      <c r="AL26" s="182" t="s">
        <v>5</v>
      </c>
      <c r="AM26" s="331" t="s">
        <v>5</v>
      </c>
      <c r="AN26" s="331" t="s">
        <v>5</v>
      </c>
      <c r="AO26" s="182" t="s">
        <v>5</v>
      </c>
      <c r="AQ26" s="182" t="s">
        <v>205</v>
      </c>
      <c r="AR26" s="182" t="s">
        <v>272</v>
      </c>
      <c r="AS26" s="182">
        <v>7.4999999999999997E-2</v>
      </c>
      <c r="AT26" s="182">
        <v>0.09</v>
      </c>
      <c r="AU26" s="182">
        <v>3.4</v>
      </c>
      <c r="AV26" s="182">
        <v>0.11</v>
      </c>
      <c r="AW26" s="182" t="s">
        <v>5</v>
      </c>
      <c r="AX26" s="182" t="s">
        <v>5</v>
      </c>
      <c r="AY26" s="182" t="s">
        <v>5</v>
      </c>
      <c r="AZ26" s="182" t="s">
        <v>5</v>
      </c>
      <c r="CT26" s="182">
        <v>20</v>
      </c>
      <c r="CU26" s="182" t="s">
        <v>330</v>
      </c>
      <c r="CV26" s="182" t="s">
        <v>5</v>
      </c>
      <c r="CW26" s="182" t="s">
        <v>5</v>
      </c>
      <c r="CX26" s="182">
        <v>1.25</v>
      </c>
      <c r="CY26" s="182">
        <v>1.25</v>
      </c>
      <c r="CZ26" s="182" t="s">
        <v>5</v>
      </c>
      <c r="DA26" s="182" t="s">
        <v>5</v>
      </c>
      <c r="DB26" s="182" t="s">
        <v>5</v>
      </c>
      <c r="DC26" s="182" t="s">
        <v>5</v>
      </c>
    </row>
    <row r="27" spans="1:107" ht="12.75" customHeight="1" x14ac:dyDescent="0.2">
      <c r="M27" s="239" t="s">
        <v>54</v>
      </c>
      <c r="N27" s="198"/>
      <c r="O27" s="199"/>
      <c r="AF27" s="182" t="s">
        <v>142</v>
      </c>
      <c r="AG27" s="182" t="s">
        <v>260</v>
      </c>
      <c r="AH27" s="182" t="s">
        <v>5</v>
      </c>
      <c r="AI27" s="182">
        <v>0.2</v>
      </c>
      <c r="AJ27" s="182">
        <v>2.2999999999999998</v>
      </c>
      <c r="AK27" s="182">
        <v>0.15</v>
      </c>
      <c r="AL27" s="182" t="s">
        <v>5</v>
      </c>
      <c r="AM27" s="331" t="s">
        <v>5</v>
      </c>
      <c r="AN27" s="331" t="s">
        <v>5</v>
      </c>
      <c r="AO27" s="182" t="s">
        <v>5</v>
      </c>
      <c r="AQ27" s="182" t="s">
        <v>205</v>
      </c>
      <c r="AR27" s="182" t="s">
        <v>273</v>
      </c>
      <c r="AS27" s="182">
        <v>0.1</v>
      </c>
      <c r="AT27" s="182">
        <v>0.125</v>
      </c>
      <c r="AU27" s="182">
        <v>3.4</v>
      </c>
      <c r="AV27" s="182">
        <v>0.14000000000000001</v>
      </c>
      <c r="AW27" s="182" t="s">
        <v>5</v>
      </c>
      <c r="AX27" s="182" t="s">
        <v>5</v>
      </c>
      <c r="AY27" s="182" t="s">
        <v>5</v>
      </c>
      <c r="AZ27" s="182" t="s">
        <v>5</v>
      </c>
    </row>
    <row r="28" spans="1:107" ht="12.75" customHeight="1" x14ac:dyDescent="0.2">
      <c r="B28" s="217"/>
      <c r="C28" s="182"/>
      <c r="D28" s="182"/>
      <c r="E28" s="206"/>
      <c r="M28" s="239" t="s">
        <v>55</v>
      </c>
      <c r="N28" s="198"/>
      <c r="O28" s="199"/>
      <c r="AF28" s="182" t="s">
        <v>142</v>
      </c>
      <c r="AG28" s="182" t="s">
        <v>261</v>
      </c>
      <c r="AH28" s="182" t="s">
        <v>5</v>
      </c>
      <c r="AI28" s="182">
        <v>0.1</v>
      </c>
      <c r="AJ28" s="182">
        <v>1</v>
      </c>
      <c r="AK28" s="182">
        <v>0.08</v>
      </c>
      <c r="AL28" s="182" t="s">
        <v>5</v>
      </c>
      <c r="AM28" s="331" t="s">
        <v>5</v>
      </c>
      <c r="AN28" s="331" t="s">
        <v>5</v>
      </c>
      <c r="AO28" s="182" t="s">
        <v>5</v>
      </c>
      <c r="AQ28" s="182" t="s">
        <v>205</v>
      </c>
      <c r="AR28" s="182" t="s">
        <v>274</v>
      </c>
      <c r="AS28" s="182">
        <v>7.4999999999999997E-2</v>
      </c>
      <c r="AT28" s="182">
        <v>0.09</v>
      </c>
      <c r="AU28" s="182">
        <v>3.4</v>
      </c>
      <c r="AV28" s="182">
        <v>0.2</v>
      </c>
      <c r="AW28" s="182" t="s">
        <v>5</v>
      </c>
      <c r="AX28" s="182" t="s">
        <v>5</v>
      </c>
      <c r="AY28" s="182" t="s">
        <v>5</v>
      </c>
      <c r="AZ28" s="182" t="s">
        <v>5</v>
      </c>
    </row>
    <row r="29" spans="1:107" ht="12.75" customHeight="1" x14ac:dyDescent="0.2">
      <c r="B29" s="217"/>
      <c r="C29" s="182"/>
      <c r="D29" s="182"/>
      <c r="E29" s="206"/>
      <c r="M29" s="240"/>
      <c r="N29" s="241"/>
      <c r="O29" s="242"/>
      <c r="AF29" s="182" t="s">
        <v>142</v>
      </c>
      <c r="AG29" s="182" t="s">
        <v>266</v>
      </c>
      <c r="AH29" s="182">
        <v>6.8000000000000005E-2</v>
      </c>
      <c r="AI29" s="182">
        <v>0.1</v>
      </c>
      <c r="AJ29" s="182">
        <v>1</v>
      </c>
      <c r="AK29" s="182">
        <v>0.06</v>
      </c>
      <c r="AL29" s="182">
        <v>5</v>
      </c>
      <c r="AM29" s="331" t="s">
        <v>5</v>
      </c>
      <c r="AN29" s="331" t="s">
        <v>5</v>
      </c>
      <c r="AO29" s="182" t="s">
        <v>5</v>
      </c>
      <c r="AQ29" s="182" t="s">
        <v>205</v>
      </c>
      <c r="AR29" s="182" t="s">
        <v>275</v>
      </c>
      <c r="AS29" s="182">
        <v>0.125</v>
      </c>
      <c r="AT29" s="182">
        <v>0.14000000000000001</v>
      </c>
      <c r="AU29" s="182">
        <v>3.4</v>
      </c>
      <c r="AV29" s="182">
        <v>0.4</v>
      </c>
      <c r="AW29" s="182" t="s">
        <v>5</v>
      </c>
      <c r="AX29" s="182" t="s">
        <v>5</v>
      </c>
      <c r="AY29" s="182" t="s">
        <v>5</v>
      </c>
      <c r="AZ29" s="182" t="s">
        <v>5</v>
      </c>
    </row>
    <row r="30" spans="1:107" ht="12.75" customHeight="1" x14ac:dyDescent="0.2">
      <c r="M30" s="243"/>
      <c r="N30" s="244"/>
      <c r="O30" s="245"/>
      <c r="AF30" s="182" t="s">
        <v>142</v>
      </c>
      <c r="AG30" s="182" t="s">
        <v>269</v>
      </c>
      <c r="AH30" s="182">
        <v>6.8000000000000005E-2</v>
      </c>
      <c r="AI30" s="182">
        <v>0.1</v>
      </c>
      <c r="AJ30" s="182">
        <v>1</v>
      </c>
      <c r="AK30" s="182">
        <v>0.06</v>
      </c>
      <c r="AL30" s="182">
        <v>4.5</v>
      </c>
      <c r="AM30" s="182" t="s">
        <v>5</v>
      </c>
      <c r="AN30" s="182" t="s">
        <v>5</v>
      </c>
      <c r="AO30" s="182" t="s">
        <v>5</v>
      </c>
      <c r="AQ30" s="182" t="s">
        <v>142</v>
      </c>
      <c r="AR30" s="182" t="s">
        <v>276</v>
      </c>
      <c r="AS30" s="182">
        <v>0.19</v>
      </c>
      <c r="AT30" s="182">
        <v>0.20499999999999999</v>
      </c>
      <c r="AU30" s="182">
        <v>3.4</v>
      </c>
      <c r="AV30" s="182">
        <v>0.6</v>
      </c>
      <c r="AW30" s="182" t="s">
        <v>5</v>
      </c>
      <c r="AX30" s="182" t="s">
        <v>5</v>
      </c>
      <c r="AY30" s="182" t="s">
        <v>5</v>
      </c>
      <c r="AZ30" s="182" t="s">
        <v>5</v>
      </c>
    </row>
    <row r="31" spans="1:107" x14ac:dyDescent="0.2">
      <c r="M31" s="243"/>
      <c r="N31" s="244"/>
      <c r="O31" s="245"/>
      <c r="AF31" s="182" t="s">
        <v>142</v>
      </c>
      <c r="AG31" s="182" t="s">
        <v>262</v>
      </c>
      <c r="AH31" s="182">
        <v>6.8000000000000005E-2</v>
      </c>
      <c r="AI31" s="182">
        <v>0.1</v>
      </c>
      <c r="AJ31" s="182">
        <v>1</v>
      </c>
      <c r="AK31" s="182">
        <v>0.06</v>
      </c>
      <c r="AL31" s="182">
        <v>4.5</v>
      </c>
      <c r="AM31" s="331">
        <v>6000000000000</v>
      </c>
      <c r="AN31" s="331" t="s">
        <v>5</v>
      </c>
      <c r="AO31" s="182" t="s">
        <v>5</v>
      </c>
      <c r="AQ31" s="182" t="s">
        <v>142</v>
      </c>
      <c r="AR31" s="182" t="s">
        <v>308</v>
      </c>
      <c r="AS31" s="182" t="s">
        <v>5</v>
      </c>
      <c r="AT31" s="182" t="s">
        <v>5</v>
      </c>
      <c r="AU31" s="182" t="s">
        <v>5</v>
      </c>
      <c r="AV31" s="182" t="s">
        <v>5</v>
      </c>
      <c r="AW31" s="182" t="s">
        <v>5</v>
      </c>
      <c r="AX31" s="182" t="s">
        <v>5</v>
      </c>
      <c r="AY31" s="182" t="s">
        <v>5</v>
      </c>
      <c r="AZ31" s="182" t="s">
        <v>5</v>
      </c>
    </row>
    <row r="32" spans="1:107" x14ac:dyDescent="0.2">
      <c r="B32" s="217"/>
      <c r="C32" s="182"/>
      <c r="D32" s="182"/>
      <c r="E32" s="206"/>
      <c r="M32" s="243"/>
      <c r="N32" s="244"/>
      <c r="O32" s="245"/>
      <c r="AF32" s="182" t="s">
        <v>142</v>
      </c>
      <c r="AG32" s="182" t="s">
        <v>263</v>
      </c>
      <c r="AH32" s="182">
        <v>6.8000000000000005E-2</v>
      </c>
      <c r="AI32" s="182">
        <v>0.1</v>
      </c>
      <c r="AJ32" s="182">
        <v>1</v>
      </c>
      <c r="AK32" s="182">
        <v>0.06</v>
      </c>
      <c r="AL32" s="182">
        <v>4.5</v>
      </c>
      <c r="AM32" s="331">
        <v>600000000000</v>
      </c>
      <c r="AN32" s="331" t="s">
        <v>5</v>
      </c>
      <c r="AO32" s="182" t="s">
        <v>5</v>
      </c>
    </row>
    <row r="33" spans="2:41" x14ac:dyDescent="0.2">
      <c r="B33" s="217"/>
      <c r="C33" s="182"/>
      <c r="D33" s="182"/>
      <c r="E33" s="206"/>
      <c r="M33" s="239" t="s">
        <v>182</v>
      </c>
      <c r="N33" s="198"/>
      <c r="O33" s="199"/>
      <c r="AF33" s="182" t="s">
        <v>142</v>
      </c>
      <c r="AG33" s="182" t="s">
        <v>264</v>
      </c>
      <c r="AH33" s="182">
        <v>6.8000000000000005E-2</v>
      </c>
      <c r="AI33" s="182">
        <v>0.1</v>
      </c>
      <c r="AJ33" s="182">
        <v>1</v>
      </c>
      <c r="AK33" s="182">
        <v>0.06</v>
      </c>
      <c r="AL33" s="182">
        <v>4.5</v>
      </c>
      <c r="AM33" s="331">
        <v>600000000000</v>
      </c>
      <c r="AN33" s="331" t="s">
        <v>5</v>
      </c>
      <c r="AO33" s="182" t="s">
        <v>5</v>
      </c>
    </row>
    <row r="34" spans="2:41" x14ac:dyDescent="0.2">
      <c r="M34" s="243"/>
      <c r="N34" s="244"/>
      <c r="O34" s="245"/>
      <c r="AF34" s="182" t="s">
        <v>142</v>
      </c>
      <c r="AG34" s="182" t="s">
        <v>265</v>
      </c>
      <c r="AH34" s="182">
        <v>6.8000000000000005E-2</v>
      </c>
      <c r="AI34" s="182">
        <v>0.1</v>
      </c>
      <c r="AJ34" s="182">
        <v>1</v>
      </c>
      <c r="AK34" s="182">
        <v>0.06</v>
      </c>
      <c r="AL34" s="182">
        <v>4.5</v>
      </c>
      <c r="AM34" s="331">
        <v>600000000000</v>
      </c>
      <c r="AN34" s="331" t="s">
        <v>5</v>
      </c>
      <c r="AO34" s="182" t="s">
        <v>5</v>
      </c>
    </row>
    <row r="35" spans="2:41" x14ac:dyDescent="0.2">
      <c r="M35" s="243"/>
      <c r="N35" s="244"/>
      <c r="O35" s="245"/>
      <c r="AG35" s="182" t="s">
        <v>308</v>
      </c>
    </row>
    <row r="36" spans="2:41" ht="12.75" customHeight="1" x14ac:dyDescent="0.2">
      <c r="B36" s="217"/>
      <c r="C36" s="182"/>
      <c r="D36" s="182"/>
      <c r="E36" s="206"/>
      <c r="M36" s="243"/>
      <c r="N36" s="244"/>
      <c r="O36" s="245"/>
    </row>
    <row r="37" spans="2:41" x14ac:dyDescent="0.2">
      <c r="B37" s="217"/>
      <c r="C37" s="182"/>
      <c r="D37" s="182"/>
      <c r="E37" s="206"/>
      <c r="M37" s="239" t="s">
        <v>209</v>
      </c>
      <c r="N37" s="198"/>
      <c r="O37" s="199"/>
    </row>
    <row r="38" spans="2:41" ht="12.75" customHeight="1" x14ac:dyDescent="0.2">
      <c r="M38" s="243"/>
      <c r="N38" s="244"/>
      <c r="O38" s="245"/>
    </row>
    <row r="39" spans="2:41" x14ac:dyDescent="0.2">
      <c r="M39" s="239" t="s">
        <v>218</v>
      </c>
      <c r="N39" s="198"/>
      <c r="O39" s="199"/>
    </row>
    <row r="40" spans="2:41" x14ac:dyDescent="0.2">
      <c r="B40" s="217"/>
      <c r="C40" s="182"/>
      <c r="D40" s="182"/>
      <c r="E40" s="206"/>
      <c r="M40" s="243"/>
      <c r="N40" s="244"/>
      <c r="O40" s="245"/>
    </row>
    <row r="41" spans="2:41" x14ac:dyDescent="0.2">
      <c r="B41" s="217"/>
      <c r="C41" s="182"/>
      <c r="D41" s="182"/>
      <c r="E41" s="206"/>
      <c r="M41" s="239" t="s">
        <v>219</v>
      </c>
      <c r="N41" s="198"/>
      <c r="O41" s="199"/>
    </row>
    <row r="42" spans="2:41" ht="12.75" customHeight="1" x14ac:dyDescent="0.2">
      <c r="M42" s="243"/>
      <c r="N42" s="244"/>
      <c r="O42" s="245"/>
    </row>
    <row r="43" spans="2:41" ht="13.5" thickBot="1" x14ac:dyDescent="0.25">
      <c r="M43" s="247"/>
      <c r="N43" s="248"/>
      <c r="O43" s="249"/>
    </row>
    <row r="44" spans="2:41" ht="13.5" thickBot="1" x14ac:dyDescent="0.25">
      <c r="B44" s="217"/>
      <c r="C44" s="182"/>
      <c r="D44" s="182"/>
      <c r="E44" s="206"/>
      <c r="M44" s="283" t="s">
        <v>3</v>
      </c>
      <c r="N44" s="585"/>
      <c r="O44" s="586"/>
    </row>
    <row r="45" spans="2:41" x14ac:dyDescent="0.2">
      <c r="B45" s="217"/>
      <c r="C45" s="182"/>
      <c r="D45" s="182"/>
      <c r="E45" s="206"/>
      <c r="M45" s="184"/>
    </row>
    <row r="46" spans="2:41" x14ac:dyDescent="0.2">
      <c r="M46" s="184"/>
    </row>
    <row r="47" spans="2:41" ht="13.5" thickBot="1" x14ac:dyDescent="0.25">
      <c r="M47" s="263" t="s">
        <v>135</v>
      </c>
    </row>
    <row r="48" spans="2:41" x14ac:dyDescent="0.2">
      <c r="B48" s="217"/>
      <c r="C48" s="182"/>
      <c r="D48" s="182"/>
      <c r="E48" s="206"/>
      <c r="M48" s="264" t="s">
        <v>145</v>
      </c>
      <c r="N48" s="196"/>
      <c r="O48" s="202"/>
    </row>
    <row r="49" spans="2:15" x14ac:dyDescent="0.2">
      <c r="B49" s="217"/>
      <c r="C49" s="182"/>
      <c r="D49" s="182"/>
      <c r="E49" s="206"/>
      <c r="M49" s="265" t="s">
        <v>146</v>
      </c>
      <c r="N49" s="198"/>
      <c r="O49" s="203"/>
    </row>
    <row r="50" spans="2:15" x14ac:dyDescent="0.2">
      <c r="M50" s="265" t="s">
        <v>147</v>
      </c>
      <c r="N50" s="198"/>
      <c r="O50" s="204"/>
    </row>
    <row r="51" spans="2:15" x14ac:dyDescent="0.2">
      <c r="M51" s="240"/>
      <c r="N51" s="241"/>
      <c r="O51" s="242"/>
    </row>
    <row r="52" spans="2:15" x14ac:dyDescent="0.2">
      <c r="B52" s="217"/>
      <c r="C52" s="182"/>
      <c r="D52" s="182"/>
      <c r="E52" s="206"/>
      <c r="M52" s="243"/>
      <c r="N52" s="244"/>
      <c r="O52" s="245"/>
    </row>
    <row r="53" spans="2:15" x14ac:dyDescent="0.2">
      <c r="B53" s="217"/>
      <c r="C53" s="182"/>
      <c r="D53" s="182"/>
      <c r="E53" s="206"/>
      <c r="M53" s="243"/>
      <c r="N53" s="244"/>
      <c r="O53" s="245"/>
    </row>
    <row r="54" spans="2:15" x14ac:dyDescent="0.2">
      <c r="M54" s="266" t="s">
        <v>148</v>
      </c>
      <c r="N54" s="198"/>
      <c r="O54" s="204"/>
    </row>
    <row r="55" spans="2:15" x14ac:dyDescent="0.2">
      <c r="M55" s="266" t="s">
        <v>149</v>
      </c>
      <c r="N55" s="198"/>
      <c r="O55" s="204"/>
    </row>
    <row r="56" spans="2:15" x14ac:dyDescent="0.2">
      <c r="B56" s="217"/>
      <c r="C56" s="182"/>
      <c r="D56" s="182"/>
      <c r="E56" s="206"/>
      <c r="M56" s="265" t="s">
        <v>183</v>
      </c>
      <c r="N56" s="198"/>
      <c r="O56" s="204"/>
    </row>
    <row r="57" spans="2:15" x14ac:dyDescent="0.2">
      <c r="B57" s="217"/>
      <c r="C57" s="182"/>
      <c r="D57" s="182"/>
      <c r="E57" s="206"/>
      <c r="M57" s="243"/>
      <c r="N57" s="244"/>
      <c r="O57" s="245"/>
    </row>
    <row r="58" spans="2:15" x14ac:dyDescent="0.2">
      <c r="M58" s="243"/>
      <c r="N58" s="244"/>
      <c r="O58" s="245"/>
    </row>
    <row r="59" spans="2:15" x14ac:dyDescent="0.2">
      <c r="M59" s="243"/>
      <c r="N59" s="244"/>
      <c r="O59" s="245"/>
    </row>
    <row r="60" spans="2:15" x14ac:dyDescent="0.2">
      <c r="B60" s="217"/>
      <c r="C60" s="182"/>
      <c r="D60" s="182"/>
      <c r="E60" s="206"/>
      <c r="M60" s="266" t="s">
        <v>209</v>
      </c>
      <c r="N60" s="198"/>
      <c r="O60" s="204"/>
    </row>
    <row r="61" spans="2:15" x14ac:dyDescent="0.2">
      <c r="B61" s="217"/>
      <c r="C61" s="182"/>
      <c r="D61" s="182"/>
      <c r="E61" s="206"/>
      <c r="M61" s="243"/>
      <c r="N61" s="244"/>
      <c r="O61" s="245"/>
    </row>
    <row r="62" spans="2:15" x14ac:dyDescent="0.2">
      <c r="M62" s="266" t="s">
        <v>218</v>
      </c>
      <c r="N62" s="198"/>
      <c r="O62" s="204"/>
    </row>
    <row r="63" spans="2:15" x14ac:dyDescent="0.2">
      <c r="M63" s="243"/>
      <c r="N63" s="244"/>
      <c r="O63" s="245"/>
    </row>
    <row r="64" spans="2:15" x14ac:dyDescent="0.2">
      <c r="B64" s="217"/>
      <c r="C64" s="182"/>
      <c r="D64" s="182"/>
      <c r="E64" s="206"/>
      <c r="M64" s="266" t="s">
        <v>219</v>
      </c>
      <c r="N64" s="198"/>
      <c r="O64" s="204"/>
    </row>
    <row r="65" spans="2:15" x14ac:dyDescent="0.2">
      <c r="B65" s="217"/>
      <c r="C65" s="182"/>
      <c r="D65" s="182"/>
      <c r="E65" s="206"/>
      <c r="M65" s="243"/>
      <c r="N65" s="244"/>
      <c r="O65" s="245"/>
    </row>
    <row r="66" spans="2:15" ht="13.5" thickBot="1" x14ac:dyDescent="0.25">
      <c r="M66" s="247"/>
      <c r="N66" s="248"/>
      <c r="O66" s="249"/>
    </row>
    <row r="67" spans="2:15" ht="13.5" thickBot="1" x14ac:dyDescent="0.25">
      <c r="M67" s="284" t="s">
        <v>3</v>
      </c>
      <c r="N67" s="585"/>
      <c r="O67" s="586"/>
    </row>
    <row r="68" spans="2:15" x14ac:dyDescent="0.2">
      <c r="B68" s="217"/>
      <c r="C68" s="182"/>
      <c r="D68" s="182"/>
      <c r="E68" s="206"/>
      <c r="M68" s="184"/>
    </row>
    <row r="69" spans="2:15" ht="13.5" thickBot="1" x14ac:dyDescent="0.25">
      <c r="B69" s="217"/>
      <c r="C69" s="182"/>
      <c r="D69" s="182"/>
      <c r="E69" s="206"/>
      <c r="M69" s="267" t="s">
        <v>136</v>
      </c>
    </row>
    <row r="70" spans="2:15" x14ac:dyDescent="0.2">
      <c r="M70" s="238" t="s">
        <v>150</v>
      </c>
      <c r="N70" s="196"/>
      <c r="O70" s="197"/>
    </row>
    <row r="71" spans="2:15" x14ac:dyDescent="0.2">
      <c r="M71" s="243"/>
      <c r="N71" s="244"/>
      <c r="O71" s="245"/>
    </row>
    <row r="72" spans="2:15" x14ac:dyDescent="0.2">
      <c r="B72" s="217"/>
      <c r="C72" s="182"/>
      <c r="D72" s="182"/>
      <c r="E72" s="206"/>
      <c r="M72" s="239" t="s">
        <v>46</v>
      </c>
      <c r="N72" s="198"/>
      <c r="O72" s="199"/>
    </row>
    <row r="73" spans="2:15" x14ac:dyDescent="0.2">
      <c r="B73" s="217"/>
      <c r="C73" s="182"/>
      <c r="D73" s="182"/>
      <c r="E73" s="206"/>
      <c r="M73" s="239" t="s">
        <v>184</v>
      </c>
      <c r="N73" s="198"/>
      <c r="O73" s="199"/>
    </row>
    <row r="74" spans="2:15" x14ac:dyDescent="0.2">
      <c r="M74" s="240"/>
      <c r="N74" s="241"/>
      <c r="O74" s="242"/>
    </row>
    <row r="75" spans="2:15" x14ac:dyDescent="0.2">
      <c r="M75" s="243"/>
      <c r="N75" s="244"/>
      <c r="O75" s="245"/>
    </row>
    <row r="76" spans="2:15" x14ac:dyDescent="0.2">
      <c r="B76" s="217"/>
      <c r="C76" s="182"/>
      <c r="D76" s="182"/>
      <c r="E76" s="206"/>
      <c r="M76" s="243"/>
      <c r="N76" s="244"/>
      <c r="O76" s="245"/>
    </row>
    <row r="77" spans="2:15" x14ac:dyDescent="0.2">
      <c r="B77" s="217"/>
      <c r="C77" s="182"/>
      <c r="D77" s="182"/>
      <c r="E77" s="206"/>
      <c r="M77" s="243"/>
      <c r="N77" s="244"/>
      <c r="O77" s="245"/>
    </row>
    <row r="78" spans="2:15" x14ac:dyDescent="0.2">
      <c r="M78" s="243"/>
      <c r="N78" s="244"/>
      <c r="O78" s="245"/>
    </row>
    <row r="79" spans="2:15" x14ac:dyDescent="0.2">
      <c r="M79" s="243"/>
      <c r="N79" s="244"/>
      <c r="O79" s="245"/>
    </row>
    <row r="80" spans="2:15" x14ac:dyDescent="0.2">
      <c r="B80" s="217"/>
      <c r="C80" s="182"/>
      <c r="D80" s="182"/>
      <c r="E80" s="206"/>
      <c r="M80" s="243"/>
      <c r="N80" s="244"/>
      <c r="O80" s="245"/>
    </row>
    <row r="81" spans="2:15" x14ac:dyDescent="0.2">
      <c r="B81" s="217"/>
      <c r="C81" s="182"/>
      <c r="D81" s="182"/>
      <c r="E81" s="206"/>
      <c r="M81" s="243"/>
      <c r="N81" s="244"/>
      <c r="O81" s="245"/>
    </row>
    <row r="82" spans="2:15" x14ac:dyDescent="0.2">
      <c r="M82" s="239" t="s">
        <v>243</v>
      </c>
      <c r="N82" s="198"/>
      <c r="O82" s="199"/>
    </row>
    <row r="83" spans="2:15" x14ac:dyDescent="0.2">
      <c r="M83" s="243"/>
      <c r="N83" s="244"/>
      <c r="O83" s="245"/>
    </row>
    <row r="84" spans="2:15" x14ac:dyDescent="0.2">
      <c r="B84" s="217"/>
      <c r="C84" s="182"/>
      <c r="D84" s="182"/>
      <c r="E84" s="206"/>
      <c r="M84" s="239" t="s">
        <v>244</v>
      </c>
      <c r="N84" s="198"/>
      <c r="O84" s="199"/>
    </row>
    <row r="85" spans="2:15" x14ac:dyDescent="0.2">
      <c r="B85" s="217"/>
      <c r="C85" s="182"/>
      <c r="D85" s="182"/>
      <c r="E85" s="206"/>
      <c r="M85" s="243"/>
      <c r="N85" s="244"/>
      <c r="O85" s="245"/>
    </row>
    <row r="86" spans="2:15" x14ac:dyDescent="0.2">
      <c r="M86" s="239" t="s">
        <v>296</v>
      </c>
      <c r="N86" s="198"/>
      <c r="O86" s="199"/>
    </row>
    <row r="87" spans="2:15" x14ac:dyDescent="0.2">
      <c r="M87" s="243"/>
      <c r="N87" s="244"/>
      <c r="O87" s="245"/>
    </row>
    <row r="88" spans="2:15" ht="13.5" thickBot="1" x14ac:dyDescent="0.25">
      <c r="B88" s="217"/>
      <c r="C88" s="182"/>
      <c r="D88" s="182"/>
      <c r="E88" s="206"/>
      <c r="M88" s="247"/>
      <c r="N88" s="248"/>
      <c r="O88" s="249"/>
    </row>
    <row r="89" spans="2:15" ht="13.5" thickBot="1" x14ac:dyDescent="0.25">
      <c r="B89" s="217"/>
      <c r="C89" s="182"/>
      <c r="D89" s="182"/>
      <c r="E89" s="206"/>
      <c r="M89" s="283" t="s">
        <v>3</v>
      </c>
      <c r="N89" s="585"/>
      <c r="O89" s="586"/>
    </row>
    <row r="90" spans="2:15" x14ac:dyDescent="0.2">
      <c r="M90" s="184"/>
    </row>
    <row r="91" spans="2:15" x14ac:dyDescent="0.2">
      <c r="M91" s="184"/>
    </row>
    <row r="92" spans="2:15" ht="13.5" thickBot="1" x14ac:dyDescent="0.25">
      <c r="B92" s="217"/>
      <c r="C92" s="182"/>
      <c r="D92" s="182"/>
      <c r="E92" s="206"/>
      <c r="M92" s="267" t="s">
        <v>137</v>
      </c>
    </row>
    <row r="93" spans="2:15" x14ac:dyDescent="0.2">
      <c r="B93" s="217"/>
      <c r="C93" s="182"/>
      <c r="D93" s="182"/>
      <c r="E93" s="206"/>
      <c r="M93" s="238" t="s">
        <v>151</v>
      </c>
      <c r="N93" s="196"/>
      <c r="O93" s="197"/>
    </row>
    <row r="94" spans="2:15" x14ac:dyDescent="0.2">
      <c r="M94" s="243"/>
      <c r="N94" s="244"/>
      <c r="O94" s="245"/>
    </row>
    <row r="95" spans="2:15" x14ac:dyDescent="0.2">
      <c r="M95" s="239" t="s">
        <v>51</v>
      </c>
      <c r="N95" s="198"/>
      <c r="O95" s="199"/>
    </row>
    <row r="96" spans="2:15" x14ac:dyDescent="0.2">
      <c r="B96" s="217"/>
      <c r="C96" s="182"/>
      <c r="D96" s="182"/>
      <c r="E96" s="206"/>
      <c r="M96" s="239" t="s">
        <v>37</v>
      </c>
      <c r="N96" s="198"/>
      <c r="O96" s="199"/>
    </row>
    <row r="97" spans="2:15" x14ac:dyDescent="0.2">
      <c r="B97" s="217"/>
      <c r="C97" s="182"/>
      <c r="D97" s="182"/>
      <c r="E97" s="206"/>
      <c r="M97" s="240"/>
      <c r="N97" s="241"/>
      <c r="O97" s="242"/>
    </row>
    <row r="98" spans="2:15" x14ac:dyDescent="0.2">
      <c r="M98" s="243"/>
      <c r="N98" s="244"/>
      <c r="O98" s="245"/>
    </row>
    <row r="99" spans="2:15" x14ac:dyDescent="0.2">
      <c r="M99" s="243"/>
      <c r="N99" s="244"/>
      <c r="O99" s="245"/>
    </row>
    <row r="100" spans="2:15" x14ac:dyDescent="0.2">
      <c r="B100" s="217"/>
      <c r="C100" s="182"/>
      <c r="D100" s="182"/>
      <c r="E100" s="206"/>
      <c r="M100" s="243"/>
      <c r="N100" s="244"/>
      <c r="O100" s="245"/>
    </row>
    <row r="101" spans="2:15" x14ac:dyDescent="0.2">
      <c r="B101" s="217"/>
      <c r="C101" s="182"/>
      <c r="D101" s="182"/>
      <c r="E101" s="206"/>
      <c r="M101" s="243"/>
      <c r="N101" s="244"/>
      <c r="O101" s="245"/>
    </row>
    <row r="102" spans="2:15" x14ac:dyDescent="0.2">
      <c r="M102" s="243"/>
      <c r="N102" s="244"/>
      <c r="O102" s="245"/>
    </row>
    <row r="103" spans="2:15" x14ac:dyDescent="0.2">
      <c r="M103" s="243"/>
      <c r="N103" s="244"/>
      <c r="O103" s="245"/>
    </row>
    <row r="104" spans="2:15" x14ac:dyDescent="0.2">
      <c r="B104" s="217"/>
      <c r="C104" s="182"/>
      <c r="D104" s="182"/>
      <c r="E104" s="206"/>
      <c r="M104" s="243"/>
      <c r="N104" s="244"/>
      <c r="O104" s="245"/>
    </row>
    <row r="105" spans="2:15" x14ac:dyDescent="0.2">
      <c r="B105" s="217"/>
      <c r="C105" s="182"/>
      <c r="D105" s="182"/>
      <c r="E105" s="206"/>
      <c r="M105" s="239" t="s">
        <v>243</v>
      </c>
      <c r="N105" s="198"/>
      <c r="O105" s="199"/>
    </row>
    <row r="106" spans="2:15" x14ac:dyDescent="0.2">
      <c r="M106" s="243"/>
      <c r="N106" s="244"/>
      <c r="O106" s="245"/>
    </row>
    <row r="107" spans="2:15" x14ac:dyDescent="0.2">
      <c r="M107" s="239" t="s">
        <v>244</v>
      </c>
      <c r="N107" s="198"/>
      <c r="O107" s="199"/>
    </row>
    <row r="108" spans="2:15" x14ac:dyDescent="0.2">
      <c r="B108" s="217"/>
      <c r="C108" s="182"/>
      <c r="D108" s="182"/>
      <c r="E108" s="206"/>
      <c r="M108" s="243"/>
      <c r="N108" s="244"/>
      <c r="O108" s="245"/>
    </row>
    <row r="109" spans="2:15" x14ac:dyDescent="0.2">
      <c r="B109" s="217"/>
      <c r="C109" s="182"/>
      <c r="D109" s="182"/>
      <c r="E109" s="206"/>
      <c r="M109" s="239" t="s">
        <v>296</v>
      </c>
      <c r="N109" s="198"/>
      <c r="O109" s="199"/>
    </row>
    <row r="110" spans="2:15" x14ac:dyDescent="0.2">
      <c r="M110" s="243"/>
      <c r="N110" s="244"/>
      <c r="O110" s="245"/>
    </row>
    <row r="111" spans="2:15" ht="13.5" thickBot="1" x14ac:dyDescent="0.25">
      <c r="M111" s="247"/>
      <c r="N111" s="248"/>
      <c r="O111" s="249"/>
    </row>
    <row r="112" spans="2:15" ht="13.5" thickBot="1" x14ac:dyDescent="0.25">
      <c r="B112" s="217"/>
      <c r="C112" s="182"/>
      <c r="D112" s="182"/>
      <c r="E112" s="206"/>
      <c r="M112" s="283" t="s">
        <v>3</v>
      </c>
      <c r="N112" s="585"/>
      <c r="O112" s="586"/>
    </row>
    <row r="113" spans="2:15" x14ac:dyDescent="0.2">
      <c r="B113" s="217"/>
      <c r="C113" s="182"/>
      <c r="D113" s="182"/>
      <c r="E113" s="206"/>
      <c r="M113" s="184"/>
    </row>
    <row r="114" spans="2:15" x14ac:dyDescent="0.2">
      <c r="M114" s="184"/>
    </row>
    <row r="115" spans="2:15" ht="13.5" thickBot="1" x14ac:dyDescent="0.25">
      <c r="M115" s="184" t="s">
        <v>138</v>
      </c>
    </row>
    <row r="116" spans="2:15" x14ac:dyDescent="0.2">
      <c r="B116" s="217"/>
      <c r="C116" s="182"/>
      <c r="D116" s="182"/>
      <c r="E116" s="206"/>
      <c r="M116" s="264" t="s">
        <v>190</v>
      </c>
      <c r="N116" s="196"/>
      <c r="O116" s="202"/>
    </row>
    <row r="117" spans="2:15" x14ac:dyDescent="0.2">
      <c r="B117" s="217"/>
      <c r="C117" s="182"/>
      <c r="D117" s="182"/>
      <c r="E117" s="206"/>
      <c r="M117" s="265" t="s">
        <v>241</v>
      </c>
      <c r="N117" s="198"/>
      <c r="O117" s="203"/>
    </row>
    <row r="118" spans="2:15" x14ac:dyDescent="0.2">
      <c r="M118" s="265" t="s">
        <v>242</v>
      </c>
      <c r="N118" s="198"/>
      <c r="O118" s="204"/>
    </row>
    <row r="119" spans="2:15" x14ac:dyDescent="0.2">
      <c r="M119" s="240"/>
      <c r="N119" s="241"/>
      <c r="O119" s="242"/>
    </row>
    <row r="120" spans="2:15" x14ac:dyDescent="0.2">
      <c r="B120" s="217"/>
      <c r="C120" s="182"/>
      <c r="D120" s="182"/>
      <c r="E120" s="206"/>
      <c r="M120" s="243"/>
      <c r="N120" s="244"/>
      <c r="O120" s="245"/>
    </row>
    <row r="121" spans="2:15" x14ac:dyDescent="0.2">
      <c r="B121" s="217"/>
      <c r="C121" s="182"/>
      <c r="D121" s="182"/>
      <c r="E121" s="206"/>
      <c r="M121" s="243"/>
      <c r="N121" s="244"/>
      <c r="O121" s="245"/>
    </row>
    <row r="122" spans="2:15" x14ac:dyDescent="0.2">
      <c r="M122" s="243"/>
      <c r="N122" s="244"/>
      <c r="O122" s="245"/>
    </row>
    <row r="123" spans="2:15" x14ac:dyDescent="0.2">
      <c r="M123" s="243"/>
      <c r="N123" s="244"/>
      <c r="O123" s="245"/>
    </row>
    <row r="124" spans="2:15" x14ac:dyDescent="0.2">
      <c r="B124" s="217"/>
      <c r="C124" s="182"/>
      <c r="D124" s="182"/>
      <c r="E124" s="206"/>
      <c r="M124" s="243"/>
      <c r="N124" s="244"/>
      <c r="O124" s="245"/>
    </row>
    <row r="125" spans="2:15" x14ac:dyDescent="0.2">
      <c r="B125" s="217"/>
      <c r="C125" s="182"/>
      <c r="D125" s="182"/>
      <c r="E125" s="206"/>
      <c r="M125" s="243"/>
      <c r="N125" s="244"/>
      <c r="O125" s="245"/>
    </row>
    <row r="126" spans="2:15" x14ac:dyDescent="0.2">
      <c r="M126" s="243"/>
      <c r="N126" s="244"/>
      <c r="O126" s="245"/>
    </row>
    <row r="127" spans="2:15" x14ac:dyDescent="0.2">
      <c r="M127" s="243"/>
      <c r="N127" s="244"/>
      <c r="O127" s="245"/>
    </row>
    <row r="128" spans="2:15" x14ac:dyDescent="0.2">
      <c r="B128" s="217"/>
      <c r="C128" s="182"/>
      <c r="D128" s="182"/>
      <c r="E128" s="206"/>
      <c r="M128" s="266" t="s">
        <v>243</v>
      </c>
      <c r="N128" s="198"/>
      <c r="O128" s="204"/>
    </row>
    <row r="129" spans="2:15" x14ac:dyDescent="0.2">
      <c r="B129" s="217"/>
      <c r="C129" s="182"/>
      <c r="D129" s="182"/>
      <c r="E129" s="206"/>
      <c r="M129" s="243"/>
      <c r="N129" s="244"/>
      <c r="O129" s="245"/>
    </row>
    <row r="130" spans="2:15" x14ac:dyDescent="0.2">
      <c r="M130" s="266" t="s">
        <v>244</v>
      </c>
      <c r="N130" s="198"/>
      <c r="O130" s="204"/>
    </row>
    <row r="131" spans="2:15" x14ac:dyDescent="0.2">
      <c r="M131" s="243"/>
      <c r="N131" s="244"/>
      <c r="O131" s="245"/>
    </row>
    <row r="132" spans="2:15" x14ac:dyDescent="0.2">
      <c r="B132" s="217"/>
      <c r="C132" s="182"/>
      <c r="D132" s="182"/>
      <c r="E132" s="206"/>
      <c r="M132" s="243"/>
      <c r="N132" s="244"/>
      <c r="O132" s="245"/>
    </row>
    <row r="133" spans="2:15" x14ac:dyDescent="0.2">
      <c r="B133" s="217"/>
      <c r="C133" s="182"/>
      <c r="D133" s="182"/>
      <c r="E133" s="206"/>
      <c r="M133" s="243"/>
      <c r="N133" s="244"/>
      <c r="O133" s="245"/>
    </row>
    <row r="134" spans="2:15" ht="13.5" thickBot="1" x14ac:dyDescent="0.25">
      <c r="M134" s="247"/>
      <c r="N134" s="248"/>
      <c r="O134" s="249"/>
    </row>
    <row r="135" spans="2:15" ht="13.5" thickBot="1" x14ac:dyDescent="0.25">
      <c r="M135" s="283" t="s">
        <v>3</v>
      </c>
      <c r="N135" s="585"/>
      <c r="O135" s="586"/>
    </row>
    <row r="136" spans="2:15" x14ac:dyDescent="0.2">
      <c r="B136" s="217"/>
      <c r="C136" s="182"/>
      <c r="D136" s="182"/>
      <c r="E136" s="206"/>
      <c r="M136" s="184"/>
    </row>
    <row r="137" spans="2:15" x14ac:dyDescent="0.2">
      <c r="B137" s="217"/>
      <c r="C137" s="182"/>
      <c r="D137" s="182"/>
      <c r="E137" s="206"/>
      <c r="M137" s="184"/>
    </row>
    <row r="138" spans="2:15" ht="13.5" thickBot="1" x14ac:dyDescent="0.25">
      <c r="M138" s="267" t="s">
        <v>139</v>
      </c>
    </row>
    <row r="139" spans="2:15" x14ac:dyDescent="0.2">
      <c r="M139" s="238" t="s">
        <v>152</v>
      </c>
      <c r="N139" s="196"/>
      <c r="O139" s="197"/>
    </row>
    <row r="140" spans="2:15" x14ac:dyDescent="0.2">
      <c r="B140" s="217"/>
      <c r="C140" s="182"/>
      <c r="D140" s="182"/>
      <c r="E140" s="206"/>
      <c r="M140" s="239" t="s">
        <v>340</v>
      </c>
      <c r="N140" s="198"/>
      <c r="O140" s="199"/>
    </row>
    <row r="141" spans="2:15" x14ac:dyDescent="0.2">
      <c r="B141" s="217"/>
      <c r="C141" s="182"/>
      <c r="D141" s="182"/>
      <c r="E141" s="206"/>
      <c r="M141" s="239" t="s">
        <v>341</v>
      </c>
      <c r="N141" s="198"/>
      <c r="O141" s="199"/>
    </row>
    <row r="142" spans="2:15" x14ac:dyDescent="0.2">
      <c r="M142" s="243"/>
      <c r="N142" s="244"/>
      <c r="O142" s="245"/>
    </row>
    <row r="143" spans="2:15" x14ac:dyDescent="0.2">
      <c r="M143" s="243"/>
      <c r="N143" s="244"/>
      <c r="O143" s="245"/>
    </row>
    <row r="144" spans="2:15" x14ac:dyDescent="0.2">
      <c r="B144" s="217"/>
      <c r="C144" s="182"/>
      <c r="D144" s="182"/>
      <c r="E144" s="206"/>
      <c r="M144" s="243"/>
      <c r="N144" s="244"/>
      <c r="O144" s="245"/>
    </row>
    <row r="145" spans="1:15" x14ac:dyDescent="0.2">
      <c r="B145" s="217"/>
      <c r="C145" s="182"/>
      <c r="D145" s="182"/>
      <c r="E145" s="206"/>
      <c r="M145" s="243"/>
      <c r="N145" s="244"/>
      <c r="O145" s="245"/>
    </row>
    <row r="146" spans="1:15" x14ac:dyDescent="0.2">
      <c r="A146" s="219"/>
      <c r="F146" s="192"/>
      <c r="G146" s="192"/>
      <c r="H146" s="192"/>
      <c r="I146" s="192"/>
      <c r="J146" s="192"/>
      <c r="K146" s="192"/>
      <c r="M146" s="243"/>
      <c r="N146" s="244"/>
      <c r="O146" s="245"/>
    </row>
    <row r="147" spans="1:15" x14ac:dyDescent="0.2">
      <c r="A147" s="217" t="s">
        <v>232</v>
      </c>
      <c r="B147" s="206"/>
      <c r="C147" s="182"/>
      <c r="D147" s="182"/>
      <c r="F147" s="192"/>
      <c r="G147" s="192"/>
      <c r="H147" s="192"/>
      <c r="I147" s="192"/>
      <c r="J147" s="192"/>
      <c r="K147" s="192"/>
      <c r="M147" s="239" t="s">
        <v>174</v>
      </c>
      <c r="N147" s="198"/>
      <c r="O147" s="199"/>
    </row>
    <row r="148" spans="1:15" ht="12.75" customHeight="1" x14ac:dyDescent="0.2">
      <c r="A148" s="268" t="s">
        <v>34</v>
      </c>
      <c r="B148" s="382"/>
      <c r="C148" s="382"/>
      <c r="D148" s="382"/>
      <c r="E148" s="382" t="s">
        <v>31</v>
      </c>
      <c r="F148" s="612"/>
      <c r="G148" s="612"/>
      <c r="H148" s="612"/>
      <c r="I148" s="612"/>
      <c r="J148" s="612"/>
      <c r="K148" s="613"/>
      <c r="M148" s="243"/>
      <c r="N148" s="244"/>
      <c r="O148" s="245"/>
    </row>
    <row r="149" spans="1:15" ht="12.75" customHeight="1" x14ac:dyDescent="0.2">
      <c r="A149" s="269" t="s">
        <v>68</v>
      </c>
      <c r="B149" s="280">
        <v>200</v>
      </c>
      <c r="C149" s="190">
        <v>525</v>
      </c>
      <c r="D149" s="190" t="s">
        <v>5</v>
      </c>
      <c r="E149" s="191" t="s">
        <v>5</v>
      </c>
      <c r="F149" s="608"/>
      <c r="G149" s="609"/>
      <c r="H149" s="609"/>
      <c r="I149" s="609"/>
      <c r="J149" s="609"/>
      <c r="K149" s="610"/>
      <c r="M149" s="243"/>
      <c r="N149" s="244"/>
      <c r="O149" s="245"/>
    </row>
    <row r="150" spans="1:15" ht="12.75" customHeight="1" x14ac:dyDescent="0.2">
      <c r="A150" s="270" t="s">
        <v>0</v>
      </c>
      <c r="B150" s="280">
        <v>1</v>
      </c>
      <c r="C150" s="190" t="s">
        <v>5</v>
      </c>
      <c r="D150" s="190" t="s">
        <v>5</v>
      </c>
      <c r="E150" s="191" t="s">
        <v>5</v>
      </c>
      <c r="F150" s="608"/>
      <c r="G150" s="609"/>
      <c r="H150" s="609"/>
      <c r="I150" s="609"/>
      <c r="J150" s="609"/>
      <c r="K150" s="610"/>
      <c r="M150" s="243"/>
      <c r="N150" s="244"/>
      <c r="O150" s="245"/>
    </row>
    <row r="151" spans="1:15" ht="12.75" customHeight="1" x14ac:dyDescent="0.2">
      <c r="A151" s="270" t="s">
        <v>35</v>
      </c>
      <c r="B151" s="280">
        <v>1</v>
      </c>
      <c r="C151" s="190" t="s">
        <v>5</v>
      </c>
      <c r="D151" s="190" t="s">
        <v>5</v>
      </c>
      <c r="E151" s="191" t="s">
        <v>5</v>
      </c>
      <c r="F151" s="608"/>
      <c r="G151" s="609"/>
      <c r="H151" s="609"/>
      <c r="I151" s="609"/>
      <c r="J151" s="609"/>
      <c r="K151" s="610"/>
      <c r="M151" s="239" t="s">
        <v>27</v>
      </c>
      <c r="N151" s="198"/>
      <c r="O151" s="199"/>
    </row>
    <row r="152" spans="1:15" ht="12.75" customHeight="1" x14ac:dyDescent="0.2">
      <c r="A152" s="271" t="s">
        <v>36</v>
      </c>
      <c r="B152" s="280">
        <v>1</v>
      </c>
      <c r="C152" s="190" t="s">
        <v>5</v>
      </c>
      <c r="D152" s="190" t="s">
        <v>5</v>
      </c>
      <c r="E152" s="191" t="s">
        <v>5</v>
      </c>
      <c r="F152" s="608"/>
      <c r="G152" s="609"/>
      <c r="H152" s="609"/>
      <c r="I152" s="609"/>
      <c r="J152" s="609"/>
      <c r="K152" s="610"/>
      <c r="M152" s="243"/>
      <c r="N152" s="244"/>
      <c r="O152" s="245"/>
    </row>
    <row r="153" spans="1:15" ht="12.75" customHeight="1" x14ac:dyDescent="0.2">
      <c r="A153" s="272" t="s">
        <v>53</v>
      </c>
      <c r="B153" s="280">
        <v>1</v>
      </c>
      <c r="C153" s="190" t="s">
        <v>5</v>
      </c>
      <c r="D153" s="190" t="s">
        <v>5</v>
      </c>
      <c r="E153" s="191" t="s">
        <v>5</v>
      </c>
      <c r="F153" s="608"/>
      <c r="G153" s="609"/>
      <c r="H153" s="609"/>
      <c r="I153" s="609"/>
      <c r="J153" s="609"/>
      <c r="K153" s="610"/>
      <c r="M153" s="239" t="s">
        <v>297</v>
      </c>
      <c r="N153" s="198"/>
      <c r="O153" s="199"/>
    </row>
    <row r="154" spans="1:15" x14ac:dyDescent="0.2">
      <c r="A154" s="273" t="s">
        <v>54</v>
      </c>
      <c r="B154" s="382"/>
      <c r="C154" s="382"/>
      <c r="D154" s="382"/>
      <c r="E154" s="382" t="s">
        <v>32</v>
      </c>
      <c r="F154" s="612"/>
      <c r="G154" s="612"/>
      <c r="H154" s="612"/>
      <c r="I154" s="612"/>
      <c r="J154" s="612"/>
      <c r="K154" s="613"/>
      <c r="M154" s="243"/>
      <c r="N154" s="244"/>
      <c r="O154" s="245"/>
    </row>
    <row r="155" spans="1:15" ht="12.75" customHeight="1" x14ac:dyDescent="0.2">
      <c r="A155" s="274" t="str">
        <f>CONCATENATE("3.1 NEDC 20°C ",'Variant 1 - NEDC (Fuel1)'!$B$67)</f>
        <v>3.1 NEDC 20°C Drive Mode 1</v>
      </c>
      <c r="B155" s="280">
        <v>1</v>
      </c>
      <c r="C155" s="190" t="s">
        <v>5</v>
      </c>
      <c r="D155" s="190" t="s">
        <v>5</v>
      </c>
      <c r="E155" s="191" t="s">
        <v>5</v>
      </c>
      <c r="F155" s="608"/>
      <c r="G155" s="609"/>
      <c r="H155" s="609"/>
      <c r="I155" s="609"/>
      <c r="J155" s="609"/>
      <c r="K155" s="610"/>
      <c r="M155" s="239" t="s">
        <v>1</v>
      </c>
      <c r="N155" s="198"/>
      <c r="O155" s="199"/>
    </row>
    <row r="156" spans="1:15" ht="12.75" customHeight="1" x14ac:dyDescent="0.2">
      <c r="A156" s="274" t="str">
        <f>CONCATENATE("3.2 NEDC 20°C ",'Variant 1 - NEDC (Fuel1)'!$B$72)</f>
        <v>3.2 NEDC 20°C Drive Mode 2</v>
      </c>
      <c r="B156" s="280">
        <v>1</v>
      </c>
      <c r="C156" s="190" t="s">
        <v>5</v>
      </c>
      <c r="D156" s="190" t="s">
        <v>5</v>
      </c>
      <c r="E156" s="191" t="s">
        <v>5</v>
      </c>
      <c r="F156" s="608"/>
      <c r="G156" s="609"/>
      <c r="H156" s="609"/>
      <c r="I156" s="609"/>
      <c r="J156" s="609"/>
      <c r="K156" s="610"/>
      <c r="M156" s="243"/>
      <c r="N156" s="244"/>
      <c r="O156" s="245"/>
    </row>
    <row r="157" spans="1:15" ht="13.5" customHeight="1" thickBot="1" x14ac:dyDescent="0.25">
      <c r="A157" s="274" t="str">
        <f>CONCATENATE("3.3 NEDC 20°C ",'Variant 1 - NEDC (Fuel1)'!$B$77)</f>
        <v>3.3 NEDC 20°C Drive Mode 3</v>
      </c>
      <c r="B157" s="280">
        <v>1</v>
      </c>
      <c r="C157" s="190" t="s">
        <v>5</v>
      </c>
      <c r="D157" s="190" t="s">
        <v>5</v>
      </c>
      <c r="E157" s="191" t="s">
        <v>5</v>
      </c>
      <c r="F157" s="608"/>
      <c r="G157" s="609"/>
      <c r="H157" s="609"/>
      <c r="I157" s="609"/>
      <c r="J157" s="609"/>
      <c r="K157" s="610"/>
      <c r="M157" s="243"/>
      <c r="N157" s="244"/>
      <c r="O157" s="245"/>
    </row>
    <row r="158" spans="1:15" ht="13.5" customHeight="1" thickBot="1" x14ac:dyDescent="0.25">
      <c r="A158" s="274" t="str">
        <f>CONCATENATE("3.4 NEDC 20°C ",'Variant 1 - NEDC (Fuel1)'!$B$82)</f>
        <v>3.4 NEDC 20°C Drive Mode 4</v>
      </c>
      <c r="B158" s="280">
        <v>1</v>
      </c>
      <c r="C158" s="190" t="s">
        <v>5</v>
      </c>
      <c r="D158" s="190" t="s">
        <v>5</v>
      </c>
      <c r="E158" s="191" t="s">
        <v>5</v>
      </c>
      <c r="F158" s="608"/>
      <c r="G158" s="609"/>
      <c r="H158" s="609"/>
      <c r="I158" s="609"/>
      <c r="J158" s="609"/>
      <c r="K158" s="610"/>
      <c r="M158" s="283" t="s">
        <v>3</v>
      </c>
      <c r="N158" s="585"/>
      <c r="O158" s="586"/>
    </row>
    <row r="159" spans="1:15" ht="12.75" customHeight="1" x14ac:dyDescent="0.2">
      <c r="A159" s="274" t="str">
        <f>CONCATENATE("3.5 NEDC 20°C ",'Variant 1 - NEDC (Fuel1)'!$B$87)</f>
        <v>3.5 NEDC 20°C Drive Mode 5</v>
      </c>
      <c r="B159" s="280">
        <v>1</v>
      </c>
      <c r="C159" s="190" t="s">
        <v>5</v>
      </c>
      <c r="D159" s="190" t="s">
        <v>5</v>
      </c>
      <c r="E159" s="191" t="s">
        <v>5</v>
      </c>
      <c r="F159" s="608"/>
      <c r="G159" s="609"/>
      <c r="H159" s="609"/>
      <c r="I159" s="609"/>
      <c r="J159" s="609"/>
      <c r="K159" s="610"/>
      <c r="M159" s="184"/>
    </row>
    <row r="160" spans="1:15" ht="12.75" customHeight="1" x14ac:dyDescent="0.2">
      <c r="A160" s="274" t="str">
        <f>CONCATENATE("3.6 NEDC 20°C ",'Variant 1 - NEDC (Fuel1)'!$B$92)</f>
        <v>3.6 NEDC 20°C Drive Mode 6</v>
      </c>
      <c r="B160" s="280">
        <v>1</v>
      </c>
      <c r="C160" s="190" t="s">
        <v>5</v>
      </c>
      <c r="D160" s="190" t="s">
        <v>5</v>
      </c>
      <c r="E160" s="191" t="s">
        <v>5</v>
      </c>
      <c r="F160" s="608"/>
      <c r="G160" s="609"/>
      <c r="H160" s="609"/>
      <c r="I160" s="609"/>
      <c r="J160" s="609"/>
      <c r="K160" s="610"/>
      <c r="M160" s="184"/>
    </row>
    <row r="161" spans="1:28" ht="12.75" customHeight="1" x14ac:dyDescent="0.2">
      <c r="A161" s="275" t="s">
        <v>55</v>
      </c>
      <c r="B161" s="280">
        <v>1</v>
      </c>
      <c r="C161" s="190" t="s">
        <v>5</v>
      </c>
      <c r="D161" s="190" t="s">
        <v>5</v>
      </c>
      <c r="E161" s="191" t="s">
        <v>5</v>
      </c>
      <c r="F161" s="608"/>
      <c r="G161" s="609"/>
      <c r="H161" s="609"/>
      <c r="I161" s="609"/>
      <c r="J161" s="609"/>
      <c r="K161" s="610"/>
      <c r="M161" s="184"/>
      <c r="O161" s="184"/>
      <c r="X161" s="192"/>
      <c r="Y161" s="192"/>
      <c r="Z161" s="192"/>
      <c r="AA161" s="192"/>
      <c r="AB161" s="192"/>
    </row>
    <row r="162" spans="1:28" x14ac:dyDescent="0.2">
      <c r="A162" s="273" t="s">
        <v>182</v>
      </c>
      <c r="B162" s="280" t="s">
        <v>5</v>
      </c>
      <c r="C162" s="190" t="s">
        <v>5</v>
      </c>
      <c r="D162" s="190" t="s">
        <v>5</v>
      </c>
      <c r="E162" s="191" t="s">
        <v>5</v>
      </c>
      <c r="F162" s="608"/>
      <c r="G162" s="609"/>
      <c r="H162" s="609"/>
      <c r="I162" s="609"/>
      <c r="J162" s="609"/>
      <c r="K162" s="610"/>
      <c r="M162" s="184"/>
      <c r="N162" s="192"/>
      <c r="O162" s="192"/>
      <c r="X162" s="192"/>
      <c r="Y162" s="192"/>
      <c r="Z162" s="192"/>
      <c r="AA162" s="192"/>
      <c r="AB162" s="192"/>
    </row>
    <row r="163" spans="1:28" x14ac:dyDescent="0.2">
      <c r="A163" s="275" t="s">
        <v>209</v>
      </c>
      <c r="B163" s="382" t="s">
        <v>5</v>
      </c>
      <c r="C163" s="190" t="s">
        <v>5</v>
      </c>
      <c r="D163" s="190" t="s">
        <v>5</v>
      </c>
      <c r="E163" s="191" t="s">
        <v>5</v>
      </c>
      <c r="F163" s="608"/>
      <c r="G163" s="609"/>
      <c r="H163" s="609"/>
      <c r="I163" s="609"/>
      <c r="J163" s="609"/>
      <c r="K163" s="610"/>
      <c r="M163" s="259"/>
      <c r="N163" s="200"/>
      <c r="O163" s="201"/>
      <c r="X163" s="192"/>
      <c r="Y163" s="192"/>
      <c r="Z163" s="192"/>
      <c r="AA163" s="192"/>
      <c r="AB163" s="192"/>
    </row>
    <row r="164" spans="1:28" x14ac:dyDescent="0.2">
      <c r="A164" s="275" t="s">
        <v>298</v>
      </c>
      <c r="B164" s="382"/>
      <c r="C164" s="382"/>
      <c r="D164" s="382"/>
      <c r="E164" s="382"/>
      <c r="F164" s="612"/>
      <c r="G164" s="612"/>
      <c r="H164" s="612"/>
      <c r="I164" s="612"/>
      <c r="J164" s="612"/>
      <c r="K164" s="613"/>
      <c r="M164" s="259"/>
      <c r="N164" s="200"/>
      <c r="O164" s="201"/>
    </row>
    <row r="165" spans="1:28" x14ac:dyDescent="0.2">
      <c r="A165" s="270" t="s">
        <v>210</v>
      </c>
      <c r="B165" s="382">
        <v>2</v>
      </c>
      <c r="C165" s="190" t="s">
        <v>5</v>
      </c>
      <c r="D165" s="190" t="s">
        <v>5</v>
      </c>
      <c r="E165" s="191" t="s">
        <v>5</v>
      </c>
      <c r="F165" s="608"/>
      <c r="G165" s="609"/>
      <c r="H165" s="609"/>
      <c r="I165" s="609"/>
      <c r="J165" s="609"/>
      <c r="K165" s="610"/>
      <c r="M165" s="259"/>
      <c r="N165" s="200"/>
      <c r="O165" s="201"/>
    </row>
    <row r="166" spans="1:28" ht="12.75" customHeight="1" x14ac:dyDescent="0.2">
      <c r="A166" s="270" t="s">
        <v>211</v>
      </c>
      <c r="B166" s="382">
        <v>4</v>
      </c>
      <c r="C166" s="190" t="s">
        <v>5</v>
      </c>
      <c r="D166" s="190" t="s">
        <v>5</v>
      </c>
      <c r="E166" s="191" t="s">
        <v>5</v>
      </c>
      <c r="F166" s="608"/>
      <c r="G166" s="609"/>
      <c r="H166" s="609"/>
      <c r="I166" s="609"/>
      <c r="J166" s="609"/>
      <c r="K166" s="610"/>
      <c r="M166" s="259"/>
      <c r="N166" s="200"/>
      <c r="O166" s="201"/>
    </row>
    <row r="167" spans="1:28" ht="12.75" customHeight="1" x14ac:dyDescent="0.2">
      <c r="A167" s="275" t="s">
        <v>219</v>
      </c>
      <c r="B167" s="382"/>
      <c r="C167" s="382"/>
      <c r="D167" s="382"/>
      <c r="E167" s="382"/>
      <c r="F167" s="612"/>
      <c r="G167" s="612"/>
      <c r="H167" s="612"/>
      <c r="I167" s="612"/>
      <c r="J167" s="612"/>
      <c r="K167" s="613"/>
      <c r="M167" s="184"/>
      <c r="N167" s="192"/>
      <c r="O167" s="192"/>
    </row>
    <row r="168" spans="1:28" x14ac:dyDescent="0.2">
      <c r="A168" s="270" t="s">
        <v>212</v>
      </c>
      <c r="B168" s="382">
        <v>4</v>
      </c>
      <c r="C168" s="190" t="s">
        <v>5</v>
      </c>
      <c r="D168" s="190" t="s">
        <v>5</v>
      </c>
      <c r="E168" s="191" t="s">
        <v>5</v>
      </c>
      <c r="F168" s="608"/>
      <c r="G168" s="609"/>
      <c r="H168" s="609"/>
      <c r="I168" s="609"/>
      <c r="J168" s="609"/>
      <c r="K168" s="610"/>
      <c r="M168" s="184"/>
      <c r="N168" s="594" t="s">
        <v>283</v>
      </c>
      <c r="O168" s="857"/>
    </row>
    <row r="169" spans="1:28" ht="12.75" customHeight="1" x14ac:dyDescent="0.2">
      <c r="A169" s="270" t="s">
        <v>213</v>
      </c>
      <c r="B169" s="382">
        <v>4</v>
      </c>
      <c r="C169" s="190" t="s">
        <v>5</v>
      </c>
      <c r="D169" s="190" t="s">
        <v>5</v>
      </c>
      <c r="E169" s="191" t="s">
        <v>5</v>
      </c>
      <c r="F169" s="608"/>
      <c r="G169" s="609"/>
      <c r="H169" s="609"/>
      <c r="I169" s="609"/>
      <c r="J169" s="609"/>
      <c r="K169" s="610"/>
      <c r="M169" s="184"/>
      <c r="N169" s="596"/>
      <c r="O169" s="858"/>
    </row>
    <row r="170" spans="1:28" ht="12.75" customHeight="1" x14ac:dyDescent="0.2">
      <c r="A170" s="270" t="s">
        <v>214</v>
      </c>
      <c r="B170" s="382">
        <v>4</v>
      </c>
      <c r="C170" s="190" t="s">
        <v>5</v>
      </c>
      <c r="D170" s="190" t="s">
        <v>5</v>
      </c>
      <c r="E170" s="191" t="s">
        <v>5</v>
      </c>
      <c r="F170" s="608"/>
      <c r="G170" s="609"/>
      <c r="H170" s="609"/>
      <c r="I170" s="609"/>
      <c r="J170" s="609"/>
      <c r="K170" s="610"/>
      <c r="M170" s="184"/>
      <c r="N170" s="596"/>
      <c r="O170" s="858"/>
    </row>
    <row r="171" spans="1:28" ht="12.75" customHeight="1" x14ac:dyDescent="0.2">
      <c r="A171" s="270" t="s">
        <v>215</v>
      </c>
      <c r="B171" s="382">
        <v>4</v>
      </c>
      <c r="C171" s="190" t="s">
        <v>5</v>
      </c>
      <c r="D171" s="190" t="s">
        <v>5</v>
      </c>
      <c r="E171" s="191" t="s">
        <v>5</v>
      </c>
      <c r="F171" s="608"/>
      <c r="G171" s="609"/>
      <c r="H171" s="609"/>
      <c r="I171" s="609"/>
      <c r="J171" s="609"/>
      <c r="K171" s="610"/>
      <c r="M171" s="184"/>
      <c r="N171" s="598"/>
      <c r="O171" s="859"/>
    </row>
    <row r="172" spans="1:28" ht="12.75" customHeight="1" x14ac:dyDescent="0.2">
      <c r="A172" s="270" t="s">
        <v>216</v>
      </c>
      <c r="B172" s="382">
        <v>4</v>
      </c>
      <c r="C172" s="190" t="s">
        <v>5</v>
      </c>
      <c r="D172" s="190" t="s">
        <v>5</v>
      </c>
      <c r="E172" s="191" t="s">
        <v>5</v>
      </c>
      <c r="F172" s="608"/>
      <c r="G172" s="609"/>
      <c r="H172" s="609"/>
      <c r="I172" s="609"/>
      <c r="J172" s="609"/>
      <c r="K172" s="610"/>
      <c r="M172" s="184"/>
    </row>
    <row r="173" spans="1:28" ht="12.75" customHeight="1" thickBot="1" x14ac:dyDescent="0.25">
      <c r="A173" s="270" t="s">
        <v>217</v>
      </c>
      <c r="B173" s="382">
        <v>4</v>
      </c>
      <c r="C173" s="190" t="s">
        <v>5</v>
      </c>
      <c r="D173" s="190" t="s">
        <v>5</v>
      </c>
      <c r="E173" s="191" t="s">
        <v>5</v>
      </c>
      <c r="F173" s="608"/>
      <c r="G173" s="609"/>
      <c r="H173" s="609"/>
      <c r="I173" s="609"/>
      <c r="J173" s="609"/>
      <c r="K173" s="610"/>
      <c r="M173" s="263" t="s">
        <v>207</v>
      </c>
    </row>
    <row r="174" spans="1:28" ht="12.75" customHeight="1" x14ac:dyDescent="0.2">
      <c r="A174" s="275" t="s">
        <v>5</v>
      </c>
      <c r="B174" s="383"/>
      <c r="C174" s="383"/>
      <c r="D174" s="383"/>
      <c r="E174" s="383"/>
      <c r="F174" s="655"/>
      <c r="G174" s="656"/>
      <c r="H174" s="656"/>
      <c r="I174" s="656"/>
      <c r="J174" s="656"/>
      <c r="K174" s="657"/>
      <c r="M174" s="264" t="s">
        <v>145</v>
      </c>
      <c r="N174" s="196"/>
      <c r="O174" s="202"/>
    </row>
    <row r="175" spans="1:28" x14ac:dyDescent="0.2">
      <c r="A175" s="275" t="s">
        <v>5</v>
      </c>
      <c r="B175" s="383"/>
      <c r="C175" s="383"/>
      <c r="D175" s="383"/>
      <c r="E175" s="383"/>
      <c r="F175" s="648"/>
      <c r="G175" s="648"/>
      <c r="H175" s="648"/>
      <c r="I175" s="648"/>
      <c r="J175" s="648"/>
      <c r="K175" s="649"/>
      <c r="M175" s="265" t="s">
        <v>146</v>
      </c>
      <c r="N175" s="198"/>
      <c r="O175" s="203"/>
    </row>
    <row r="176" spans="1:28" x14ac:dyDescent="0.2">
      <c r="A176" s="275" t="s">
        <v>5</v>
      </c>
      <c r="B176" s="383"/>
      <c r="C176" s="383"/>
      <c r="D176" s="383"/>
      <c r="E176" s="383"/>
      <c r="F176" s="648"/>
      <c r="G176" s="648"/>
      <c r="H176" s="648"/>
      <c r="I176" s="648"/>
      <c r="J176" s="648"/>
      <c r="K176" s="649"/>
      <c r="M176" s="265" t="s">
        <v>147</v>
      </c>
      <c r="N176" s="198"/>
      <c r="O176" s="204"/>
    </row>
    <row r="177" spans="1:15" x14ac:dyDescent="0.2">
      <c r="A177" s="275" t="s">
        <v>5</v>
      </c>
      <c r="B177" s="383"/>
      <c r="C177" s="383"/>
      <c r="D177" s="383"/>
      <c r="E177" s="383"/>
      <c r="F177" s="648"/>
      <c r="G177" s="648"/>
      <c r="H177" s="648"/>
      <c r="I177" s="648"/>
      <c r="J177" s="648"/>
      <c r="K177" s="649"/>
      <c r="M177" s="240"/>
      <c r="N177" s="241"/>
      <c r="O177" s="242"/>
    </row>
    <row r="178" spans="1:15" x14ac:dyDescent="0.2">
      <c r="A178" s="275" t="s">
        <v>5</v>
      </c>
      <c r="B178" s="383"/>
      <c r="C178" s="383"/>
      <c r="D178" s="383"/>
      <c r="E178" s="383"/>
      <c r="F178" s="648"/>
      <c r="G178" s="648"/>
      <c r="H178" s="648"/>
      <c r="I178" s="648"/>
      <c r="J178" s="648"/>
      <c r="K178" s="649"/>
      <c r="M178" s="243"/>
      <c r="N178" s="244"/>
      <c r="O178" s="245"/>
    </row>
    <row r="179" spans="1:15" x14ac:dyDescent="0.2">
      <c r="A179" s="275" t="s">
        <v>5</v>
      </c>
      <c r="B179" s="383"/>
      <c r="C179" s="383"/>
      <c r="D179" s="383"/>
      <c r="E179" s="383"/>
      <c r="F179" s="648"/>
      <c r="G179" s="648"/>
      <c r="H179" s="648"/>
      <c r="I179" s="648"/>
      <c r="J179" s="648"/>
      <c r="K179" s="649"/>
      <c r="M179" s="243"/>
      <c r="N179" s="244"/>
      <c r="O179" s="245"/>
    </row>
    <row r="180" spans="1:15" x14ac:dyDescent="0.2">
      <c r="A180" s="275" t="s">
        <v>5</v>
      </c>
      <c r="B180" s="383"/>
      <c r="C180" s="383"/>
      <c r="D180" s="383"/>
      <c r="E180" s="383"/>
      <c r="F180" s="648"/>
      <c r="G180" s="648"/>
      <c r="H180" s="648"/>
      <c r="I180" s="648"/>
      <c r="J180" s="648"/>
      <c r="K180" s="649"/>
      <c r="M180" s="243"/>
      <c r="N180" s="244"/>
      <c r="O180" s="245"/>
    </row>
    <row r="181" spans="1:15" x14ac:dyDescent="0.2">
      <c r="A181" s="275" t="s">
        <v>5</v>
      </c>
      <c r="B181" s="383"/>
      <c r="C181" s="383"/>
      <c r="D181" s="383"/>
      <c r="E181" s="383"/>
      <c r="F181" s="648"/>
      <c r="G181" s="648"/>
      <c r="H181" s="648"/>
      <c r="I181" s="648"/>
      <c r="J181" s="648"/>
      <c r="K181" s="649"/>
      <c r="M181" s="266" t="s">
        <v>208</v>
      </c>
      <c r="N181" s="198"/>
      <c r="O181" s="204"/>
    </row>
    <row r="182" spans="1:15" x14ac:dyDescent="0.2">
      <c r="A182" s="275" t="s">
        <v>5</v>
      </c>
      <c r="B182" s="383"/>
      <c r="C182" s="383"/>
      <c r="D182" s="383"/>
      <c r="E182" s="383"/>
      <c r="F182" s="648"/>
      <c r="G182" s="648"/>
      <c r="H182" s="648"/>
      <c r="I182" s="648"/>
      <c r="J182" s="648"/>
      <c r="K182" s="649"/>
      <c r="M182" s="243"/>
      <c r="N182" s="244"/>
      <c r="O182" s="245"/>
    </row>
    <row r="183" spans="1:15" ht="13.5" thickBot="1" x14ac:dyDescent="0.25">
      <c r="A183" s="276" t="s">
        <v>5</v>
      </c>
      <c r="B183" s="384"/>
      <c r="C183" s="384"/>
      <c r="D183" s="384"/>
      <c r="E183" s="384"/>
      <c r="F183" s="653"/>
      <c r="G183" s="653"/>
      <c r="H183" s="653"/>
      <c r="I183" s="653"/>
      <c r="J183" s="653"/>
      <c r="K183" s="654"/>
      <c r="M183" s="243"/>
      <c r="N183" s="244"/>
      <c r="O183" s="245"/>
    </row>
    <row r="184" spans="1:15" x14ac:dyDescent="0.2">
      <c r="A184" s="219"/>
      <c r="B184" s="279"/>
      <c r="C184" s="279"/>
      <c r="D184" s="312"/>
      <c r="E184" s="279"/>
      <c r="F184" s="593"/>
      <c r="G184" s="593"/>
      <c r="H184" s="593"/>
      <c r="I184" s="593"/>
      <c r="J184" s="593"/>
      <c r="K184" s="593"/>
      <c r="M184" s="243"/>
      <c r="N184" s="244"/>
      <c r="O184" s="245"/>
    </row>
    <row r="185" spans="1:15" x14ac:dyDescent="0.2">
      <c r="A185" s="192"/>
      <c r="E185" s="206"/>
      <c r="F185" s="863"/>
      <c r="G185" s="863"/>
      <c r="H185" s="863"/>
      <c r="I185" s="863"/>
      <c r="J185" s="863"/>
      <c r="K185" s="863"/>
      <c r="M185" s="243"/>
      <c r="N185" s="244"/>
      <c r="O185" s="245"/>
    </row>
    <row r="186" spans="1:15" x14ac:dyDescent="0.2">
      <c r="A186" s="220" t="s">
        <v>335</v>
      </c>
      <c r="E186" s="206"/>
      <c r="F186" s="863"/>
      <c r="G186" s="863"/>
      <c r="H186" s="863"/>
      <c r="I186" s="863"/>
      <c r="J186" s="863"/>
      <c r="K186" s="863"/>
      <c r="M186" s="266" t="s">
        <v>27</v>
      </c>
      <c r="N186" s="198"/>
      <c r="O186" s="204"/>
    </row>
    <row r="187" spans="1:15" x14ac:dyDescent="0.2">
      <c r="A187" s="268" t="s">
        <v>39</v>
      </c>
      <c r="B187" s="280"/>
      <c r="C187" s="280"/>
      <c r="D187" s="314"/>
      <c r="E187" s="280"/>
      <c r="F187" s="612"/>
      <c r="G187" s="612"/>
      <c r="H187" s="612"/>
      <c r="I187" s="612"/>
      <c r="J187" s="612"/>
      <c r="K187" s="613"/>
      <c r="M187" s="243"/>
      <c r="N187" s="244"/>
      <c r="O187" s="245"/>
    </row>
    <row r="188" spans="1:15" ht="12.75" customHeight="1" x14ac:dyDescent="0.2">
      <c r="A188" s="269" t="s">
        <v>65</v>
      </c>
      <c r="B188" s="280"/>
      <c r="C188" s="190"/>
      <c r="D188" s="190"/>
      <c r="E188" s="191"/>
      <c r="F188" s="608"/>
      <c r="G188" s="609"/>
      <c r="H188" s="609"/>
      <c r="I188" s="609"/>
      <c r="J188" s="609"/>
      <c r="K188" s="610"/>
      <c r="M188" s="266" t="s">
        <v>38</v>
      </c>
      <c r="N188" s="198"/>
      <c r="O188" s="204"/>
    </row>
    <row r="189" spans="1:15" ht="12.75" customHeight="1" x14ac:dyDescent="0.2">
      <c r="A189" s="270" t="s">
        <v>28</v>
      </c>
      <c r="B189" s="280"/>
      <c r="C189" s="190"/>
      <c r="D189" s="190"/>
      <c r="E189" s="191"/>
      <c r="F189" s="608"/>
      <c r="G189" s="609"/>
      <c r="H189" s="609"/>
      <c r="I189" s="609"/>
      <c r="J189" s="609"/>
      <c r="K189" s="610"/>
      <c r="M189" s="243"/>
      <c r="N189" s="244"/>
      <c r="O189" s="245"/>
    </row>
    <row r="190" spans="1:15" ht="12.75" customHeight="1" x14ac:dyDescent="0.2">
      <c r="A190" s="270" t="s">
        <v>40</v>
      </c>
      <c r="B190" s="280"/>
      <c r="C190" s="190"/>
      <c r="D190" s="190"/>
      <c r="E190" s="191"/>
      <c r="F190" s="608"/>
      <c r="G190" s="609"/>
      <c r="H190" s="609"/>
      <c r="I190" s="609"/>
      <c r="J190" s="609"/>
      <c r="K190" s="610"/>
      <c r="M190" s="266" t="s">
        <v>1</v>
      </c>
      <c r="N190" s="198"/>
      <c r="O190" s="204"/>
    </row>
    <row r="191" spans="1:15" ht="12.75" customHeight="1" x14ac:dyDescent="0.2">
      <c r="A191" s="271" t="s">
        <v>41</v>
      </c>
      <c r="B191" s="280"/>
      <c r="C191" s="190"/>
      <c r="D191" s="190"/>
      <c r="E191" s="191"/>
      <c r="F191" s="608"/>
      <c r="G191" s="609"/>
      <c r="H191" s="609"/>
      <c r="I191" s="609"/>
      <c r="J191" s="609"/>
      <c r="K191" s="610"/>
      <c r="M191" s="243"/>
      <c r="N191" s="244"/>
      <c r="O191" s="245"/>
    </row>
    <row r="192" spans="1:15" ht="12.75" customHeight="1" thickBot="1" x14ac:dyDescent="0.25">
      <c r="A192" s="275" t="s">
        <v>146</v>
      </c>
      <c r="B192" s="280"/>
      <c r="C192" s="190"/>
      <c r="D192" s="190"/>
      <c r="E192" s="191"/>
      <c r="F192" s="608"/>
      <c r="G192" s="609"/>
      <c r="H192" s="609"/>
      <c r="I192" s="609"/>
      <c r="J192" s="609"/>
      <c r="K192" s="610"/>
      <c r="M192" s="247"/>
      <c r="N192" s="248"/>
      <c r="O192" s="249"/>
    </row>
    <row r="193" spans="1:15" ht="13.5" thickBot="1" x14ac:dyDescent="0.25">
      <c r="A193" s="275" t="s">
        <v>147</v>
      </c>
      <c r="B193" s="280"/>
      <c r="C193" s="280"/>
      <c r="D193" s="314"/>
      <c r="E193" s="280"/>
      <c r="F193" s="612"/>
      <c r="G193" s="612"/>
      <c r="H193" s="612"/>
      <c r="I193" s="612"/>
      <c r="J193" s="612"/>
      <c r="K193" s="613"/>
      <c r="M193" s="284" t="s">
        <v>3</v>
      </c>
      <c r="N193" s="585"/>
      <c r="O193" s="586"/>
    </row>
    <row r="194" spans="1:15" ht="12.75" customHeight="1" x14ac:dyDescent="0.2">
      <c r="A194" s="274" t="str">
        <f>CONCATENATE("3.1 FTP75 20°C ",'Variant 2 - FTP'!$B$68)</f>
        <v>3.1 FTP75 20°C Drive Mode 1</v>
      </c>
      <c r="B194" s="280"/>
      <c r="C194" s="190"/>
      <c r="D194" s="190"/>
      <c r="E194" s="191"/>
      <c r="F194" s="608"/>
      <c r="G194" s="609"/>
      <c r="H194" s="609"/>
      <c r="I194" s="609"/>
      <c r="J194" s="609"/>
      <c r="K194" s="610"/>
    </row>
    <row r="195" spans="1:15" ht="12.75" customHeight="1" x14ac:dyDescent="0.2">
      <c r="A195" s="274" t="str">
        <f>CONCATENATE("3.2 FTP75 20°C ",'Variant 2 - FTP'!$B$73)</f>
        <v>3.2 FTP75 20°C Drive Mode 2</v>
      </c>
      <c r="B195" s="280"/>
      <c r="C195" s="190"/>
      <c r="D195" s="190"/>
      <c r="E195" s="191"/>
      <c r="F195" s="608"/>
      <c r="G195" s="609"/>
      <c r="H195" s="609"/>
      <c r="I195" s="609"/>
      <c r="J195" s="609"/>
      <c r="K195" s="610"/>
    </row>
    <row r="196" spans="1:15" ht="12.75" customHeight="1" x14ac:dyDescent="0.2">
      <c r="A196" s="274" t="str">
        <f>CONCATENATE("3.3 FTP75 20°C ",'Variant 2 - FTP'!$B$78)</f>
        <v>3.3 FTP75 20°C Drive Mode 3</v>
      </c>
      <c r="B196" s="280"/>
      <c r="C196" s="190"/>
      <c r="D196" s="190"/>
      <c r="E196" s="191"/>
      <c r="F196" s="608"/>
      <c r="G196" s="609"/>
      <c r="H196" s="609"/>
      <c r="I196" s="609"/>
      <c r="J196" s="609"/>
      <c r="K196" s="610"/>
    </row>
    <row r="197" spans="1:15" ht="12.75" customHeight="1" x14ac:dyDescent="0.2">
      <c r="A197" s="274" t="str">
        <f>CONCATENATE("3.4 FTP75 20°C ",'Variant 2 - FTP'!$B$83)</f>
        <v>3.4 FTP75 20°C Drive Mode 4</v>
      </c>
      <c r="B197" s="280"/>
      <c r="C197" s="190"/>
      <c r="D197" s="190"/>
      <c r="E197" s="191"/>
      <c r="F197" s="608"/>
      <c r="G197" s="609"/>
      <c r="H197" s="609"/>
      <c r="I197" s="609"/>
      <c r="J197" s="609"/>
      <c r="K197" s="610"/>
    </row>
    <row r="198" spans="1:15" ht="12.75" customHeight="1" x14ac:dyDescent="0.2">
      <c r="A198" s="274" t="str">
        <f>CONCATENATE("3.5 FTP75 20°C ",'Variant 2 - FTP'!$B$88)</f>
        <v>3.5 FTP75 20°C Drive Mode 5</v>
      </c>
      <c r="B198" s="280"/>
      <c r="C198" s="190"/>
      <c r="D198" s="190"/>
      <c r="E198" s="191"/>
      <c r="F198" s="608"/>
      <c r="G198" s="609"/>
      <c r="H198" s="609"/>
      <c r="I198" s="609"/>
      <c r="J198" s="609"/>
      <c r="K198" s="610"/>
    </row>
    <row r="199" spans="1:15" ht="12.75" customHeight="1" x14ac:dyDescent="0.2">
      <c r="A199" s="274" t="str">
        <f>CONCATENATE("3.6 FTP75 20°C ",'Variant 2 - FTP'!$B$93)</f>
        <v>3.6 FTP75 20°C Drive Mode 6</v>
      </c>
      <c r="B199" s="280"/>
      <c r="C199" s="190"/>
      <c r="D199" s="190"/>
      <c r="E199" s="191"/>
      <c r="F199" s="608"/>
      <c r="G199" s="609"/>
      <c r="H199" s="609"/>
      <c r="I199" s="609"/>
      <c r="J199" s="609"/>
      <c r="K199" s="610"/>
    </row>
    <row r="200" spans="1:15" x14ac:dyDescent="0.2">
      <c r="A200" s="275" t="s">
        <v>187</v>
      </c>
      <c r="B200" s="280"/>
      <c r="C200" s="280"/>
      <c r="D200" s="314"/>
      <c r="E200" s="280"/>
      <c r="F200" s="612"/>
      <c r="G200" s="612"/>
      <c r="H200" s="612"/>
      <c r="I200" s="612"/>
      <c r="J200" s="612"/>
      <c r="K200" s="613"/>
    </row>
    <row r="201" spans="1:15" x14ac:dyDescent="0.2">
      <c r="A201" s="270" t="s">
        <v>148</v>
      </c>
      <c r="B201" s="280"/>
      <c r="C201" s="190"/>
      <c r="D201" s="190"/>
      <c r="E201" s="191"/>
      <c r="F201" s="608"/>
      <c r="G201" s="609"/>
      <c r="H201" s="609"/>
      <c r="I201" s="609"/>
      <c r="J201" s="609"/>
      <c r="K201" s="610"/>
    </row>
    <row r="202" spans="1:15" x14ac:dyDescent="0.2">
      <c r="A202" s="270" t="s">
        <v>149</v>
      </c>
      <c r="B202" s="280"/>
      <c r="C202" s="190"/>
      <c r="D202" s="190"/>
      <c r="E202" s="191"/>
      <c r="F202" s="608"/>
      <c r="G202" s="609"/>
      <c r="H202" s="609"/>
      <c r="I202" s="609"/>
      <c r="J202" s="609"/>
      <c r="K202" s="610"/>
    </row>
    <row r="203" spans="1:15" x14ac:dyDescent="0.2">
      <c r="A203" s="275" t="s">
        <v>183</v>
      </c>
      <c r="B203" s="280"/>
      <c r="C203" s="190"/>
      <c r="D203" s="190"/>
      <c r="E203" s="191"/>
      <c r="F203" s="608"/>
      <c r="G203" s="609"/>
      <c r="H203" s="609"/>
      <c r="I203" s="609"/>
      <c r="J203" s="609"/>
      <c r="K203" s="610"/>
    </row>
    <row r="204" spans="1:15" ht="12.75" customHeight="1" x14ac:dyDescent="0.2">
      <c r="A204" s="275" t="s">
        <v>209</v>
      </c>
      <c r="B204" s="382"/>
      <c r="C204" s="190"/>
      <c r="D204" s="190"/>
      <c r="E204" s="191"/>
      <c r="F204" s="608"/>
      <c r="G204" s="609"/>
      <c r="H204" s="609"/>
      <c r="I204" s="609"/>
      <c r="J204" s="609"/>
      <c r="K204" s="610"/>
    </row>
    <row r="205" spans="1:15" x14ac:dyDescent="0.2">
      <c r="A205" s="275" t="s">
        <v>298</v>
      </c>
      <c r="B205" s="382"/>
      <c r="C205" s="382"/>
      <c r="D205" s="382"/>
      <c r="E205" s="382"/>
      <c r="F205" s="608"/>
      <c r="G205" s="609"/>
      <c r="H205" s="609"/>
      <c r="I205" s="609"/>
      <c r="J205" s="609"/>
      <c r="K205" s="610"/>
    </row>
    <row r="206" spans="1:15" x14ac:dyDescent="0.2">
      <c r="A206" s="270" t="s">
        <v>210</v>
      </c>
      <c r="B206" s="382"/>
      <c r="C206" s="190"/>
      <c r="D206" s="190"/>
      <c r="E206" s="191"/>
      <c r="F206" s="612"/>
      <c r="G206" s="612"/>
      <c r="H206" s="612"/>
      <c r="I206" s="612"/>
      <c r="J206" s="612"/>
      <c r="K206" s="613"/>
    </row>
    <row r="207" spans="1:15" ht="12.75" customHeight="1" x14ac:dyDescent="0.2">
      <c r="A207" s="270" t="s">
        <v>211</v>
      </c>
      <c r="B207" s="382"/>
      <c r="C207" s="190"/>
      <c r="D207" s="190"/>
      <c r="E207" s="191"/>
      <c r="F207" s="608"/>
      <c r="G207" s="609"/>
      <c r="H207" s="609"/>
      <c r="I207" s="609"/>
      <c r="J207" s="609"/>
      <c r="K207" s="610"/>
    </row>
    <row r="208" spans="1:15" ht="12.75" customHeight="1" x14ac:dyDescent="0.2">
      <c r="A208" s="275" t="s">
        <v>219</v>
      </c>
      <c r="B208" s="382"/>
      <c r="C208" s="382"/>
      <c r="D208" s="382"/>
      <c r="E208" s="382"/>
      <c r="F208" s="608"/>
      <c r="G208" s="609"/>
      <c r="H208" s="609"/>
      <c r="I208" s="609"/>
      <c r="J208" s="609"/>
      <c r="K208" s="610"/>
    </row>
    <row r="209" spans="1:30" x14ac:dyDescent="0.2">
      <c r="A209" s="270" t="s">
        <v>212</v>
      </c>
      <c r="B209" s="382"/>
      <c r="C209" s="190"/>
      <c r="D209" s="190"/>
      <c r="E209" s="191"/>
      <c r="F209" s="612"/>
      <c r="G209" s="612"/>
      <c r="H209" s="612"/>
      <c r="I209" s="612"/>
      <c r="J209" s="612"/>
      <c r="K209" s="613"/>
    </row>
    <row r="210" spans="1:30" ht="12.75" customHeight="1" x14ac:dyDescent="0.2">
      <c r="A210" s="270" t="s">
        <v>213</v>
      </c>
      <c r="B210" s="382"/>
      <c r="C210" s="190"/>
      <c r="D210" s="190"/>
      <c r="E210" s="191"/>
      <c r="F210" s="608"/>
      <c r="G210" s="609"/>
      <c r="H210" s="609"/>
      <c r="I210" s="609"/>
      <c r="J210" s="609"/>
      <c r="K210" s="610"/>
    </row>
    <row r="211" spans="1:30" ht="12.75" customHeight="1" x14ac:dyDescent="0.2">
      <c r="A211" s="270" t="s">
        <v>214</v>
      </c>
      <c r="B211" s="382"/>
      <c r="C211" s="190"/>
      <c r="D211" s="190"/>
      <c r="E211" s="191"/>
      <c r="F211" s="608"/>
      <c r="G211" s="609"/>
      <c r="H211" s="609"/>
      <c r="I211" s="609"/>
      <c r="J211" s="609"/>
      <c r="K211" s="610"/>
    </row>
    <row r="212" spans="1:30" ht="12.75" customHeight="1" x14ac:dyDescent="0.2">
      <c r="A212" s="270" t="s">
        <v>215</v>
      </c>
      <c r="B212" s="382"/>
      <c r="C212" s="190"/>
      <c r="D212" s="190"/>
      <c r="E212" s="191"/>
      <c r="F212" s="608"/>
      <c r="G212" s="609"/>
      <c r="H212" s="609"/>
      <c r="I212" s="609"/>
      <c r="J212" s="609"/>
      <c r="K212" s="610"/>
    </row>
    <row r="213" spans="1:30" ht="12.75" customHeight="1" x14ac:dyDescent="0.2">
      <c r="A213" s="270" t="s">
        <v>216</v>
      </c>
      <c r="B213" s="382"/>
      <c r="C213" s="190"/>
      <c r="D213" s="190"/>
      <c r="E213" s="191"/>
      <c r="F213" s="608"/>
      <c r="G213" s="609"/>
      <c r="H213" s="609"/>
      <c r="I213" s="609"/>
      <c r="J213" s="609"/>
      <c r="K213" s="610"/>
    </row>
    <row r="214" spans="1:30" ht="12.75" customHeight="1" x14ac:dyDescent="0.2">
      <c r="A214" s="270" t="s">
        <v>217</v>
      </c>
      <c r="B214" s="382"/>
      <c r="C214" s="190"/>
      <c r="D214" s="190"/>
      <c r="E214" s="191"/>
      <c r="F214" s="608"/>
      <c r="G214" s="609"/>
      <c r="H214" s="609"/>
      <c r="I214" s="609"/>
      <c r="J214" s="609"/>
      <c r="K214" s="610"/>
    </row>
    <row r="215" spans="1:30" ht="12.75" customHeight="1" x14ac:dyDescent="0.2">
      <c r="A215" s="275" t="s">
        <v>5</v>
      </c>
      <c r="B215" s="383"/>
      <c r="C215" s="383"/>
      <c r="D215" s="383"/>
      <c r="E215" s="383"/>
      <c r="F215" s="655"/>
      <c r="G215" s="656"/>
      <c r="H215" s="656"/>
      <c r="I215" s="656"/>
      <c r="J215" s="656"/>
      <c r="K215" s="657"/>
    </row>
    <row r="216" spans="1:30" x14ac:dyDescent="0.2">
      <c r="A216" s="275" t="s">
        <v>5</v>
      </c>
      <c r="B216" s="383"/>
      <c r="C216" s="383"/>
      <c r="D216" s="383"/>
      <c r="E216" s="383"/>
      <c r="F216" s="648"/>
      <c r="G216" s="648"/>
      <c r="H216" s="648"/>
      <c r="I216" s="648"/>
      <c r="J216" s="648"/>
      <c r="K216" s="649"/>
    </row>
    <row r="217" spans="1:30" x14ac:dyDescent="0.2">
      <c r="A217" s="275" t="s">
        <v>5</v>
      </c>
      <c r="B217" s="383"/>
      <c r="C217" s="383"/>
      <c r="D217" s="383"/>
      <c r="E217" s="383"/>
      <c r="F217" s="648"/>
      <c r="G217" s="648"/>
      <c r="H217" s="648"/>
      <c r="I217" s="648"/>
      <c r="J217" s="648"/>
      <c r="K217" s="649"/>
    </row>
    <row r="218" spans="1:30" x14ac:dyDescent="0.2">
      <c r="A218" s="275" t="s">
        <v>5</v>
      </c>
      <c r="B218" s="383"/>
      <c r="C218" s="383"/>
      <c r="D218" s="383"/>
      <c r="E218" s="383"/>
      <c r="F218" s="648"/>
      <c r="G218" s="648"/>
      <c r="H218" s="648"/>
      <c r="I218" s="648"/>
      <c r="J218" s="648"/>
      <c r="K218" s="649"/>
    </row>
    <row r="219" spans="1:30" x14ac:dyDescent="0.2">
      <c r="A219" s="275" t="s">
        <v>5</v>
      </c>
      <c r="B219" s="383"/>
      <c r="C219" s="383"/>
      <c r="D219" s="383"/>
      <c r="E219" s="383"/>
      <c r="F219" s="648"/>
      <c r="G219" s="648"/>
      <c r="H219" s="648"/>
      <c r="I219" s="648"/>
      <c r="J219" s="648"/>
      <c r="K219" s="649"/>
    </row>
    <row r="220" spans="1:30" x14ac:dyDescent="0.2">
      <c r="A220" s="275" t="s">
        <v>5</v>
      </c>
      <c r="B220" s="383"/>
      <c r="C220" s="383"/>
      <c r="D220" s="383"/>
      <c r="E220" s="383"/>
      <c r="F220" s="648"/>
      <c r="G220" s="648"/>
      <c r="H220" s="648"/>
      <c r="I220" s="648"/>
      <c r="J220" s="648"/>
      <c r="K220" s="649"/>
    </row>
    <row r="221" spans="1:30" x14ac:dyDescent="0.2">
      <c r="A221" s="275" t="s">
        <v>5</v>
      </c>
      <c r="B221" s="383"/>
      <c r="C221" s="383"/>
      <c r="D221" s="383"/>
      <c r="E221" s="383"/>
      <c r="F221" s="648"/>
      <c r="G221" s="648"/>
      <c r="H221" s="648"/>
      <c r="I221" s="648"/>
      <c r="J221" s="648"/>
      <c r="K221" s="649"/>
    </row>
    <row r="222" spans="1:30" ht="13.5" thickBot="1" x14ac:dyDescent="0.25">
      <c r="A222" s="276" t="s">
        <v>5</v>
      </c>
      <c r="B222" s="384"/>
      <c r="C222" s="384"/>
      <c r="D222" s="384"/>
      <c r="E222" s="384"/>
      <c r="F222" s="653"/>
      <c r="G222" s="653"/>
      <c r="H222" s="653"/>
      <c r="I222" s="653"/>
      <c r="J222" s="653"/>
      <c r="K222" s="654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  <c r="AD222" s="192"/>
    </row>
    <row r="223" spans="1:30" s="192" customFormat="1" x14ac:dyDescent="0.2">
      <c r="A223" s="221"/>
      <c r="B223" s="279"/>
      <c r="C223" s="222"/>
      <c r="D223" s="222"/>
      <c r="E223" s="279"/>
      <c r="F223" s="279"/>
      <c r="G223" s="279"/>
      <c r="H223" s="279"/>
      <c r="I223" s="279"/>
      <c r="J223" s="279"/>
      <c r="K223" s="279"/>
    </row>
    <row r="224" spans="1:30" s="192" customFormat="1" x14ac:dyDescent="0.2">
      <c r="C224" s="193"/>
      <c r="D224" s="193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</row>
    <row r="225" spans="1:11" x14ac:dyDescent="0.2">
      <c r="A225" s="220" t="s">
        <v>336</v>
      </c>
      <c r="E225" s="192"/>
      <c r="F225" s="192"/>
      <c r="G225" s="192"/>
      <c r="H225" s="192"/>
      <c r="I225" s="192"/>
      <c r="J225" s="192"/>
      <c r="K225" s="192"/>
    </row>
    <row r="226" spans="1:11" x14ac:dyDescent="0.2">
      <c r="A226" s="268" t="s">
        <v>42</v>
      </c>
      <c r="B226" s="280"/>
      <c r="C226" s="280"/>
      <c r="D226" s="314"/>
      <c r="E226" s="280"/>
      <c r="F226" s="608"/>
      <c r="G226" s="609"/>
      <c r="H226" s="609"/>
      <c r="I226" s="609"/>
      <c r="J226" s="609"/>
      <c r="K226" s="610"/>
    </row>
    <row r="227" spans="1:11" x14ac:dyDescent="0.2">
      <c r="A227" s="269" t="s">
        <v>66</v>
      </c>
      <c r="B227" s="280"/>
      <c r="C227" s="191"/>
      <c r="D227" s="191"/>
      <c r="E227" s="191"/>
      <c r="F227" s="608"/>
      <c r="G227" s="609"/>
      <c r="H227" s="609"/>
      <c r="I227" s="609"/>
      <c r="J227" s="609"/>
      <c r="K227" s="610"/>
    </row>
    <row r="228" spans="1:11" x14ac:dyDescent="0.2">
      <c r="A228" s="270" t="s">
        <v>43</v>
      </c>
      <c r="B228" s="280"/>
      <c r="C228" s="191"/>
      <c r="D228" s="191"/>
      <c r="E228" s="191"/>
      <c r="F228" s="608"/>
      <c r="G228" s="609"/>
      <c r="H228" s="609"/>
      <c r="I228" s="609"/>
      <c r="J228" s="609"/>
      <c r="K228" s="610"/>
    </row>
    <row r="229" spans="1:11" x14ac:dyDescent="0.2">
      <c r="A229" s="270" t="s">
        <v>44</v>
      </c>
      <c r="B229" s="280"/>
      <c r="C229" s="191"/>
      <c r="D229" s="191"/>
      <c r="E229" s="191"/>
      <c r="F229" s="608"/>
      <c r="G229" s="609"/>
      <c r="H229" s="609"/>
      <c r="I229" s="609"/>
      <c r="J229" s="609"/>
      <c r="K229" s="610"/>
    </row>
    <row r="230" spans="1:11" x14ac:dyDescent="0.2">
      <c r="A230" s="271" t="s">
        <v>45</v>
      </c>
      <c r="B230" s="280"/>
      <c r="C230" s="191"/>
      <c r="D230" s="191"/>
      <c r="E230" s="191"/>
      <c r="F230" s="608"/>
      <c r="G230" s="609"/>
      <c r="H230" s="609"/>
      <c r="I230" s="609"/>
      <c r="J230" s="609"/>
      <c r="K230" s="610"/>
    </row>
    <row r="231" spans="1:11" x14ac:dyDescent="0.2">
      <c r="A231" s="275" t="s">
        <v>46</v>
      </c>
      <c r="B231" s="280"/>
      <c r="C231" s="280"/>
      <c r="D231" s="314"/>
      <c r="E231" s="280"/>
      <c r="F231" s="608"/>
      <c r="G231" s="609"/>
      <c r="H231" s="609"/>
      <c r="I231" s="609"/>
      <c r="J231" s="609"/>
      <c r="K231" s="610"/>
    </row>
    <row r="232" spans="1:11" x14ac:dyDescent="0.2">
      <c r="A232" s="274" t="str">
        <f>CONCATENATE("2.1 JC08 20°C ",'Variant 3 - JC08'!$B$40)</f>
        <v>2.1 JC08 20°C Drive Mode 1</v>
      </c>
      <c r="B232" s="280"/>
      <c r="C232" s="191"/>
      <c r="D232" s="191"/>
      <c r="E232" s="191"/>
      <c r="F232" s="608"/>
      <c r="G232" s="609"/>
      <c r="H232" s="609"/>
      <c r="I232" s="609"/>
      <c r="J232" s="609"/>
      <c r="K232" s="610"/>
    </row>
    <row r="233" spans="1:11" x14ac:dyDescent="0.2">
      <c r="A233" s="274" t="str">
        <f>CONCATENATE("2.2 JC08 20°C ",'Variant 3 - JC08'!$B$45)</f>
        <v>2.2 JC08 20°C Drive Mode 2</v>
      </c>
      <c r="B233" s="280"/>
      <c r="C233" s="191"/>
      <c r="D233" s="191"/>
      <c r="E233" s="191"/>
      <c r="F233" s="608"/>
      <c r="G233" s="609"/>
      <c r="H233" s="609"/>
      <c r="I233" s="609"/>
      <c r="J233" s="609"/>
      <c r="K233" s="610"/>
    </row>
    <row r="234" spans="1:11" x14ac:dyDescent="0.2">
      <c r="A234" s="274" t="str">
        <f>CONCATENATE("2.3 JC08 20°C ",'Variant 3 - JC08'!$B$50)</f>
        <v>2.3 JC08 20°C Drive Mode 3</v>
      </c>
      <c r="B234" s="280"/>
      <c r="C234" s="191"/>
      <c r="D234" s="191"/>
      <c r="E234" s="191"/>
      <c r="F234" s="608"/>
      <c r="G234" s="609"/>
      <c r="H234" s="609"/>
      <c r="I234" s="609"/>
      <c r="J234" s="609"/>
      <c r="K234" s="610"/>
    </row>
    <row r="235" spans="1:11" x14ac:dyDescent="0.2">
      <c r="A235" s="274" t="str">
        <f>CONCATENATE("2.4 JC08 20°C ",'Variant 3 - JC08'!$B$55)</f>
        <v>2.4 JC08 20°C Drive Mode 4</v>
      </c>
      <c r="B235" s="280"/>
      <c r="C235" s="191"/>
      <c r="D235" s="191"/>
      <c r="E235" s="191"/>
      <c r="F235" s="608"/>
      <c r="G235" s="609"/>
      <c r="H235" s="609"/>
      <c r="I235" s="609"/>
      <c r="J235" s="609"/>
      <c r="K235" s="610"/>
    </row>
    <row r="236" spans="1:11" x14ac:dyDescent="0.2">
      <c r="A236" s="274" t="str">
        <f>CONCATENATE("2.5 JC08 20°C ",'Variant 3 - JC08'!$B$60)</f>
        <v>2.5 JC08 20°C Drive Mode 5</v>
      </c>
      <c r="B236" s="280"/>
      <c r="C236" s="191"/>
      <c r="D236" s="191"/>
      <c r="E236" s="191"/>
      <c r="F236" s="608"/>
      <c r="G236" s="609"/>
      <c r="H236" s="609"/>
      <c r="I236" s="609"/>
      <c r="J236" s="609"/>
      <c r="K236" s="610"/>
    </row>
    <row r="237" spans="1:11" x14ac:dyDescent="0.2">
      <c r="A237" s="274" t="str">
        <f>CONCATENATE("2.6 JC08 20°C ",'Variant 3 - JC08'!$B$65)</f>
        <v>2.6 JC08 20°C Drive Mode 6</v>
      </c>
      <c r="B237" s="280"/>
      <c r="C237" s="191"/>
      <c r="D237" s="191"/>
      <c r="E237" s="191"/>
      <c r="F237" s="608"/>
      <c r="G237" s="609"/>
      <c r="H237" s="609"/>
      <c r="I237" s="609"/>
      <c r="J237" s="609"/>
      <c r="K237" s="610"/>
    </row>
    <row r="238" spans="1:11" x14ac:dyDescent="0.2">
      <c r="A238" s="282" t="s">
        <v>184</v>
      </c>
      <c r="B238" s="280"/>
      <c r="C238" s="191"/>
      <c r="D238" s="191"/>
      <c r="E238" s="191"/>
      <c r="F238" s="608"/>
      <c r="G238" s="609"/>
      <c r="H238" s="609"/>
      <c r="I238" s="609"/>
      <c r="J238" s="609"/>
      <c r="K238" s="610"/>
    </row>
    <row r="239" spans="1:11" x14ac:dyDescent="0.2">
      <c r="A239" s="275" t="s">
        <v>243</v>
      </c>
      <c r="B239" s="382"/>
      <c r="C239" s="191"/>
      <c r="D239" s="191"/>
      <c r="E239" s="191"/>
      <c r="F239" s="608"/>
      <c r="G239" s="609"/>
      <c r="H239" s="609"/>
      <c r="I239" s="609"/>
      <c r="J239" s="609"/>
      <c r="K239" s="610"/>
    </row>
    <row r="240" spans="1:11" x14ac:dyDescent="0.2">
      <c r="A240" s="275" t="s">
        <v>299</v>
      </c>
      <c r="B240" s="382"/>
      <c r="C240" s="382"/>
      <c r="D240" s="382"/>
      <c r="E240" s="382"/>
      <c r="F240" s="608"/>
      <c r="G240" s="609"/>
      <c r="H240" s="609"/>
      <c r="I240" s="609"/>
      <c r="J240" s="609"/>
      <c r="K240" s="610"/>
    </row>
    <row r="241" spans="1:11" x14ac:dyDescent="0.2">
      <c r="A241" s="270" t="s">
        <v>300</v>
      </c>
      <c r="B241" s="382"/>
      <c r="C241" s="190"/>
      <c r="D241" s="190"/>
      <c r="E241" s="191"/>
      <c r="F241" s="608"/>
      <c r="G241" s="609"/>
      <c r="H241" s="609"/>
      <c r="I241" s="609"/>
      <c r="J241" s="609"/>
      <c r="K241" s="610"/>
    </row>
    <row r="242" spans="1:11" x14ac:dyDescent="0.2">
      <c r="A242" s="270" t="s">
        <v>301</v>
      </c>
      <c r="B242" s="382"/>
      <c r="C242" s="190"/>
      <c r="D242" s="190"/>
      <c r="E242" s="191"/>
      <c r="F242" s="608"/>
      <c r="G242" s="609"/>
      <c r="H242" s="609"/>
      <c r="I242" s="609"/>
      <c r="J242" s="609"/>
      <c r="K242" s="610"/>
    </row>
    <row r="243" spans="1:11" x14ac:dyDescent="0.2">
      <c r="A243" s="275" t="s">
        <v>296</v>
      </c>
      <c r="B243" s="382"/>
      <c r="C243" s="382"/>
      <c r="D243" s="382"/>
      <c r="E243" s="382"/>
      <c r="F243" s="608"/>
      <c r="G243" s="609"/>
      <c r="H243" s="609"/>
      <c r="I243" s="609"/>
      <c r="J243" s="609"/>
      <c r="K243" s="610"/>
    </row>
    <row r="244" spans="1:11" x14ac:dyDescent="0.2">
      <c r="A244" s="270" t="s">
        <v>302</v>
      </c>
      <c r="B244" s="382"/>
      <c r="C244" s="190"/>
      <c r="D244" s="190"/>
      <c r="E244" s="191"/>
      <c r="F244" s="608"/>
      <c r="G244" s="609"/>
      <c r="H244" s="609"/>
      <c r="I244" s="609"/>
      <c r="J244" s="609"/>
      <c r="K244" s="610"/>
    </row>
    <row r="245" spans="1:11" x14ac:dyDescent="0.2">
      <c r="A245" s="270" t="s">
        <v>303</v>
      </c>
      <c r="B245" s="382"/>
      <c r="C245" s="190"/>
      <c r="D245" s="190"/>
      <c r="E245" s="191"/>
      <c r="F245" s="608"/>
      <c r="G245" s="609"/>
      <c r="H245" s="609"/>
      <c r="I245" s="609"/>
      <c r="J245" s="609"/>
      <c r="K245" s="610"/>
    </row>
    <row r="246" spans="1:11" x14ac:dyDescent="0.2">
      <c r="A246" s="270" t="s">
        <v>304</v>
      </c>
      <c r="B246" s="382"/>
      <c r="C246" s="190"/>
      <c r="D246" s="190"/>
      <c r="E246" s="191"/>
      <c r="F246" s="608"/>
      <c r="G246" s="609"/>
      <c r="H246" s="609"/>
      <c r="I246" s="609"/>
      <c r="J246" s="609"/>
      <c r="K246" s="610"/>
    </row>
    <row r="247" spans="1:11" x14ac:dyDescent="0.2">
      <c r="A247" s="270" t="s">
        <v>305</v>
      </c>
      <c r="B247" s="382"/>
      <c r="C247" s="190"/>
      <c r="D247" s="190"/>
      <c r="E247" s="191"/>
      <c r="F247" s="608"/>
      <c r="G247" s="609"/>
      <c r="H247" s="609"/>
      <c r="I247" s="609"/>
      <c r="J247" s="609"/>
      <c r="K247" s="610"/>
    </row>
    <row r="248" spans="1:11" x14ac:dyDescent="0.2">
      <c r="A248" s="270" t="s">
        <v>306</v>
      </c>
      <c r="B248" s="382"/>
      <c r="C248" s="190"/>
      <c r="D248" s="190"/>
      <c r="E248" s="191"/>
      <c r="F248" s="608"/>
      <c r="G248" s="609"/>
      <c r="H248" s="609"/>
      <c r="I248" s="609"/>
      <c r="J248" s="609"/>
      <c r="K248" s="610"/>
    </row>
    <row r="249" spans="1:11" x14ac:dyDescent="0.2">
      <c r="A249" s="270" t="s">
        <v>307</v>
      </c>
      <c r="B249" s="382"/>
      <c r="C249" s="190"/>
      <c r="D249" s="190"/>
      <c r="E249" s="191"/>
      <c r="F249" s="608"/>
      <c r="G249" s="609"/>
      <c r="H249" s="609"/>
      <c r="I249" s="609"/>
      <c r="J249" s="609"/>
      <c r="K249" s="610"/>
    </row>
    <row r="250" spans="1:11" x14ac:dyDescent="0.2">
      <c r="A250" s="275" t="s">
        <v>5</v>
      </c>
      <c r="B250" s="383"/>
      <c r="C250" s="383"/>
      <c r="D250" s="383"/>
      <c r="E250" s="383"/>
      <c r="F250" s="655"/>
      <c r="G250" s="656"/>
      <c r="H250" s="656"/>
      <c r="I250" s="656"/>
      <c r="J250" s="656"/>
      <c r="K250" s="657"/>
    </row>
    <row r="251" spans="1:11" x14ac:dyDescent="0.2">
      <c r="A251" s="275" t="s">
        <v>5</v>
      </c>
      <c r="B251" s="383"/>
      <c r="C251" s="383"/>
      <c r="D251" s="383"/>
      <c r="E251" s="383"/>
      <c r="F251" s="655"/>
      <c r="G251" s="656"/>
      <c r="H251" s="656"/>
      <c r="I251" s="656"/>
      <c r="J251" s="656"/>
      <c r="K251" s="657"/>
    </row>
    <row r="252" spans="1:11" x14ac:dyDescent="0.2">
      <c r="A252" s="275" t="s">
        <v>5</v>
      </c>
      <c r="B252" s="383"/>
      <c r="C252" s="383"/>
      <c r="D252" s="383"/>
      <c r="E252" s="383"/>
      <c r="F252" s="655"/>
      <c r="G252" s="656"/>
      <c r="H252" s="656"/>
      <c r="I252" s="656"/>
      <c r="J252" s="656"/>
      <c r="K252" s="657"/>
    </row>
    <row r="253" spans="1:11" x14ac:dyDescent="0.2">
      <c r="A253" s="275" t="s">
        <v>5</v>
      </c>
      <c r="B253" s="383"/>
      <c r="C253" s="383"/>
      <c r="D253" s="383"/>
      <c r="E253" s="383"/>
      <c r="F253" s="655"/>
      <c r="G253" s="656"/>
      <c r="H253" s="656"/>
      <c r="I253" s="656"/>
      <c r="J253" s="656"/>
      <c r="K253" s="657"/>
    </row>
    <row r="254" spans="1:11" x14ac:dyDescent="0.2">
      <c r="A254" s="275" t="s">
        <v>5</v>
      </c>
      <c r="B254" s="383"/>
      <c r="C254" s="383"/>
      <c r="D254" s="383"/>
      <c r="E254" s="383"/>
      <c r="F254" s="655"/>
      <c r="G254" s="656"/>
      <c r="H254" s="656"/>
      <c r="I254" s="656"/>
      <c r="J254" s="656"/>
      <c r="K254" s="657"/>
    </row>
    <row r="255" spans="1:11" x14ac:dyDescent="0.2">
      <c r="A255" s="275" t="s">
        <v>5</v>
      </c>
      <c r="B255" s="383"/>
      <c r="C255" s="383"/>
      <c r="D255" s="383"/>
      <c r="E255" s="383"/>
      <c r="F255" s="655"/>
      <c r="G255" s="656"/>
      <c r="H255" s="656"/>
      <c r="I255" s="656"/>
      <c r="J255" s="656"/>
      <c r="K255" s="657"/>
    </row>
    <row r="256" spans="1:11" x14ac:dyDescent="0.2">
      <c r="A256" s="275" t="s">
        <v>5</v>
      </c>
      <c r="B256" s="383"/>
      <c r="C256" s="383"/>
      <c r="D256" s="383"/>
      <c r="E256" s="383"/>
      <c r="F256" s="655"/>
      <c r="G256" s="656"/>
      <c r="H256" s="656"/>
      <c r="I256" s="656"/>
      <c r="J256" s="656"/>
      <c r="K256" s="657"/>
    </row>
    <row r="257" spans="1:12" x14ac:dyDescent="0.2">
      <c r="A257" s="275" t="s">
        <v>5</v>
      </c>
      <c r="B257" s="383"/>
      <c r="C257" s="383"/>
      <c r="D257" s="383"/>
      <c r="E257" s="383"/>
      <c r="F257" s="655"/>
      <c r="G257" s="656"/>
      <c r="H257" s="656"/>
      <c r="I257" s="656"/>
      <c r="J257" s="656"/>
      <c r="K257" s="657"/>
    </row>
    <row r="258" spans="1:12" x14ac:dyDescent="0.2">
      <c r="A258" s="275" t="s">
        <v>5</v>
      </c>
      <c r="B258" s="383"/>
      <c r="C258" s="383"/>
      <c r="D258" s="383"/>
      <c r="E258" s="383"/>
      <c r="F258" s="655"/>
      <c r="G258" s="656"/>
      <c r="H258" s="656"/>
      <c r="I258" s="656"/>
      <c r="J258" s="656"/>
      <c r="K258" s="657"/>
    </row>
    <row r="259" spans="1:12" x14ac:dyDescent="0.2">
      <c r="A259" s="275" t="s">
        <v>5</v>
      </c>
      <c r="B259" s="383"/>
      <c r="C259" s="383"/>
      <c r="D259" s="383"/>
      <c r="E259" s="383"/>
      <c r="F259" s="655"/>
      <c r="G259" s="656"/>
      <c r="H259" s="656"/>
      <c r="I259" s="656"/>
      <c r="J259" s="656"/>
      <c r="K259" s="657"/>
    </row>
    <row r="260" spans="1:12" x14ac:dyDescent="0.2">
      <c r="A260" s="275" t="s">
        <v>5</v>
      </c>
      <c r="B260" s="383"/>
      <c r="C260" s="383"/>
      <c r="D260" s="383"/>
      <c r="E260" s="383"/>
      <c r="F260" s="655"/>
      <c r="G260" s="656"/>
      <c r="H260" s="656"/>
      <c r="I260" s="656"/>
      <c r="J260" s="656"/>
      <c r="K260" s="657"/>
    </row>
    <row r="261" spans="1:12" ht="13.5" thickBot="1" x14ac:dyDescent="0.25">
      <c r="A261" s="276" t="s">
        <v>5</v>
      </c>
      <c r="B261" s="384"/>
      <c r="C261" s="384"/>
      <c r="D261" s="384"/>
      <c r="E261" s="384"/>
      <c r="F261" s="860"/>
      <c r="G261" s="861"/>
      <c r="H261" s="861"/>
      <c r="I261" s="861"/>
      <c r="J261" s="861"/>
      <c r="K261" s="862"/>
    </row>
    <row r="262" spans="1:12" x14ac:dyDescent="0.2">
      <c r="A262" s="219"/>
      <c r="C262" s="223"/>
      <c r="D262" s="223"/>
      <c r="E262" s="192"/>
      <c r="F262" s="192"/>
      <c r="G262" s="192"/>
      <c r="H262" s="192"/>
      <c r="I262" s="192"/>
      <c r="J262" s="192"/>
      <c r="K262" s="192"/>
      <c r="L262" s="192"/>
    </row>
    <row r="263" spans="1:12" x14ac:dyDescent="0.2">
      <c r="A263" s="192"/>
      <c r="C263" s="223"/>
      <c r="D263" s="223"/>
      <c r="E263" s="192"/>
      <c r="F263" s="192"/>
      <c r="G263" s="192"/>
      <c r="H263" s="192"/>
      <c r="I263" s="192"/>
      <c r="J263" s="192"/>
      <c r="K263" s="192"/>
      <c r="L263" s="192"/>
    </row>
    <row r="264" spans="1:12" x14ac:dyDescent="0.2">
      <c r="A264" s="220" t="s">
        <v>337</v>
      </c>
      <c r="C264" s="223"/>
      <c r="D264" s="223"/>
      <c r="E264" s="192"/>
      <c r="F264" s="192"/>
      <c r="G264" s="192"/>
      <c r="H264" s="192"/>
      <c r="I264" s="192"/>
      <c r="J264" s="192"/>
      <c r="K264" s="192"/>
      <c r="L264" s="192"/>
    </row>
    <row r="265" spans="1:12" x14ac:dyDescent="0.2">
      <c r="A265" s="268" t="s">
        <v>47</v>
      </c>
      <c r="B265" s="280"/>
      <c r="C265" s="280"/>
      <c r="D265" s="314"/>
      <c r="E265" s="280"/>
      <c r="F265" s="608"/>
      <c r="G265" s="609"/>
      <c r="H265" s="609"/>
      <c r="I265" s="609"/>
      <c r="J265" s="609"/>
      <c r="K265" s="610"/>
    </row>
    <row r="266" spans="1:12" x14ac:dyDescent="0.2">
      <c r="A266" s="269" t="s">
        <v>67</v>
      </c>
      <c r="B266" s="280"/>
      <c r="C266" s="191"/>
      <c r="D266" s="191"/>
      <c r="E266" s="191"/>
      <c r="F266" s="608"/>
      <c r="G266" s="609"/>
      <c r="H266" s="609"/>
      <c r="I266" s="609"/>
      <c r="J266" s="609"/>
      <c r="K266" s="610"/>
    </row>
    <row r="267" spans="1:12" x14ac:dyDescent="0.2">
      <c r="A267" s="270" t="s">
        <v>48</v>
      </c>
      <c r="B267" s="280"/>
      <c r="C267" s="191"/>
      <c r="D267" s="191"/>
      <c r="E267" s="191"/>
      <c r="F267" s="608"/>
      <c r="G267" s="609"/>
      <c r="H267" s="609"/>
      <c r="I267" s="609"/>
      <c r="J267" s="609"/>
      <c r="K267" s="610"/>
    </row>
    <row r="268" spans="1:12" x14ac:dyDescent="0.2">
      <c r="A268" s="270" t="s">
        <v>49</v>
      </c>
      <c r="B268" s="280"/>
      <c r="C268" s="191"/>
      <c r="D268" s="191"/>
      <c r="E268" s="191"/>
      <c r="F268" s="608"/>
      <c r="G268" s="609"/>
      <c r="H268" s="609"/>
      <c r="I268" s="609"/>
      <c r="J268" s="609"/>
      <c r="K268" s="610"/>
    </row>
    <row r="269" spans="1:12" x14ac:dyDescent="0.2">
      <c r="A269" s="271" t="s">
        <v>50</v>
      </c>
      <c r="B269" s="280"/>
      <c r="C269" s="191"/>
      <c r="D269" s="191"/>
      <c r="E269" s="191"/>
      <c r="F269" s="608"/>
      <c r="G269" s="609"/>
      <c r="H269" s="609"/>
      <c r="I269" s="609"/>
      <c r="J269" s="609"/>
      <c r="K269" s="610"/>
    </row>
    <row r="270" spans="1:12" x14ac:dyDescent="0.2">
      <c r="A270" s="275" t="s">
        <v>51</v>
      </c>
      <c r="B270" s="280"/>
      <c r="C270" s="280"/>
      <c r="D270" s="314"/>
      <c r="E270" s="280"/>
      <c r="F270" s="608"/>
      <c r="G270" s="609"/>
      <c r="H270" s="609"/>
      <c r="I270" s="609"/>
      <c r="J270" s="609"/>
      <c r="K270" s="610"/>
    </row>
    <row r="271" spans="1:12" x14ac:dyDescent="0.2">
      <c r="A271" s="274" t="str">
        <f>CONCATENATE("2.1 MIDC 20°C ",'Variant 4 - MIDC'!$B$40)</f>
        <v>2.1 MIDC 20°C Drive Mode 1</v>
      </c>
      <c r="B271" s="280"/>
      <c r="C271" s="191"/>
      <c r="D271" s="191"/>
      <c r="E271" s="191"/>
      <c r="F271" s="608"/>
      <c r="G271" s="609"/>
      <c r="H271" s="609"/>
      <c r="I271" s="609"/>
      <c r="J271" s="609"/>
      <c r="K271" s="610"/>
    </row>
    <row r="272" spans="1:12" x14ac:dyDescent="0.2">
      <c r="A272" s="274" t="str">
        <f>CONCATENATE("2.2 MIDC 20°C ",'Variant 4 - MIDC'!$B$45)</f>
        <v>2.2 MIDC 20°C Drive Mode 2</v>
      </c>
      <c r="B272" s="280"/>
      <c r="C272" s="191"/>
      <c r="D272" s="191"/>
      <c r="E272" s="191"/>
      <c r="F272" s="608"/>
      <c r="G272" s="609"/>
      <c r="H272" s="609"/>
      <c r="I272" s="609"/>
      <c r="J272" s="609"/>
      <c r="K272" s="610"/>
    </row>
    <row r="273" spans="1:11" x14ac:dyDescent="0.2">
      <c r="A273" s="274" t="str">
        <f>CONCATENATE("2.3 MIDC 20°C ",'Variant 4 - MIDC'!$B$50)</f>
        <v>2.3 MIDC 20°C Drive Mode 3</v>
      </c>
      <c r="B273" s="280"/>
      <c r="C273" s="191"/>
      <c r="D273" s="191"/>
      <c r="E273" s="191"/>
      <c r="F273" s="608"/>
      <c r="G273" s="609"/>
      <c r="H273" s="609"/>
      <c r="I273" s="609"/>
      <c r="J273" s="609"/>
      <c r="K273" s="610"/>
    </row>
    <row r="274" spans="1:11" x14ac:dyDescent="0.2">
      <c r="A274" s="274" t="str">
        <f>CONCATENATE("2.4 MIDC 20°C ",'Variant 4 - MIDC'!$B$55)</f>
        <v>2.4 MIDC 20°C Drive Mode 4</v>
      </c>
      <c r="B274" s="280"/>
      <c r="C274" s="191"/>
      <c r="D274" s="191"/>
      <c r="E274" s="191"/>
      <c r="F274" s="608"/>
      <c r="G274" s="609"/>
      <c r="H274" s="609"/>
      <c r="I274" s="609"/>
      <c r="J274" s="609"/>
      <c r="K274" s="610"/>
    </row>
    <row r="275" spans="1:11" x14ac:dyDescent="0.2">
      <c r="A275" s="274" t="str">
        <f>CONCATENATE("2.5 MIDC 20°C ",'Variant 4 - MIDC'!$B$60)</f>
        <v>2.5 MIDC 20°C Drive Mode 5</v>
      </c>
      <c r="B275" s="280"/>
      <c r="C275" s="191"/>
      <c r="D275" s="191"/>
      <c r="E275" s="191"/>
      <c r="F275" s="608"/>
      <c r="G275" s="609"/>
      <c r="H275" s="609"/>
      <c r="I275" s="609"/>
      <c r="J275" s="609"/>
      <c r="K275" s="610"/>
    </row>
    <row r="276" spans="1:11" x14ac:dyDescent="0.2">
      <c r="A276" s="274" t="str">
        <f>CONCATENATE("2.6 MIDC 20°C ",'Variant 4 - MIDC'!$B$65)</f>
        <v>2.6 MIDC 20°C Drive Mode 6</v>
      </c>
      <c r="B276" s="280"/>
      <c r="C276" s="191"/>
      <c r="D276" s="191"/>
      <c r="E276" s="191"/>
      <c r="F276" s="608"/>
      <c r="G276" s="609"/>
      <c r="H276" s="609"/>
      <c r="I276" s="609"/>
      <c r="J276" s="609"/>
      <c r="K276" s="610"/>
    </row>
    <row r="277" spans="1:11" x14ac:dyDescent="0.2">
      <c r="A277" s="282" t="s">
        <v>37</v>
      </c>
      <c r="B277" s="280"/>
      <c r="C277" s="191"/>
      <c r="D277" s="191"/>
      <c r="E277" s="191"/>
      <c r="F277" s="608"/>
      <c r="G277" s="609"/>
      <c r="H277" s="609"/>
      <c r="I277" s="609"/>
      <c r="J277" s="609"/>
      <c r="K277" s="610"/>
    </row>
    <row r="278" spans="1:11" x14ac:dyDescent="0.2">
      <c r="A278" s="275" t="s">
        <v>243</v>
      </c>
      <c r="B278" s="382"/>
      <c r="C278" s="191"/>
      <c r="D278" s="191"/>
      <c r="E278" s="191"/>
      <c r="F278" s="608"/>
      <c r="G278" s="609"/>
      <c r="H278" s="609"/>
      <c r="I278" s="609"/>
      <c r="J278" s="609"/>
      <c r="K278" s="610"/>
    </row>
    <row r="279" spans="1:11" x14ac:dyDescent="0.2">
      <c r="A279" s="275" t="s">
        <v>299</v>
      </c>
      <c r="B279" s="382"/>
      <c r="C279" s="382"/>
      <c r="D279" s="382"/>
      <c r="E279" s="382"/>
      <c r="F279" s="608"/>
      <c r="G279" s="609"/>
      <c r="H279" s="609"/>
      <c r="I279" s="609"/>
      <c r="J279" s="609"/>
      <c r="K279" s="610"/>
    </row>
    <row r="280" spans="1:11" x14ac:dyDescent="0.2">
      <c r="A280" s="270" t="s">
        <v>300</v>
      </c>
      <c r="B280" s="382"/>
      <c r="C280" s="190"/>
      <c r="D280" s="190"/>
      <c r="E280" s="191"/>
      <c r="F280" s="608"/>
      <c r="G280" s="609"/>
      <c r="H280" s="609"/>
      <c r="I280" s="609"/>
      <c r="J280" s="609"/>
      <c r="K280" s="610"/>
    </row>
    <row r="281" spans="1:11" x14ac:dyDescent="0.2">
      <c r="A281" s="270" t="s">
        <v>301</v>
      </c>
      <c r="B281" s="382"/>
      <c r="C281" s="190"/>
      <c r="D281" s="190"/>
      <c r="E281" s="191"/>
      <c r="F281" s="608"/>
      <c r="G281" s="609"/>
      <c r="H281" s="609"/>
      <c r="I281" s="609"/>
      <c r="J281" s="609"/>
      <c r="K281" s="610"/>
    </row>
    <row r="282" spans="1:11" x14ac:dyDescent="0.2">
      <c r="A282" s="275" t="s">
        <v>296</v>
      </c>
      <c r="B282" s="382"/>
      <c r="C282" s="382"/>
      <c r="D282" s="382"/>
      <c r="E282" s="382"/>
      <c r="F282" s="608"/>
      <c r="G282" s="609"/>
      <c r="H282" s="609"/>
      <c r="I282" s="609"/>
      <c r="J282" s="609"/>
      <c r="K282" s="610"/>
    </row>
    <row r="283" spans="1:11" x14ac:dyDescent="0.2">
      <c r="A283" s="270" t="s">
        <v>302</v>
      </c>
      <c r="B283" s="382"/>
      <c r="C283" s="190"/>
      <c r="D283" s="190"/>
      <c r="E283" s="191"/>
      <c r="F283" s="608"/>
      <c r="G283" s="609"/>
      <c r="H283" s="609"/>
      <c r="I283" s="609"/>
      <c r="J283" s="609"/>
      <c r="K283" s="610"/>
    </row>
    <row r="284" spans="1:11" x14ac:dyDescent="0.2">
      <c r="A284" s="270" t="s">
        <v>303</v>
      </c>
      <c r="B284" s="382"/>
      <c r="C284" s="190"/>
      <c r="D284" s="190"/>
      <c r="E284" s="191"/>
      <c r="F284" s="608"/>
      <c r="G284" s="609"/>
      <c r="H284" s="609"/>
      <c r="I284" s="609"/>
      <c r="J284" s="609"/>
      <c r="K284" s="610"/>
    </row>
    <row r="285" spans="1:11" x14ac:dyDescent="0.2">
      <c r="A285" s="270" t="s">
        <v>304</v>
      </c>
      <c r="B285" s="382"/>
      <c r="C285" s="190"/>
      <c r="D285" s="190"/>
      <c r="E285" s="191"/>
      <c r="F285" s="608"/>
      <c r="G285" s="609"/>
      <c r="H285" s="609"/>
      <c r="I285" s="609"/>
      <c r="J285" s="609"/>
      <c r="K285" s="610"/>
    </row>
    <row r="286" spans="1:11" x14ac:dyDescent="0.2">
      <c r="A286" s="270" t="s">
        <v>305</v>
      </c>
      <c r="B286" s="382"/>
      <c r="C286" s="190"/>
      <c r="D286" s="190"/>
      <c r="E286" s="191"/>
      <c r="F286" s="608"/>
      <c r="G286" s="609"/>
      <c r="H286" s="609"/>
      <c r="I286" s="609"/>
      <c r="J286" s="609"/>
      <c r="K286" s="610"/>
    </row>
    <row r="287" spans="1:11" x14ac:dyDescent="0.2">
      <c r="A287" s="270" t="s">
        <v>306</v>
      </c>
      <c r="B287" s="382"/>
      <c r="C287" s="190"/>
      <c r="D287" s="190"/>
      <c r="E287" s="191"/>
      <c r="F287" s="608"/>
      <c r="G287" s="609"/>
      <c r="H287" s="609"/>
      <c r="I287" s="609"/>
      <c r="J287" s="609"/>
      <c r="K287" s="610"/>
    </row>
    <row r="288" spans="1:11" x14ac:dyDescent="0.2">
      <c r="A288" s="270" t="s">
        <v>307</v>
      </c>
      <c r="B288" s="382"/>
      <c r="C288" s="190"/>
      <c r="D288" s="190"/>
      <c r="E288" s="191"/>
      <c r="F288" s="608"/>
      <c r="G288" s="609"/>
      <c r="H288" s="609"/>
      <c r="I288" s="609"/>
      <c r="J288" s="609"/>
      <c r="K288" s="610"/>
    </row>
    <row r="289" spans="1:11" x14ac:dyDescent="0.2">
      <c r="A289" s="275" t="s">
        <v>5</v>
      </c>
      <c r="B289" s="383"/>
      <c r="C289" s="383"/>
      <c r="D289" s="383"/>
      <c r="E289" s="383"/>
      <c r="F289" s="655"/>
      <c r="G289" s="656"/>
      <c r="H289" s="656"/>
      <c r="I289" s="656"/>
      <c r="J289" s="656"/>
      <c r="K289" s="657"/>
    </row>
    <row r="290" spans="1:11" x14ac:dyDescent="0.2">
      <c r="A290" s="275" t="s">
        <v>5</v>
      </c>
      <c r="B290" s="383"/>
      <c r="C290" s="383"/>
      <c r="D290" s="383"/>
      <c r="E290" s="383"/>
      <c r="F290" s="648"/>
      <c r="G290" s="648"/>
      <c r="H290" s="648"/>
      <c r="I290" s="648"/>
      <c r="J290" s="648"/>
      <c r="K290" s="649"/>
    </row>
    <row r="291" spans="1:11" x14ac:dyDescent="0.2">
      <c r="A291" s="275" t="s">
        <v>5</v>
      </c>
      <c r="B291" s="383"/>
      <c r="C291" s="383"/>
      <c r="D291" s="383"/>
      <c r="E291" s="383"/>
      <c r="F291" s="648"/>
      <c r="G291" s="648"/>
      <c r="H291" s="648"/>
      <c r="I291" s="648"/>
      <c r="J291" s="648"/>
      <c r="K291" s="649"/>
    </row>
    <row r="292" spans="1:11" x14ac:dyDescent="0.2">
      <c r="A292" s="275" t="s">
        <v>5</v>
      </c>
      <c r="B292" s="383"/>
      <c r="C292" s="383"/>
      <c r="D292" s="383"/>
      <c r="E292" s="383"/>
      <c r="F292" s="648"/>
      <c r="G292" s="648"/>
      <c r="H292" s="648"/>
      <c r="I292" s="648"/>
      <c r="J292" s="648"/>
      <c r="K292" s="649"/>
    </row>
    <row r="293" spans="1:11" x14ac:dyDescent="0.2">
      <c r="A293" s="275" t="s">
        <v>5</v>
      </c>
      <c r="B293" s="383"/>
      <c r="C293" s="383"/>
      <c r="D293" s="383"/>
      <c r="E293" s="383"/>
      <c r="F293" s="648"/>
      <c r="G293" s="648"/>
      <c r="H293" s="648"/>
      <c r="I293" s="648"/>
      <c r="J293" s="648"/>
      <c r="K293" s="649"/>
    </row>
    <row r="294" spans="1:11" x14ac:dyDescent="0.2">
      <c r="A294" s="275" t="s">
        <v>5</v>
      </c>
      <c r="B294" s="383"/>
      <c r="C294" s="383"/>
      <c r="D294" s="383"/>
      <c r="E294" s="383"/>
      <c r="F294" s="648"/>
      <c r="G294" s="648"/>
      <c r="H294" s="648"/>
      <c r="I294" s="648"/>
      <c r="J294" s="648"/>
      <c r="K294" s="649"/>
    </row>
    <row r="295" spans="1:11" x14ac:dyDescent="0.2">
      <c r="A295" s="275" t="s">
        <v>5</v>
      </c>
      <c r="B295" s="383"/>
      <c r="C295" s="383"/>
      <c r="D295" s="383"/>
      <c r="E295" s="383"/>
      <c r="F295" s="648"/>
      <c r="G295" s="648"/>
      <c r="H295" s="648"/>
      <c r="I295" s="648"/>
      <c r="J295" s="648"/>
      <c r="K295" s="649"/>
    </row>
    <row r="296" spans="1:11" x14ac:dyDescent="0.2">
      <c r="A296" s="275" t="s">
        <v>5</v>
      </c>
      <c r="B296" s="383"/>
      <c r="C296" s="383"/>
      <c r="D296" s="383"/>
      <c r="E296" s="383"/>
      <c r="F296" s="648"/>
      <c r="G296" s="648"/>
      <c r="H296" s="648"/>
      <c r="I296" s="648"/>
      <c r="J296" s="648"/>
      <c r="K296" s="649"/>
    </row>
    <row r="297" spans="1:11" x14ac:dyDescent="0.2">
      <c r="A297" s="275" t="s">
        <v>5</v>
      </c>
      <c r="B297" s="383"/>
      <c r="C297" s="383"/>
      <c r="D297" s="383"/>
      <c r="E297" s="383"/>
      <c r="F297" s="648"/>
      <c r="G297" s="648"/>
      <c r="H297" s="648"/>
      <c r="I297" s="648"/>
      <c r="J297" s="648"/>
      <c r="K297" s="649"/>
    </row>
    <row r="298" spans="1:11" x14ac:dyDescent="0.2">
      <c r="A298" s="275" t="s">
        <v>5</v>
      </c>
      <c r="B298" s="383"/>
      <c r="C298" s="383"/>
      <c r="D298" s="383"/>
      <c r="E298" s="383"/>
      <c r="F298" s="648"/>
      <c r="G298" s="648"/>
      <c r="H298" s="648"/>
      <c r="I298" s="648"/>
      <c r="J298" s="648"/>
      <c r="K298" s="649"/>
    </row>
    <row r="299" spans="1:11" x14ac:dyDescent="0.2">
      <c r="A299" s="275" t="s">
        <v>5</v>
      </c>
      <c r="B299" s="383"/>
      <c r="C299" s="383"/>
      <c r="D299" s="383"/>
      <c r="E299" s="383"/>
      <c r="F299" s="648"/>
      <c r="G299" s="648"/>
      <c r="H299" s="648"/>
      <c r="I299" s="648"/>
      <c r="J299" s="648"/>
      <c r="K299" s="649"/>
    </row>
    <row r="300" spans="1:11" ht="13.5" thickBot="1" x14ac:dyDescent="0.25">
      <c r="A300" s="276" t="s">
        <v>5</v>
      </c>
      <c r="B300" s="384"/>
      <c r="C300" s="384"/>
      <c r="D300" s="384"/>
      <c r="E300" s="384"/>
      <c r="F300" s="653"/>
      <c r="G300" s="653"/>
      <c r="H300" s="653"/>
      <c r="I300" s="653"/>
      <c r="J300" s="653"/>
      <c r="K300" s="654"/>
    </row>
    <row r="301" spans="1:11" x14ac:dyDescent="0.2">
      <c r="A301" s="219"/>
      <c r="C301" s="192"/>
      <c r="D301" s="192"/>
      <c r="E301" s="192"/>
      <c r="F301" s="192"/>
      <c r="G301" s="192"/>
      <c r="H301" s="192"/>
      <c r="I301" s="192"/>
      <c r="J301" s="192"/>
      <c r="K301" s="224"/>
    </row>
    <row r="302" spans="1:11" x14ac:dyDescent="0.2">
      <c r="A302" s="192"/>
      <c r="C302" s="192"/>
      <c r="D302" s="192"/>
      <c r="E302" s="192"/>
      <c r="F302" s="192"/>
      <c r="G302" s="192"/>
      <c r="H302" s="192"/>
      <c r="I302" s="192"/>
      <c r="J302" s="192"/>
      <c r="K302" s="224"/>
    </row>
    <row r="303" spans="1:11" x14ac:dyDescent="0.2">
      <c r="A303" s="220" t="s">
        <v>338</v>
      </c>
      <c r="C303" s="192"/>
      <c r="D303" s="192"/>
      <c r="E303" s="192"/>
      <c r="F303" s="192"/>
      <c r="G303" s="192"/>
      <c r="H303" s="192"/>
      <c r="I303" s="192"/>
      <c r="J303" s="192"/>
      <c r="K303" s="224"/>
    </row>
    <row r="304" spans="1:11" x14ac:dyDescent="0.2">
      <c r="A304" s="268" t="s">
        <v>56</v>
      </c>
      <c r="B304" s="311"/>
      <c r="C304" s="311"/>
      <c r="D304" s="314"/>
      <c r="E304" s="311"/>
      <c r="F304" s="612"/>
      <c r="G304" s="612"/>
      <c r="H304" s="612"/>
      <c r="I304" s="612"/>
      <c r="J304" s="612"/>
      <c r="K304" s="613"/>
    </row>
    <row r="305" spans="1:11" x14ac:dyDescent="0.2">
      <c r="A305" s="269" t="s">
        <v>69</v>
      </c>
      <c r="B305" s="311"/>
      <c r="C305" s="190"/>
      <c r="D305" s="190"/>
      <c r="E305" s="191"/>
      <c r="F305" s="608"/>
      <c r="G305" s="609"/>
      <c r="H305" s="609"/>
      <c r="I305" s="609"/>
      <c r="J305" s="609"/>
      <c r="K305" s="610"/>
    </row>
    <row r="306" spans="1:11" x14ac:dyDescent="0.2">
      <c r="A306" s="270" t="s">
        <v>58</v>
      </c>
      <c r="B306" s="311"/>
      <c r="C306" s="190"/>
      <c r="D306" s="190"/>
      <c r="E306" s="191"/>
      <c r="F306" s="608"/>
      <c r="G306" s="609"/>
      <c r="H306" s="609"/>
      <c r="I306" s="609"/>
      <c r="J306" s="609"/>
      <c r="K306" s="610"/>
    </row>
    <row r="307" spans="1:11" x14ac:dyDescent="0.2">
      <c r="A307" s="270" t="s">
        <v>59</v>
      </c>
      <c r="B307" s="311"/>
      <c r="C307" s="190"/>
      <c r="D307" s="190"/>
      <c r="E307" s="191"/>
      <c r="F307" s="608"/>
      <c r="G307" s="609"/>
      <c r="H307" s="609"/>
      <c r="I307" s="609"/>
      <c r="J307" s="609"/>
      <c r="K307" s="610"/>
    </row>
    <row r="308" spans="1:11" x14ac:dyDescent="0.2">
      <c r="A308" s="271" t="s">
        <v>60</v>
      </c>
      <c r="B308" s="311"/>
      <c r="C308" s="190"/>
      <c r="D308" s="190"/>
      <c r="E308" s="191"/>
      <c r="F308" s="608"/>
      <c r="G308" s="609"/>
      <c r="H308" s="609"/>
      <c r="I308" s="609"/>
      <c r="J308" s="609"/>
      <c r="K308" s="610"/>
    </row>
    <row r="309" spans="1:11" x14ac:dyDescent="0.2">
      <c r="A309" s="275" t="s">
        <v>241</v>
      </c>
      <c r="B309" s="311"/>
      <c r="C309" s="190"/>
      <c r="D309" s="190"/>
      <c r="E309" s="191"/>
      <c r="F309" s="608"/>
      <c r="G309" s="609"/>
      <c r="H309" s="609"/>
      <c r="I309" s="609"/>
      <c r="J309" s="609"/>
      <c r="K309" s="610"/>
    </row>
    <row r="310" spans="1:11" x14ac:dyDescent="0.2">
      <c r="A310" s="275" t="s">
        <v>242</v>
      </c>
      <c r="B310" s="311"/>
      <c r="C310" s="311"/>
      <c r="D310" s="314"/>
      <c r="E310" s="311"/>
      <c r="F310" s="612"/>
      <c r="G310" s="612"/>
      <c r="H310" s="612"/>
      <c r="I310" s="612"/>
      <c r="J310" s="612"/>
      <c r="K310" s="613"/>
    </row>
    <row r="311" spans="1:11" x14ac:dyDescent="0.2">
      <c r="A311" s="274" t="str">
        <f>CONCATENATE("3.1 WMTC 20°C ",'Variant 5 - WMTC'!$B$67)</f>
        <v>3.1 WMTC 20°C Drive Mode 1</v>
      </c>
      <c r="B311" s="311"/>
      <c r="C311" s="190"/>
      <c r="D311" s="190"/>
      <c r="E311" s="191"/>
      <c r="F311" s="608"/>
      <c r="G311" s="609"/>
      <c r="H311" s="609"/>
      <c r="I311" s="609"/>
      <c r="J311" s="609"/>
      <c r="K311" s="610"/>
    </row>
    <row r="312" spans="1:11" x14ac:dyDescent="0.2">
      <c r="A312" s="274" t="str">
        <f>CONCATENATE("3.2 WMTC 20°C ",'Variant 5 - WMTC'!$B$72)</f>
        <v>3.2 WMTC 20°C Drive Mode 2</v>
      </c>
      <c r="B312" s="311"/>
      <c r="C312" s="190"/>
      <c r="D312" s="190"/>
      <c r="E312" s="191"/>
      <c r="F312" s="608"/>
      <c r="G312" s="609"/>
      <c r="H312" s="609"/>
      <c r="I312" s="609"/>
      <c r="J312" s="609"/>
      <c r="K312" s="610"/>
    </row>
    <row r="313" spans="1:11" x14ac:dyDescent="0.2">
      <c r="A313" s="274" t="str">
        <f>CONCATENATE("3.3 WMTC 20°C ",'Variant 5 - WMTC'!$B$77)</f>
        <v>3.3 WMTC 20°C Drive Mode 3</v>
      </c>
      <c r="B313" s="311"/>
      <c r="C313" s="190"/>
      <c r="D313" s="190"/>
      <c r="E313" s="191"/>
      <c r="F313" s="608"/>
      <c r="G313" s="609"/>
      <c r="H313" s="609"/>
      <c r="I313" s="609"/>
      <c r="J313" s="609"/>
      <c r="K313" s="610"/>
    </row>
    <row r="314" spans="1:11" x14ac:dyDescent="0.2">
      <c r="A314" s="274" t="str">
        <f>CONCATENATE("3.4 WMTC 20°C ",'Variant 5 - WMTC'!$B$82)</f>
        <v>3.4 WMTC 20°C Drive Mode 4</v>
      </c>
      <c r="B314" s="311"/>
      <c r="C314" s="190"/>
      <c r="D314" s="190"/>
      <c r="E314" s="191"/>
      <c r="F314" s="608"/>
      <c r="G314" s="609"/>
      <c r="H314" s="609"/>
      <c r="I314" s="609"/>
      <c r="J314" s="609"/>
      <c r="K314" s="610"/>
    </row>
    <row r="315" spans="1:11" x14ac:dyDescent="0.2">
      <c r="A315" s="274" t="str">
        <f>CONCATENATE("3.5 WMTC 20°C ",'Variant 5 - WMTC'!$B$87)</f>
        <v>3.5 WMTC 20°C Drive Mode 5</v>
      </c>
      <c r="B315" s="311"/>
      <c r="C315" s="190"/>
      <c r="D315" s="190"/>
      <c r="E315" s="191"/>
      <c r="F315" s="608"/>
      <c r="G315" s="609"/>
      <c r="H315" s="609"/>
      <c r="I315" s="609"/>
      <c r="J315" s="609"/>
      <c r="K315" s="610"/>
    </row>
    <row r="316" spans="1:11" x14ac:dyDescent="0.2">
      <c r="A316" s="274" t="str">
        <f>CONCATENATE("3.6 WMTC 20°C ",'Variant 5 - WMTC'!$B$92)</f>
        <v>3.6 WMTC 20°C Drive Mode 6</v>
      </c>
      <c r="B316" s="311"/>
      <c r="C316" s="190"/>
      <c r="D316" s="190"/>
      <c r="E316" s="191"/>
      <c r="F316" s="608"/>
      <c r="G316" s="609"/>
      <c r="H316" s="609"/>
      <c r="I316" s="609"/>
      <c r="J316" s="609"/>
      <c r="K316" s="610"/>
    </row>
    <row r="317" spans="1:11" x14ac:dyDescent="0.2">
      <c r="A317" s="275" t="s">
        <v>243</v>
      </c>
      <c r="B317" s="311"/>
      <c r="C317" s="190"/>
      <c r="D317" s="190"/>
      <c r="E317" s="191"/>
      <c r="F317" s="608"/>
      <c r="G317" s="609"/>
      <c r="H317" s="609"/>
      <c r="I317" s="609"/>
      <c r="J317" s="609"/>
      <c r="K317" s="610"/>
    </row>
    <row r="318" spans="1:11" x14ac:dyDescent="0.2">
      <c r="A318" s="275" t="s">
        <v>245</v>
      </c>
      <c r="B318" s="311"/>
      <c r="C318" s="190"/>
      <c r="D318" s="190"/>
      <c r="E318" s="191"/>
      <c r="F318" s="608"/>
      <c r="G318" s="609"/>
      <c r="H318" s="609"/>
      <c r="I318" s="609"/>
      <c r="J318" s="609"/>
      <c r="K318" s="610"/>
    </row>
    <row r="319" spans="1:11" x14ac:dyDescent="0.2">
      <c r="A319" s="275" t="s">
        <v>5</v>
      </c>
      <c r="B319" s="383"/>
      <c r="C319" s="383"/>
      <c r="D319" s="383"/>
      <c r="E319" s="383"/>
      <c r="F319" s="648"/>
      <c r="G319" s="648"/>
      <c r="H319" s="648"/>
      <c r="I319" s="648"/>
      <c r="J319" s="648"/>
      <c r="K319" s="649"/>
    </row>
    <row r="320" spans="1:11" x14ac:dyDescent="0.2">
      <c r="A320" s="275" t="s">
        <v>5</v>
      </c>
      <c r="B320" s="383"/>
      <c r="C320" s="383"/>
      <c r="D320" s="383"/>
      <c r="E320" s="383"/>
      <c r="F320" s="648"/>
      <c r="G320" s="648"/>
      <c r="H320" s="648"/>
      <c r="I320" s="648"/>
      <c r="J320" s="648"/>
      <c r="K320" s="649"/>
    </row>
    <row r="321" spans="1:11" x14ac:dyDescent="0.2">
      <c r="A321" s="275" t="s">
        <v>5</v>
      </c>
      <c r="B321" s="383"/>
      <c r="C321" s="383"/>
      <c r="D321" s="383"/>
      <c r="E321" s="383"/>
      <c r="F321" s="648"/>
      <c r="G321" s="648"/>
      <c r="H321" s="648"/>
      <c r="I321" s="648"/>
      <c r="J321" s="648"/>
      <c r="K321" s="649"/>
    </row>
    <row r="322" spans="1:11" x14ac:dyDescent="0.2">
      <c r="A322" s="275" t="s">
        <v>5</v>
      </c>
      <c r="B322" s="383"/>
      <c r="C322" s="383"/>
      <c r="D322" s="383"/>
      <c r="E322" s="383"/>
      <c r="F322" s="648"/>
      <c r="G322" s="648"/>
      <c r="H322" s="648"/>
      <c r="I322" s="648"/>
      <c r="J322" s="648"/>
      <c r="K322" s="649"/>
    </row>
    <row r="323" spans="1:11" x14ac:dyDescent="0.2">
      <c r="A323" s="275" t="s">
        <v>5</v>
      </c>
      <c r="B323" s="383"/>
      <c r="C323" s="383"/>
      <c r="D323" s="383"/>
      <c r="E323" s="383"/>
      <c r="F323" s="648"/>
      <c r="G323" s="648"/>
      <c r="H323" s="648"/>
      <c r="I323" s="648"/>
      <c r="J323" s="648"/>
      <c r="K323" s="649"/>
    </row>
    <row r="324" spans="1:11" x14ac:dyDescent="0.2">
      <c r="A324" s="275" t="s">
        <v>5</v>
      </c>
      <c r="B324" s="383"/>
      <c r="C324" s="383"/>
      <c r="D324" s="383"/>
      <c r="E324" s="383"/>
      <c r="F324" s="648"/>
      <c r="G324" s="648"/>
      <c r="H324" s="648"/>
      <c r="I324" s="648"/>
      <c r="J324" s="648"/>
      <c r="K324" s="649"/>
    </row>
    <row r="325" spans="1:11" x14ac:dyDescent="0.2">
      <c r="A325" s="275" t="s">
        <v>5</v>
      </c>
      <c r="B325" s="383"/>
      <c r="C325" s="383"/>
      <c r="D325" s="383"/>
      <c r="E325" s="383"/>
      <c r="F325" s="648"/>
      <c r="G325" s="648"/>
      <c r="H325" s="648"/>
      <c r="I325" s="648"/>
      <c r="J325" s="648"/>
      <c r="K325" s="649"/>
    </row>
    <row r="326" spans="1:11" x14ac:dyDescent="0.2">
      <c r="A326" s="275" t="s">
        <v>5</v>
      </c>
      <c r="B326" s="383"/>
      <c r="C326" s="383"/>
      <c r="D326" s="383"/>
      <c r="E326" s="383"/>
      <c r="F326" s="648"/>
      <c r="G326" s="648"/>
      <c r="H326" s="648"/>
      <c r="I326" s="648"/>
      <c r="J326" s="648"/>
      <c r="K326" s="649"/>
    </row>
    <row r="327" spans="1:11" x14ac:dyDescent="0.2">
      <c r="A327" s="275" t="s">
        <v>5</v>
      </c>
      <c r="B327" s="383"/>
      <c r="C327" s="383"/>
      <c r="D327" s="383"/>
      <c r="E327" s="383"/>
      <c r="F327" s="648"/>
      <c r="G327" s="648"/>
      <c r="H327" s="648"/>
      <c r="I327" s="648"/>
      <c r="J327" s="648"/>
      <c r="K327" s="649"/>
    </row>
    <row r="328" spans="1:11" x14ac:dyDescent="0.2">
      <c r="A328" s="275" t="s">
        <v>5</v>
      </c>
      <c r="B328" s="383"/>
      <c r="C328" s="383"/>
      <c r="D328" s="383"/>
      <c r="E328" s="383"/>
      <c r="F328" s="648"/>
      <c r="G328" s="648"/>
      <c r="H328" s="648"/>
      <c r="I328" s="648"/>
      <c r="J328" s="648"/>
      <c r="K328" s="649"/>
    </row>
    <row r="329" spans="1:11" x14ac:dyDescent="0.2">
      <c r="A329" s="275" t="s">
        <v>5</v>
      </c>
      <c r="B329" s="383"/>
      <c r="C329" s="383"/>
      <c r="D329" s="383"/>
      <c r="E329" s="383"/>
      <c r="F329" s="648"/>
      <c r="G329" s="648"/>
      <c r="H329" s="648"/>
      <c r="I329" s="648"/>
      <c r="J329" s="648"/>
      <c r="K329" s="649"/>
    </row>
    <row r="330" spans="1:11" x14ac:dyDescent="0.2">
      <c r="A330" s="275" t="s">
        <v>5</v>
      </c>
      <c r="B330" s="383"/>
      <c r="C330" s="383"/>
      <c r="D330" s="383"/>
      <c r="E330" s="383"/>
      <c r="F330" s="648"/>
      <c r="G330" s="648"/>
      <c r="H330" s="648"/>
      <c r="I330" s="648"/>
      <c r="J330" s="648"/>
      <c r="K330" s="649"/>
    </row>
    <row r="331" spans="1:11" x14ac:dyDescent="0.2">
      <c r="A331" s="275" t="s">
        <v>5</v>
      </c>
      <c r="B331" s="383"/>
      <c r="C331" s="383"/>
      <c r="D331" s="383"/>
      <c r="E331" s="383"/>
      <c r="F331" s="648"/>
      <c r="G331" s="648"/>
      <c r="H331" s="648"/>
      <c r="I331" s="648"/>
      <c r="J331" s="648"/>
      <c r="K331" s="649"/>
    </row>
    <row r="332" spans="1:11" x14ac:dyDescent="0.2">
      <c r="A332" s="275" t="s">
        <v>5</v>
      </c>
      <c r="B332" s="383"/>
      <c r="C332" s="383"/>
      <c r="D332" s="383"/>
      <c r="E332" s="383"/>
      <c r="F332" s="648"/>
      <c r="G332" s="648"/>
      <c r="H332" s="648"/>
      <c r="I332" s="648"/>
      <c r="J332" s="648"/>
      <c r="K332" s="649"/>
    </row>
    <row r="333" spans="1:11" x14ac:dyDescent="0.2">
      <c r="A333" s="275" t="s">
        <v>5</v>
      </c>
      <c r="B333" s="383"/>
      <c r="C333" s="383"/>
      <c r="D333" s="383"/>
      <c r="E333" s="383"/>
      <c r="F333" s="648"/>
      <c r="G333" s="648"/>
      <c r="H333" s="648"/>
      <c r="I333" s="648"/>
      <c r="J333" s="648"/>
      <c r="K333" s="649"/>
    </row>
    <row r="334" spans="1:11" x14ac:dyDescent="0.2">
      <c r="A334" s="275" t="s">
        <v>5</v>
      </c>
      <c r="B334" s="383"/>
      <c r="C334" s="383"/>
      <c r="D334" s="383"/>
      <c r="E334" s="383"/>
      <c r="F334" s="648"/>
      <c r="G334" s="648"/>
      <c r="H334" s="648"/>
      <c r="I334" s="648"/>
      <c r="J334" s="648"/>
      <c r="K334" s="649"/>
    </row>
    <row r="335" spans="1:11" x14ac:dyDescent="0.2">
      <c r="A335" s="275" t="s">
        <v>5</v>
      </c>
      <c r="B335" s="383"/>
      <c r="C335" s="383"/>
      <c r="D335" s="383"/>
      <c r="E335" s="383"/>
      <c r="F335" s="648"/>
      <c r="G335" s="648"/>
      <c r="H335" s="648"/>
      <c r="I335" s="648"/>
      <c r="J335" s="648"/>
      <c r="K335" s="649"/>
    </row>
    <row r="336" spans="1:11" x14ac:dyDescent="0.2">
      <c r="A336" s="275" t="s">
        <v>5</v>
      </c>
      <c r="B336" s="383"/>
      <c r="C336" s="383"/>
      <c r="D336" s="383"/>
      <c r="E336" s="383"/>
      <c r="F336" s="648"/>
      <c r="G336" s="648"/>
      <c r="H336" s="648"/>
      <c r="I336" s="648"/>
      <c r="J336" s="648"/>
      <c r="K336" s="649"/>
    </row>
    <row r="337" spans="1:11" x14ac:dyDescent="0.2">
      <c r="A337" s="275" t="s">
        <v>5</v>
      </c>
      <c r="B337" s="383"/>
      <c r="C337" s="383"/>
      <c r="D337" s="383"/>
      <c r="E337" s="383"/>
      <c r="F337" s="648"/>
      <c r="G337" s="648"/>
      <c r="H337" s="648"/>
      <c r="I337" s="648"/>
      <c r="J337" s="648"/>
      <c r="K337" s="649"/>
    </row>
    <row r="338" spans="1:11" x14ac:dyDescent="0.2">
      <c r="A338" s="275" t="s">
        <v>5</v>
      </c>
      <c r="B338" s="383"/>
      <c r="C338" s="383"/>
      <c r="D338" s="383"/>
      <c r="E338" s="383"/>
      <c r="F338" s="648"/>
      <c r="G338" s="648"/>
      <c r="H338" s="648"/>
      <c r="I338" s="648"/>
      <c r="J338" s="648"/>
      <c r="K338" s="649"/>
    </row>
    <row r="339" spans="1:11" ht="13.5" thickBot="1" x14ac:dyDescent="0.25">
      <c r="A339" s="276" t="s">
        <v>5</v>
      </c>
      <c r="B339" s="384"/>
      <c r="C339" s="384"/>
      <c r="D339" s="384"/>
      <c r="E339" s="384"/>
      <c r="F339" s="653"/>
      <c r="G339" s="653"/>
      <c r="H339" s="653"/>
      <c r="I339" s="653"/>
      <c r="J339" s="653"/>
      <c r="K339" s="654"/>
    </row>
    <row r="340" spans="1:11" x14ac:dyDescent="0.2">
      <c r="A340" s="225"/>
      <c r="B340" s="226"/>
      <c r="C340" s="226"/>
      <c r="D340" s="226"/>
      <c r="E340" s="226"/>
      <c r="F340" s="226"/>
      <c r="G340" s="226"/>
      <c r="H340" s="226"/>
      <c r="I340" s="226"/>
      <c r="J340" s="226"/>
      <c r="K340" s="227"/>
    </row>
    <row r="341" spans="1:11" x14ac:dyDescent="0.2">
      <c r="A341" s="228"/>
      <c r="B341" s="279"/>
      <c r="C341" s="279"/>
      <c r="D341" s="312"/>
      <c r="E341" s="279"/>
      <c r="F341" s="279"/>
      <c r="G341" s="279"/>
      <c r="H341" s="279"/>
      <c r="I341" s="279"/>
      <c r="J341" s="279"/>
      <c r="K341" s="229"/>
    </row>
    <row r="342" spans="1:11" x14ac:dyDescent="0.2">
      <c r="A342" s="220" t="s">
        <v>339</v>
      </c>
      <c r="B342" s="192"/>
      <c r="C342" s="193"/>
      <c r="D342" s="193"/>
      <c r="E342" s="192"/>
      <c r="F342" s="192"/>
      <c r="G342" s="192"/>
      <c r="H342" s="192"/>
      <c r="I342" s="192"/>
      <c r="J342" s="192"/>
      <c r="K342" s="224"/>
    </row>
    <row r="343" spans="1:11" x14ac:dyDescent="0.2">
      <c r="A343" s="268" t="s">
        <v>57</v>
      </c>
      <c r="B343" s="280"/>
      <c r="C343" s="280"/>
      <c r="D343" s="314"/>
      <c r="E343" s="280"/>
      <c r="F343" s="608"/>
      <c r="G343" s="609"/>
      <c r="H343" s="609"/>
      <c r="I343" s="609"/>
      <c r="J343" s="609"/>
      <c r="K343" s="610"/>
    </row>
    <row r="344" spans="1:11" x14ac:dyDescent="0.2">
      <c r="A344" s="269" t="s">
        <v>70</v>
      </c>
      <c r="B344" s="280"/>
      <c r="C344" s="191"/>
      <c r="D344" s="191"/>
      <c r="E344" s="191"/>
      <c r="F344" s="608"/>
      <c r="G344" s="609"/>
      <c r="H344" s="609"/>
      <c r="I344" s="609"/>
      <c r="J344" s="609"/>
      <c r="K344" s="610"/>
    </row>
    <row r="345" spans="1:11" x14ac:dyDescent="0.2">
      <c r="A345" s="270" t="s">
        <v>61</v>
      </c>
      <c r="B345" s="280"/>
      <c r="C345" s="191"/>
      <c r="D345" s="191"/>
      <c r="E345" s="191"/>
      <c r="F345" s="608"/>
      <c r="G345" s="609"/>
      <c r="H345" s="609"/>
      <c r="I345" s="609"/>
      <c r="J345" s="609"/>
      <c r="K345" s="610"/>
    </row>
    <row r="346" spans="1:11" x14ac:dyDescent="0.2">
      <c r="A346" s="270" t="s">
        <v>62</v>
      </c>
      <c r="B346" s="280"/>
      <c r="C346" s="191"/>
      <c r="D346" s="191"/>
      <c r="E346" s="191"/>
      <c r="F346" s="608"/>
      <c r="G346" s="609"/>
      <c r="H346" s="609"/>
      <c r="I346" s="609"/>
      <c r="J346" s="609"/>
      <c r="K346" s="610"/>
    </row>
    <row r="347" spans="1:11" x14ac:dyDescent="0.2">
      <c r="A347" s="271" t="s">
        <v>63</v>
      </c>
      <c r="B347" s="280"/>
      <c r="C347" s="191"/>
      <c r="D347" s="191"/>
      <c r="E347" s="191"/>
      <c r="F347" s="608"/>
      <c r="G347" s="609"/>
      <c r="H347" s="609"/>
      <c r="I347" s="609"/>
      <c r="J347" s="609"/>
      <c r="K347" s="610"/>
    </row>
    <row r="348" spans="1:11" x14ac:dyDescent="0.2">
      <c r="A348" s="275" t="s">
        <v>340</v>
      </c>
      <c r="B348" s="280"/>
      <c r="C348" s="191"/>
      <c r="D348" s="191"/>
      <c r="E348" s="191"/>
      <c r="F348" s="608"/>
      <c r="G348" s="609"/>
      <c r="H348" s="609"/>
      <c r="I348" s="609"/>
      <c r="J348" s="609"/>
      <c r="K348" s="610"/>
    </row>
    <row r="349" spans="1:11" x14ac:dyDescent="0.2">
      <c r="A349" s="275" t="s">
        <v>341</v>
      </c>
      <c r="B349" s="280"/>
      <c r="C349" s="280"/>
      <c r="D349" s="314"/>
      <c r="E349" s="280"/>
      <c r="F349" s="608"/>
      <c r="G349" s="609"/>
      <c r="H349" s="609"/>
      <c r="I349" s="609"/>
      <c r="J349" s="609"/>
      <c r="K349" s="610"/>
    </row>
    <row r="350" spans="1:11" x14ac:dyDescent="0.2">
      <c r="A350" s="274" t="str">
        <f>CONCATENATE("2.1 WLTC 20°C ",'Variant 6 - WLTC'!$B$67)</f>
        <v>2.1 WLTC 20°C Drive Mode 1</v>
      </c>
      <c r="B350" s="280"/>
      <c r="C350" s="191"/>
      <c r="D350" s="191"/>
      <c r="E350" s="191"/>
      <c r="F350" s="608"/>
      <c r="G350" s="609"/>
      <c r="H350" s="609"/>
      <c r="I350" s="609"/>
      <c r="J350" s="609"/>
      <c r="K350" s="610"/>
    </row>
    <row r="351" spans="1:11" x14ac:dyDescent="0.2">
      <c r="A351" s="274" t="str">
        <f>CONCATENATE("2.2 WLTC 20°C ",'Variant 6 - WLTC'!$B$72)</f>
        <v>2.2 WLTC 20°C Drive Mode 2</v>
      </c>
      <c r="B351" s="280"/>
      <c r="C351" s="191"/>
      <c r="D351" s="191"/>
      <c r="E351" s="191"/>
      <c r="F351" s="608"/>
      <c r="G351" s="609"/>
      <c r="H351" s="609"/>
      <c r="I351" s="609"/>
      <c r="J351" s="609"/>
      <c r="K351" s="610"/>
    </row>
    <row r="352" spans="1:11" x14ac:dyDescent="0.2">
      <c r="A352" s="274" t="str">
        <f>CONCATENATE("2.3 WLTC 20°C ",'Variant 6 - WLTC'!$B$77)</f>
        <v>2.3 WLTC 20°C Drive Mode 3</v>
      </c>
      <c r="B352" s="280"/>
      <c r="C352" s="191"/>
      <c r="D352" s="191"/>
      <c r="E352" s="191"/>
      <c r="F352" s="608"/>
      <c r="G352" s="609"/>
      <c r="H352" s="609"/>
      <c r="I352" s="609"/>
      <c r="J352" s="609"/>
      <c r="K352" s="610"/>
    </row>
    <row r="353" spans="1:11" x14ac:dyDescent="0.2">
      <c r="A353" s="274" t="str">
        <f>CONCATENATE("2.4 WLTC 20°C ",'Variant 6 - WLTC'!$B$82)</f>
        <v>2.4 WLTC 20°C Drive Mode 4</v>
      </c>
      <c r="B353" s="280"/>
      <c r="C353" s="191"/>
      <c r="D353" s="191"/>
      <c r="E353" s="191"/>
      <c r="F353" s="608"/>
      <c r="G353" s="609"/>
      <c r="H353" s="609"/>
      <c r="I353" s="609"/>
      <c r="J353" s="609"/>
      <c r="K353" s="610"/>
    </row>
    <row r="354" spans="1:11" x14ac:dyDescent="0.2">
      <c r="A354" s="274" t="str">
        <f>CONCATENATE("2.5 WLTC 20°C ",'Variant 6 - WLTC'!$B$87)</f>
        <v>2.5 WLTC 20°C Drive Mode 5</v>
      </c>
      <c r="B354" s="280"/>
      <c r="C354" s="191"/>
      <c r="D354" s="191"/>
      <c r="E354" s="191"/>
      <c r="F354" s="608"/>
      <c r="G354" s="609"/>
      <c r="H354" s="609"/>
      <c r="I354" s="609"/>
      <c r="J354" s="609"/>
      <c r="K354" s="610"/>
    </row>
    <row r="355" spans="1:11" x14ac:dyDescent="0.2">
      <c r="A355" s="274" t="str">
        <f>CONCATENATE("2.6 WLTC 20°C ",'Variant 6 - WLTC'!$B$92)</f>
        <v>2.6 WLTC 20°C Drive Mode 6</v>
      </c>
      <c r="B355" s="280"/>
      <c r="C355" s="191"/>
      <c r="D355" s="191"/>
      <c r="E355" s="191"/>
      <c r="F355" s="608"/>
      <c r="G355" s="609"/>
      <c r="H355" s="609"/>
      <c r="I355" s="609"/>
      <c r="J355" s="609"/>
      <c r="K355" s="610"/>
    </row>
    <row r="356" spans="1:11" x14ac:dyDescent="0.2">
      <c r="A356" s="275" t="s">
        <v>174</v>
      </c>
      <c r="B356" s="280"/>
      <c r="C356" s="191"/>
      <c r="D356" s="191"/>
      <c r="E356" s="191"/>
      <c r="F356" s="608"/>
      <c r="G356" s="609"/>
      <c r="H356" s="609"/>
      <c r="I356" s="609"/>
      <c r="J356" s="609"/>
      <c r="K356" s="610"/>
    </row>
    <row r="357" spans="1:11" x14ac:dyDescent="0.2">
      <c r="A357" s="275" t="s">
        <v>244</v>
      </c>
      <c r="B357" s="280"/>
      <c r="C357" s="549"/>
      <c r="D357" s="549"/>
      <c r="E357" s="549"/>
      <c r="F357" s="608"/>
      <c r="G357" s="609"/>
      <c r="H357" s="609"/>
      <c r="I357" s="609"/>
      <c r="J357" s="609"/>
      <c r="K357" s="610"/>
    </row>
    <row r="358" spans="1:11" ht="25.5" x14ac:dyDescent="0.2">
      <c r="A358" s="270" t="s">
        <v>346</v>
      </c>
      <c r="B358" s="382"/>
      <c r="C358" s="191"/>
      <c r="D358" s="191"/>
      <c r="E358" s="191"/>
      <c r="F358" s="608"/>
      <c r="G358" s="609"/>
      <c r="H358" s="609"/>
      <c r="I358" s="609"/>
      <c r="J358" s="609"/>
      <c r="K358" s="610"/>
    </row>
    <row r="359" spans="1:11" ht="25.5" x14ac:dyDescent="0.2">
      <c r="A359" s="270" t="s">
        <v>347</v>
      </c>
      <c r="B359" s="382"/>
      <c r="C359" s="191"/>
      <c r="D359" s="191"/>
      <c r="E359" s="191"/>
      <c r="F359" s="608"/>
      <c r="G359" s="609"/>
      <c r="H359" s="609"/>
      <c r="I359" s="609"/>
      <c r="J359" s="609"/>
      <c r="K359" s="610"/>
    </row>
    <row r="360" spans="1:11" ht="25.5" x14ac:dyDescent="0.2">
      <c r="A360" s="270" t="s">
        <v>348</v>
      </c>
      <c r="B360" s="382"/>
      <c r="C360" s="191"/>
      <c r="D360" s="191"/>
      <c r="E360" s="191"/>
      <c r="F360" s="608"/>
      <c r="G360" s="609"/>
      <c r="H360" s="609"/>
      <c r="I360" s="609"/>
      <c r="J360" s="609"/>
      <c r="K360" s="610"/>
    </row>
    <row r="361" spans="1:11" x14ac:dyDescent="0.2">
      <c r="A361" s="275" t="s">
        <v>209</v>
      </c>
      <c r="B361" s="382"/>
      <c r="C361" s="191"/>
      <c r="D361" s="191"/>
      <c r="E361" s="191"/>
      <c r="F361" s="608"/>
      <c r="G361" s="609"/>
      <c r="H361" s="609"/>
      <c r="I361" s="609"/>
      <c r="J361" s="609"/>
      <c r="K361" s="610"/>
    </row>
    <row r="362" spans="1:11" x14ac:dyDescent="0.2">
      <c r="A362" s="275" t="s">
        <v>1</v>
      </c>
      <c r="B362" s="382"/>
      <c r="C362" s="549"/>
      <c r="D362" s="549"/>
      <c r="E362" s="549"/>
      <c r="F362" s="608"/>
      <c r="G362" s="609"/>
      <c r="H362" s="609"/>
      <c r="I362" s="609"/>
      <c r="J362" s="609"/>
      <c r="K362" s="610"/>
    </row>
    <row r="363" spans="1:11" x14ac:dyDescent="0.2">
      <c r="A363" s="270" t="s">
        <v>313</v>
      </c>
      <c r="B363" s="382"/>
      <c r="C363" s="191"/>
      <c r="D363" s="191"/>
      <c r="E363" s="191"/>
      <c r="F363" s="608"/>
      <c r="G363" s="609"/>
      <c r="H363" s="609"/>
      <c r="I363" s="609"/>
      <c r="J363" s="609"/>
      <c r="K363" s="610"/>
    </row>
    <row r="364" spans="1:11" x14ac:dyDescent="0.2">
      <c r="A364" s="270" t="s">
        <v>314</v>
      </c>
      <c r="B364" s="382"/>
      <c r="C364" s="191"/>
      <c r="D364" s="191"/>
      <c r="E364" s="191"/>
      <c r="F364" s="608"/>
      <c r="G364" s="609"/>
      <c r="H364" s="609"/>
      <c r="I364" s="609"/>
      <c r="J364" s="609"/>
      <c r="K364" s="610"/>
    </row>
    <row r="365" spans="1:11" x14ac:dyDescent="0.2">
      <c r="A365" s="270" t="s">
        <v>315</v>
      </c>
      <c r="B365" s="382"/>
      <c r="C365" s="190"/>
      <c r="D365" s="190"/>
      <c r="E365" s="191"/>
      <c r="F365" s="608"/>
      <c r="G365" s="609"/>
      <c r="H365" s="609"/>
      <c r="I365" s="609"/>
      <c r="J365" s="609"/>
      <c r="K365" s="610"/>
    </row>
    <row r="366" spans="1:11" x14ac:dyDescent="0.2">
      <c r="A366" s="270" t="s">
        <v>316</v>
      </c>
      <c r="B366" s="382"/>
      <c r="C366" s="190"/>
      <c r="D366" s="190"/>
      <c r="E366" s="191"/>
      <c r="F366" s="608"/>
      <c r="G366" s="609"/>
      <c r="H366" s="609"/>
      <c r="I366" s="609"/>
      <c r="J366" s="609"/>
      <c r="K366" s="610"/>
    </row>
    <row r="367" spans="1:11" x14ac:dyDescent="0.2">
      <c r="A367" s="270" t="s">
        <v>317</v>
      </c>
      <c r="B367" s="382"/>
      <c r="C367" s="190"/>
      <c r="D367" s="190"/>
      <c r="E367" s="191"/>
      <c r="F367" s="608"/>
      <c r="G367" s="609"/>
      <c r="H367" s="609"/>
      <c r="I367" s="609"/>
      <c r="J367" s="609"/>
      <c r="K367" s="610"/>
    </row>
    <row r="368" spans="1:11" x14ac:dyDescent="0.2">
      <c r="A368" s="270" t="s">
        <v>318</v>
      </c>
      <c r="B368" s="382"/>
      <c r="C368" s="190"/>
      <c r="D368" s="190"/>
      <c r="E368" s="191"/>
      <c r="F368" s="608"/>
      <c r="G368" s="609"/>
      <c r="H368" s="609"/>
      <c r="I368" s="609"/>
      <c r="J368" s="609"/>
      <c r="K368" s="610"/>
    </row>
    <row r="369" spans="1:11" x14ac:dyDescent="0.2">
      <c r="A369" s="275" t="s">
        <v>5</v>
      </c>
      <c r="B369" s="382"/>
      <c r="C369" s="571"/>
      <c r="D369" s="571"/>
      <c r="E369" s="571"/>
      <c r="F369" s="608"/>
      <c r="G369" s="609"/>
      <c r="H369" s="609"/>
      <c r="I369" s="609"/>
      <c r="J369" s="609"/>
      <c r="K369" s="610"/>
    </row>
    <row r="370" spans="1:11" x14ac:dyDescent="0.2">
      <c r="A370" s="275" t="s">
        <v>5</v>
      </c>
      <c r="B370" s="382"/>
      <c r="C370" s="549"/>
      <c r="D370" s="549"/>
      <c r="E370" s="549"/>
      <c r="F370" s="608"/>
      <c r="G370" s="609"/>
      <c r="H370" s="609"/>
      <c r="I370" s="609"/>
      <c r="J370" s="609"/>
      <c r="K370" s="610"/>
    </row>
    <row r="371" spans="1:11" x14ac:dyDescent="0.2">
      <c r="A371" s="273" t="s">
        <v>5</v>
      </c>
      <c r="B371" s="382"/>
      <c r="C371" s="382"/>
      <c r="D371" s="382"/>
      <c r="E371" s="382"/>
      <c r="F371" s="608"/>
      <c r="G371" s="609"/>
      <c r="H371" s="609"/>
      <c r="I371" s="609"/>
      <c r="J371" s="609"/>
      <c r="K371" s="610"/>
    </row>
    <row r="372" spans="1:11" x14ac:dyDescent="0.2">
      <c r="A372" s="551" t="s">
        <v>5</v>
      </c>
      <c r="B372" s="382"/>
      <c r="C372" s="549"/>
      <c r="D372" s="549"/>
      <c r="E372" s="549"/>
      <c r="F372" s="608"/>
      <c r="G372" s="609"/>
      <c r="H372" s="609"/>
      <c r="I372" s="609"/>
      <c r="J372" s="609"/>
      <c r="K372" s="610"/>
    </row>
    <row r="373" spans="1:11" x14ac:dyDescent="0.2">
      <c r="A373" s="552" t="s">
        <v>5</v>
      </c>
      <c r="B373" s="382"/>
      <c r="C373" s="549"/>
      <c r="D373" s="549"/>
      <c r="E373" s="549"/>
      <c r="F373" s="608"/>
      <c r="G373" s="609"/>
      <c r="H373" s="609"/>
      <c r="I373" s="609"/>
      <c r="J373" s="609"/>
      <c r="K373" s="610"/>
    </row>
    <row r="374" spans="1:11" x14ac:dyDescent="0.2">
      <c r="A374" s="552" t="s">
        <v>5</v>
      </c>
      <c r="B374" s="382"/>
      <c r="C374" s="549"/>
      <c r="D374" s="549"/>
      <c r="E374" s="549"/>
      <c r="F374" s="608"/>
      <c r="G374" s="609"/>
      <c r="H374" s="609"/>
      <c r="I374" s="609"/>
      <c r="J374" s="609"/>
      <c r="K374" s="610"/>
    </row>
    <row r="375" spans="1:11" x14ac:dyDescent="0.2">
      <c r="A375" s="552" t="s">
        <v>5</v>
      </c>
      <c r="B375" s="382"/>
      <c r="C375" s="549"/>
      <c r="D375" s="549"/>
      <c r="E375" s="549"/>
      <c r="F375" s="608"/>
      <c r="G375" s="609"/>
      <c r="H375" s="609"/>
      <c r="I375" s="609"/>
      <c r="J375" s="609"/>
      <c r="K375" s="610"/>
    </row>
    <row r="376" spans="1:11" x14ac:dyDescent="0.2">
      <c r="A376" s="552" t="s">
        <v>5</v>
      </c>
      <c r="B376" s="382"/>
      <c r="C376" s="549"/>
      <c r="D376" s="549"/>
      <c r="E376" s="549"/>
      <c r="F376" s="608"/>
      <c r="G376" s="609"/>
      <c r="H376" s="609"/>
      <c r="I376" s="609"/>
      <c r="J376" s="609"/>
      <c r="K376" s="610"/>
    </row>
    <row r="377" spans="1:11" x14ac:dyDescent="0.2">
      <c r="A377" s="552" t="s">
        <v>5</v>
      </c>
      <c r="B377" s="280"/>
      <c r="C377" s="549"/>
      <c r="D377" s="549"/>
      <c r="E377" s="549"/>
      <c r="F377" s="608"/>
      <c r="G377" s="609"/>
      <c r="H377" s="609"/>
      <c r="I377" s="609"/>
      <c r="J377" s="609"/>
      <c r="K377" s="610"/>
    </row>
    <row r="378" spans="1:11" ht="13.5" thickBot="1" x14ac:dyDescent="0.25">
      <c r="A378" s="553" t="s">
        <v>5</v>
      </c>
      <c r="B378" s="384"/>
      <c r="C378" s="390"/>
      <c r="D378" s="390"/>
      <c r="E378" s="390"/>
      <c r="F378" s="860"/>
      <c r="G378" s="861"/>
      <c r="H378" s="861"/>
      <c r="I378" s="861"/>
      <c r="J378" s="861"/>
      <c r="K378" s="862"/>
    </row>
    <row r="379" spans="1:11" x14ac:dyDescent="0.2">
      <c r="A379" s="219"/>
      <c r="E379" s="192"/>
      <c r="F379" s="192"/>
      <c r="G379" s="192"/>
      <c r="H379" s="192"/>
      <c r="I379" s="192"/>
      <c r="J379" s="192"/>
      <c r="K379" s="224"/>
    </row>
    <row r="380" spans="1:11" x14ac:dyDescent="0.2">
      <c r="A380" s="192"/>
      <c r="E380" s="192"/>
      <c r="F380" s="192"/>
      <c r="G380" s="192"/>
      <c r="H380" s="192"/>
      <c r="I380" s="192"/>
      <c r="J380" s="192"/>
      <c r="K380" s="224"/>
    </row>
    <row r="381" spans="1:11" x14ac:dyDescent="0.2">
      <c r="A381" s="220" t="s">
        <v>112</v>
      </c>
      <c r="F381" s="192"/>
      <c r="G381" s="192"/>
      <c r="H381" s="192"/>
      <c r="I381" s="192"/>
      <c r="J381" s="192"/>
      <c r="K381" s="224"/>
    </row>
    <row r="382" spans="1:11" x14ac:dyDescent="0.2">
      <c r="A382" s="275" t="s">
        <v>5</v>
      </c>
      <c r="B382" s="285" t="s">
        <v>5</v>
      </c>
      <c r="C382" s="285" t="s">
        <v>5</v>
      </c>
      <c r="D382" s="316"/>
      <c r="E382" s="285" t="s">
        <v>5</v>
      </c>
      <c r="F382" s="648"/>
      <c r="G382" s="648"/>
      <c r="H382" s="648"/>
      <c r="I382" s="648"/>
      <c r="J382" s="648"/>
      <c r="K382" s="649"/>
    </row>
    <row r="383" spans="1:11" x14ac:dyDescent="0.2">
      <c r="A383" s="275" t="s">
        <v>5</v>
      </c>
      <c r="B383" s="285" t="s">
        <v>5</v>
      </c>
      <c r="C383" s="285" t="s">
        <v>5</v>
      </c>
      <c r="D383" s="316"/>
      <c r="E383" s="285" t="s">
        <v>5</v>
      </c>
      <c r="F383" s="648"/>
      <c r="G383" s="648"/>
      <c r="H383" s="648"/>
      <c r="I383" s="648"/>
      <c r="J383" s="648"/>
      <c r="K383" s="649"/>
    </row>
    <row r="384" spans="1:11" x14ac:dyDescent="0.2">
      <c r="A384" s="275" t="s">
        <v>5</v>
      </c>
      <c r="B384" s="285" t="s">
        <v>5</v>
      </c>
      <c r="C384" s="285" t="s">
        <v>5</v>
      </c>
      <c r="D384" s="316"/>
      <c r="E384" s="285" t="s">
        <v>5</v>
      </c>
      <c r="F384" s="648"/>
      <c r="G384" s="648"/>
      <c r="H384" s="648"/>
      <c r="I384" s="648"/>
      <c r="J384" s="648"/>
      <c r="K384" s="649"/>
    </row>
    <row r="385" spans="1:11" x14ac:dyDescent="0.2">
      <c r="A385" s="275" t="s">
        <v>5</v>
      </c>
      <c r="B385" s="285" t="s">
        <v>5</v>
      </c>
      <c r="C385" s="285" t="s">
        <v>5</v>
      </c>
      <c r="D385" s="316"/>
      <c r="E385" s="285" t="s">
        <v>5</v>
      </c>
      <c r="F385" s="648"/>
      <c r="G385" s="648"/>
      <c r="H385" s="648"/>
      <c r="I385" s="648"/>
      <c r="J385" s="648"/>
      <c r="K385" s="649"/>
    </row>
    <row r="386" spans="1:11" x14ac:dyDescent="0.2">
      <c r="A386" s="275" t="s">
        <v>5</v>
      </c>
      <c r="B386" s="285" t="s">
        <v>5</v>
      </c>
      <c r="C386" s="285" t="s">
        <v>5</v>
      </c>
      <c r="D386" s="316"/>
      <c r="E386" s="285" t="s">
        <v>5</v>
      </c>
      <c r="F386" s="648"/>
      <c r="G386" s="648"/>
      <c r="H386" s="648"/>
      <c r="I386" s="648"/>
      <c r="J386" s="648"/>
      <c r="K386" s="649"/>
    </row>
    <row r="387" spans="1:11" x14ac:dyDescent="0.2">
      <c r="A387" s="275" t="s">
        <v>5</v>
      </c>
      <c r="B387" s="285" t="s">
        <v>5</v>
      </c>
      <c r="C387" s="285" t="s">
        <v>5</v>
      </c>
      <c r="D387" s="316"/>
      <c r="E387" s="285" t="s">
        <v>5</v>
      </c>
      <c r="F387" s="648"/>
      <c r="G387" s="648"/>
      <c r="H387" s="648"/>
      <c r="I387" s="648"/>
      <c r="J387" s="648"/>
      <c r="K387" s="649"/>
    </row>
    <row r="388" spans="1:11" x14ac:dyDescent="0.2">
      <c r="A388" s="275" t="s">
        <v>5</v>
      </c>
      <c r="B388" s="285" t="s">
        <v>5</v>
      </c>
      <c r="C388" s="285" t="s">
        <v>5</v>
      </c>
      <c r="D388" s="316"/>
      <c r="E388" s="285" t="s">
        <v>5</v>
      </c>
      <c r="F388" s="648"/>
      <c r="G388" s="648"/>
      <c r="H388" s="648"/>
      <c r="I388" s="648"/>
      <c r="J388" s="648"/>
      <c r="K388" s="649"/>
    </row>
    <row r="389" spans="1:11" x14ac:dyDescent="0.2">
      <c r="A389" s="275" t="s">
        <v>5</v>
      </c>
      <c r="B389" s="285" t="s">
        <v>5</v>
      </c>
      <c r="C389" s="285" t="s">
        <v>5</v>
      </c>
      <c r="D389" s="316"/>
      <c r="E389" s="285" t="s">
        <v>5</v>
      </c>
      <c r="F389" s="648"/>
      <c r="G389" s="648"/>
      <c r="H389" s="648"/>
      <c r="I389" s="648"/>
      <c r="J389" s="648"/>
      <c r="K389" s="649"/>
    </row>
    <row r="390" spans="1:11" x14ac:dyDescent="0.2">
      <c r="A390" s="275" t="s">
        <v>5</v>
      </c>
      <c r="B390" s="285" t="s">
        <v>5</v>
      </c>
      <c r="C390" s="285" t="s">
        <v>5</v>
      </c>
      <c r="D390" s="316"/>
      <c r="E390" s="285" t="s">
        <v>5</v>
      </c>
      <c r="F390" s="648"/>
      <c r="G390" s="648"/>
      <c r="H390" s="648"/>
      <c r="I390" s="648"/>
      <c r="J390" s="648"/>
      <c r="K390" s="649"/>
    </row>
    <row r="391" spans="1:11" x14ac:dyDescent="0.2">
      <c r="A391" s="275" t="s">
        <v>5</v>
      </c>
      <c r="B391" s="285" t="s">
        <v>5</v>
      </c>
      <c r="C391" s="285" t="s">
        <v>5</v>
      </c>
      <c r="D391" s="316"/>
      <c r="E391" s="285" t="s">
        <v>5</v>
      </c>
      <c r="F391" s="648"/>
      <c r="G391" s="648"/>
      <c r="H391" s="648"/>
      <c r="I391" s="648"/>
      <c r="J391" s="648"/>
      <c r="K391" s="649"/>
    </row>
    <row r="392" spans="1:11" x14ac:dyDescent="0.2">
      <c r="A392" s="275" t="s">
        <v>5</v>
      </c>
      <c r="B392" s="285" t="s">
        <v>5</v>
      </c>
      <c r="C392" s="285" t="s">
        <v>5</v>
      </c>
      <c r="D392" s="316"/>
      <c r="E392" s="285" t="s">
        <v>5</v>
      </c>
      <c r="F392" s="648"/>
      <c r="G392" s="648"/>
      <c r="H392" s="648"/>
      <c r="I392" s="648"/>
      <c r="J392" s="648"/>
      <c r="K392" s="649"/>
    </row>
    <row r="393" spans="1:11" x14ac:dyDescent="0.2">
      <c r="A393" s="275" t="s">
        <v>5</v>
      </c>
      <c r="B393" s="285" t="s">
        <v>5</v>
      </c>
      <c r="C393" s="285" t="s">
        <v>5</v>
      </c>
      <c r="D393" s="316"/>
      <c r="E393" s="285" t="s">
        <v>5</v>
      </c>
      <c r="F393" s="648"/>
      <c r="G393" s="648"/>
      <c r="H393" s="648"/>
      <c r="I393" s="648"/>
      <c r="J393" s="648"/>
      <c r="K393" s="649"/>
    </row>
    <row r="394" spans="1:11" x14ac:dyDescent="0.2">
      <c r="A394" s="275" t="s">
        <v>5</v>
      </c>
      <c r="B394" s="285" t="s">
        <v>5</v>
      </c>
      <c r="C394" s="285" t="s">
        <v>5</v>
      </c>
      <c r="D394" s="316"/>
      <c r="E394" s="285" t="s">
        <v>5</v>
      </c>
      <c r="F394" s="648"/>
      <c r="G394" s="648"/>
      <c r="H394" s="648"/>
      <c r="I394" s="648"/>
      <c r="J394" s="648"/>
      <c r="K394" s="649"/>
    </row>
    <row r="395" spans="1:11" x14ac:dyDescent="0.2">
      <c r="A395" s="275" t="s">
        <v>5</v>
      </c>
      <c r="B395" s="285" t="s">
        <v>5</v>
      </c>
      <c r="C395" s="285" t="s">
        <v>5</v>
      </c>
      <c r="D395" s="316"/>
      <c r="E395" s="285" t="s">
        <v>5</v>
      </c>
      <c r="F395" s="648"/>
      <c r="G395" s="648"/>
      <c r="H395" s="648"/>
      <c r="I395" s="648"/>
      <c r="J395" s="648"/>
      <c r="K395" s="649"/>
    </row>
    <row r="396" spans="1:11" x14ac:dyDescent="0.2">
      <c r="A396" s="275" t="s">
        <v>5</v>
      </c>
      <c r="B396" s="285" t="s">
        <v>5</v>
      </c>
      <c r="C396" s="285" t="s">
        <v>5</v>
      </c>
      <c r="D396" s="316"/>
      <c r="E396" s="285" t="s">
        <v>5</v>
      </c>
      <c r="F396" s="655"/>
      <c r="G396" s="656"/>
      <c r="H396" s="656"/>
      <c r="I396" s="656"/>
      <c r="J396" s="656"/>
      <c r="K396" s="657"/>
    </row>
    <row r="397" spans="1:11" x14ac:dyDescent="0.2">
      <c r="A397" s="275" t="s">
        <v>5</v>
      </c>
      <c r="B397" s="285" t="s">
        <v>5</v>
      </c>
      <c r="C397" s="285" t="s">
        <v>5</v>
      </c>
      <c r="D397" s="316"/>
      <c r="E397" s="285" t="s">
        <v>5</v>
      </c>
      <c r="F397" s="655"/>
      <c r="G397" s="656"/>
      <c r="H397" s="656"/>
      <c r="I397" s="656"/>
      <c r="J397" s="656"/>
      <c r="K397" s="657"/>
    </row>
    <row r="398" spans="1:11" x14ac:dyDescent="0.2">
      <c r="A398" s="275" t="s">
        <v>5</v>
      </c>
      <c r="B398" s="285" t="s">
        <v>5</v>
      </c>
      <c r="C398" s="285" t="s">
        <v>5</v>
      </c>
      <c r="D398" s="316"/>
      <c r="E398" s="285" t="s">
        <v>5</v>
      </c>
      <c r="F398" s="655"/>
      <c r="G398" s="656"/>
      <c r="H398" s="656"/>
      <c r="I398" s="656"/>
      <c r="J398" s="656"/>
      <c r="K398" s="657"/>
    </row>
    <row r="399" spans="1:11" x14ac:dyDescent="0.2">
      <c r="A399" s="275" t="s">
        <v>5</v>
      </c>
      <c r="B399" s="285" t="s">
        <v>5</v>
      </c>
      <c r="C399" s="285" t="s">
        <v>5</v>
      </c>
      <c r="D399" s="316"/>
      <c r="E399" s="285" t="s">
        <v>5</v>
      </c>
      <c r="F399" s="655"/>
      <c r="G399" s="656"/>
      <c r="H399" s="656"/>
      <c r="I399" s="656"/>
      <c r="J399" s="656"/>
      <c r="K399" s="657"/>
    </row>
    <row r="400" spans="1:11" x14ac:dyDescent="0.2">
      <c r="A400" s="275"/>
      <c r="B400" s="285"/>
      <c r="C400" s="285"/>
      <c r="D400" s="316"/>
      <c r="E400" s="285"/>
      <c r="F400" s="293"/>
      <c r="G400" s="294"/>
      <c r="H400" s="294"/>
      <c r="I400" s="294"/>
      <c r="J400" s="294"/>
      <c r="K400" s="295"/>
    </row>
    <row r="401" spans="1:11" x14ac:dyDescent="0.2">
      <c r="A401" s="275" t="s">
        <v>5</v>
      </c>
      <c r="B401" s="285" t="s">
        <v>5</v>
      </c>
      <c r="C401" s="285" t="s">
        <v>5</v>
      </c>
      <c r="D401" s="316"/>
      <c r="E401" s="285" t="s">
        <v>5</v>
      </c>
      <c r="F401" s="655"/>
      <c r="G401" s="656"/>
      <c r="H401" s="656"/>
      <c r="I401" s="656"/>
      <c r="J401" s="656"/>
      <c r="K401" s="657"/>
    </row>
    <row r="402" spans="1:11" x14ac:dyDescent="0.2">
      <c r="A402" s="275" t="s">
        <v>5</v>
      </c>
      <c r="B402" s="285" t="s">
        <v>5</v>
      </c>
      <c r="C402" s="285" t="s">
        <v>5</v>
      </c>
      <c r="D402" s="316"/>
      <c r="E402" s="285" t="s">
        <v>5</v>
      </c>
      <c r="F402" s="655"/>
      <c r="G402" s="656"/>
      <c r="H402" s="656"/>
      <c r="I402" s="656"/>
      <c r="J402" s="656"/>
      <c r="K402" s="657"/>
    </row>
    <row r="403" spans="1:11" x14ac:dyDescent="0.2">
      <c r="A403" s="275" t="s">
        <v>5</v>
      </c>
      <c r="B403" s="285" t="s">
        <v>5</v>
      </c>
      <c r="C403" s="285" t="s">
        <v>5</v>
      </c>
      <c r="D403" s="316"/>
      <c r="E403" s="285" t="s">
        <v>5</v>
      </c>
      <c r="F403" s="648"/>
      <c r="G403" s="648"/>
      <c r="H403" s="648"/>
      <c r="I403" s="648"/>
      <c r="J403" s="648"/>
      <c r="K403" s="649"/>
    </row>
    <row r="404" spans="1:11" x14ac:dyDescent="0.2">
      <c r="A404" s="275" t="s">
        <v>5</v>
      </c>
      <c r="B404" s="285" t="s">
        <v>5</v>
      </c>
      <c r="C404" s="285" t="s">
        <v>5</v>
      </c>
      <c r="D404" s="316"/>
      <c r="E404" s="285" t="s">
        <v>5</v>
      </c>
      <c r="F404" s="648"/>
      <c r="G404" s="648"/>
      <c r="H404" s="648"/>
      <c r="I404" s="648"/>
      <c r="J404" s="648"/>
      <c r="K404" s="649"/>
    </row>
    <row r="405" spans="1:11" x14ac:dyDescent="0.2">
      <c r="A405" s="275" t="s">
        <v>5</v>
      </c>
      <c r="B405" s="285" t="s">
        <v>5</v>
      </c>
      <c r="C405" s="285" t="s">
        <v>5</v>
      </c>
      <c r="D405" s="316"/>
      <c r="E405" s="285" t="s">
        <v>5</v>
      </c>
      <c r="F405" s="648"/>
      <c r="G405" s="648"/>
      <c r="H405" s="648"/>
      <c r="I405" s="648"/>
      <c r="J405" s="648"/>
      <c r="K405" s="649"/>
    </row>
    <row r="406" spans="1:11" x14ac:dyDescent="0.2">
      <c r="A406" s="275" t="s">
        <v>5</v>
      </c>
      <c r="B406" s="285" t="s">
        <v>5</v>
      </c>
      <c r="C406" s="285" t="s">
        <v>5</v>
      </c>
      <c r="D406" s="316"/>
      <c r="E406" s="285" t="s">
        <v>5</v>
      </c>
      <c r="F406" s="648"/>
      <c r="G406" s="648"/>
      <c r="H406" s="648"/>
      <c r="I406" s="648"/>
      <c r="J406" s="648"/>
      <c r="K406" s="649"/>
    </row>
    <row r="407" spans="1:11" x14ac:dyDescent="0.2">
      <c r="A407" s="275" t="s">
        <v>5</v>
      </c>
      <c r="B407" s="285" t="s">
        <v>5</v>
      </c>
      <c r="C407" s="285" t="s">
        <v>5</v>
      </c>
      <c r="D407" s="316"/>
      <c r="E407" s="285" t="s">
        <v>5</v>
      </c>
      <c r="F407" s="648"/>
      <c r="G407" s="648"/>
      <c r="H407" s="648"/>
      <c r="I407" s="648"/>
      <c r="J407" s="648"/>
      <c r="K407" s="649"/>
    </row>
    <row r="408" spans="1:11" x14ac:dyDescent="0.2">
      <c r="A408" s="275" t="s">
        <v>5</v>
      </c>
      <c r="B408" s="285" t="s">
        <v>5</v>
      </c>
      <c r="C408" s="285" t="s">
        <v>5</v>
      </c>
      <c r="D408" s="316"/>
      <c r="E408" s="285" t="s">
        <v>5</v>
      </c>
      <c r="F408" s="648"/>
      <c r="G408" s="648"/>
      <c r="H408" s="648"/>
      <c r="I408" s="648"/>
      <c r="J408" s="648"/>
      <c r="K408" s="649"/>
    </row>
    <row r="409" spans="1:11" x14ac:dyDescent="0.2">
      <c r="A409" s="275" t="s">
        <v>5</v>
      </c>
      <c r="B409" s="285" t="s">
        <v>5</v>
      </c>
      <c r="C409" s="285" t="s">
        <v>5</v>
      </c>
      <c r="D409" s="316"/>
      <c r="E409" s="285" t="s">
        <v>5</v>
      </c>
      <c r="F409" s="648"/>
      <c r="G409" s="648"/>
      <c r="H409" s="648"/>
      <c r="I409" s="648"/>
      <c r="J409" s="648"/>
      <c r="K409" s="649"/>
    </row>
    <row r="410" spans="1:11" x14ac:dyDescent="0.2">
      <c r="A410" s="275" t="s">
        <v>5</v>
      </c>
      <c r="B410" s="285" t="s">
        <v>5</v>
      </c>
      <c r="C410" s="285" t="s">
        <v>5</v>
      </c>
      <c r="D410" s="316"/>
      <c r="E410" s="285" t="s">
        <v>5</v>
      </c>
      <c r="F410" s="648"/>
      <c r="G410" s="648"/>
      <c r="H410" s="648"/>
      <c r="I410" s="648"/>
      <c r="J410" s="648"/>
      <c r="K410" s="649"/>
    </row>
    <row r="411" spans="1:11" x14ac:dyDescent="0.2">
      <c r="A411" s="275" t="s">
        <v>5</v>
      </c>
      <c r="B411" s="285" t="s">
        <v>5</v>
      </c>
      <c r="C411" s="285" t="s">
        <v>5</v>
      </c>
      <c r="D411" s="316"/>
      <c r="E411" s="285" t="s">
        <v>5</v>
      </c>
      <c r="F411" s="648"/>
      <c r="G411" s="648"/>
      <c r="H411" s="648"/>
      <c r="I411" s="648"/>
      <c r="J411" s="648"/>
      <c r="K411" s="649"/>
    </row>
    <row r="412" spans="1:11" x14ac:dyDescent="0.2">
      <c r="A412" s="275" t="s">
        <v>5</v>
      </c>
      <c r="B412" s="285" t="s">
        <v>5</v>
      </c>
      <c r="C412" s="285" t="s">
        <v>5</v>
      </c>
      <c r="D412" s="316"/>
      <c r="E412" s="285" t="s">
        <v>5</v>
      </c>
      <c r="F412" s="648"/>
      <c r="G412" s="648"/>
      <c r="H412" s="648"/>
      <c r="I412" s="648"/>
      <c r="J412" s="648"/>
      <c r="K412" s="649"/>
    </row>
    <row r="413" spans="1:11" x14ac:dyDescent="0.2">
      <c r="A413" s="275" t="s">
        <v>5</v>
      </c>
      <c r="B413" s="285" t="s">
        <v>5</v>
      </c>
      <c r="C413" s="285" t="s">
        <v>5</v>
      </c>
      <c r="D413" s="316"/>
      <c r="E413" s="285" t="s">
        <v>5</v>
      </c>
      <c r="F413" s="648"/>
      <c r="G413" s="648"/>
      <c r="H413" s="648"/>
      <c r="I413" s="648"/>
      <c r="J413" s="648"/>
      <c r="K413" s="649"/>
    </row>
    <row r="414" spans="1:11" x14ac:dyDescent="0.2">
      <c r="A414" s="275" t="s">
        <v>5</v>
      </c>
      <c r="B414" s="285" t="s">
        <v>5</v>
      </c>
      <c r="C414" s="285" t="s">
        <v>5</v>
      </c>
      <c r="D414" s="316"/>
      <c r="E414" s="285" t="s">
        <v>5</v>
      </c>
      <c r="F414" s="648"/>
      <c r="G414" s="648"/>
      <c r="H414" s="648"/>
      <c r="I414" s="648"/>
      <c r="J414" s="648"/>
      <c r="K414" s="649"/>
    </row>
    <row r="415" spans="1:11" x14ac:dyDescent="0.2">
      <c r="A415" s="275" t="s">
        <v>5</v>
      </c>
      <c r="B415" s="285" t="s">
        <v>5</v>
      </c>
      <c r="C415" s="285" t="s">
        <v>5</v>
      </c>
      <c r="D415" s="316"/>
      <c r="E415" s="285" t="s">
        <v>5</v>
      </c>
      <c r="F415" s="648"/>
      <c r="G415" s="648"/>
      <c r="H415" s="648"/>
      <c r="I415" s="648"/>
      <c r="J415" s="648"/>
      <c r="K415" s="649"/>
    </row>
    <row r="416" spans="1:11" x14ac:dyDescent="0.2">
      <c r="A416" s="275" t="s">
        <v>5</v>
      </c>
      <c r="B416" s="285" t="s">
        <v>5</v>
      </c>
      <c r="C416" s="285" t="s">
        <v>5</v>
      </c>
      <c r="D416" s="316"/>
      <c r="E416" s="285" t="s">
        <v>5</v>
      </c>
      <c r="F416" s="648"/>
      <c r="G416" s="648"/>
      <c r="H416" s="648"/>
      <c r="I416" s="648"/>
      <c r="J416" s="648"/>
      <c r="K416" s="649"/>
    </row>
    <row r="417" spans="1:11" ht="13.5" thickBot="1" x14ac:dyDescent="0.25">
      <c r="A417" s="276" t="s">
        <v>5</v>
      </c>
      <c r="B417" s="286" t="s">
        <v>5</v>
      </c>
      <c r="C417" s="286" t="s">
        <v>5</v>
      </c>
      <c r="D417" s="317"/>
      <c r="E417" s="286" t="s">
        <v>5</v>
      </c>
      <c r="F417" s="653"/>
      <c r="G417" s="653"/>
      <c r="H417" s="653"/>
      <c r="I417" s="653"/>
      <c r="J417" s="653"/>
      <c r="K417" s="654"/>
    </row>
    <row r="420" spans="1:11" x14ac:dyDescent="0.2">
      <c r="A420" s="220" t="s">
        <v>233</v>
      </c>
      <c r="E420" s="206"/>
      <c r="F420" s="863"/>
      <c r="G420" s="863"/>
      <c r="H420" s="863"/>
      <c r="I420" s="863"/>
      <c r="J420" s="863"/>
      <c r="K420" s="863"/>
    </row>
    <row r="421" spans="1:11" x14ac:dyDescent="0.2">
      <c r="A421" s="268" t="s">
        <v>39</v>
      </c>
      <c r="B421" s="280"/>
      <c r="C421" s="280"/>
      <c r="D421" s="314"/>
      <c r="E421" s="280"/>
      <c r="F421" s="608"/>
      <c r="G421" s="609"/>
      <c r="H421" s="609"/>
      <c r="I421" s="609"/>
      <c r="J421" s="609"/>
      <c r="K421" s="610"/>
    </row>
    <row r="422" spans="1:11" x14ac:dyDescent="0.2">
      <c r="A422" s="269" t="s">
        <v>65</v>
      </c>
      <c r="B422" s="280"/>
      <c r="C422" s="190"/>
      <c r="D422" s="190"/>
      <c r="E422" s="191"/>
      <c r="F422" s="608"/>
      <c r="G422" s="609"/>
      <c r="H422" s="609"/>
      <c r="I422" s="609"/>
      <c r="J422" s="609"/>
      <c r="K422" s="610"/>
    </row>
    <row r="423" spans="1:11" x14ac:dyDescent="0.2">
      <c r="A423" s="270" t="s">
        <v>28</v>
      </c>
      <c r="B423" s="280"/>
      <c r="C423" s="190"/>
      <c r="D423" s="190"/>
      <c r="E423" s="191"/>
      <c r="F423" s="608"/>
      <c r="G423" s="609"/>
      <c r="H423" s="609"/>
      <c r="I423" s="609"/>
      <c r="J423" s="609"/>
      <c r="K423" s="610"/>
    </row>
    <row r="424" spans="1:11" x14ac:dyDescent="0.2">
      <c r="A424" s="270" t="s">
        <v>40</v>
      </c>
      <c r="B424" s="280"/>
      <c r="C424" s="190"/>
      <c r="D424" s="190"/>
      <c r="E424" s="191"/>
      <c r="F424" s="608"/>
      <c r="G424" s="609"/>
      <c r="H424" s="609"/>
      <c r="I424" s="609"/>
      <c r="J424" s="609"/>
      <c r="K424" s="610"/>
    </row>
    <row r="425" spans="1:11" x14ac:dyDescent="0.2">
      <c r="A425" s="271" t="s">
        <v>41</v>
      </c>
      <c r="B425" s="280"/>
      <c r="C425" s="190"/>
      <c r="D425" s="190"/>
      <c r="E425" s="191"/>
      <c r="F425" s="608"/>
      <c r="G425" s="609"/>
      <c r="H425" s="609"/>
      <c r="I425" s="609"/>
      <c r="J425" s="609"/>
      <c r="K425" s="610"/>
    </row>
    <row r="426" spans="1:11" x14ac:dyDescent="0.2">
      <c r="A426" s="275" t="s">
        <v>146</v>
      </c>
      <c r="B426" s="280"/>
      <c r="C426" s="190"/>
      <c r="D426" s="190"/>
      <c r="E426" s="191"/>
      <c r="F426" s="608"/>
      <c r="G426" s="609"/>
      <c r="H426" s="609"/>
      <c r="I426" s="609"/>
      <c r="J426" s="609"/>
      <c r="K426" s="610"/>
    </row>
    <row r="427" spans="1:11" x14ac:dyDescent="0.2">
      <c r="A427" s="275" t="s">
        <v>147</v>
      </c>
      <c r="B427" s="280"/>
      <c r="C427" s="280"/>
      <c r="D427" s="314"/>
      <c r="E427" s="280"/>
      <c r="F427" s="608"/>
      <c r="G427" s="609"/>
      <c r="H427" s="609"/>
      <c r="I427" s="609"/>
      <c r="J427" s="609"/>
      <c r="K427" s="610"/>
    </row>
    <row r="428" spans="1:11" x14ac:dyDescent="0.2">
      <c r="A428" s="274" t="str">
        <f>CONCATENATE("3.1 FTP75 20°C ",'Variant 2a - Brazil Flex Fuel'!$B$67)</f>
        <v>3.1 FTP75 20°C Drive Mode 1</v>
      </c>
      <c r="B428" s="280"/>
      <c r="C428" s="190"/>
      <c r="D428" s="190"/>
      <c r="E428" s="191"/>
      <c r="F428" s="608"/>
      <c r="G428" s="609"/>
      <c r="H428" s="609"/>
      <c r="I428" s="609"/>
      <c r="J428" s="609"/>
      <c r="K428" s="610"/>
    </row>
    <row r="429" spans="1:11" x14ac:dyDescent="0.2">
      <c r="A429" s="274" t="str">
        <f>CONCATENATE("3.2 FTP75 20°C ",'Variant 2a - Brazil Flex Fuel'!$B$72)</f>
        <v>3.2 FTP75 20°C Drive Mode 2</v>
      </c>
      <c r="B429" s="280"/>
      <c r="C429" s="190"/>
      <c r="D429" s="190"/>
      <c r="E429" s="191"/>
      <c r="F429" s="608"/>
      <c r="G429" s="609"/>
      <c r="H429" s="609"/>
      <c r="I429" s="609"/>
      <c r="J429" s="609"/>
      <c r="K429" s="610"/>
    </row>
    <row r="430" spans="1:11" x14ac:dyDescent="0.2">
      <c r="A430" s="274" t="str">
        <f>CONCATENATE("3.3 FTP75 20°C ",'Variant 2a - Brazil Flex Fuel'!$B$77)</f>
        <v>3.3 FTP75 20°C Drive Mode 3</v>
      </c>
      <c r="B430" s="280"/>
      <c r="C430" s="190"/>
      <c r="D430" s="190"/>
      <c r="E430" s="191"/>
      <c r="F430" s="608"/>
      <c r="G430" s="609"/>
      <c r="H430" s="609"/>
      <c r="I430" s="609"/>
      <c r="J430" s="609"/>
      <c r="K430" s="610"/>
    </row>
    <row r="431" spans="1:11" x14ac:dyDescent="0.2">
      <c r="A431" s="274" t="str">
        <f>CONCATENATE("3.4 FTP75 20°C ",'Variant 2a - Brazil Flex Fuel'!$B$82)</f>
        <v>3.4 FTP75 20°C Drive Mode 4</v>
      </c>
      <c r="B431" s="280"/>
      <c r="C431" s="190"/>
      <c r="D431" s="190"/>
      <c r="E431" s="191"/>
      <c r="F431" s="608"/>
      <c r="G431" s="609"/>
      <c r="H431" s="609"/>
      <c r="I431" s="609"/>
      <c r="J431" s="609"/>
      <c r="K431" s="610"/>
    </row>
    <row r="432" spans="1:11" x14ac:dyDescent="0.2">
      <c r="A432" s="274" t="str">
        <f>CONCATENATE("3.5 FTP75 20°C ",'Variant 2a - Brazil Flex Fuel'!$B$87)</f>
        <v>3.5 FTP75 20°C Drive Mode 5</v>
      </c>
      <c r="B432" s="280"/>
      <c r="C432" s="190"/>
      <c r="D432" s="190"/>
      <c r="E432" s="191"/>
      <c r="F432" s="608"/>
      <c r="G432" s="609"/>
      <c r="H432" s="609"/>
      <c r="I432" s="609"/>
      <c r="J432" s="609"/>
      <c r="K432" s="610"/>
    </row>
    <row r="433" spans="1:11" x14ac:dyDescent="0.2">
      <c r="A433" s="274" t="str">
        <f>CONCATENATE("3.6 FTP75 20°C ",'Variant 2a - Brazil Flex Fuel'!$B$92)</f>
        <v>3.6 FTP75 20°C Drive Mode 6</v>
      </c>
      <c r="B433" s="280"/>
      <c r="C433" s="190"/>
      <c r="D433" s="190"/>
      <c r="E433" s="191"/>
      <c r="F433" s="608"/>
      <c r="G433" s="609"/>
      <c r="H433" s="609"/>
      <c r="I433" s="609"/>
      <c r="J433" s="609"/>
      <c r="K433" s="610"/>
    </row>
    <row r="434" spans="1:11" x14ac:dyDescent="0.2">
      <c r="A434" s="275" t="s">
        <v>208</v>
      </c>
      <c r="B434" s="280"/>
      <c r="C434" s="190"/>
      <c r="D434" s="190"/>
      <c r="E434" s="191"/>
      <c r="F434" s="608"/>
      <c r="G434" s="609"/>
      <c r="H434" s="609"/>
      <c r="I434" s="609"/>
      <c r="J434" s="609"/>
      <c r="K434" s="610"/>
    </row>
    <row r="435" spans="1:11" x14ac:dyDescent="0.2">
      <c r="A435" s="275" t="s">
        <v>27</v>
      </c>
      <c r="B435" s="280"/>
      <c r="C435" s="190"/>
      <c r="D435" s="190"/>
      <c r="E435" s="191"/>
      <c r="F435" s="608"/>
      <c r="G435" s="609"/>
      <c r="H435" s="609"/>
      <c r="I435" s="609"/>
      <c r="J435" s="609"/>
      <c r="K435" s="610"/>
    </row>
    <row r="436" spans="1:11" x14ac:dyDescent="0.2">
      <c r="A436" s="275" t="s">
        <v>309</v>
      </c>
      <c r="B436" s="280"/>
      <c r="C436" s="280"/>
      <c r="D436" s="314"/>
      <c r="E436" s="280"/>
      <c r="F436" s="608"/>
      <c r="G436" s="609"/>
      <c r="H436" s="609"/>
      <c r="I436" s="609"/>
      <c r="J436" s="609"/>
      <c r="K436" s="610"/>
    </row>
    <row r="437" spans="1:11" x14ac:dyDescent="0.2">
      <c r="A437" s="270" t="s">
        <v>310</v>
      </c>
      <c r="B437" s="280"/>
      <c r="C437" s="190"/>
      <c r="D437" s="190"/>
      <c r="E437" s="191"/>
      <c r="F437" s="608"/>
      <c r="G437" s="609"/>
      <c r="H437" s="609"/>
      <c r="I437" s="609"/>
      <c r="J437" s="609"/>
      <c r="K437" s="610"/>
    </row>
    <row r="438" spans="1:11" x14ac:dyDescent="0.2">
      <c r="A438" s="270" t="s">
        <v>311</v>
      </c>
      <c r="B438" s="280"/>
      <c r="C438" s="190"/>
      <c r="D438" s="190"/>
      <c r="E438" s="191"/>
      <c r="F438" s="608"/>
      <c r="G438" s="609"/>
      <c r="H438" s="609"/>
      <c r="I438" s="609"/>
      <c r="J438" s="609"/>
      <c r="K438" s="610"/>
    </row>
    <row r="439" spans="1:11" x14ac:dyDescent="0.2">
      <c r="A439" s="275" t="s">
        <v>312</v>
      </c>
      <c r="B439" s="280"/>
      <c r="C439" s="280"/>
      <c r="D439" s="314"/>
      <c r="E439" s="280"/>
      <c r="F439" s="608"/>
      <c r="G439" s="609"/>
      <c r="H439" s="609"/>
      <c r="I439" s="609"/>
      <c r="J439" s="609"/>
      <c r="K439" s="610"/>
    </row>
    <row r="440" spans="1:11" x14ac:dyDescent="0.2">
      <c r="A440" s="270" t="s">
        <v>313</v>
      </c>
      <c r="B440" s="280"/>
      <c r="C440" s="190"/>
      <c r="D440" s="190"/>
      <c r="E440" s="191"/>
      <c r="F440" s="608"/>
      <c r="G440" s="609"/>
      <c r="H440" s="609"/>
      <c r="I440" s="609"/>
      <c r="J440" s="609"/>
      <c r="K440" s="610"/>
    </row>
    <row r="441" spans="1:11" x14ac:dyDescent="0.2">
      <c r="A441" s="270" t="s">
        <v>314</v>
      </c>
      <c r="B441" s="280"/>
      <c r="C441" s="190"/>
      <c r="D441" s="190"/>
      <c r="E441" s="191"/>
      <c r="F441" s="608"/>
      <c r="G441" s="609"/>
      <c r="H441" s="609"/>
      <c r="I441" s="609"/>
      <c r="J441" s="609"/>
      <c r="K441" s="610"/>
    </row>
    <row r="442" spans="1:11" x14ac:dyDescent="0.2">
      <c r="A442" s="270" t="s">
        <v>315</v>
      </c>
      <c r="B442" s="280"/>
      <c r="C442" s="190"/>
      <c r="D442" s="190"/>
      <c r="E442" s="191"/>
      <c r="F442" s="608"/>
      <c r="G442" s="609"/>
      <c r="H442" s="609"/>
      <c r="I442" s="609"/>
      <c r="J442" s="609"/>
      <c r="K442" s="610"/>
    </row>
    <row r="443" spans="1:11" x14ac:dyDescent="0.2">
      <c r="A443" s="270" t="s">
        <v>316</v>
      </c>
      <c r="B443" s="280"/>
      <c r="C443" s="190"/>
      <c r="D443" s="190"/>
      <c r="E443" s="191"/>
      <c r="F443" s="608"/>
      <c r="G443" s="609"/>
      <c r="H443" s="609"/>
      <c r="I443" s="609"/>
      <c r="J443" s="609"/>
      <c r="K443" s="610"/>
    </row>
    <row r="444" spans="1:11" x14ac:dyDescent="0.2">
      <c r="A444" s="270" t="s">
        <v>317</v>
      </c>
      <c r="B444" s="280"/>
      <c r="C444" s="190"/>
      <c r="D444" s="190"/>
      <c r="E444" s="191"/>
      <c r="F444" s="608"/>
      <c r="G444" s="609"/>
      <c r="H444" s="609"/>
      <c r="I444" s="609"/>
      <c r="J444" s="609"/>
      <c r="K444" s="610"/>
    </row>
    <row r="445" spans="1:11" x14ac:dyDescent="0.2">
      <c r="A445" s="270" t="s">
        <v>318</v>
      </c>
      <c r="B445" s="280"/>
      <c r="C445" s="190"/>
      <c r="D445" s="190"/>
      <c r="E445" s="191"/>
      <c r="F445" s="608"/>
      <c r="G445" s="609"/>
      <c r="H445" s="609"/>
      <c r="I445" s="609"/>
      <c r="J445" s="609"/>
      <c r="K445" s="610"/>
    </row>
    <row r="446" spans="1:11" x14ac:dyDescent="0.2">
      <c r="A446" s="275" t="s">
        <v>5</v>
      </c>
      <c r="B446" s="389"/>
      <c r="C446" s="389"/>
      <c r="D446" s="389"/>
      <c r="E446" s="389"/>
      <c r="F446" s="648"/>
      <c r="G446" s="648"/>
      <c r="H446" s="648"/>
      <c r="I446" s="648"/>
      <c r="J446" s="648"/>
      <c r="K446" s="649"/>
    </row>
    <row r="447" spans="1:11" x14ac:dyDescent="0.2">
      <c r="A447" s="275" t="s">
        <v>5</v>
      </c>
      <c r="B447" s="285"/>
      <c r="C447" s="285"/>
      <c r="D447" s="316"/>
      <c r="E447" s="285"/>
      <c r="F447" s="648"/>
      <c r="G447" s="648"/>
      <c r="H447" s="648"/>
      <c r="I447" s="648"/>
      <c r="J447" s="648"/>
      <c r="K447" s="649"/>
    </row>
    <row r="448" spans="1:11" x14ac:dyDescent="0.2">
      <c r="A448" s="275" t="s">
        <v>5</v>
      </c>
      <c r="B448" s="285"/>
      <c r="C448" s="285"/>
      <c r="D448" s="316"/>
      <c r="E448" s="285"/>
      <c r="F448" s="648"/>
      <c r="G448" s="648"/>
      <c r="H448" s="648"/>
      <c r="I448" s="648"/>
      <c r="J448" s="648"/>
      <c r="K448" s="649"/>
    </row>
    <row r="449" spans="1:11" x14ac:dyDescent="0.2">
      <c r="A449" s="275" t="s">
        <v>5</v>
      </c>
      <c r="B449" s="285"/>
      <c r="C449" s="285"/>
      <c r="D449" s="316"/>
      <c r="E449" s="285"/>
      <c r="F449" s="648"/>
      <c r="G449" s="648"/>
      <c r="H449" s="648"/>
      <c r="I449" s="648"/>
      <c r="J449" s="648"/>
      <c r="K449" s="649"/>
    </row>
    <row r="450" spans="1:11" x14ac:dyDescent="0.2">
      <c r="A450" s="275" t="s">
        <v>5</v>
      </c>
      <c r="B450" s="285"/>
      <c r="C450" s="285"/>
      <c r="D450" s="316"/>
      <c r="E450" s="285"/>
      <c r="F450" s="648"/>
      <c r="G450" s="648"/>
      <c r="H450" s="648"/>
      <c r="I450" s="648"/>
      <c r="J450" s="648"/>
      <c r="K450" s="649"/>
    </row>
    <row r="451" spans="1:11" x14ac:dyDescent="0.2">
      <c r="A451" s="275" t="s">
        <v>5</v>
      </c>
      <c r="B451" s="285"/>
      <c r="C451" s="285"/>
      <c r="D451" s="316"/>
      <c r="E451" s="285"/>
      <c r="F451" s="648"/>
      <c r="G451" s="648"/>
      <c r="H451" s="648"/>
      <c r="I451" s="648"/>
      <c r="J451" s="648"/>
      <c r="K451" s="649"/>
    </row>
    <row r="452" spans="1:11" x14ac:dyDescent="0.2">
      <c r="A452" s="275" t="s">
        <v>5</v>
      </c>
      <c r="B452" s="285"/>
      <c r="C452" s="285"/>
      <c r="D452" s="316"/>
      <c r="E452" s="285"/>
      <c r="F452" s="648"/>
      <c r="G452" s="648"/>
      <c r="H452" s="648"/>
      <c r="I452" s="648"/>
      <c r="J452" s="648"/>
      <c r="K452" s="649"/>
    </row>
    <row r="453" spans="1:11" x14ac:dyDescent="0.2">
      <c r="A453" s="275" t="s">
        <v>5</v>
      </c>
      <c r="B453" s="285"/>
      <c r="C453" s="285"/>
      <c r="D453" s="316"/>
      <c r="E453" s="285"/>
      <c r="F453" s="648"/>
      <c r="G453" s="648"/>
      <c r="H453" s="648"/>
      <c r="I453" s="648"/>
      <c r="J453" s="648"/>
      <c r="K453" s="649"/>
    </row>
    <row r="454" spans="1:11" x14ac:dyDescent="0.2">
      <c r="A454" s="275" t="s">
        <v>5</v>
      </c>
      <c r="B454" s="285"/>
      <c r="C454" s="285"/>
      <c r="D454" s="316"/>
      <c r="E454" s="285"/>
      <c r="F454" s="648"/>
      <c r="G454" s="648"/>
      <c r="H454" s="648"/>
      <c r="I454" s="648"/>
      <c r="J454" s="648"/>
      <c r="K454" s="649"/>
    </row>
    <row r="455" spans="1:11" x14ac:dyDescent="0.2">
      <c r="A455" s="275" t="s">
        <v>5</v>
      </c>
      <c r="B455" s="285"/>
      <c r="C455" s="285"/>
      <c r="D455" s="316"/>
      <c r="E455" s="285"/>
      <c r="F455" s="648"/>
      <c r="G455" s="648"/>
      <c r="H455" s="648"/>
      <c r="I455" s="648"/>
      <c r="J455" s="648"/>
      <c r="K455" s="649"/>
    </row>
    <row r="456" spans="1:11" ht="13.5" thickBot="1" x14ac:dyDescent="0.25">
      <c r="A456" s="276" t="s">
        <v>5</v>
      </c>
      <c r="B456" s="286"/>
      <c r="C456" s="286"/>
      <c r="D456" s="317"/>
      <c r="E456" s="286"/>
      <c r="F456" s="653"/>
      <c r="G456" s="653"/>
      <c r="H456" s="653"/>
      <c r="I456" s="653"/>
      <c r="J456" s="653"/>
      <c r="K456" s="654"/>
    </row>
  </sheetData>
  <sheetProtection algorithmName="SHA-512" hashValue="UKhd/g1JHmoU38tlULBrMlC0KhYTPpSufuzvUyvnvxO6ic35wP1FxQq/rjTwaoRDadS5IgTgsrVz4/BFmIxW+w==" saltValue="tj3nmnbIMl7BB/gtwMXrUQ==" spinCount="100000" sheet="1" objects="1" scenarios="1" selectLockedCells="1"/>
  <mergeCells count="305">
    <mergeCell ref="F437:K437"/>
    <mergeCell ref="F440:K440"/>
    <mergeCell ref="N20:O20"/>
    <mergeCell ref="F455:K455"/>
    <mergeCell ref="F456:K456"/>
    <mergeCell ref="F447:K447"/>
    <mergeCell ref="F448:K448"/>
    <mergeCell ref="F449:K449"/>
    <mergeCell ref="F444:K444"/>
    <mergeCell ref="F445:K445"/>
    <mergeCell ref="F446:K446"/>
    <mergeCell ref="F450:K450"/>
    <mergeCell ref="F451:K451"/>
    <mergeCell ref="F452:K452"/>
    <mergeCell ref="F453:K453"/>
    <mergeCell ref="F454:K454"/>
    <mergeCell ref="F428:K428"/>
    <mergeCell ref="F429:K429"/>
    <mergeCell ref="F430:K430"/>
    <mergeCell ref="F431:K431"/>
    <mergeCell ref="F432:K432"/>
    <mergeCell ref="F433:K433"/>
    <mergeCell ref="F434:K434"/>
    <mergeCell ref="N193:O193"/>
    <mergeCell ref="F420:K420"/>
    <mergeCell ref="F421:K421"/>
    <mergeCell ref="F422:K422"/>
    <mergeCell ref="F423:K423"/>
    <mergeCell ref="F424:K424"/>
    <mergeCell ref="F425:K425"/>
    <mergeCell ref="F426:K426"/>
    <mergeCell ref="F427:K427"/>
    <mergeCell ref="F351:K351"/>
    <mergeCell ref="F355:K355"/>
    <mergeCell ref="F377:K377"/>
    <mergeCell ref="F415:K415"/>
    <mergeCell ref="F416:K416"/>
    <mergeCell ref="F408:K408"/>
    <mergeCell ref="F405:K405"/>
    <mergeCell ref="F391:K391"/>
    <mergeCell ref="F417:K417"/>
    <mergeCell ref="F410:K410"/>
    <mergeCell ref="F411:K411"/>
    <mergeCell ref="F412:K412"/>
    <mergeCell ref="F413:K413"/>
    <mergeCell ref="F414:K414"/>
    <mergeCell ref="F390:K390"/>
    <mergeCell ref="F409:K409"/>
    <mergeCell ref="F330:K330"/>
    <mergeCell ref="F331:K331"/>
    <mergeCell ref="F343:K343"/>
    <mergeCell ref="F344:K344"/>
    <mergeCell ref="F345:K345"/>
    <mergeCell ref="F346:K346"/>
    <mergeCell ref="F373:K373"/>
    <mergeCell ref="F374:K374"/>
    <mergeCell ref="F375:K375"/>
    <mergeCell ref="F372:K372"/>
    <mergeCell ref="F348:K348"/>
    <mergeCell ref="F349:K349"/>
    <mergeCell ref="F336:K336"/>
    <mergeCell ref="F337:K337"/>
    <mergeCell ref="F338:K338"/>
    <mergeCell ref="F339:K339"/>
    <mergeCell ref="F332:K332"/>
    <mergeCell ref="F333:K333"/>
    <mergeCell ref="F334:K334"/>
    <mergeCell ref="F335:K335"/>
    <mergeCell ref="F320:K320"/>
    <mergeCell ref="F321:K321"/>
    <mergeCell ref="F295:K295"/>
    <mergeCell ref="F296:K296"/>
    <mergeCell ref="F297:K297"/>
    <mergeCell ref="F308:K308"/>
    <mergeCell ref="F350:K350"/>
    <mergeCell ref="F322:K322"/>
    <mergeCell ref="F300:K300"/>
    <mergeCell ref="F313:K313"/>
    <mergeCell ref="F314:K314"/>
    <mergeCell ref="F315:K315"/>
    <mergeCell ref="F316:K316"/>
    <mergeCell ref="F317:K317"/>
    <mergeCell ref="F318:K318"/>
    <mergeCell ref="F319:K319"/>
    <mergeCell ref="F323:K323"/>
    <mergeCell ref="F324:K324"/>
    <mergeCell ref="F325:K325"/>
    <mergeCell ref="F326:K326"/>
    <mergeCell ref="F327:K327"/>
    <mergeCell ref="F328:K328"/>
    <mergeCell ref="F329:K329"/>
    <mergeCell ref="F347:K347"/>
    <mergeCell ref="F172:K172"/>
    <mergeCell ref="F165:K165"/>
    <mergeCell ref="F230:K230"/>
    <mergeCell ref="F241:K241"/>
    <mergeCell ref="F280:K280"/>
    <mergeCell ref="F309:K309"/>
    <mergeCell ref="F310:K310"/>
    <mergeCell ref="F287:K287"/>
    <mergeCell ref="F288:K288"/>
    <mergeCell ref="F289:K289"/>
    <mergeCell ref="F278:K278"/>
    <mergeCell ref="F279:K279"/>
    <mergeCell ref="F290:K290"/>
    <mergeCell ref="F291:K291"/>
    <mergeCell ref="F256:K256"/>
    <mergeCell ref="F257:K257"/>
    <mergeCell ref="F259:K259"/>
    <mergeCell ref="F260:K260"/>
    <mergeCell ref="F261:K261"/>
    <mergeCell ref="F267:K267"/>
    <mergeCell ref="F271:K271"/>
    <mergeCell ref="F272:K272"/>
    <mergeCell ref="F246:K246"/>
    <mergeCell ref="F247:K247"/>
    <mergeCell ref="F392:K392"/>
    <mergeCell ref="F393:K393"/>
    <mergeCell ref="F394:K394"/>
    <mergeCell ref="F395:K395"/>
    <mergeCell ref="F396:K396"/>
    <mergeCell ref="F397:K397"/>
    <mergeCell ref="F398:K398"/>
    <mergeCell ref="F399:K399"/>
    <mergeCell ref="F406:K406"/>
    <mergeCell ref="F407:K407"/>
    <mergeCell ref="M1:M2"/>
    <mergeCell ref="F401:K401"/>
    <mergeCell ref="F402:K402"/>
    <mergeCell ref="F156:K156"/>
    <mergeCell ref="F157:K157"/>
    <mergeCell ref="F161:K161"/>
    <mergeCell ref="F352:K352"/>
    <mergeCell ref="F353:K353"/>
    <mergeCell ref="F354:K354"/>
    <mergeCell ref="F312:K312"/>
    <mergeCell ref="F356:K356"/>
    <mergeCell ref="F269:K269"/>
    <mergeCell ref="F270:K270"/>
    <mergeCell ref="F215:K215"/>
    <mergeCell ref="F240:K240"/>
    <mergeCell ref="F365:K365"/>
    <mergeCell ref="F358:K358"/>
    <mergeCell ref="F273:K273"/>
    <mergeCell ref="F231:K231"/>
    <mergeCell ref="F232:K232"/>
    <mergeCell ref="F233:K233"/>
    <mergeCell ref="F242:K242"/>
    <mergeCell ref="F244:K244"/>
    <mergeCell ref="F234:K234"/>
    <mergeCell ref="F148:K148"/>
    <mergeCell ref="F155:K155"/>
    <mergeCell ref="F404:K404"/>
    <mergeCell ref="F403:K403"/>
    <mergeCell ref="F239:K239"/>
    <mergeCell ref="F368:K368"/>
    <mergeCell ref="F369:K369"/>
    <mergeCell ref="F370:K370"/>
    <mergeCell ref="F371:K371"/>
    <mergeCell ref="F238:K238"/>
    <mergeCell ref="F237:K237"/>
    <mergeCell ref="F226:K226"/>
    <mergeCell ref="F227:K227"/>
    <mergeCell ref="F228:K228"/>
    <mergeCell ref="F388:K388"/>
    <mergeCell ref="F389:K389"/>
    <mergeCell ref="F382:K382"/>
    <mergeCell ref="F162:K162"/>
    <mergeCell ref="F163:K163"/>
    <mergeCell ref="F164:K164"/>
    <mergeCell ref="F166:K166"/>
    <mergeCell ref="F167:K167"/>
    <mergeCell ref="F169:K169"/>
    <mergeCell ref="F170:K170"/>
    <mergeCell ref="F236:K236"/>
    <mergeCell ref="F255:K255"/>
    <mergeCell ref="F383:K383"/>
    <mergeCell ref="F384:K384"/>
    <mergeCell ref="F385:K385"/>
    <mergeCell ref="F386:K386"/>
    <mergeCell ref="F387:K387"/>
    <mergeCell ref="F158:K158"/>
    <mergeCell ref="F159:K159"/>
    <mergeCell ref="F160:K160"/>
    <mergeCell ref="F360:K360"/>
    <mergeCell ref="F361:K361"/>
    <mergeCell ref="F362:K362"/>
    <mergeCell ref="F363:K363"/>
    <mergeCell ref="F364:K364"/>
    <mergeCell ref="F311:K311"/>
    <mergeCell ref="F276:K276"/>
    <mergeCell ref="F304:K304"/>
    <mergeCell ref="F305:K305"/>
    <mergeCell ref="F306:K306"/>
    <mergeCell ref="F212:K212"/>
    <mergeCell ref="F213:K213"/>
    <mergeCell ref="F206:K206"/>
    <mergeCell ref="F253:K253"/>
    <mergeCell ref="F299:K299"/>
    <mergeCell ref="F249:K249"/>
    <mergeCell ref="F250:K250"/>
    <mergeCell ref="F281:K281"/>
    <mergeCell ref="F282:K282"/>
    <mergeCell ref="F284:K284"/>
    <mergeCell ref="F285:K285"/>
    <mergeCell ref="F286:K286"/>
    <mergeCell ref="F274:K274"/>
    <mergeCell ref="F275:K275"/>
    <mergeCell ref="F254:K254"/>
    <mergeCell ref="R3:T7"/>
    <mergeCell ref="R9:T9"/>
    <mergeCell ref="F174:K174"/>
    <mergeCell ref="F207:K207"/>
    <mergeCell ref="F208:K208"/>
    <mergeCell ref="F210:K210"/>
    <mergeCell ref="F211:K211"/>
    <mergeCell ref="F205:K205"/>
    <mergeCell ref="F201:K201"/>
    <mergeCell ref="F193:K193"/>
    <mergeCell ref="F194:K194"/>
    <mergeCell ref="F203:K203"/>
    <mergeCell ref="F204:K204"/>
    <mergeCell ref="F196:K196"/>
    <mergeCell ref="F202:K202"/>
    <mergeCell ref="N44:O44"/>
    <mergeCell ref="N67:O67"/>
    <mergeCell ref="F154:K154"/>
    <mergeCell ref="F149:K149"/>
    <mergeCell ref="F150:K150"/>
    <mergeCell ref="F151:K151"/>
    <mergeCell ref="F152:K152"/>
    <mergeCell ref="F153:K153"/>
    <mergeCell ref="F171:K171"/>
    <mergeCell ref="W3:AB7"/>
    <mergeCell ref="F217:K217"/>
    <mergeCell ref="F218:K218"/>
    <mergeCell ref="F219:K219"/>
    <mergeCell ref="F220:K220"/>
    <mergeCell ref="F221:K221"/>
    <mergeCell ref="F222:K222"/>
    <mergeCell ref="F176:K176"/>
    <mergeCell ref="F177:K177"/>
    <mergeCell ref="F178:K178"/>
    <mergeCell ref="F179:K179"/>
    <mergeCell ref="F180:K180"/>
    <mergeCell ref="F181:K181"/>
    <mergeCell ref="F182:K182"/>
    <mergeCell ref="F183:K183"/>
    <mergeCell ref="F184:K184"/>
    <mergeCell ref="F185:K185"/>
    <mergeCell ref="F186:K186"/>
    <mergeCell ref="M20:M21"/>
    <mergeCell ref="N89:O89"/>
    <mergeCell ref="N112:O112"/>
    <mergeCell ref="F197:K197"/>
    <mergeCell ref="F198:K198"/>
    <mergeCell ref="F199:K199"/>
    <mergeCell ref="N135:O135"/>
    <mergeCell ref="N158:O158"/>
    <mergeCell ref="F168:K168"/>
    <mergeCell ref="F307:K307"/>
    <mergeCell ref="F293:K293"/>
    <mergeCell ref="F294:K294"/>
    <mergeCell ref="F229:K229"/>
    <mergeCell ref="F209:K209"/>
    <mergeCell ref="F175:K175"/>
    <mergeCell ref="F187:K187"/>
    <mergeCell ref="F188:K188"/>
    <mergeCell ref="F189:K189"/>
    <mergeCell ref="F190:K190"/>
    <mergeCell ref="F191:K191"/>
    <mergeCell ref="F192:K192"/>
    <mergeCell ref="F195:K195"/>
    <mergeCell ref="F200:K200"/>
    <mergeCell ref="F277:K277"/>
    <mergeCell ref="F251:K251"/>
    <mergeCell ref="F252:K252"/>
    <mergeCell ref="F258:K258"/>
    <mergeCell ref="F265:K265"/>
    <mergeCell ref="F266:K266"/>
    <mergeCell ref="F214:K214"/>
    <mergeCell ref="F173:K173"/>
    <mergeCell ref="N168:O171"/>
    <mergeCell ref="F435:K435"/>
    <mergeCell ref="F436:K436"/>
    <mergeCell ref="F438:K438"/>
    <mergeCell ref="F439:K439"/>
    <mergeCell ref="F441:K441"/>
    <mergeCell ref="F442:K442"/>
    <mergeCell ref="F443:K443"/>
    <mergeCell ref="F243:K243"/>
    <mergeCell ref="F245:K245"/>
    <mergeCell ref="F268:K268"/>
    <mergeCell ref="F235:K235"/>
    <mergeCell ref="F359:K359"/>
    <mergeCell ref="F216:K216"/>
    <mergeCell ref="F376:K376"/>
    <mergeCell ref="F292:K292"/>
    <mergeCell ref="F283:K283"/>
    <mergeCell ref="F378:K378"/>
    <mergeCell ref="F357:K357"/>
    <mergeCell ref="F366:K366"/>
    <mergeCell ref="F367:K367"/>
    <mergeCell ref="F248:K248"/>
    <mergeCell ref="F298:K298"/>
  </mergeCells>
  <conditionalFormatting sqref="N11">
    <cfRule type="cellIs" dxfId="1856" priority="7756" operator="equal">
      <formula>"nein"</formula>
    </cfRule>
    <cfRule type="cellIs" dxfId="1855" priority="7757" operator="equal">
      <formula>"ja"</formula>
    </cfRule>
  </conditionalFormatting>
  <conditionalFormatting sqref="N3 N9:N10 N12:N16">
    <cfRule type="cellIs" dxfId="1854" priority="7768" operator="equal">
      <formula>"nein"</formula>
    </cfRule>
    <cfRule type="cellIs" dxfId="1853" priority="7769" operator="equal">
      <formula>"ja"</formula>
    </cfRule>
  </conditionalFormatting>
  <conditionalFormatting sqref="N4:N5">
    <cfRule type="cellIs" dxfId="1852" priority="7766" operator="equal">
      <formula>"nein"</formula>
    </cfRule>
    <cfRule type="cellIs" dxfId="1851" priority="7767" operator="equal">
      <formula>"ja"</formula>
    </cfRule>
  </conditionalFormatting>
  <conditionalFormatting sqref="N6">
    <cfRule type="cellIs" dxfId="1850" priority="7764" operator="equal">
      <formula>"nein"</formula>
    </cfRule>
    <cfRule type="cellIs" dxfId="1849" priority="7765" operator="equal">
      <formula>"ja"</formula>
    </cfRule>
  </conditionalFormatting>
  <conditionalFormatting sqref="N7">
    <cfRule type="cellIs" dxfId="1848" priority="7762" operator="equal">
      <formula>"nein"</formula>
    </cfRule>
    <cfRule type="cellIs" dxfId="1847" priority="7763" operator="equal">
      <formula>"ja"</formula>
    </cfRule>
  </conditionalFormatting>
  <conditionalFormatting sqref="N8">
    <cfRule type="cellIs" dxfId="1846" priority="7760" operator="equal">
      <formula>"nein"</formula>
    </cfRule>
    <cfRule type="cellIs" dxfId="1845" priority="7761" operator="equal">
      <formula>"ja"</formula>
    </cfRule>
  </conditionalFormatting>
  <conditionalFormatting sqref="O10">
    <cfRule type="cellIs" dxfId="1844" priority="7758" operator="equal">
      <formula>"nein"</formula>
    </cfRule>
    <cfRule type="cellIs" dxfId="1843" priority="7759" operator="equal">
      <formula>"ja"</formula>
    </cfRule>
  </conditionalFormatting>
  <conditionalFormatting sqref="N3:N16">
    <cfRule type="cellIs" dxfId="1842" priority="7755" operator="equal">
      <formula>"nicht zutreffend"</formula>
    </cfRule>
  </conditionalFormatting>
  <conditionalFormatting sqref="E382:E409">
    <cfRule type="containsText" dxfId="1841" priority="7747" operator="containsText" text="A">
      <formula>NOT(ISERROR(SEARCH("A",E382)))</formula>
    </cfRule>
  </conditionalFormatting>
  <conditionalFormatting sqref="M3:M15">
    <cfRule type="containsText" dxfId="1840" priority="7736" operator="containsText" text="nicht zutreffend">
      <formula>NOT(ISERROR(SEARCH("nicht zutreffend",M3)))</formula>
    </cfRule>
  </conditionalFormatting>
  <conditionalFormatting sqref="N44">
    <cfRule type="cellIs" dxfId="1839" priority="7644" operator="equal">
      <formula>"nein"</formula>
    </cfRule>
    <cfRule type="cellIs" dxfId="1838" priority="7645" operator="equal">
      <formula>"ja"</formula>
    </cfRule>
  </conditionalFormatting>
  <conditionalFormatting sqref="N44">
    <cfRule type="cellIs" dxfId="1837" priority="7643" operator="equal">
      <formula>"nicht zutreffend"</formula>
    </cfRule>
  </conditionalFormatting>
  <conditionalFormatting sqref="N135">
    <cfRule type="cellIs" dxfId="1836" priority="7634" operator="equal">
      <formula>"nicht zutreffend"</formula>
    </cfRule>
  </conditionalFormatting>
  <conditionalFormatting sqref="N89">
    <cfRule type="cellIs" dxfId="1835" priority="7641" operator="equal">
      <formula>"nein"</formula>
    </cfRule>
    <cfRule type="cellIs" dxfId="1834" priority="7642" operator="equal">
      <formula>"ja"</formula>
    </cfRule>
  </conditionalFormatting>
  <conditionalFormatting sqref="N89">
    <cfRule type="cellIs" dxfId="1833" priority="7640" operator="equal">
      <formula>"nicht zutreffend"</formula>
    </cfRule>
  </conditionalFormatting>
  <conditionalFormatting sqref="N112">
    <cfRule type="cellIs" dxfId="1832" priority="7638" operator="equal">
      <formula>"nein"</formula>
    </cfRule>
    <cfRule type="cellIs" dxfId="1831" priority="7639" operator="equal">
      <formula>"ja"</formula>
    </cfRule>
  </conditionalFormatting>
  <conditionalFormatting sqref="N112">
    <cfRule type="cellIs" dxfId="1830" priority="7637" operator="equal">
      <formula>"nicht zutreffend"</formula>
    </cfRule>
  </conditionalFormatting>
  <conditionalFormatting sqref="N135">
    <cfRule type="cellIs" dxfId="1829" priority="7635" operator="equal">
      <formula>"nein"</formula>
    </cfRule>
    <cfRule type="cellIs" dxfId="1828" priority="7636" operator="equal">
      <formula>"ja"</formula>
    </cfRule>
  </conditionalFormatting>
  <conditionalFormatting sqref="N158">
    <cfRule type="cellIs" dxfId="1827" priority="7632" operator="equal">
      <formula>"nein"</formula>
    </cfRule>
    <cfRule type="cellIs" dxfId="1826" priority="7633" operator="equal">
      <formula>"ja"</formula>
    </cfRule>
  </conditionalFormatting>
  <conditionalFormatting sqref="N158">
    <cfRule type="cellIs" dxfId="1825" priority="7631" operator="equal">
      <formula>"nicht zutreffend"</formula>
    </cfRule>
  </conditionalFormatting>
  <conditionalFormatting sqref="N67">
    <cfRule type="cellIs" dxfId="1824" priority="7628" operator="equal">
      <formula>"nein"</formula>
    </cfRule>
    <cfRule type="cellIs" dxfId="1823" priority="7629" operator="equal">
      <formula>"ja"</formula>
    </cfRule>
  </conditionalFormatting>
  <conditionalFormatting sqref="N67">
    <cfRule type="cellIs" dxfId="1822" priority="7627" operator="equal">
      <formula>"nicht zutreffend"</formula>
    </cfRule>
  </conditionalFormatting>
  <conditionalFormatting sqref="N33 N37 N39 N41">
    <cfRule type="containsText" dxfId="1821" priority="7613" operator="containsText" text="Yes">
      <formula>NOT(ISERROR(SEARCH("Yes",N33)))</formula>
    </cfRule>
    <cfRule type="containsText" dxfId="1820" priority="7614" operator="containsText" text="No">
      <formula>NOT(ISERROR(SEARCH("No",N33)))</formula>
    </cfRule>
  </conditionalFormatting>
  <conditionalFormatting sqref="N51:N53">
    <cfRule type="containsText" dxfId="1819" priority="7611" operator="containsText" text="Nein">
      <formula>NOT(ISERROR(SEARCH("Nein",N51)))</formula>
    </cfRule>
    <cfRule type="containsText" dxfId="1818" priority="7612" operator="containsText" text="Ja">
      <formula>NOT(ISERROR(SEARCH("Ja",N51)))</formula>
    </cfRule>
  </conditionalFormatting>
  <conditionalFormatting sqref="N57">
    <cfRule type="containsText" dxfId="1817" priority="7391" operator="containsText" text="Nein">
      <formula>NOT(ISERROR(SEARCH("Nein",N57)))</formula>
    </cfRule>
    <cfRule type="containsText" dxfId="1816" priority="7392" operator="containsText" text="Ja">
      <formula>NOT(ISERROR(SEARCH("Ja",N57)))</formula>
    </cfRule>
  </conditionalFormatting>
  <conditionalFormatting sqref="N58:N59">
    <cfRule type="containsText" dxfId="1815" priority="7389" operator="containsText" text="Nein">
      <formula>NOT(ISERROR(SEARCH("Nein",N58)))</formula>
    </cfRule>
    <cfRule type="containsText" dxfId="1814" priority="7390" operator="containsText" text="Ja">
      <formula>NOT(ISERROR(SEARCH("Ja",N58)))</formula>
    </cfRule>
  </conditionalFormatting>
  <conditionalFormatting sqref="N61">
    <cfRule type="containsText" dxfId="1813" priority="7387" operator="containsText" text="Nein">
      <formula>NOT(ISERROR(SEARCH("Nein",N61)))</formula>
    </cfRule>
    <cfRule type="containsText" dxfId="1812" priority="7388" operator="containsText" text="Ja">
      <formula>NOT(ISERROR(SEARCH("Ja",N61)))</formula>
    </cfRule>
  </conditionalFormatting>
  <conditionalFormatting sqref="E223">
    <cfRule type="containsText" dxfId="1811" priority="7285" operator="containsText" text="#">
      <formula>NOT(ISERROR(SEARCH("#",E223)))</formula>
    </cfRule>
    <cfRule type="containsText" dxfId="1810" priority="7287" operator="containsText" text="A">
      <formula>NOT(ISERROR(SEARCH("A",E223)))</formula>
    </cfRule>
  </conditionalFormatting>
  <conditionalFormatting sqref="E223">
    <cfRule type="containsText" dxfId="1809" priority="7286" operator="containsText" text="FALSCH">
      <formula>NOT(ISERROR(SEARCH("FALSCH",E223)))</formula>
    </cfRule>
  </conditionalFormatting>
  <conditionalFormatting sqref="F223">
    <cfRule type="containsText" dxfId="1808" priority="7282" operator="containsText" text="#">
      <formula>NOT(ISERROR(SEARCH("#",F223)))</formula>
    </cfRule>
    <cfRule type="containsText" dxfId="1807" priority="7284" operator="containsText" text="A">
      <formula>NOT(ISERROR(SEARCH("A",F223)))</formula>
    </cfRule>
  </conditionalFormatting>
  <conditionalFormatting sqref="F223">
    <cfRule type="containsText" dxfId="1806" priority="7283" operator="containsText" text="FALSCH">
      <formula>NOT(ISERROR(SEARCH("FALSCH",F223)))</formula>
    </cfRule>
  </conditionalFormatting>
  <conditionalFormatting sqref="F223:K223">
    <cfRule type="containsText" dxfId="1805" priority="7281" operator="containsText" text="#">
      <formula>NOT(ISERROR(SEARCH("#",F223)))</formula>
    </cfRule>
  </conditionalFormatting>
  <conditionalFormatting sqref="E223">
    <cfRule type="containsText" dxfId="1804" priority="7278" operator="containsText" text="C">
      <formula>NOT(ISERROR(SEARCH("C",E223)))</formula>
    </cfRule>
    <cfRule type="containsText" dxfId="1803" priority="7279" operator="containsText" text="B">
      <formula>NOT(ISERROR(SEARCH("B",E223)))</formula>
    </cfRule>
  </conditionalFormatting>
  <conditionalFormatting sqref="E410:E417">
    <cfRule type="containsText" dxfId="1802" priority="7005" operator="containsText" text="A">
      <formula>NOT(ISERROR(SEARCH("A",E410)))</formula>
    </cfRule>
  </conditionalFormatting>
  <conditionalFormatting sqref="E340:E341">
    <cfRule type="containsText" dxfId="1801" priority="7002" operator="containsText" text="#">
      <formula>NOT(ISERROR(SEARCH("#",E340)))</formula>
    </cfRule>
    <cfRule type="containsText" dxfId="1800" priority="7004" operator="containsText" text="A">
      <formula>NOT(ISERROR(SEARCH("A",E340)))</formula>
    </cfRule>
  </conditionalFormatting>
  <conditionalFormatting sqref="E340:E341">
    <cfRule type="containsText" dxfId="1799" priority="7003" operator="containsText" text="FALSCH">
      <formula>NOT(ISERROR(SEARCH("FALSCH",E340)))</formula>
    </cfRule>
  </conditionalFormatting>
  <conditionalFormatting sqref="N28">
    <cfRule type="containsText" dxfId="1798" priority="3533" operator="containsText" text="Yes">
      <formula>NOT(ISERROR(SEARCH("Yes",N28)))</formula>
    </cfRule>
    <cfRule type="containsText" dxfId="1797" priority="3534" operator="containsText" text="No">
      <formula>NOT(ISERROR(SEARCH("No",N28)))</formula>
    </cfRule>
  </conditionalFormatting>
  <conditionalFormatting sqref="N27">
    <cfRule type="containsText" dxfId="1796" priority="3531" operator="containsText" text="Yes">
      <formula>NOT(ISERROR(SEARCH("Yes",N27)))</formula>
    </cfRule>
    <cfRule type="containsText" dxfId="1795" priority="3532" operator="containsText" text="No">
      <formula>NOT(ISERROR(SEARCH("No",N27)))</formula>
    </cfRule>
  </conditionalFormatting>
  <conditionalFormatting sqref="N26">
    <cfRule type="containsText" dxfId="1794" priority="3529" operator="containsText" text="Yes">
      <formula>NOT(ISERROR(SEARCH("Yes",N26)))</formula>
    </cfRule>
    <cfRule type="containsText" dxfId="1793" priority="3530" operator="containsText" text="No">
      <formula>NOT(ISERROR(SEARCH("No",N26)))</formula>
    </cfRule>
  </conditionalFormatting>
  <conditionalFormatting sqref="N25">
    <cfRule type="containsText" dxfId="1792" priority="3527" operator="containsText" text="Yes">
      <formula>NOT(ISERROR(SEARCH("Yes",N25)))</formula>
    </cfRule>
    <cfRule type="containsText" dxfId="1791" priority="3528" operator="containsText" text="No">
      <formula>NOT(ISERROR(SEARCH("No",N25)))</formula>
    </cfRule>
  </conditionalFormatting>
  <conditionalFormatting sqref="N48">
    <cfRule type="containsText" dxfId="1790" priority="3525" operator="containsText" text="Yes">
      <formula>NOT(ISERROR(SEARCH("Yes",N48)))</formula>
    </cfRule>
    <cfRule type="containsText" dxfId="1789" priority="3526" operator="containsText" text="No">
      <formula>NOT(ISERROR(SEARCH("No",N48)))</formula>
    </cfRule>
  </conditionalFormatting>
  <conditionalFormatting sqref="N49">
    <cfRule type="containsText" dxfId="1788" priority="3523" operator="containsText" text="Yes">
      <formula>NOT(ISERROR(SEARCH("Yes",N49)))</formula>
    </cfRule>
    <cfRule type="containsText" dxfId="1787" priority="3524" operator="containsText" text="No">
      <formula>NOT(ISERROR(SEARCH("No",N49)))</formula>
    </cfRule>
  </conditionalFormatting>
  <conditionalFormatting sqref="N50">
    <cfRule type="containsText" dxfId="1786" priority="3521" operator="containsText" text="Yes">
      <formula>NOT(ISERROR(SEARCH("Yes",N50)))</formula>
    </cfRule>
    <cfRule type="containsText" dxfId="1785" priority="3522" operator="containsText" text="No">
      <formula>NOT(ISERROR(SEARCH("No",N50)))</formula>
    </cfRule>
  </conditionalFormatting>
  <conditionalFormatting sqref="N54">
    <cfRule type="containsText" dxfId="1784" priority="3519" operator="containsText" text="Yes">
      <formula>NOT(ISERROR(SEARCH("Yes",N54)))</formula>
    </cfRule>
    <cfRule type="containsText" dxfId="1783" priority="3520" operator="containsText" text="No">
      <formula>NOT(ISERROR(SEARCH("No",N54)))</formula>
    </cfRule>
  </conditionalFormatting>
  <conditionalFormatting sqref="N55">
    <cfRule type="containsText" dxfId="1782" priority="3517" operator="containsText" text="Yes">
      <formula>NOT(ISERROR(SEARCH("Yes",N55)))</formula>
    </cfRule>
    <cfRule type="containsText" dxfId="1781" priority="3518" operator="containsText" text="No">
      <formula>NOT(ISERROR(SEARCH("No",N55)))</formula>
    </cfRule>
  </conditionalFormatting>
  <conditionalFormatting sqref="N56">
    <cfRule type="containsText" dxfId="1780" priority="3515" operator="containsText" text="Yes">
      <formula>NOT(ISERROR(SEARCH("Yes",N56)))</formula>
    </cfRule>
    <cfRule type="containsText" dxfId="1779" priority="3516" operator="containsText" text="No">
      <formula>NOT(ISERROR(SEARCH("No",N56)))</formula>
    </cfRule>
  </conditionalFormatting>
  <conditionalFormatting sqref="N60">
    <cfRule type="containsText" dxfId="1778" priority="3511" operator="containsText" text="Yes">
      <formula>NOT(ISERROR(SEARCH("Yes",N60)))</formula>
    </cfRule>
    <cfRule type="containsText" dxfId="1777" priority="3512" operator="containsText" text="No">
      <formula>NOT(ISERROR(SEARCH("No",N60)))</formula>
    </cfRule>
  </conditionalFormatting>
  <conditionalFormatting sqref="N62">
    <cfRule type="containsText" dxfId="1776" priority="3509" operator="containsText" text="Yes">
      <formula>NOT(ISERROR(SEARCH("Yes",N62)))</formula>
    </cfRule>
    <cfRule type="containsText" dxfId="1775" priority="3510" operator="containsText" text="No">
      <formula>NOT(ISERROR(SEARCH("No",N62)))</formula>
    </cfRule>
  </conditionalFormatting>
  <conditionalFormatting sqref="N64">
    <cfRule type="containsText" dxfId="1774" priority="3507" operator="containsText" text="Yes">
      <formula>NOT(ISERROR(SEARCH("Yes",N64)))</formula>
    </cfRule>
    <cfRule type="containsText" dxfId="1773" priority="3508" operator="containsText" text="No">
      <formula>NOT(ISERROR(SEARCH("No",N64)))</formula>
    </cfRule>
  </conditionalFormatting>
  <conditionalFormatting sqref="N70">
    <cfRule type="containsText" dxfId="1772" priority="3505" operator="containsText" text="Yes">
      <formula>NOT(ISERROR(SEARCH("Yes",N70)))</formula>
    </cfRule>
    <cfRule type="containsText" dxfId="1771" priority="3506" operator="containsText" text="No">
      <formula>NOT(ISERROR(SEARCH("No",N70)))</formula>
    </cfRule>
  </conditionalFormatting>
  <conditionalFormatting sqref="N72">
    <cfRule type="containsText" dxfId="1770" priority="3503" operator="containsText" text="Yes">
      <formula>NOT(ISERROR(SEARCH("Yes",N72)))</formula>
    </cfRule>
    <cfRule type="containsText" dxfId="1769" priority="3504" operator="containsText" text="No">
      <formula>NOT(ISERROR(SEARCH("No",N72)))</formula>
    </cfRule>
  </conditionalFormatting>
  <conditionalFormatting sqref="N73">
    <cfRule type="containsText" dxfId="1768" priority="3501" operator="containsText" text="Yes">
      <formula>NOT(ISERROR(SEARCH("Yes",N73)))</formula>
    </cfRule>
    <cfRule type="containsText" dxfId="1767" priority="3502" operator="containsText" text="No">
      <formula>NOT(ISERROR(SEARCH("No",N73)))</formula>
    </cfRule>
  </conditionalFormatting>
  <conditionalFormatting sqref="N82">
    <cfRule type="containsText" dxfId="1766" priority="3497" operator="containsText" text="Yes">
      <formula>NOT(ISERROR(SEARCH("Yes",N82)))</formula>
    </cfRule>
    <cfRule type="containsText" dxfId="1765" priority="3498" operator="containsText" text="No">
      <formula>NOT(ISERROR(SEARCH("No",N82)))</formula>
    </cfRule>
  </conditionalFormatting>
  <conditionalFormatting sqref="N84">
    <cfRule type="containsText" dxfId="1764" priority="3495" operator="containsText" text="Yes">
      <formula>NOT(ISERROR(SEARCH("Yes",N84)))</formula>
    </cfRule>
    <cfRule type="containsText" dxfId="1763" priority="3496" operator="containsText" text="No">
      <formula>NOT(ISERROR(SEARCH("No",N84)))</formula>
    </cfRule>
  </conditionalFormatting>
  <conditionalFormatting sqref="N86">
    <cfRule type="containsText" dxfId="1762" priority="3493" operator="containsText" text="Yes">
      <formula>NOT(ISERROR(SEARCH("Yes",N86)))</formula>
    </cfRule>
    <cfRule type="containsText" dxfId="1761" priority="3494" operator="containsText" text="No">
      <formula>NOT(ISERROR(SEARCH("No",N86)))</formula>
    </cfRule>
  </conditionalFormatting>
  <conditionalFormatting sqref="N93">
    <cfRule type="containsText" dxfId="1760" priority="3491" operator="containsText" text="Yes">
      <formula>NOT(ISERROR(SEARCH("Yes",N93)))</formula>
    </cfRule>
    <cfRule type="containsText" dxfId="1759" priority="3492" operator="containsText" text="No">
      <formula>NOT(ISERROR(SEARCH("No",N93)))</formula>
    </cfRule>
  </conditionalFormatting>
  <conditionalFormatting sqref="N95">
    <cfRule type="containsText" dxfId="1758" priority="3489" operator="containsText" text="Yes">
      <formula>NOT(ISERROR(SEARCH("Yes",N95)))</formula>
    </cfRule>
    <cfRule type="containsText" dxfId="1757" priority="3490" operator="containsText" text="No">
      <formula>NOT(ISERROR(SEARCH("No",N95)))</formula>
    </cfRule>
  </conditionalFormatting>
  <conditionalFormatting sqref="N96">
    <cfRule type="containsText" dxfId="1756" priority="3487" operator="containsText" text="Yes">
      <formula>NOT(ISERROR(SEARCH("Yes",N96)))</formula>
    </cfRule>
    <cfRule type="containsText" dxfId="1755" priority="3488" operator="containsText" text="No">
      <formula>NOT(ISERROR(SEARCH("No",N96)))</formula>
    </cfRule>
  </conditionalFormatting>
  <conditionalFormatting sqref="N105">
    <cfRule type="containsText" dxfId="1754" priority="3483" operator="containsText" text="Yes">
      <formula>NOT(ISERROR(SEARCH("Yes",N105)))</formula>
    </cfRule>
    <cfRule type="containsText" dxfId="1753" priority="3484" operator="containsText" text="No">
      <formula>NOT(ISERROR(SEARCH("No",N105)))</formula>
    </cfRule>
  </conditionalFormatting>
  <conditionalFormatting sqref="N107">
    <cfRule type="containsText" dxfId="1752" priority="3481" operator="containsText" text="Yes">
      <formula>NOT(ISERROR(SEARCH("Yes",N107)))</formula>
    </cfRule>
    <cfRule type="containsText" dxfId="1751" priority="3482" operator="containsText" text="No">
      <formula>NOT(ISERROR(SEARCH("No",N107)))</formula>
    </cfRule>
  </conditionalFormatting>
  <conditionalFormatting sqref="N109">
    <cfRule type="containsText" dxfId="1750" priority="3479" operator="containsText" text="Yes">
      <formula>NOT(ISERROR(SEARCH("Yes",N109)))</formula>
    </cfRule>
    <cfRule type="containsText" dxfId="1749" priority="3480" operator="containsText" text="No">
      <formula>NOT(ISERROR(SEARCH("No",N109)))</formula>
    </cfRule>
  </conditionalFormatting>
  <conditionalFormatting sqref="N139">
    <cfRule type="containsText" dxfId="1748" priority="3475" operator="containsText" text="Yes">
      <formula>NOT(ISERROR(SEARCH("Yes",N139)))</formula>
    </cfRule>
    <cfRule type="containsText" dxfId="1747" priority="3476" operator="containsText" text="No">
      <formula>NOT(ISERROR(SEARCH("No",N139)))</formula>
    </cfRule>
  </conditionalFormatting>
  <conditionalFormatting sqref="N141">
    <cfRule type="containsText" dxfId="1746" priority="3473" operator="containsText" text="Yes">
      <formula>NOT(ISERROR(SEARCH("Yes",N141)))</formula>
    </cfRule>
    <cfRule type="containsText" dxfId="1745" priority="3474" operator="containsText" text="No">
      <formula>NOT(ISERROR(SEARCH("No",N141)))</formula>
    </cfRule>
  </conditionalFormatting>
  <conditionalFormatting sqref="N147">
    <cfRule type="containsText" dxfId="1744" priority="3469" operator="containsText" text="Yes">
      <formula>NOT(ISERROR(SEARCH("Yes",N147)))</formula>
    </cfRule>
    <cfRule type="containsText" dxfId="1743" priority="3470" operator="containsText" text="No">
      <formula>NOT(ISERROR(SEARCH("No",N147)))</formula>
    </cfRule>
  </conditionalFormatting>
  <conditionalFormatting sqref="N151">
    <cfRule type="containsText" dxfId="1742" priority="3463" operator="containsText" text="Yes">
      <formula>NOT(ISERROR(SEARCH("Yes",N151)))</formula>
    </cfRule>
    <cfRule type="containsText" dxfId="1741" priority="3464" operator="containsText" text="No">
      <formula>NOT(ISERROR(SEARCH("No",N151)))</formula>
    </cfRule>
  </conditionalFormatting>
  <conditionalFormatting sqref="N153">
    <cfRule type="containsText" dxfId="1740" priority="3461" operator="containsText" text="Yes">
      <formula>NOT(ISERROR(SEARCH("Yes",N153)))</formula>
    </cfRule>
    <cfRule type="containsText" dxfId="1739" priority="3462" operator="containsText" text="No">
      <formula>NOT(ISERROR(SEARCH("No",N153)))</formula>
    </cfRule>
  </conditionalFormatting>
  <conditionalFormatting sqref="N155">
    <cfRule type="containsText" dxfId="1738" priority="3459" operator="containsText" text="Yes">
      <formula>NOT(ISERROR(SEARCH("Yes",N155)))</formula>
    </cfRule>
    <cfRule type="containsText" dxfId="1737" priority="3460" operator="containsText" text="No">
      <formula>NOT(ISERROR(SEARCH("No",N155)))</formula>
    </cfRule>
  </conditionalFormatting>
  <conditionalFormatting sqref="E184">
    <cfRule type="containsText" dxfId="1736" priority="3440" operator="containsText" text="A">
      <formula>NOT(ISERROR(SEARCH("A",E184)))</formula>
    </cfRule>
  </conditionalFormatting>
  <conditionalFormatting sqref="E187">
    <cfRule type="containsText" dxfId="1735" priority="3439" operator="containsText" text="A">
      <formula>NOT(ISERROR(SEARCH("A",E187)))</formula>
    </cfRule>
  </conditionalFormatting>
  <conditionalFormatting sqref="E193">
    <cfRule type="containsText" dxfId="1734" priority="3438" operator="containsText" text="A">
      <formula>NOT(ISERROR(SEARCH("A",E193)))</formula>
    </cfRule>
  </conditionalFormatting>
  <conditionalFormatting sqref="E200">
    <cfRule type="containsText" dxfId="1733" priority="3437" operator="containsText" text="A">
      <formula>NOT(ISERROR(SEARCH("A",E200)))</formula>
    </cfRule>
  </conditionalFormatting>
  <conditionalFormatting sqref="E206">
    <cfRule type="containsText" dxfId="1732" priority="3436" operator="containsText" text="A">
      <formula>NOT(ISERROR(SEARCH("A",E206)))</formula>
    </cfRule>
  </conditionalFormatting>
  <conditionalFormatting sqref="E209">
    <cfRule type="containsText" dxfId="1731" priority="3435" operator="containsText" text="A">
      <formula>NOT(ISERROR(SEARCH("A",E209)))</formula>
    </cfRule>
  </conditionalFormatting>
  <conditionalFormatting sqref="E215:E216">
    <cfRule type="containsText" dxfId="1730" priority="3434" operator="containsText" text="A">
      <formula>NOT(ISERROR(SEARCH("A",E215)))</formula>
    </cfRule>
  </conditionalFormatting>
  <conditionalFormatting sqref="E217">
    <cfRule type="containsText" dxfId="1729" priority="3433" operator="containsText" text="A">
      <formula>NOT(ISERROR(SEARCH("A",E217)))</formula>
    </cfRule>
  </conditionalFormatting>
  <conditionalFormatting sqref="E218">
    <cfRule type="containsText" dxfId="1728" priority="3432" operator="containsText" text="A">
      <formula>NOT(ISERROR(SEARCH("A",E218)))</formula>
    </cfRule>
  </conditionalFormatting>
  <conditionalFormatting sqref="E219">
    <cfRule type="containsText" dxfId="1727" priority="3431" operator="containsText" text="A">
      <formula>NOT(ISERROR(SEARCH("A",E219)))</formula>
    </cfRule>
  </conditionalFormatting>
  <conditionalFormatting sqref="E220">
    <cfRule type="containsText" dxfId="1726" priority="3430" operator="containsText" text="A">
      <formula>NOT(ISERROR(SEARCH("A",E220)))</formula>
    </cfRule>
  </conditionalFormatting>
  <conditionalFormatting sqref="E221">
    <cfRule type="containsText" dxfId="1725" priority="3429" operator="containsText" text="A">
      <formula>NOT(ISERROR(SEARCH("A",E221)))</formula>
    </cfRule>
  </conditionalFormatting>
  <conditionalFormatting sqref="E222">
    <cfRule type="containsText" dxfId="1724" priority="3428" operator="containsText" text="A">
      <formula>NOT(ISERROR(SEARCH("A",E222)))</formula>
    </cfRule>
  </conditionalFormatting>
  <conditionalFormatting sqref="E226">
    <cfRule type="containsText" dxfId="1723" priority="3427" operator="containsText" text="A">
      <formula>NOT(ISERROR(SEARCH("A",E226)))</formula>
    </cfRule>
  </conditionalFormatting>
  <conditionalFormatting sqref="E231">
    <cfRule type="containsText" dxfId="1722" priority="3426" operator="containsText" text="A">
      <formula>NOT(ISERROR(SEARCH("A",E231)))</formula>
    </cfRule>
  </conditionalFormatting>
  <conditionalFormatting sqref="E241">
    <cfRule type="containsText" dxfId="1721" priority="3425" operator="containsText" text="A">
      <formula>NOT(ISERROR(SEARCH("A",E241)))</formula>
    </cfRule>
  </conditionalFormatting>
  <conditionalFormatting sqref="E244">
    <cfRule type="containsText" dxfId="1720" priority="3424" operator="containsText" text="A">
      <formula>NOT(ISERROR(SEARCH("A",E244)))</formula>
    </cfRule>
  </conditionalFormatting>
  <conditionalFormatting sqref="E250:E251">
    <cfRule type="containsText" dxfId="1719" priority="3423" operator="containsText" text="A">
      <formula>NOT(ISERROR(SEARCH("A",E250)))</formula>
    </cfRule>
  </conditionalFormatting>
  <conditionalFormatting sqref="E252">
    <cfRule type="containsText" dxfId="1718" priority="3422" operator="containsText" text="A">
      <formula>NOT(ISERROR(SEARCH("A",E252)))</formula>
    </cfRule>
  </conditionalFormatting>
  <conditionalFormatting sqref="E253">
    <cfRule type="containsText" dxfId="1717" priority="3421" operator="containsText" text="A">
      <formula>NOT(ISERROR(SEARCH("A",E253)))</formula>
    </cfRule>
  </conditionalFormatting>
  <conditionalFormatting sqref="E254">
    <cfRule type="containsText" dxfId="1716" priority="3420" operator="containsText" text="A">
      <formula>NOT(ISERROR(SEARCH("A",E254)))</formula>
    </cfRule>
  </conditionalFormatting>
  <conditionalFormatting sqref="E255">
    <cfRule type="containsText" dxfId="1715" priority="3419" operator="containsText" text="A">
      <formula>NOT(ISERROR(SEARCH("A",E255)))</formula>
    </cfRule>
  </conditionalFormatting>
  <conditionalFormatting sqref="E256">
    <cfRule type="containsText" dxfId="1714" priority="3418" operator="containsText" text="A">
      <formula>NOT(ISERROR(SEARCH("A",E256)))</formula>
    </cfRule>
  </conditionalFormatting>
  <conditionalFormatting sqref="E257">
    <cfRule type="containsText" dxfId="1713" priority="3417" operator="containsText" text="A">
      <formula>NOT(ISERROR(SEARCH("A",E257)))</formula>
    </cfRule>
  </conditionalFormatting>
  <conditionalFormatting sqref="E258">
    <cfRule type="containsText" dxfId="1712" priority="3416" operator="containsText" text="A">
      <formula>NOT(ISERROR(SEARCH("A",E258)))</formula>
    </cfRule>
  </conditionalFormatting>
  <conditionalFormatting sqref="E259">
    <cfRule type="containsText" dxfId="1711" priority="3415" operator="containsText" text="A">
      <formula>NOT(ISERROR(SEARCH("A",E259)))</formula>
    </cfRule>
  </conditionalFormatting>
  <conditionalFormatting sqref="E260">
    <cfRule type="containsText" dxfId="1710" priority="3414" operator="containsText" text="A">
      <formula>NOT(ISERROR(SEARCH("A",E260)))</formula>
    </cfRule>
  </conditionalFormatting>
  <conditionalFormatting sqref="E261">
    <cfRule type="containsText" dxfId="1709" priority="3413" operator="containsText" text="A">
      <formula>NOT(ISERROR(SEARCH("A",E261)))</formula>
    </cfRule>
  </conditionalFormatting>
  <conditionalFormatting sqref="E265">
    <cfRule type="containsText" dxfId="1708" priority="3412" operator="containsText" text="A">
      <formula>NOT(ISERROR(SEARCH("A",E265)))</formula>
    </cfRule>
  </conditionalFormatting>
  <conditionalFormatting sqref="E270">
    <cfRule type="containsText" dxfId="1707" priority="3411" operator="containsText" text="A">
      <formula>NOT(ISERROR(SEARCH("A",E270)))</formula>
    </cfRule>
  </conditionalFormatting>
  <conditionalFormatting sqref="E280">
    <cfRule type="containsText" dxfId="1706" priority="3410" operator="containsText" text="A">
      <formula>NOT(ISERROR(SEARCH("A",E280)))</formula>
    </cfRule>
  </conditionalFormatting>
  <conditionalFormatting sqref="E283">
    <cfRule type="containsText" dxfId="1705" priority="3409" operator="containsText" text="A">
      <formula>NOT(ISERROR(SEARCH("A",E283)))</formula>
    </cfRule>
  </conditionalFormatting>
  <conditionalFormatting sqref="E289:E290">
    <cfRule type="containsText" dxfId="1704" priority="3408" operator="containsText" text="A">
      <formula>NOT(ISERROR(SEARCH("A",E289)))</formula>
    </cfRule>
  </conditionalFormatting>
  <conditionalFormatting sqref="E291">
    <cfRule type="containsText" dxfId="1703" priority="3407" operator="containsText" text="A">
      <formula>NOT(ISERROR(SEARCH("A",E291)))</formula>
    </cfRule>
  </conditionalFormatting>
  <conditionalFormatting sqref="E292">
    <cfRule type="containsText" dxfId="1702" priority="3406" operator="containsText" text="A">
      <formula>NOT(ISERROR(SEARCH("A",E292)))</formula>
    </cfRule>
  </conditionalFormatting>
  <conditionalFormatting sqref="E293">
    <cfRule type="containsText" dxfId="1701" priority="3405" operator="containsText" text="A">
      <formula>NOT(ISERROR(SEARCH("A",E293)))</formula>
    </cfRule>
  </conditionalFormatting>
  <conditionalFormatting sqref="E294">
    <cfRule type="containsText" dxfId="1700" priority="3404" operator="containsText" text="A">
      <formula>NOT(ISERROR(SEARCH("A",E294)))</formula>
    </cfRule>
  </conditionalFormatting>
  <conditionalFormatting sqref="E295">
    <cfRule type="containsText" dxfId="1699" priority="3403" operator="containsText" text="A">
      <formula>NOT(ISERROR(SEARCH("A",E295)))</formula>
    </cfRule>
  </conditionalFormatting>
  <conditionalFormatting sqref="E296">
    <cfRule type="containsText" dxfId="1698" priority="3402" operator="containsText" text="A">
      <formula>NOT(ISERROR(SEARCH("A",E296)))</formula>
    </cfRule>
  </conditionalFormatting>
  <conditionalFormatting sqref="E297">
    <cfRule type="containsText" dxfId="1697" priority="3401" operator="containsText" text="A">
      <formula>NOT(ISERROR(SEARCH("A",E297)))</formula>
    </cfRule>
  </conditionalFormatting>
  <conditionalFormatting sqref="E298">
    <cfRule type="containsText" dxfId="1696" priority="3400" operator="containsText" text="A">
      <formula>NOT(ISERROR(SEARCH("A",E298)))</formula>
    </cfRule>
  </conditionalFormatting>
  <conditionalFormatting sqref="E299">
    <cfRule type="containsText" dxfId="1695" priority="3399" operator="containsText" text="A">
      <formula>NOT(ISERROR(SEARCH("A",E299)))</formula>
    </cfRule>
  </conditionalFormatting>
  <conditionalFormatting sqref="E300">
    <cfRule type="containsText" dxfId="1694" priority="3398" operator="containsText" text="A">
      <formula>NOT(ISERROR(SEARCH("A",E300)))</formula>
    </cfRule>
  </conditionalFormatting>
  <conditionalFormatting sqref="E343">
    <cfRule type="containsText" dxfId="1693" priority="3365" operator="containsText" text="A">
      <formula>NOT(ISERROR(SEARCH("A",E343)))</formula>
    </cfRule>
  </conditionalFormatting>
  <conditionalFormatting sqref="E349">
    <cfRule type="containsText" dxfId="1692" priority="3364" operator="containsText" text="A">
      <formula>NOT(ISERROR(SEARCH("A",E349)))</formula>
    </cfRule>
  </conditionalFormatting>
  <conditionalFormatting sqref="E360">
    <cfRule type="containsText" dxfId="1691" priority="3363" operator="containsText" text="A">
      <formula>NOT(ISERROR(SEARCH("A",E360)))</formula>
    </cfRule>
  </conditionalFormatting>
  <conditionalFormatting sqref="E365">
    <cfRule type="containsText" dxfId="1690" priority="3362" operator="containsText" text="A">
      <formula>NOT(ISERROR(SEARCH("A",E365)))</formula>
    </cfRule>
  </conditionalFormatting>
  <conditionalFormatting sqref="F149 F343:F376">
    <cfRule type="expression" dxfId="1689" priority="3135">
      <formula>E149="#"</formula>
    </cfRule>
    <cfRule type="expression" dxfId="1688" priority="3136">
      <formula>E149="B"</formula>
    </cfRule>
    <cfRule type="expression" dxfId="1687" priority="3137">
      <formula>E149="C"</formula>
    </cfRule>
    <cfRule type="expression" priority="3138">
      <formula>E149="A"</formula>
    </cfRule>
    <cfRule type="expression" priority="3139">
      <formula>E149=n.a.</formula>
    </cfRule>
  </conditionalFormatting>
  <conditionalFormatting sqref="E165">
    <cfRule type="containsText" dxfId="1686" priority="2931" operator="containsText" text="A">
      <formula>NOT(ISERROR(SEARCH("A",E165)))</formula>
    </cfRule>
  </conditionalFormatting>
  <conditionalFormatting sqref="E168">
    <cfRule type="containsText" dxfId="1685" priority="2930" operator="containsText" text="A">
      <formula>NOT(ISERROR(SEARCH("A",E168)))</formula>
    </cfRule>
  </conditionalFormatting>
  <conditionalFormatting sqref="E174:E175">
    <cfRule type="containsText" dxfId="1684" priority="2929" operator="containsText" text="A">
      <formula>NOT(ISERROR(SEARCH("A",E174)))</formula>
    </cfRule>
  </conditionalFormatting>
  <conditionalFormatting sqref="E176">
    <cfRule type="containsText" dxfId="1683" priority="2928" operator="containsText" text="A">
      <formula>NOT(ISERROR(SEARCH("A",E176)))</formula>
    </cfRule>
  </conditionalFormatting>
  <conditionalFormatting sqref="E177">
    <cfRule type="containsText" dxfId="1682" priority="2927" operator="containsText" text="A">
      <formula>NOT(ISERROR(SEARCH("A",E177)))</formula>
    </cfRule>
  </conditionalFormatting>
  <conditionalFormatting sqref="E178">
    <cfRule type="containsText" dxfId="1681" priority="2926" operator="containsText" text="A">
      <formula>NOT(ISERROR(SEARCH("A",E178)))</formula>
    </cfRule>
  </conditionalFormatting>
  <conditionalFormatting sqref="E179">
    <cfRule type="containsText" dxfId="1680" priority="2925" operator="containsText" text="A">
      <formula>NOT(ISERROR(SEARCH("A",E179)))</formula>
    </cfRule>
  </conditionalFormatting>
  <conditionalFormatting sqref="E180">
    <cfRule type="containsText" dxfId="1679" priority="2924" operator="containsText" text="A">
      <formula>NOT(ISERROR(SEARCH("A",E180)))</formula>
    </cfRule>
  </conditionalFormatting>
  <conditionalFormatting sqref="E181">
    <cfRule type="containsText" dxfId="1678" priority="2923" operator="containsText" text="A">
      <formula>NOT(ISERROR(SEARCH("A",E181)))</formula>
    </cfRule>
  </conditionalFormatting>
  <conditionalFormatting sqref="E182">
    <cfRule type="containsText" dxfId="1677" priority="2922" operator="containsText" text="A">
      <formula>NOT(ISERROR(SEARCH("A",E182)))</formula>
    </cfRule>
  </conditionalFormatting>
  <conditionalFormatting sqref="E183">
    <cfRule type="containsText" dxfId="1676" priority="2921" operator="containsText" text="A">
      <formula>NOT(ISERROR(SEARCH("A",E183)))</formula>
    </cfRule>
  </conditionalFormatting>
  <conditionalFormatting sqref="F149:K149 F343:K376">
    <cfRule type="expression" dxfId="1675" priority="2919">
      <formula>E149="2nd"</formula>
    </cfRule>
  </conditionalFormatting>
  <conditionalFormatting sqref="F150">
    <cfRule type="expression" dxfId="1674" priority="2914">
      <formula>E150="#"</formula>
    </cfRule>
    <cfRule type="expression" dxfId="1673" priority="2915">
      <formula>E150="B"</formula>
    </cfRule>
    <cfRule type="expression" dxfId="1672" priority="2916">
      <formula>E150="C"</formula>
    </cfRule>
    <cfRule type="expression" priority="2917">
      <formula>E150="A"</formula>
    </cfRule>
    <cfRule type="expression" priority="2918">
      <formula>E150=n.a.</formula>
    </cfRule>
  </conditionalFormatting>
  <conditionalFormatting sqref="F150:K150">
    <cfRule type="expression" dxfId="1671" priority="2908">
      <formula>E150="2nd"</formula>
    </cfRule>
  </conditionalFormatting>
  <conditionalFormatting sqref="F151">
    <cfRule type="expression" dxfId="1670" priority="2903">
      <formula>E151="#"</formula>
    </cfRule>
    <cfRule type="expression" dxfId="1669" priority="2904">
      <formula>E151="B"</formula>
    </cfRule>
    <cfRule type="expression" dxfId="1668" priority="2905">
      <formula>E151="C"</formula>
    </cfRule>
    <cfRule type="expression" priority="2906">
      <formula>E151="A"</formula>
    </cfRule>
    <cfRule type="expression" priority="2907">
      <formula>E151=n.a.</formula>
    </cfRule>
  </conditionalFormatting>
  <conditionalFormatting sqref="F151:K151">
    <cfRule type="expression" dxfId="1667" priority="2897">
      <formula>E151="2nd"</formula>
    </cfRule>
  </conditionalFormatting>
  <conditionalFormatting sqref="F152">
    <cfRule type="expression" dxfId="1666" priority="2892">
      <formula>E152="#"</formula>
    </cfRule>
    <cfRule type="expression" dxfId="1665" priority="2893">
      <formula>E152="B"</formula>
    </cfRule>
    <cfRule type="expression" dxfId="1664" priority="2894">
      <formula>E152="C"</formula>
    </cfRule>
    <cfRule type="expression" priority="2895">
      <formula>E152="A"</formula>
    </cfRule>
    <cfRule type="expression" priority="2896">
      <formula>E152=n.a.</formula>
    </cfRule>
  </conditionalFormatting>
  <conditionalFormatting sqref="E149:E152">
    <cfRule type="containsText" dxfId="1663" priority="2887" operator="containsText" text="2nd">
      <formula>NOT(ISERROR(SEARCH("2nd",E149)))</formula>
    </cfRule>
    <cfRule type="containsText" dxfId="1662" priority="2888" operator="containsText" text="#">
      <formula>NOT(ISERROR(SEARCH("#",E149)))</formula>
    </cfRule>
    <cfRule type="containsText" dxfId="1661" priority="2889" operator="containsText" text="A">
      <formula>NOT(ISERROR(SEARCH("A",E149)))</formula>
    </cfRule>
    <cfRule type="containsText" dxfId="1660" priority="2890" operator="containsText" text="C">
      <formula>NOT(ISERROR(SEARCH("C",E149)))</formula>
    </cfRule>
    <cfRule type="containsText" dxfId="1659" priority="2891" operator="containsText" text="B">
      <formula>NOT(ISERROR(SEARCH("B",E149)))</formula>
    </cfRule>
  </conditionalFormatting>
  <conditionalFormatting sqref="F152:K152">
    <cfRule type="expression" dxfId="1658" priority="2886">
      <formula>E152="2nd"</formula>
    </cfRule>
  </conditionalFormatting>
  <conditionalFormatting sqref="F153">
    <cfRule type="expression" dxfId="1657" priority="2881">
      <formula>E153="#"</formula>
    </cfRule>
    <cfRule type="expression" dxfId="1656" priority="2882">
      <formula>E153="B"</formula>
    </cfRule>
    <cfRule type="expression" dxfId="1655" priority="2883">
      <formula>E153="C"</formula>
    </cfRule>
    <cfRule type="expression" priority="2884">
      <formula>E153="A"</formula>
    </cfRule>
    <cfRule type="expression" priority="2885">
      <formula>E153=n.a.</formula>
    </cfRule>
  </conditionalFormatting>
  <conditionalFormatting sqref="E153">
    <cfRule type="containsText" dxfId="1654" priority="2876" operator="containsText" text="2nd">
      <formula>NOT(ISERROR(SEARCH("2nd",E153)))</formula>
    </cfRule>
    <cfRule type="containsText" dxfId="1653" priority="2877" operator="containsText" text="#">
      <formula>NOT(ISERROR(SEARCH("#",E153)))</formula>
    </cfRule>
    <cfRule type="containsText" dxfId="1652" priority="2878" operator="containsText" text="A">
      <formula>NOT(ISERROR(SEARCH("A",E153)))</formula>
    </cfRule>
    <cfRule type="containsText" dxfId="1651" priority="2879" operator="containsText" text="C">
      <formula>NOT(ISERROR(SEARCH("C",E153)))</formula>
    </cfRule>
    <cfRule type="containsText" dxfId="1650" priority="2880" operator="containsText" text="B">
      <formula>NOT(ISERROR(SEARCH("B",E153)))</formula>
    </cfRule>
  </conditionalFormatting>
  <conditionalFormatting sqref="F153:K153">
    <cfRule type="expression" dxfId="1649" priority="2875">
      <formula>E153="2nd"</formula>
    </cfRule>
  </conditionalFormatting>
  <conditionalFormatting sqref="F155">
    <cfRule type="expression" dxfId="1648" priority="2870">
      <formula>E155="#"</formula>
    </cfRule>
    <cfRule type="expression" dxfId="1647" priority="2871">
      <formula>E155="B"</formula>
    </cfRule>
    <cfRule type="expression" dxfId="1646" priority="2872">
      <formula>E155="C"</formula>
    </cfRule>
    <cfRule type="expression" priority="2873">
      <formula>E155="A"</formula>
    </cfRule>
    <cfRule type="expression" priority="2874">
      <formula>E155=n.a.</formula>
    </cfRule>
  </conditionalFormatting>
  <conditionalFormatting sqref="E155">
    <cfRule type="containsText" dxfId="1645" priority="2865" operator="containsText" text="2nd">
      <formula>NOT(ISERROR(SEARCH("2nd",E155)))</formula>
    </cfRule>
    <cfRule type="containsText" dxfId="1644" priority="2866" operator="containsText" text="#">
      <formula>NOT(ISERROR(SEARCH("#",E155)))</formula>
    </cfRule>
    <cfRule type="containsText" dxfId="1643" priority="2867" operator="containsText" text="A">
      <formula>NOT(ISERROR(SEARCH("A",E155)))</formula>
    </cfRule>
    <cfRule type="containsText" dxfId="1642" priority="2868" operator="containsText" text="C">
      <formula>NOT(ISERROR(SEARCH("C",E155)))</formula>
    </cfRule>
    <cfRule type="containsText" dxfId="1641" priority="2869" operator="containsText" text="B">
      <formula>NOT(ISERROR(SEARCH("B",E155)))</formula>
    </cfRule>
  </conditionalFormatting>
  <conditionalFormatting sqref="F155:K155">
    <cfRule type="expression" dxfId="1640" priority="2864">
      <formula>E155="2nd"</formula>
    </cfRule>
  </conditionalFormatting>
  <conditionalFormatting sqref="F156">
    <cfRule type="expression" dxfId="1639" priority="2859">
      <formula>E156="#"</formula>
    </cfRule>
    <cfRule type="expression" dxfId="1638" priority="2860">
      <formula>E156="B"</formula>
    </cfRule>
    <cfRule type="expression" dxfId="1637" priority="2861">
      <formula>E156="C"</formula>
    </cfRule>
    <cfRule type="expression" priority="2862">
      <formula>E156="A"</formula>
    </cfRule>
    <cfRule type="expression" priority="2863">
      <formula>E156=n.a.</formula>
    </cfRule>
  </conditionalFormatting>
  <conditionalFormatting sqref="E156">
    <cfRule type="containsText" dxfId="1636" priority="2854" operator="containsText" text="2nd">
      <formula>NOT(ISERROR(SEARCH("2nd",E156)))</formula>
    </cfRule>
    <cfRule type="containsText" dxfId="1635" priority="2855" operator="containsText" text="#">
      <formula>NOT(ISERROR(SEARCH("#",E156)))</formula>
    </cfRule>
    <cfRule type="containsText" dxfId="1634" priority="2856" operator="containsText" text="A">
      <formula>NOT(ISERROR(SEARCH("A",E156)))</formula>
    </cfRule>
    <cfRule type="containsText" dxfId="1633" priority="2857" operator="containsText" text="C">
      <formula>NOT(ISERROR(SEARCH("C",E156)))</formula>
    </cfRule>
    <cfRule type="containsText" dxfId="1632" priority="2858" operator="containsText" text="B">
      <formula>NOT(ISERROR(SEARCH("B",E156)))</formula>
    </cfRule>
  </conditionalFormatting>
  <conditionalFormatting sqref="F156:K156">
    <cfRule type="expression" dxfId="1631" priority="2853">
      <formula>E156="2nd"</formula>
    </cfRule>
  </conditionalFormatting>
  <conditionalFormatting sqref="F157">
    <cfRule type="expression" dxfId="1630" priority="2848">
      <formula>E157="#"</formula>
    </cfRule>
    <cfRule type="expression" dxfId="1629" priority="2849">
      <formula>E157="B"</formula>
    </cfRule>
    <cfRule type="expression" dxfId="1628" priority="2850">
      <formula>E157="C"</formula>
    </cfRule>
    <cfRule type="expression" priority="2851">
      <formula>E157="A"</formula>
    </cfRule>
    <cfRule type="expression" priority="2852">
      <formula>E157=n.a.</formula>
    </cfRule>
  </conditionalFormatting>
  <conditionalFormatting sqref="E157">
    <cfRule type="containsText" dxfId="1627" priority="2843" operator="containsText" text="2nd">
      <formula>NOT(ISERROR(SEARCH("2nd",E157)))</formula>
    </cfRule>
    <cfRule type="containsText" dxfId="1626" priority="2844" operator="containsText" text="#">
      <formula>NOT(ISERROR(SEARCH("#",E157)))</formula>
    </cfRule>
    <cfRule type="containsText" dxfId="1625" priority="2845" operator="containsText" text="A">
      <formula>NOT(ISERROR(SEARCH("A",E157)))</formula>
    </cfRule>
    <cfRule type="containsText" dxfId="1624" priority="2846" operator="containsText" text="C">
      <formula>NOT(ISERROR(SEARCH("C",E157)))</formula>
    </cfRule>
    <cfRule type="containsText" dxfId="1623" priority="2847" operator="containsText" text="B">
      <formula>NOT(ISERROR(SEARCH("B",E157)))</formula>
    </cfRule>
  </conditionalFormatting>
  <conditionalFormatting sqref="F157:K157">
    <cfRule type="expression" dxfId="1622" priority="2842">
      <formula>E157="2nd"</formula>
    </cfRule>
  </conditionalFormatting>
  <conditionalFormatting sqref="F158">
    <cfRule type="expression" dxfId="1621" priority="2837">
      <formula>E158="#"</formula>
    </cfRule>
    <cfRule type="expression" dxfId="1620" priority="2838">
      <formula>E158="B"</formula>
    </cfRule>
    <cfRule type="expression" dxfId="1619" priority="2839">
      <formula>E158="C"</formula>
    </cfRule>
    <cfRule type="expression" priority="2840">
      <formula>E158="A"</formula>
    </cfRule>
    <cfRule type="expression" priority="2841">
      <formula>E158=n.a.</formula>
    </cfRule>
  </conditionalFormatting>
  <conditionalFormatting sqref="E158">
    <cfRule type="containsText" dxfId="1618" priority="2832" operator="containsText" text="2nd">
      <formula>NOT(ISERROR(SEARCH("2nd",E158)))</formula>
    </cfRule>
    <cfRule type="containsText" dxfId="1617" priority="2833" operator="containsText" text="#">
      <formula>NOT(ISERROR(SEARCH("#",E158)))</formula>
    </cfRule>
    <cfRule type="containsText" dxfId="1616" priority="2834" operator="containsText" text="A">
      <formula>NOT(ISERROR(SEARCH("A",E158)))</formula>
    </cfRule>
    <cfRule type="containsText" dxfId="1615" priority="2835" operator="containsText" text="C">
      <formula>NOT(ISERROR(SEARCH("C",E158)))</formula>
    </cfRule>
    <cfRule type="containsText" dxfId="1614" priority="2836" operator="containsText" text="B">
      <formula>NOT(ISERROR(SEARCH("B",E158)))</formula>
    </cfRule>
  </conditionalFormatting>
  <conditionalFormatting sqref="F158:K158">
    <cfRule type="expression" dxfId="1613" priority="2831">
      <formula>E158="2nd"</formula>
    </cfRule>
  </conditionalFormatting>
  <conditionalFormatting sqref="F159">
    <cfRule type="expression" dxfId="1612" priority="2826">
      <formula>E159="#"</formula>
    </cfRule>
    <cfRule type="expression" dxfId="1611" priority="2827">
      <formula>E159="B"</formula>
    </cfRule>
    <cfRule type="expression" dxfId="1610" priority="2828">
      <formula>E159="C"</formula>
    </cfRule>
    <cfRule type="expression" priority="2829">
      <formula>E159="A"</formula>
    </cfRule>
    <cfRule type="expression" priority="2830">
      <formula>E159=n.a.</formula>
    </cfRule>
  </conditionalFormatting>
  <conditionalFormatting sqref="E159">
    <cfRule type="containsText" dxfId="1609" priority="2821" operator="containsText" text="2nd">
      <formula>NOT(ISERROR(SEARCH("2nd",E159)))</formula>
    </cfRule>
    <cfRule type="containsText" dxfId="1608" priority="2822" operator="containsText" text="#">
      <formula>NOT(ISERROR(SEARCH("#",E159)))</formula>
    </cfRule>
    <cfRule type="containsText" dxfId="1607" priority="2823" operator="containsText" text="A">
      <formula>NOT(ISERROR(SEARCH("A",E159)))</formula>
    </cfRule>
    <cfRule type="containsText" dxfId="1606" priority="2824" operator="containsText" text="C">
      <formula>NOT(ISERROR(SEARCH("C",E159)))</formula>
    </cfRule>
    <cfRule type="containsText" dxfId="1605" priority="2825" operator="containsText" text="B">
      <formula>NOT(ISERROR(SEARCH("B",E159)))</formula>
    </cfRule>
  </conditionalFormatting>
  <conditionalFormatting sqref="F159:K159">
    <cfRule type="expression" dxfId="1604" priority="2820">
      <formula>E159="2nd"</formula>
    </cfRule>
  </conditionalFormatting>
  <conditionalFormatting sqref="F160">
    <cfRule type="expression" dxfId="1603" priority="2815">
      <formula>E160="#"</formula>
    </cfRule>
    <cfRule type="expression" dxfId="1602" priority="2816">
      <formula>E160="B"</formula>
    </cfRule>
    <cfRule type="expression" dxfId="1601" priority="2817">
      <formula>E160="C"</formula>
    </cfRule>
    <cfRule type="expression" priority="2818">
      <formula>E160="A"</formula>
    </cfRule>
    <cfRule type="expression" priority="2819">
      <formula>E160=n.a.</formula>
    </cfRule>
  </conditionalFormatting>
  <conditionalFormatting sqref="E160">
    <cfRule type="containsText" dxfId="1600" priority="2810" operator="containsText" text="2nd">
      <formula>NOT(ISERROR(SEARCH("2nd",E160)))</formula>
    </cfRule>
    <cfRule type="containsText" dxfId="1599" priority="2811" operator="containsText" text="#">
      <formula>NOT(ISERROR(SEARCH("#",E160)))</formula>
    </cfRule>
    <cfRule type="containsText" dxfId="1598" priority="2812" operator="containsText" text="A">
      <formula>NOT(ISERROR(SEARCH("A",E160)))</formula>
    </cfRule>
    <cfRule type="containsText" dxfId="1597" priority="2813" operator="containsText" text="C">
      <formula>NOT(ISERROR(SEARCH("C",E160)))</formula>
    </cfRule>
    <cfRule type="containsText" dxfId="1596" priority="2814" operator="containsText" text="B">
      <formula>NOT(ISERROR(SEARCH("B",E160)))</formula>
    </cfRule>
  </conditionalFormatting>
  <conditionalFormatting sqref="F160:K160">
    <cfRule type="expression" dxfId="1595" priority="2809">
      <formula>E160="2nd"</formula>
    </cfRule>
  </conditionalFormatting>
  <conditionalFormatting sqref="F161">
    <cfRule type="expression" dxfId="1594" priority="2804">
      <formula>E161="#"</formula>
    </cfRule>
    <cfRule type="expression" dxfId="1593" priority="2805">
      <formula>E161="B"</formula>
    </cfRule>
    <cfRule type="expression" dxfId="1592" priority="2806">
      <formula>E161="C"</formula>
    </cfRule>
    <cfRule type="expression" priority="2807">
      <formula>E161="A"</formula>
    </cfRule>
    <cfRule type="expression" priority="2808">
      <formula>E161=n.a.</formula>
    </cfRule>
  </conditionalFormatting>
  <conditionalFormatting sqref="E161">
    <cfRule type="containsText" dxfId="1591" priority="2799" operator="containsText" text="2nd">
      <formula>NOT(ISERROR(SEARCH("2nd",E161)))</formula>
    </cfRule>
    <cfRule type="containsText" dxfId="1590" priority="2800" operator="containsText" text="#">
      <formula>NOT(ISERROR(SEARCH("#",E161)))</formula>
    </cfRule>
    <cfRule type="containsText" dxfId="1589" priority="2801" operator="containsText" text="A">
      <formula>NOT(ISERROR(SEARCH("A",E161)))</formula>
    </cfRule>
    <cfRule type="containsText" dxfId="1588" priority="2802" operator="containsText" text="C">
      <formula>NOT(ISERROR(SEARCH("C",E161)))</formula>
    </cfRule>
    <cfRule type="containsText" dxfId="1587" priority="2803" operator="containsText" text="B">
      <formula>NOT(ISERROR(SEARCH("B",E161)))</formula>
    </cfRule>
  </conditionalFormatting>
  <conditionalFormatting sqref="F161:K161">
    <cfRule type="expression" dxfId="1586" priority="2798">
      <formula>E161="2nd"</formula>
    </cfRule>
  </conditionalFormatting>
  <conditionalFormatting sqref="F162:F163 F165:F166">
    <cfRule type="expression" dxfId="1585" priority="2793">
      <formula>E162="#"</formula>
    </cfRule>
    <cfRule type="expression" dxfId="1584" priority="2794">
      <formula>E162="B"</formula>
    </cfRule>
    <cfRule type="expression" dxfId="1583" priority="2795">
      <formula>E162="C"</formula>
    </cfRule>
    <cfRule type="expression" priority="2796">
      <formula>E162="A"</formula>
    </cfRule>
    <cfRule type="expression" priority="2797">
      <formula>E162=n.a.</formula>
    </cfRule>
  </conditionalFormatting>
  <conditionalFormatting sqref="E162">
    <cfRule type="containsText" dxfId="1582" priority="2788" operator="containsText" text="2nd">
      <formula>NOT(ISERROR(SEARCH("2nd",E162)))</formula>
    </cfRule>
    <cfRule type="containsText" dxfId="1581" priority="2789" operator="containsText" text="#">
      <formula>NOT(ISERROR(SEARCH("#",E162)))</formula>
    </cfRule>
    <cfRule type="containsText" dxfId="1580" priority="2790" operator="containsText" text="A">
      <formula>NOT(ISERROR(SEARCH("A",E162)))</formula>
    </cfRule>
    <cfRule type="containsText" dxfId="1579" priority="2791" operator="containsText" text="C">
      <formula>NOT(ISERROR(SEARCH("C",E162)))</formula>
    </cfRule>
    <cfRule type="containsText" dxfId="1578" priority="2792" operator="containsText" text="B">
      <formula>NOT(ISERROR(SEARCH("B",E162)))</formula>
    </cfRule>
  </conditionalFormatting>
  <conditionalFormatting sqref="F162:K163 F165:K166">
    <cfRule type="expression" dxfId="1577" priority="2787">
      <formula>E162="2nd"</formula>
    </cfRule>
  </conditionalFormatting>
  <conditionalFormatting sqref="E163">
    <cfRule type="containsText" dxfId="1576" priority="2777" operator="containsText" text="2nd">
      <formula>NOT(ISERROR(SEARCH("2nd",E163)))</formula>
    </cfRule>
    <cfRule type="containsText" dxfId="1575" priority="2778" operator="containsText" text="#">
      <formula>NOT(ISERROR(SEARCH("#",E163)))</formula>
    </cfRule>
    <cfRule type="containsText" dxfId="1574" priority="2779" operator="containsText" text="A">
      <formula>NOT(ISERROR(SEARCH("A",E163)))</formula>
    </cfRule>
    <cfRule type="containsText" dxfId="1573" priority="2780" operator="containsText" text="C">
      <formula>NOT(ISERROR(SEARCH("C",E163)))</formula>
    </cfRule>
    <cfRule type="containsText" dxfId="1572" priority="2781" operator="containsText" text="B">
      <formula>NOT(ISERROR(SEARCH("B",E163)))</formula>
    </cfRule>
  </conditionalFormatting>
  <conditionalFormatting sqref="E166">
    <cfRule type="containsText" dxfId="1571" priority="2755" operator="containsText" text="2nd">
      <formula>NOT(ISERROR(SEARCH("2nd",E166)))</formula>
    </cfRule>
    <cfRule type="containsText" dxfId="1570" priority="2756" operator="containsText" text="#">
      <formula>NOT(ISERROR(SEARCH("#",E166)))</formula>
    </cfRule>
    <cfRule type="containsText" dxfId="1569" priority="2757" operator="containsText" text="A">
      <formula>NOT(ISERROR(SEARCH("A",E166)))</formula>
    </cfRule>
    <cfRule type="containsText" dxfId="1568" priority="2758" operator="containsText" text="C">
      <formula>NOT(ISERROR(SEARCH("C",E166)))</formula>
    </cfRule>
    <cfRule type="containsText" dxfId="1567" priority="2759" operator="containsText" text="B">
      <formula>NOT(ISERROR(SEARCH("B",E166)))</formula>
    </cfRule>
  </conditionalFormatting>
  <conditionalFormatting sqref="E169">
    <cfRule type="containsText" dxfId="1566" priority="2733" operator="containsText" text="2nd">
      <formula>NOT(ISERROR(SEARCH("2nd",E169)))</formula>
    </cfRule>
    <cfRule type="containsText" dxfId="1565" priority="2734" operator="containsText" text="#">
      <formula>NOT(ISERROR(SEARCH("#",E169)))</formula>
    </cfRule>
    <cfRule type="containsText" dxfId="1564" priority="2735" operator="containsText" text="A">
      <formula>NOT(ISERROR(SEARCH("A",E169)))</formula>
    </cfRule>
    <cfRule type="containsText" dxfId="1563" priority="2736" operator="containsText" text="C">
      <formula>NOT(ISERROR(SEARCH("C",E169)))</formula>
    </cfRule>
    <cfRule type="containsText" dxfId="1562" priority="2737" operator="containsText" text="B">
      <formula>NOT(ISERROR(SEARCH("B",E169)))</formula>
    </cfRule>
  </conditionalFormatting>
  <conditionalFormatting sqref="E170">
    <cfRule type="containsText" dxfId="1561" priority="2722" operator="containsText" text="2nd">
      <formula>NOT(ISERROR(SEARCH("2nd",E170)))</formula>
    </cfRule>
    <cfRule type="containsText" dxfId="1560" priority="2723" operator="containsText" text="#">
      <formula>NOT(ISERROR(SEARCH("#",E170)))</formula>
    </cfRule>
    <cfRule type="containsText" dxfId="1559" priority="2724" operator="containsText" text="A">
      <formula>NOT(ISERROR(SEARCH("A",E170)))</formula>
    </cfRule>
    <cfRule type="containsText" dxfId="1558" priority="2725" operator="containsText" text="C">
      <formula>NOT(ISERROR(SEARCH("C",E170)))</formula>
    </cfRule>
    <cfRule type="containsText" dxfId="1557" priority="2726" operator="containsText" text="B">
      <formula>NOT(ISERROR(SEARCH("B",E170)))</formula>
    </cfRule>
  </conditionalFormatting>
  <conditionalFormatting sqref="E171">
    <cfRule type="containsText" dxfId="1556" priority="2711" operator="containsText" text="2nd">
      <formula>NOT(ISERROR(SEARCH("2nd",E171)))</formula>
    </cfRule>
    <cfRule type="containsText" dxfId="1555" priority="2712" operator="containsText" text="#">
      <formula>NOT(ISERROR(SEARCH("#",E171)))</formula>
    </cfRule>
    <cfRule type="containsText" dxfId="1554" priority="2713" operator="containsText" text="A">
      <formula>NOT(ISERROR(SEARCH("A",E171)))</formula>
    </cfRule>
    <cfRule type="containsText" dxfId="1553" priority="2714" operator="containsText" text="C">
      <formula>NOT(ISERROR(SEARCH("C",E171)))</formula>
    </cfRule>
    <cfRule type="containsText" dxfId="1552" priority="2715" operator="containsText" text="B">
      <formula>NOT(ISERROR(SEARCH("B",E171)))</formula>
    </cfRule>
  </conditionalFormatting>
  <conditionalFormatting sqref="E172">
    <cfRule type="containsText" dxfId="1551" priority="2700" operator="containsText" text="2nd">
      <formula>NOT(ISERROR(SEARCH("2nd",E172)))</formula>
    </cfRule>
    <cfRule type="containsText" dxfId="1550" priority="2701" operator="containsText" text="#">
      <formula>NOT(ISERROR(SEARCH("#",E172)))</formula>
    </cfRule>
    <cfRule type="containsText" dxfId="1549" priority="2702" operator="containsText" text="A">
      <formula>NOT(ISERROR(SEARCH("A",E172)))</formula>
    </cfRule>
    <cfRule type="containsText" dxfId="1548" priority="2703" operator="containsText" text="C">
      <formula>NOT(ISERROR(SEARCH("C",E172)))</formula>
    </cfRule>
    <cfRule type="containsText" dxfId="1547" priority="2704" operator="containsText" text="B">
      <formula>NOT(ISERROR(SEARCH("B",E172)))</formula>
    </cfRule>
  </conditionalFormatting>
  <conditionalFormatting sqref="F168:F173">
    <cfRule type="expression" dxfId="1546" priority="2694">
      <formula>E168="#"</formula>
    </cfRule>
    <cfRule type="expression" dxfId="1545" priority="2695">
      <formula>E168="B"</formula>
    </cfRule>
    <cfRule type="expression" dxfId="1544" priority="2696">
      <formula>E168="C"</formula>
    </cfRule>
    <cfRule type="expression" priority="2697">
      <formula>E168="A"</formula>
    </cfRule>
    <cfRule type="expression" priority="2698">
      <formula>E168=n.a.</formula>
    </cfRule>
  </conditionalFormatting>
  <conditionalFormatting sqref="E173">
    <cfRule type="containsText" dxfId="1543" priority="2689" operator="containsText" text="2nd">
      <formula>NOT(ISERROR(SEARCH("2nd",E173)))</formula>
    </cfRule>
    <cfRule type="containsText" dxfId="1542" priority="2690" operator="containsText" text="#">
      <formula>NOT(ISERROR(SEARCH("#",E173)))</formula>
    </cfRule>
    <cfRule type="containsText" dxfId="1541" priority="2691" operator="containsText" text="A">
      <formula>NOT(ISERROR(SEARCH("A",E173)))</formula>
    </cfRule>
    <cfRule type="containsText" dxfId="1540" priority="2692" operator="containsText" text="C">
      <formula>NOT(ISERROR(SEARCH("C",E173)))</formula>
    </cfRule>
    <cfRule type="containsText" dxfId="1539" priority="2693" operator="containsText" text="B">
      <formula>NOT(ISERROR(SEARCH("B",E173)))</formula>
    </cfRule>
  </conditionalFormatting>
  <conditionalFormatting sqref="F168:K173">
    <cfRule type="expression" dxfId="1538" priority="2688">
      <formula>E168="2nd"</formula>
    </cfRule>
  </conditionalFormatting>
  <conditionalFormatting sqref="F174">
    <cfRule type="expression" dxfId="1537" priority="2683">
      <formula>E174="#"</formula>
    </cfRule>
    <cfRule type="expression" dxfId="1536" priority="2684">
      <formula>E174="B"</formula>
    </cfRule>
    <cfRule type="expression" dxfId="1535" priority="2685">
      <formula>E174="C"</formula>
    </cfRule>
    <cfRule type="expression" priority="2686">
      <formula>E174="A"</formula>
    </cfRule>
    <cfRule type="expression" priority="2687">
      <formula>E174=n.a.</formula>
    </cfRule>
  </conditionalFormatting>
  <conditionalFormatting sqref="F174:K174">
    <cfRule type="expression" dxfId="1534" priority="2677">
      <formula>E174="2nd"</formula>
    </cfRule>
  </conditionalFormatting>
  <conditionalFormatting sqref="F188">
    <cfRule type="expression" dxfId="1533" priority="2672">
      <formula>E188="#"</formula>
    </cfRule>
    <cfRule type="expression" dxfId="1532" priority="2673">
      <formula>E188="B"</formula>
    </cfRule>
    <cfRule type="expression" dxfId="1531" priority="2674">
      <formula>E188="C"</formula>
    </cfRule>
    <cfRule type="expression" priority="2675">
      <formula>E188="A"</formula>
    </cfRule>
    <cfRule type="expression" priority="2676">
      <formula>E188=n.a.</formula>
    </cfRule>
  </conditionalFormatting>
  <conditionalFormatting sqref="E188">
    <cfRule type="containsText" dxfId="1530" priority="2667" operator="containsText" text="2nd">
      <formula>NOT(ISERROR(SEARCH("2nd",E188)))</formula>
    </cfRule>
    <cfRule type="containsText" dxfId="1529" priority="2668" operator="containsText" text="#">
      <formula>NOT(ISERROR(SEARCH("#",E188)))</formula>
    </cfRule>
    <cfRule type="containsText" dxfId="1528" priority="2669" operator="containsText" text="A">
      <formula>NOT(ISERROR(SEARCH("A",E188)))</formula>
    </cfRule>
    <cfRule type="containsText" dxfId="1527" priority="2670" operator="containsText" text="C">
      <formula>NOT(ISERROR(SEARCH("C",E188)))</formula>
    </cfRule>
    <cfRule type="containsText" dxfId="1526" priority="2671" operator="containsText" text="B">
      <formula>NOT(ISERROR(SEARCH("B",E188)))</formula>
    </cfRule>
  </conditionalFormatting>
  <conditionalFormatting sqref="F188:K188">
    <cfRule type="expression" dxfId="1525" priority="2666">
      <formula>E188="2nd"</formula>
    </cfRule>
  </conditionalFormatting>
  <conditionalFormatting sqref="F189">
    <cfRule type="expression" dxfId="1524" priority="2661">
      <formula>E189="#"</formula>
    </cfRule>
    <cfRule type="expression" dxfId="1523" priority="2662">
      <formula>E189="B"</formula>
    </cfRule>
    <cfRule type="expression" dxfId="1522" priority="2663">
      <formula>E189="C"</formula>
    </cfRule>
    <cfRule type="expression" priority="2664">
      <formula>E189="A"</formula>
    </cfRule>
    <cfRule type="expression" priority="2665">
      <formula>E189=n.a.</formula>
    </cfRule>
  </conditionalFormatting>
  <conditionalFormatting sqref="E189">
    <cfRule type="containsText" dxfId="1521" priority="2656" operator="containsText" text="2nd">
      <formula>NOT(ISERROR(SEARCH("2nd",E189)))</formula>
    </cfRule>
    <cfRule type="containsText" dxfId="1520" priority="2657" operator="containsText" text="#">
      <formula>NOT(ISERROR(SEARCH("#",E189)))</formula>
    </cfRule>
    <cfRule type="containsText" dxfId="1519" priority="2658" operator="containsText" text="A">
      <formula>NOT(ISERROR(SEARCH("A",E189)))</formula>
    </cfRule>
    <cfRule type="containsText" dxfId="1518" priority="2659" operator="containsText" text="C">
      <formula>NOT(ISERROR(SEARCH("C",E189)))</formula>
    </cfRule>
    <cfRule type="containsText" dxfId="1517" priority="2660" operator="containsText" text="B">
      <formula>NOT(ISERROR(SEARCH("B",E189)))</formula>
    </cfRule>
  </conditionalFormatting>
  <conditionalFormatting sqref="F189:K189">
    <cfRule type="expression" dxfId="1516" priority="2655">
      <formula>E189="2nd"</formula>
    </cfRule>
  </conditionalFormatting>
  <conditionalFormatting sqref="F190">
    <cfRule type="expression" dxfId="1515" priority="2650">
      <formula>E190="#"</formula>
    </cfRule>
    <cfRule type="expression" dxfId="1514" priority="2651">
      <formula>E190="B"</formula>
    </cfRule>
    <cfRule type="expression" dxfId="1513" priority="2652">
      <formula>E190="C"</formula>
    </cfRule>
    <cfRule type="expression" priority="2653">
      <formula>E190="A"</formula>
    </cfRule>
    <cfRule type="expression" priority="2654">
      <formula>E190=n.a.</formula>
    </cfRule>
  </conditionalFormatting>
  <conditionalFormatting sqref="E190">
    <cfRule type="containsText" dxfId="1512" priority="2645" operator="containsText" text="2nd">
      <formula>NOT(ISERROR(SEARCH("2nd",E190)))</formula>
    </cfRule>
    <cfRule type="containsText" dxfId="1511" priority="2646" operator="containsText" text="#">
      <formula>NOT(ISERROR(SEARCH("#",E190)))</formula>
    </cfRule>
    <cfRule type="containsText" dxfId="1510" priority="2647" operator="containsText" text="A">
      <formula>NOT(ISERROR(SEARCH("A",E190)))</formula>
    </cfRule>
    <cfRule type="containsText" dxfId="1509" priority="2648" operator="containsText" text="C">
      <formula>NOT(ISERROR(SEARCH("C",E190)))</formula>
    </cfRule>
    <cfRule type="containsText" dxfId="1508" priority="2649" operator="containsText" text="B">
      <formula>NOT(ISERROR(SEARCH("B",E190)))</formula>
    </cfRule>
  </conditionalFormatting>
  <conditionalFormatting sqref="F190:K190">
    <cfRule type="expression" dxfId="1507" priority="2644">
      <formula>E190="2nd"</formula>
    </cfRule>
  </conditionalFormatting>
  <conditionalFormatting sqref="F191">
    <cfRule type="expression" dxfId="1506" priority="2639">
      <formula>E191="#"</formula>
    </cfRule>
    <cfRule type="expression" dxfId="1505" priority="2640">
      <formula>E191="B"</formula>
    </cfRule>
    <cfRule type="expression" dxfId="1504" priority="2641">
      <formula>E191="C"</formula>
    </cfRule>
    <cfRule type="expression" priority="2642">
      <formula>E191="A"</formula>
    </cfRule>
    <cfRule type="expression" priority="2643">
      <formula>E191=n.a.</formula>
    </cfRule>
  </conditionalFormatting>
  <conditionalFormatting sqref="E191">
    <cfRule type="containsText" dxfId="1503" priority="2634" operator="containsText" text="2nd">
      <formula>NOT(ISERROR(SEARCH("2nd",E191)))</formula>
    </cfRule>
    <cfRule type="containsText" dxfId="1502" priority="2635" operator="containsText" text="#">
      <formula>NOT(ISERROR(SEARCH("#",E191)))</formula>
    </cfRule>
    <cfRule type="containsText" dxfId="1501" priority="2636" operator="containsText" text="A">
      <formula>NOT(ISERROR(SEARCH("A",E191)))</formula>
    </cfRule>
    <cfRule type="containsText" dxfId="1500" priority="2637" operator="containsText" text="C">
      <formula>NOT(ISERROR(SEARCH("C",E191)))</formula>
    </cfRule>
    <cfRule type="containsText" dxfId="1499" priority="2638" operator="containsText" text="B">
      <formula>NOT(ISERROR(SEARCH("B",E191)))</formula>
    </cfRule>
  </conditionalFormatting>
  <conditionalFormatting sqref="F191:K191">
    <cfRule type="expression" dxfId="1498" priority="2633">
      <formula>E191="2nd"</formula>
    </cfRule>
  </conditionalFormatting>
  <conditionalFormatting sqref="F192">
    <cfRule type="expression" dxfId="1497" priority="2628">
      <formula>E192="#"</formula>
    </cfRule>
    <cfRule type="expression" dxfId="1496" priority="2629">
      <formula>E192="B"</formula>
    </cfRule>
    <cfRule type="expression" dxfId="1495" priority="2630">
      <formula>E192="C"</formula>
    </cfRule>
    <cfRule type="expression" priority="2631">
      <formula>E192="A"</formula>
    </cfRule>
    <cfRule type="expression" priority="2632">
      <formula>E192=n.a.</formula>
    </cfRule>
  </conditionalFormatting>
  <conditionalFormatting sqref="E192">
    <cfRule type="containsText" dxfId="1494" priority="2623" operator="containsText" text="2nd">
      <formula>NOT(ISERROR(SEARCH("2nd",E192)))</formula>
    </cfRule>
    <cfRule type="containsText" dxfId="1493" priority="2624" operator="containsText" text="#">
      <formula>NOT(ISERROR(SEARCH("#",E192)))</formula>
    </cfRule>
    <cfRule type="containsText" dxfId="1492" priority="2625" operator="containsText" text="A">
      <formula>NOT(ISERROR(SEARCH("A",E192)))</formula>
    </cfRule>
    <cfRule type="containsText" dxfId="1491" priority="2626" operator="containsText" text="C">
      <formula>NOT(ISERROR(SEARCH("C",E192)))</formula>
    </cfRule>
    <cfRule type="containsText" dxfId="1490" priority="2627" operator="containsText" text="B">
      <formula>NOT(ISERROR(SEARCH("B",E192)))</formula>
    </cfRule>
  </conditionalFormatting>
  <conditionalFormatting sqref="F192:K192">
    <cfRule type="expression" dxfId="1489" priority="2622">
      <formula>E192="2nd"</formula>
    </cfRule>
  </conditionalFormatting>
  <conditionalFormatting sqref="F194">
    <cfRule type="expression" dxfId="1488" priority="2617">
      <formula>E194="#"</formula>
    </cfRule>
    <cfRule type="expression" dxfId="1487" priority="2618">
      <formula>E194="B"</formula>
    </cfRule>
    <cfRule type="expression" dxfId="1486" priority="2619">
      <formula>E194="C"</formula>
    </cfRule>
    <cfRule type="expression" priority="2620">
      <formula>E194="A"</formula>
    </cfRule>
    <cfRule type="expression" priority="2621">
      <formula>E194=n.a.</formula>
    </cfRule>
  </conditionalFormatting>
  <conditionalFormatting sqref="E194">
    <cfRule type="containsText" dxfId="1485" priority="2612" operator="containsText" text="2nd">
      <formula>NOT(ISERROR(SEARCH("2nd",E194)))</formula>
    </cfRule>
    <cfRule type="containsText" dxfId="1484" priority="2613" operator="containsText" text="#">
      <formula>NOT(ISERROR(SEARCH("#",E194)))</formula>
    </cfRule>
    <cfRule type="containsText" dxfId="1483" priority="2614" operator="containsText" text="A">
      <formula>NOT(ISERROR(SEARCH("A",E194)))</formula>
    </cfRule>
    <cfRule type="containsText" dxfId="1482" priority="2615" operator="containsText" text="C">
      <formula>NOT(ISERROR(SEARCH("C",E194)))</formula>
    </cfRule>
    <cfRule type="containsText" dxfId="1481" priority="2616" operator="containsText" text="B">
      <formula>NOT(ISERROR(SEARCH("B",E194)))</formula>
    </cfRule>
  </conditionalFormatting>
  <conditionalFormatting sqref="F194:K194">
    <cfRule type="expression" dxfId="1480" priority="2611">
      <formula>E194="2nd"</formula>
    </cfRule>
  </conditionalFormatting>
  <conditionalFormatting sqref="F195">
    <cfRule type="expression" dxfId="1479" priority="2606">
      <formula>E195="#"</formula>
    </cfRule>
    <cfRule type="expression" dxfId="1478" priority="2607">
      <formula>E195="B"</formula>
    </cfRule>
    <cfRule type="expression" dxfId="1477" priority="2608">
      <formula>E195="C"</formula>
    </cfRule>
    <cfRule type="expression" priority="2609">
      <formula>E195="A"</formula>
    </cfRule>
    <cfRule type="expression" priority="2610">
      <formula>E195=n.a.</formula>
    </cfRule>
  </conditionalFormatting>
  <conditionalFormatting sqref="E195">
    <cfRule type="containsText" dxfId="1476" priority="2601" operator="containsText" text="2nd">
      <formula>NOT(ISERROR(SEARCH("2nd",E195)))</formula>
    </cfRule>
    <cfRule type="containsText" dxfId="1475" priority="2602" operator="containsText" text="#">
      <formula>NOT(ISERROR(SEARCH("#",E195)))</formula>
    </cfRule>
    <cfRule type="containsText" dxfId="1474" priority="2603" operator="containsText" text="A">
      <formula>NOT(ISERROR(SEARCH("A",E195)))</formula>
    </cfRule>
    <cfRule type="containsText" dxfId="1473" priority="2604" operator="containsText" text="C">
      <formula>NOT(ISERROR(SEARCH("C",E195)))</formula>
    </cfRule>
    <cfRule type="containsText" dxfId="1472" priority="2605" operator="containsText" text="B">
      <formula>NOT(ISERROR(SEARCH("B",E195)))</formula>
    </cfRule>
  </conditionalFormatting>
  <conditionalFormatting sqref="F195:K195">
    <cfRule type="expression" dxfId="1471" priority="2600">
      <formula>E195="2nd"</formula>
    </cfRule>
  </conditionalFormatting>
  <conditionalFormatting sqref="F196">
    <cfRule type="expression" dxfId="1470" priority="2595">
      <formula>E196="#"</formula>
    </cfRule>
    <cfRule type="expression" dxfId="1469" priority="2596">
      <formula>E196="B"</formula>
    </cfRule>
    <cfRule type="expression" dxfId="1468" priority="2597">
      <formula>E196="C"</formula>
    </cfRule>
    <cfRule type="expression" priority="2598">
      <formula>E196="A"</formula>
    </cfRule>
    <cfRule type="expression" priority="2599">
      <formula>E196=n.a.</formula>
    </cfRule>
  </conditionalFormatting>
  <conditionalFormatting sqref="E196">
    <cfRule type="containsText" dxfId="1467" priority="2590" operator="containsText" text="2nd">
      <formula>NOT(ISERROR(SEARCH("2nd",E196)))</formula>
    </cfRule>
    <cfRule type="containsText" dxfId="1466" priority="2591" operator="containsText" text="#">
      <formula>NOT(ISERROR(SEARCH("#",E196)))</formula>
    </cfRule>
    <cfRule type="containsText" dxfId="1465" priority="2592" operator="containsText" text="A">
      <formula>NOT(ISERROR(SEARCH("A",E196)))</formula>
    </cfRule>
    <cfRule type="containsText" dxfId="1464" priority="2593" operator="containsText" text="C">
      <formula>NOT(ISERROR(SEARCH("C",E196)))</formula>
    </cfRule>
    <cfRule type="containsText" dxfId="1463" priority="2594" operator="containsText" text="B">
      <formula>NOT(ISERROR(SEARCH("B",E196)))</formula>
    </cfRule>
  </conditionalFormatting>
  <conditionalFormatting sqref="F196:K196">
    <cfRule type="expression" dxfId="1462" priority="2589">
      <formula>E196="2nd"</formula>
    </cfRule>
  </conditionalFormatting>
  <conditionalFormatting sqref="F197">
    <cfRule type="expression" dxfId="1461" priority="2584">
      <formula>E197="#"</formula>
    </cfRule>
    <cfRule type="expression" dxfId="1460" priority="2585">
      <formula>E197="B"</formula>
    </cfRule>
    <cfRule type="expression" dxfId="1459" priority="2586">
      <formula>E197="C"</formula>
    </cfRule>
    <cfRule type="expression" priority="2587">
      <formula>E197="A"</formula>
    </cfRule>
    <cfRule type="expression" priority="2588">
      <formula>E197=n.a.</formula>
    </cfRule>
  </conditionalFormatting>
  <conditionalFormatting sqref="E197">
    <cfRule type="containsText" dxfId="1458" priority="2579" operator="containsText" text="2nd">
      <formula>NOT(ISERROR(SEARCH("2nd",E197)))</formula>
    </cfRule>
    <cfRule type="containsText" dxfId="1457" priority="2580" operator="containsText" text="#">
      <formula>NOT(ISERROR(SEARCH("#",E197)))</formula>
    </cfRule>
    <cfRule type="containsText" dxfId="1456" priority="2581" operator="containsText" text="A">
      <formula>NOT(ISERROR(SEARCH("A",E197)))</formula>
    </cfRule>
    <cfRule type="containsText" dxfId="1455" priority="2582" operator="containsText" text="C">
      <formula>NOT(ISERROR(SEARCH("C",E197)))</formula>
    </cfRule>
    <cfRule type="containsText" dxfId="1454" priority="2583" operator="containsText" text="B">
      <formula>NOT(ISERROR(SEARCH("B",E197)))</formula>
    </cfRule>
  </conditionalFormatting>
  <conditionalFormatting sqref="F197:K197">
    <cfRule type="expression" dxfId="1453" priority="2578">
      <formula>E197="2nd"</formula>
    </cfRule>
  </conditionalFormatting>
  <conditionalFormatting sqref="F198">
    <cfRule type="expression" dxfId="1452" priority="2573">
      <formula>E198="#"</formula>
    </cfRule>
    <cfRule type="expression" dxfId="1451" priority="2574">
      <formula>E198="B"</formula>
    </cfRule>
    <cfRule type="expression" dxfId="1450" priority="2575">
      <formula>E198="C"</formula>
    </cfRule>
    <cfRule type="expression" priority="2576">
      <formula>E198="A"</formula>
    </cfRule>
    <cfRule type="expression" priority="2577">
      <formula>E198=n.a.</formula>
    </cfRule>
  </conditionalFormatting>
  <conditionalFormatting sqref="E198">
    <cfRule type="containsText" dxfId="1449" priority="2568" operator="containsText" text="2nd">
      <formula>NOT(ISERROR(SEARCH("2nd",E198)))</formula>
    </cfRule>
    <cfRule type="containsText" dxfId="1448" priority="2569" operator="containsText" text="#">
      <formula>NOT(ISERROR(SEARCH("#",E198)))</formula>
    </cfRule>
    <cfRule type="containsText" dxfId="1447" priority="2570" operator="containsText" text="A">
      <formula>NOT(ISERROR(SEARCH("A",E198)))</formula>
    </cfRule>
    <cfRule type="containsText" dxfId="1446" priority="2571" operator="containsText" text="C">
      <formula>NOT(ISERROR(SEARCH("C",E198)))</formula>
    </cfRule>
    <cfRule type="containsText" dxfId="1445" priority="2572" operator="containsText" text="B">
      <formula>NOT(ISERROR(SEARCH("B",E198)))</formula>
    </cfRule>
  </conditionalFormatting>
  <conditionalFormatting sqref="F198:K198">
    <cfRule type="expression" dxfId="1444" priority="2567">
      <formula>E198="2nd"</formula>
    </cfRule>
  </conditionalFormatting>
  <conditionalFormatting sqref="F199">
    <cfRule type="expression" dxfId="1443" priority="2562">
      <formula>E199="#"</formula>
    </cfRule>
    <cfRule type="expression" dxfId="1442" priority="2563">
      <formula>E199="B"</formula>
    </cfRule>
    <cfRule type="expression" dxfId="1441" priority="2564">
      <formula>E199="C"</formula>
    </cfRule>
    <cfRule type="expression" priority="2565">
      <formula>E199="A"</formula>
    </cfRule>
    <cfRule type="expression" priority="2566">
      <formula>E199=n.a.</formula>
    </cfRule>
  </conditionalFormatting>
  <conditionalFormatting sqref="E199">
    <cfRule type="containsText" dxfId="1440" priority="2557" operator="containsText" text="2nd">
      <formula>NOT(ISERROR(SEARCH("2nd",E199)))</formula>
    </cfRule>
    <cfRule type="containsText" dxfId="1439" priority="2558" operator="containsText" text="#">
      <formula>NOT(ISERROR(SEARCH("#",E199)))</formula>
    </cfRule>
    <cfRule type="containsText" dxfId="1438" priority="2559" operator="containsText" text="A">
      <formula>NOT(ISERROR(SEARCH("A",E199)))</formula>
    </cfRule>
    <cfRule type="containsText" dxfId="1437" priority="2560" operator="containsText" text="C">
      <formula>NOT(ISERROR(SEARCH("C",E199)))</formula>
    </cfRule>
    <cfRule type="containsText" dxfId="1436" priority="2561" operator="containsText" text="B">
      <formula>NOT(ISERROR(SEARCH("B",E199)))</formula>
    </cfRule>
  </conditionalFormatting>
  <conditionalFormatting sqref="F199:K199">
    <cfRule type="expression" dxfId="1435" priority="2556">
      <formula>E199="2nd"</formula>
    </cfRule>
  </conditionalFormatting>
  <conditionalFormatting sqref="F201">
    <cfRule type="expression" dxfId="1434" priority="2551">
      <formula>E201="#"</formula>
    </cfRule>
    <cfRule type="expression" dxfId="1433" priority="2552">
      <formula>E201="B"</formula>
    </cfRule>
    <cfRule type="expression" dxfId="1432" priority="2553">
      <formula>E201="C"</formula>
    </cfRule>
    <cfRule type="expression" priority="2554">
      <formula>E201="A"</formula>
    </cfRule>
    <cfRule type="expression" priority="2555">
      <formula>E201=n.a.</formula>
    </cfRule>
  </conditionalFormatting>
  <conditionalFormatting sqref="E201">
    <cfRule type="containsText" dxfId="1431" priority="2546" operator="containsText" text="2nd">
      <formula>NOT(ISERROR(SEARCH("2nd",E201)))</formula>
    </cfRule>
    <cfRule type="containsText" dxfId="1430" priority="2547" operator="containsText" text="#">
      <formula>NOT(ISERROR(SEARCH("#",E201)))</formula>
    </cfRule>
    <cfRule type="containsText" dxfId="1429" priority="2548" operator="containsText" text="A">
      <formula>NOT(ISERROR(SEARCH("A",E201)))</formula>
    </cfRule>
    <cfRule type="containsText" dxfId="1428" priority="2549" operator="containsText" text="C">
      <formula>NOT(ISERROR(SEARCH("C",E201)))</formula>
    </cfRule>
    <cfRule type="containsText" dxfId="1427" priority="2550" operator="containsText" text="B">
      <formula>NOT(ISERROR(SEARCH("B",E201)))</formula>
    </cfRule>
  </conditionalFormatting>
  <conditionalFormatting sqref="F201:K201">
    <cfRule type="expression" dxfId="1426" priority="2545">
      <formula>E201="2nd"</formula>
    </cfRule>
  </conditionalFormatting>
  <conditionalFormatting sqref="F202">
    <cfRule type="expression" dxfId="1425" priority="2540">
      <formula>E202="#"</formula>
    </cfRule>
    <cfRule type="expression" dxfId="1424" priority="2541">
      <formula>E202="B"</formula>
    </cfRule>
    <cfRule type="expression" dxfId="1423" priority="2542">
      <formula>E202="C"</formula>
    </cfRule>
    <cfRule type="expression" priority="2543">
      <formula>E202="A"</formula>
    </cfRule>
    <cfRule type="expression" priority="2544">
      <formula>E202=n.a.</formula>
    </cfRule>
  </conditionalFormatting>
  <conditionalFormatting sqref="E202">
    <cfRule type="containsText" dxfId="1422" priority="2535" operator="containsText" text="2nd">
      <formula>NOT(ISERROR(SEARCH("2nd",E202)))</formula>
    </cfRule>
    <cfRule type="containsText" dxfId="1421" priority="2536" operator="containsText" text="#">
      <formula>NOT(ISERROR(SEARCH("#",E202)))</formula>
    </cfRule>
    <cfRule type="containsText" dxfId="1420" priority="2537" operator="containsText" text="A">
      <formula>NOT(ISERROR(SEARCH("A",E202)))</formula>
    </cfRule>
    <cfRule type="containsText" dxfId="1419" priority="2538" operator="containsText" text="C">
      <formula>NOT(ISERROR(SEARCH("C",E202)))</formula>
    </cfRule>
    <cfRule type="containsText" dxfId="1418" priority="2539" operator="containsText" text="B">
      <formula>NOT(ISERROR(SEARCH("B",E202)))</formula>
    </cfRule>
  </conditionalFormatting>
  <conditionalFormatting sqref="F202:K202">
    <cfRule type="expression" dxfId="1417" priority="2534">
      <formula>E202="2nd"</formula>
    </cfRule>
  </conditionalFormatting>
  <conditionalFormatting sqref="F203">
    <cfRule type="expression" dxfId="1416" priority="2529">
      <formula>E203="#"</formula>
    </cfRule>
    <cfRule type="expression" dxfId="1415" priority="2530">
      <formula>E203="B"</formula>
    </cfRule>
    <cfRule type="expression" dxfId="1414" priority="2531">
      <formula>E203="C"</formula>
    </cfRule>
    <cfRule type="expression" priority="2532">
      <formula>E203="A"</formula>
    </cfRule>
    <cfRule type="expression" priority="2533">
      <formula>E203=n.a.</formula>
    </cfRule>
  </conditionalFormatting>
  <conditionalFormatting sqref="E203">
    <cfRule type="containsText" dxfId="1413" priority="2524" operator="containsText" text="2nd">
      <formula>NOT(ISERROR(SEARCH("2nd",E203)))</formula>
    </cfRule>
    <cfRule type="containsText" dxfId="1412" priority="2525" operator="containsText" text="#">
      <formula>NOT(ISERROR(SEARCH("#",E203)))</formula>
    </cfRule>
    <cfRule type="containsText" dxfId="1411" priority="2526" operator="containsText" text="A">
      <formula>NOT(ISERROR(SEARCH("A",E203)))</formula>
    </cfRule>
    <cfRule type="containsText" dxfId="1410" priority="2527" operator="containsText" text="C">
      <formula>NOT(ISERROR(SEARCH("C",E203)))</formula>
    </cfRule>
    <cfRule type="containsText" dxfId="1409" priority="2528" operator="containsText" text="B">
      <formula>NOT(ISERROR(SEARCH("B",E203)))</formula>
    </cfRule>
  </conditionalFormatting>
  <conditionalFormatting sqref="F203:K203">
    <cfRule type="expression" dxfId="1408" priority="2523">
      <formula>E203="2nd"</formula>
    </cfRule>
  </conditionalFormatting>
  <conditionalFormatting sqref="F204">
    <cfRule type="expression" dxfId="1407" priority="2518">
      <formula>E204="#"</formula>
    </cfRule>
    <cfRule type="expression" dxfId="1406" priority="2519">
      <formula>E204="B"</formula>
    </cfRule>
    <cfRule type="expression" dxfId="1405" priority="2520">
      <formula>E204="C"</formula>
    </cfRule>
    <cfRule type="expression" priority="2521">
      <formula>E204="A"</formula>
    </cfRule>
    <cfRule type="expression" priority="2522">
      <formula>E204=n.a.</formula>
    </cfRule>
  </conditionalFormatting>
  <conditionalFormatting sqref="E204">
    <cfRule type="containsText" dxfId="1404" priority="2513" operator="containsText" text="2nd">
      <formula>NOT(ISERROR(SEARCH("2nd",E204)))</formula>
    </cfRule>
    <cfRule type="containsText" dxfId="1403" priority="2514" operator="containsText" text="#">
      <formula>NOT(ISERROR(SEARCH("#",E204)))</formula>
    </cfRule>
    <cfRule type="containsText" dxfId="1402" priority="2515" operator="containsText" text="A">
      <formula>NOT(ISERROR(SEARCH("A",E204)))</formula>
    </cfRule>
    <cfRule type="containsText" dxfId="1401" priority="2516" operator="containsText" text="C">
      <formula>NOT(ISERROR(SEARCH("C",E204)))</formula>
    </cfRule>
    <cfRule type="containsText" dxfId="1400" priority="2517" operator="containsText" text="B">
      <formula>NOT(ISERROR(SEARCH("B",E204)))</formula>
    </cfRule>
  </conditionalFormatting>
  <conditionalFormatting sqref="F204:K204">
    <cfRule type="expression" dxfId="1399" priority="2512">
      <formula>E204="2nd"</formula>
    </cfRule>
  </conditionalFormatting>
  <conditionalFormatting sqref="F205">
    <cfRule type="expression" dxfId="1398" priority="2507">
      <formula>E205="#"</formula>
    </cfRule>
    <cfRule type="expression" dxfId="1397" priority="2508">
      <formula>E205="B"</formula>
    </cfRule>
    <cfRule type="expression" dxfId="1396" priority="2509">
      <formula>E205="C"</formula>
    </cfRule>
    <cfRule type="expression" priority="2510">
      <formula>E205="A"</formula>
    </cfRule>
    <cfRule type="expression" priority="2511">
      <formula>E205=n.a.</formula>
    </cfRule>
  </conditionalFormatting>
  <conditionalFormatting sqref="E205">
    <cfRule type="containsText" dxfId="1395" priority="2502" operator="containsText" text="2nd">
      <formula>NOT(ISERROR(SEARCH("2nd",E205)))</formula>
    </cfRule>
    <cfRule type="containsText" dxfId="1394" priority="2503" operator="containsText" text="#">
      <formula>NOT(ISERROR(SEARCH("#",E205)))</formula>
    </cfRule>
    <cfRule type="containsText" dxfId="1393" priority="2504" operator="containsText" text="A">
      <formula>NOT(ISERROR(SEARCH("A",E205)))</formula>
    </cfRule>
    <cfRule type="containsText" dxfId="1392" priority="2505" operator="containsText" text="C">
      <formula>NOT(ISERROR(SEARCH("C",E205)))</formula>
    </cfRule>
    <cfRule type="containsText" dxfId="1391" priority="2506" operator="containsText" text="B">
      <formula>NOT(ISERROR(SEARCH("B",E205)))</formula>
    </cfRule>
  </conditionalFormatting>
  <conditionalFormatting sqref="F205:K205">
    <cfRule type="expression" dxfId="1390" priority="2501">
      <formula>E205="2nd"</formula>
    </cfRule>
  </conditionalFormatting>
  <conditionalFormatting sqref="F207">
    <cfRule type="expression" dxfId="1389" priority="2496">
      <formula>E207="#"</formula>
    </cfRule>
    <cfRule type="expression" dxfId="1388" priority="2497">
      <formula>E207="B"</formula>
    </cfRule>
    <cfRule type="expression" dxfId="1387" priority="2498">
      <formula>E207="C"</formula>
    </cfRule>
    <cfRule type="expression" priority="2499">
      <formula>E207="A"</formula>
    </cfRule>
    <cfRule type="expression" priority="2500">
      <formula>E207=n.a.</formula>
    </cfRule>
  </conditionalFormatting>
  <conditionalFormatting sqref="E207">
    <cfRule type="containsText" dxfId="1386" priority="2491" operator="containsText" text="2nd">
      <formula>NOT(ISERROR(SEARCH("2nd",E207)))</formula>
    </cfRule>
    <cfRule type="containsText" dxfId="1385" priority="2492" operator="containsText" text="#">
      <formula>NOT(ISERROR(SEARCH("#",E207)))</formula>
    </cfRule>
    <cfRule type="containsText" dxfId="1384" priority="2493" operator="containsText" text="A">
      <formula>NOT(ISERROR(SEARCH("A",E207)))</formula>
    </cfRule>
    <cfRule type="containsText" dxfId="1383" priority="2494" operator="containsText" text="C">
      <formula>NOT(ISERROR(SEARCH("C",E207)))</formula>
    </cfRule>
    <cfRule type="containsText" dxfId="1382" priority="2495" operator="containsText" text="B">
      <formula>NOT(ISERROR(SEARCH("B",E207)))</formula>
    </cfRule>
  </conditionalFormatting>
  <conditionalFormatting sqref="F207:K207">
    <cfRule type="expression" dxfId="1381" priority="2490">
      <formula>E207="2nd"</formula>
    </cfRule>
  </conditionalFormatting>
  <conditionalFormatting sqref="F208">
    <cfRule type="expression" dxfId="1380" priority="2485">
      <formula>E208="#"</formula>
    </cfRule>
    <cfRule type="expression" dxfId="1379" priority="2486">
      <formula>E208="B"</formula>
    </cfRule>
    <cfRule type="expression" dxfId="1378" priority="2487">
      <formula>E208="C"</formula>
    </cfRule>
    <cfRule type="expression" priority="2488">
      <formula>E208="A"</formula>
    </cfRule>
    <cfRule type="expression" priority="2489">
      <formula>E208=n.a.</formula>
    </cfRule>
  </conditionalFormatting>
  <conditionalFormatting sqref="E208">
    <cfRule type="containsText" dxfId="1377" priority="2480" operator="containsText" text="2nd">
      <formula>NOT(ISERROR(SEARCH("2nd",E208)))</formula>
    </cfRule>
    <cfRule type="containsText" dxfId="1376" priority="2481" operator="containsText" text="#">
      <formula>NOT(ISERROR(SEARCH("#",E208)))</formula>
    </cfRule>
    <cfRule type="containsText" dxfId="1375" priority="2482" operator="containsText" text="A">
      <formula>NOT(ISERROR(SEARCH("A",E208)))</formula>
    </cfRule>
    <cfRule type="containsText" dxfId="1374" priority="2483" operator="containsText" text="C">
      <formula>NOT(ISERROR(SEARCH("C",E208)))</formula>
    </cfRule>
    <cfRule type="containsText" dxfId="1373" priority="2484" operator="containsText" text="B">
      <formula>NOT(ISERROR(SEARCH("B",E208)))</formula>
    </cfRule>
  </conditionalFormatting>
  <conditionalFormatting sqref="F208:K208">
    <cfRule type="expression" dxfId="1372" priority="2479">
      <formula>E208="2nd"</formula>
    </cfRule>
  </conditionalFormatting>
  <conditionalFormatting sqref="F210">
    <cfRule type="expression" dxfId="1371" priority="2474">
      <formula>E210="#"</formula>
    </cfRule>
    <cfRule type="expression" dxfId="1370" priority="2475">
      <formula>E210="B"</formula>
    </cfRule>
    <cfRule type="expression" dxfId="1369" priority="2476">
      <formula>E210="C"</formula>
    </cfRule>
    <cfRule type="expression" priority="2477">
      <formula>E210="A"</formula>
    </cfRule>
    <cfRule type="expression" priority="2478">
      <formula>E210=n.a.</formula>
    </cfRule>
  </conditionalFormatting>
  <conditionalFormatting sqref="E210">
    <cfRule type="containsText" dxfId="1368" priority="2469" operator="containsText" text="2nd">
      <formula>NOT(ISERROR(SEARCH("2nd",E210)))</formula>
    </cfRule>
    <cfRule type="containsText" dxfId="1367" priority="2470" operator="containsText" text="#">
      <formula>NOT(ISERROR(SEARCH("#",E210)))</formula>
    </cfRule>
    <cfRule type="containsText" dxfId="1366" priority="2471" operator="containsText" text="A">
      <formula>NOT(ISERROR(SEARCH("A",E210)))</formula>
    </cfRule>
    <cfRule type="containsText" dxfId="1365" priority="2472" operator="containsText" text="C">
      <formula>NOT(ISERROR(SEARCH("C",E210)))</formula>
    </cfRule>
    <cfRule type="containsText" dxfId="1364" priority="2473" operator="containsText" text="B">
      <formula>NOT(ISERROR(SEARCH("B",E210)))</formula>
    </cfRule>
  </conditionalFormatting>
  <conditionalFormatting sqref="F210:K210">
    <cfRule type="expression" dxfId="1363" priority="2468">
      <formula>E210="2nd"</formula>
    </cfRule>
  </conditionalFormatting>
  <conditionalFormatting sqref="F211">
    <cfRule type="expression" dxfId="1362" priority="2463">
      <formula>E211="#"</formula>
    </cfRule>
    <cfRule type="expression" dxfId="1361" priority="2464">
      <formula>E211="B"</formula>
    </cfRule>
    <cfRule type="expression" dxfId="1360" priority="2465">
      <formula>E211="C"</formula>
    </cfRule>
    <cfRule type="expression" priority="2466">
      <formula>E211="A"</formula>
    </cfRule>
    <cfRule type="expression" priority="2467">
      <formula>E211=n.a.</formula>
    </cfRule>
  </conditionalFormatting>
  <conditionalFormatting sqref="E211">
    <cfRule type="containsText" dxfId="1359" priority="2458" operator="containsText" text="2nd">
      <formula>NOT(ISERROR(SEARCH("2nd",E211)))</formula>
    </cfRule>
    <cfRule type="containsText" dxfId="1358" priority="2459" operator="containsText" text="#">
      <formula>NOT(ISERROR(SEARCH("#",E211)))</formula>
    </cfRule>
    <cfRule type="containsText" dxfId="1357" priority="2460" operator="containsText" text="A">
      <formula>NOT(ISERROR(SEARCH("A",E211)))</formula>
    </cfRule>
    <cfRule type="containsText" dxfId="1356" priority="2461" operator="containsText" text="C">
      <formula>NOT(ISERROR(SEARCH("C",E211)))</formula>
    </cfRule>
    <cfRule type="containsText" dxfId="1355" priority="2462" operator="containsText" text="B">
      <formula>NOT(ISERROR(SEARCH("B",E211)))</formula>
    </cfRule>
  </conditionalFormatting>
  <conditionalFormatting sqref="F211:K211">
    <cfRule type="expression" dxfId="1354" priority="2457">
      <formula>E211="2nd"</formula>
    </cfRule>
  </conditionalFormatting>
  <conditionalFormatting sqref="F212">
    <cfRule type="expression" dxfId="1353" priority="2452">
      <formula>E212="#"</formula>
    </cfRule>
    <cfRule type="expression" dxfId="1352" priority="2453">
      <formula>E212="B"</formula>
    </cfRule>
    <cfRule type="expression" dxfId="1351" priority="2454">
      <formula>E212="C"</formula>
    </cfRule>
    <cfRule type="expression" priority="2455">
      <formula>E212="A"</formula>
    </cfRule>
    <cfRule type="expression" priority="2456">
      <formula>E212=n.a.</formula>
    </cfRule>
  </conditionalFormatting>
  <conditionalFormatting sqref="E212">
    <cfRule type="containsText" dxfId="1350" priority="2447" operator="containsText" text="2nd">
      <formula>NOT(ISERROR(SEARCH("2nd",E212)))</formula>
    </cfRule>
    <cfRule type="containsText" dxfId="1349" priority="2448" operator="containsText" text="#">
      <formula>NOT(ISERROR(SEARCH("#",E212)))</formula>
    </cfRule>
    <cfRule type="containsText" dxfId="1348" priority="2449" operator="containsText" text="A">
      <formula>NOT(ISERROR(SEARCH("A",E212)))</formula>
    </cfRule>
    <cfRule type="containsText" dxfId="1347" priority="2450" operator="containsText" text="C">
      <formula>NOT(ISERROR(SEARCH("C",E212)))</formula>
    </cfRule>
    <cfRule type="containsText" dxfId="1346" priority="2451" operator="containsText" text="B">
      <formula>NOT(ISERROR(SEARCH("B",E212)))</formula>
    </cfRule>
  </conditionalFormatting>
  <conditionalFormatting sqref="F212:K212">
    <cfRule type="expression" dxfId="1345" priority="2446">
      <formula>E212="2nd"</formula>
    </cfRule>
  </conditionalFormatting>
  <conditionalFormatting sqref="F213">
    <cfRule type="expression" dxfId="1344" priority="2441">
      <formula>E213="#"</formula>
    </cfRule>
    <cfRule type="expression" dxfId="1343" priority="2442">
      <formula>E213="B"</formula>
    </cfRule>
    <cfRule type="expression" dxfId="1342" priority="2443">
      <formula>E213="C"</formula>
    </cfRule>
    <cfRule type="expression" priority="2444">
      <formula>E213="A"</formula>
    </cfRule>
    <cfRule type="expression" priority="2445">
      <formula>E213=n.a.</formula>
    </cfRule>
  </conditionalFormatting>
  <conditionalFormatting sqref="E213">
    <cfRule type="containsText" dxfId="1341" priority="2436" operator="containsText" text="2nd">
      <formula>NOT(ISERROR(SEARCH("2nd",E213)))</formula>
    </cfRule>
    <cfRule type="containsText" dxfId="1340" priority="2437" operator="containsText" text="#">
      <formula>NOT(ISERROR(SEARCH("#",E213)))</formula>
    </cfRule>
    <cfRule type="containsText" dxfId="1339" priority="2438" operator="containsText" text="A">
      <formula>NOT(ISERROR(SEARCH("A",E213)))</formula>
    </cfRule>
    <cfRule type="containsText" dxfId="1338" priority="2439" operator="containsText" text="C">
      <formula>NOT(ISERROR(SEARCH("C",E213)))</formula>
    </cfRule>
    <cfRule type="containsText" dxfId="1337" priority="2440" operator="containsText" text="B">
      <formula>NOT(ISERROR(SEARCH("B",E213)))</formula>
    </cfRule>
  </conditionalFormatting>
  <conditionalFormatting sqref="F213:K213">
    <cfRule type="expression" dxfId="1336" priority="2435">
      <formula>E213="2nd"</formula>
    </cfRule>
  </conditionalFormatting>
  <conditionalFormatting sqref="F214">
    <cfRule type="expression" dxfId="1335" priority="2430">
      <formula>E214="#"</formula>
    </cfRule>
    <cfRule type="expression" dxfId="1334" priority="2431">
      <formula>E214="B"</formula>
    </cfRule>
    <cfRule type="expression" dxfId="1333" priority="2432">
      <formula>E214="C"</formula>
    </cfRule>
    <cfRule type="expression" priority="2433">
      <formula>E214="A"</formula>
    </cfRule>
    <cfRule type="expression" priority="2434">
      <formula>E214=n.a.</formula>
    </cfRule>
  </conditionalFormatting>
  <conditionalFormatting sqref="E214">
    <cfRule type="containsText" dxfId="1332" priority="2425" operator="containsText" text="2nd">
      <formula>NOT(ISERROR(SEARCH("2nd",E214)))</formula>
    </cfRule>
    <cfRule type="containsText" dxfId="1331" priority="2426" operator="containsText" text="#">
      <formula>NOT(ISERROR(SEARCH("#",E214)))</formula>
    </cfRule>
    <cfRule type="containsText" dxfId="1330" priority="2427" operator="containsText" text="A">
      <formula>NOT(ISERROR(SEARCH("A",E214)))</formula>
    </cfRule>
    <cfRule type="containsText" dxfId="1329" priority="2428" operator="containsText" text="C">
      <formula>NOT(ISERROR(SEARCH("C",E214)))</formula>
    </cfRule>
    <cfRule type="containsText" dxfId="1328" priority="2429" operator="containsText" text="B">
      <formula>NOT(ISERROR(SEARCH("B",E214)))</formula>
    </cfRule>
  </conditionalFormatting>
  <conditionalFormatting sqref="F214:K214">
    <cfRule type="expression" dxfId="1327" priority="2424">
      <formula>E214="2nd"</formula>
    </cfRule>
  </conditionalFormatting>
  <conditionalFormatting sqref="F215">
    <cfRule type="expression" dxfId="1326" priority="2419">
      <formula>E215="#"</formula>
    </cfRule>
    <cfRule type="expression" dxfId="1325" priority="2420">
      <formula>E215="B"</formula>
    </cfRule>
    <cfRule type="expression" dxfId="1324" priority="2421">
      <formula>E215="C"</formula>
    </cfRule>
    <cfRule type="expression" priority="2422">
      <formula>E215="A"</formula>
    </cfRule>
    <cfRule type="expression" priority="2423">
      <formula>E215=n.a.</formula>
    </cfRule>
  </conditionalFormatting>
  <conditionalFormatting sqref="F215:K215">
    <cfRule type="expression" dxfId="1323" priority="2413">
      <formula>E215="2nd"</formula>
    </cfRule>
  </conditionalFormatting>
  <conditionalFormatting sqref="E227">
    <cfRule type="containsText" dxfId="1322" priority="2403" operator="containsText" text="2nd">
      <formula>NOT(ISERROR(SEARCH("2nd",E227)))</formula>
    </cfRule>
    <cfRule type="containsText" dxfId="1321" priority="2404" operator="containsText" text="#">
      <formula>NOT(ISERROR(SEARCH("#",E227)))</formula>
    </cfRule>
    <cfRule type="containsText" dxfId="1320" priority="2405" operator="containsText" text="A">
      <formula>NOT(ISERROR(SEARCH("A",E227)))</formula>
    </cfRule>
    <cfRule type="containsText" dxfId="1319" priority="2406" operator="containsText" text="C">
      <formula>NOT(ISERROR(SEARCH("C",E227)))</formula>
    </cfRule>
    <cfRule type="containsText" dxfId="1318" priority="2407" operator="containsText" text="B">
      <formula>NOT(ISERROR(SEARCH("B",E227)))</formula>
    </cfRule>
  </conditionalFormatting>
  <conditionalFormatting sqref="E228">
    <cfRule type="containsText" dxfId="1317" priority="2392" operator="containsText" text="2nd">
      <formula>NOT(ISERROR(SEARCH("2nd",E228)))</formula>
    </cfRule>
    <cfRule type="containsText" dxfId="1316" priority="2393" operator="containsText" text="#">
      <formula>NOT(ISERROR(SEARCH("#",E228)))</formula>
    </cfRule>
    <cfRule type="containsText" dxfId="1315" priority="2394" operator="containsText" text="A">
      <formula>NOT(ISERROR(SEARCH("A",E228)))</formula>
    </cfRule>
    <cfRule type="containsText" dxfId="1314" priority="2395" operator="containsText" text="C">
      <formula>NOT(ISERROR(SEARCH("C",E228)))</formula>
    </cfRule>
    <cfRule type="containsText" dxfId="1313" priority="2396" operator="containsText" text="B">
      <formula>NOT(ISERROR(SEARCH("B",E228)))</formula>
    </cfRule>
  </conditionalFormatting>
  <conditionalFormatting sqref="E229">
    <cfRule type="containsText" dxfId="1312" priority="2381" operator="containsText" text="2nd">
      <formula>NOT(ISERROR(SEARCH("2nd",E229)))</formula>
    </cfRule>
    <cfRule type="containsText" dxfId="1311" priority="2382" operator="containsText" text="#">
      <formula>NOT(ISERROR(SEARCH("#",E229)))</formula>
    </cfRule>
    <cfRule type="containsText" dxfId="1310" priority="2383" operator="containsText" text="A">
      <formula>NOT(ISERROR(SEARCH("A",E229)))</formula>
    </cfRule>
    <cfRule type="containsText" dxfId="1309" priority="2384" operator="containsText" text="C">
      <formula>NOT(ISERROR(SEARCH("C",E229)))</formula>
    </cfRule>
    <cfRule type="containsText" dxfId="1308" priority="2385" operator="containsText" text="B">
      <formula>NOT(ISERROR(SEARCH("B",E229)))</formula>
    </cfRule>
  </conditionalFormatting>
  <conditionalFormatting sqref="E230">
    <cfRule type="containsText" dxfId="1307" priority="2370" operator="containsText" text="2nd">
      <formula>NOT(ISERROR(SEARCH("2nd",E230)))</formula>
    </cfRule>
    <cfRule type="containsText" dxfId="1306" priority="2371" operator="containsText" text="#">
      <formula>NOT(ISERROR(SEARCH("#",E230)))</formula>
    </cfRule>
    <cfRule type="containsText" dxfId="1305" priority="2372" operator="containsText" text="A">
      <formula>NOT(ISERROR(SEARCH("A",E230)))</formula>
    </cfRule>
    <cfRule type="containsText" dxfId="1304" priority="2373" operator="containsText" text="C">
      <formula>NOT(ISERROR(SEARCH("C",E230)))</formula>
    </cfRule>
    <cfRule type="containsText" dxfId="1303" priority="2374" operator="containsText" text="B">
      <formula>NOT(ISERROR(SEARCH("B",E230)))</formula>
    </cfRule>
  </conditionalFormatting>
  <conditionalFormatting sqref="E232">
    <cfRule type="containsText" dxfId="1302" priority="2359" operator="containsText" text="2nd">
      <formula>NOT(ISERROR(SEARCH("2nd",E232)))</formula>
    </cfRule>
    <cfRule type="containsText" dxfId="1301" priority="2360" operator="containsText" text="#">
      <formula>NOT(ISERROR(SEARCH("#",E232)))</formula>
    </cfRule>
    <cfRule type="containsText" dxfId="1300" priority="2361" operator="containsText" text="A">
      <formula>NOT(ISERROR(SEARCH("A",E232)))</formula>
    </cfRule>
    <cfRule type="containsText" dxfId="1299" priority="2362" operator="containsText" text="C">
      <formula>NOT(ISERROR(SEARCH("C",E232)))</formula>
    </cfRule>
    <cfRule type="containsText" dxfId="1298" priority="2363" operator="containsText" text="B">
      <formula>NOT(ISERROR(SEARCH("B",E232)))</formula>
    </cfRule>
  </conditionalFormatting>
  <conditionalFormatting sqref="E233">
    <cfRule type="containsText" dxfId="1297" priority="2348" operator="containsText" text="2nd">
      <formula>NOT(ISERROR(SEARCH("2nd",E233)))</formula>
    </cfRule>
    <cfRule type="containsText" dxfId="1296" priority="2349" operator="containsText" text="#">
      <formula>NOT(ISERROR(SEARCH("#",E233)))</formula>
    </cfRule>
    <cfRule type="containsText" dxfId="1295" priority="2350" operator="containsText" text="A">
      <formula>NOT(ISERROR(SEARCH("A",E233)))</formula>
    </cfRule>
    <cfRule type="containsText" dxfId="1294" priority="2351" operator="containsText" text="C">
      <formula>NOT(ISERROR(SEARCH("C",E233)))</formula>
    </cfRule>
    <cfRule type="containsText" dxfId="1293" priority="2352" operator="containsText" text="B">
      <formula>NOT(ISERROR(SEARCH("B",E233)))</formula>
    </cfRule>
  </conditionalFormatting>
  <conditionalFormatting sqref="E234">
    <cfRule type="containsText" dxfId="1292" priority="2337" operator="containsText" text="2nd">
      <formula>NOT(ISERROR(SEARCH("2nd",E234)))</formula>
    </cfRule>
    <cfRule type="containsText" dxfId="1291" priority="2338" operator="containsText" text="#">
      <formula>NOT(ISERROR(SEARCH("#",E234)))</formula>
    </cfRule>
    <cfRule type="containsText" dxfId="1290" priority="2339" operator="containsText" text="A">
      <formula>NOT(ISERROR(SEARCH("A",E234)))</formula>
    </cfRule>
    <cfRule type="containsText" dxfId="1289" priority="2340" operator="containsText" text="C">
      <formula>NOT(ISERROR(SEARCH("C",E234)))</formula>
    </cfRule>
    <cfRule type="containsText" dxfId="1288" priority="2341" operator="containsText" text="B">
      <formula>NOT(ISERROR(SEARCH("B",E234)))</formula>
    </cfRule>
  </conditionalFormatting>
  <conditionalFormatting sqref="E235">
    <cfRule type="containsText" dxfId="1287" priority="2326" operator="containsText" text="2nd">
      <formula>NOT(ISERROR(SEARCH("2nd",E235)))</formula>
    </cfRule>
    <cfRule type="containsText" dxfId="1286" priority="2327" operator="containsText" text="#">
      <formula>NOT(ISERROR(SEARCH("#",E235)))</formula>
    </cfRule>
    <cfRule type="containsText" dxfId="1285" priority="2328" operator="containsText" text="A">
      <formula>NOT(ISERROR(SEARCH("A",E235)))</formula>
    </cfRule>
    <cfRule type="containsText" dxfId="1284" priority="2329" operator="containsText" text="C">
      <formula>NOT(ISERROR(SEARCH("C",E235)))</formula>
    </cfRule>
    <cfRule type="containsText" dxfId="1283" priority="2330" operator="containsText" text="B">
      <formula>NOT(ISERROR(SEARCH("B",E235)))</formula>
    </cfRule>
  </conditionalFormatting>
  <conditionalFormatting sqref="E236">
    <cfRule type="containsText" dxfId="1282" priority="2315" operator="containsText" text="2nd">
      <formula>NOT(ISERROR(SEARCH("2nd",E236)))</formula>
    </cfRule>
    <cfRule type="containsText" dxfId="1281" priority="2316" operator="containsText" text="#">
      <formula>NOT(ISERROR(SEARCH("#",E236)))</formula>
    </cfRule>
    <cfRule type="containsText" dxfId="1280" priority="2317" operator="containsText" text="A">
      <formula>NOT(ISERROR(SEARCH("A",E236)))</formula>
    </cfRule>
    <cfRule type="containsText" dxfId="1279" priority="2318" operator="containsText" text="C">
      <formula>NOT(ISERROR(SEARCH("C",E236)))</formula>
    </cfRule>
    <cfRule type="containsText" dxfId="1278" priority="2319" operator="containsText" text="B">
      <formula>NOT(ISERROR(SEARCH("B",E236)))</formula>
    </cfRule>
  </conditionalFormatting>
  <conditionalFormatting sqref="E237">
    <cfRule type="containsText" dxfId="1277" priority="2304" operator="containsText" text="2nd">
      <formula>NOT(ISERROR(SEARCH("2nd",E237)))</formula>
    </cfRule>
    <cfRule type="containsText" dxfId="1276" priority="2305" operator="containsText" text="#">
      <formula>NOT(ISERROR(SEARCH("#",E237)))</formula>
    </cfRule>
    <cfRule type="containsText" dxfId="1275" priority="2306" operator="containsText" text="A">
      <formula>NOT(ISERROR(SEARCH("A",E237)))</formula>
    </cfRule>
    <cfRule type="containsText" dxfId="1274" priority="2307" operator="containsText" text="C">
      <formula>NOT(ISERROR(SEARCH("C",E237)))</formula>
    </cfRule>
    <cfRule type="containsText" dxfId="1273" priority="2308" operator="containsText" text="B">
      <formula>NOT(ISERROR(SEARCH("B",E237)))</formula>
    </cfRule>
  </conditionalFormatting>
  <conditionalFormatting sqref="E238">
    <cfRule type="containsText" dxfId="1272" priority="2293" operator="containsText" text="2nd">
      <formula>NOT(ISERROR(SEARCH("2nd",E238)))</formula>
    </cfRule>
    <cfRule type="containsText" dxfId="1271" priority="2294" operator="containsText" text="#">
      <formula>NOT(ISERROR(SEARCH("#",E238)))</formula>
    </cfRule>
    <cfRule type="containsText" dxfId="1270" priority="2295" operator="containsText" text="A">
      <formula>NOT(ISERROR(SEARCH("A",E238)))</formula>
    </cfRule>
    <cfRule type="containsText" dxfId="1269" priority="2296" operator="containsText" text="C">
      <formula>NOT(ISERROR(SEARCH("C",E238)))</formula>
    </cfRule>
    <cfRule type="containsText" dxfId="1268" priority="2297" operator="containsText" text="B">
      <formula>NOT(ISERROR(SEARCH("B",E238)))</formula>
    </cfRule>
  </conditionalFormatting>
  <conditionalFormatting sqref="E239">
    <cfRule type="containsText" dxfId="1267" priority="2282" operator="containsText" text="2nd">
      <formula>NOT(ISERROR(SEARCH("2nd",E239)))</formula>
    </cfRule>
    <cfRule type="containsText" dxfId="1266" priority="2283" operator="containsText" text="#">
      <formula>NOT(ISERROR(SEARCH("#",E239)))</formula>
    </cfRule>
    <cfRule type="containsText" dxfId="1265" priority="2284" operator="containsText" text="A">
      <formula>NOT(ISERROR(SEARCH("A",E239)))</formula>
    </cfRule>
    <cfRule type="containsText" dxfId="1264" priority="2285" operator="containsText" text="C">
      <formula>NOT(ISERROR(SEARCH("C",E239)))</formula>
    </cfRule>
    <cfRule type="containsText" dxfId="1263" priority="2286" operator="containsText" text="B">
      <formula>NOT(ISERROR(SEARCH("B",E239)))</formula>
    </cfRule>
  </conditionalFormatting>
  <conditionalFormatting sqref="E240">
    <cfRule type="containsText" dxfId="1262" priority="2271" operator="containsText" text="2nd">
      <formula>NOT(ISERROR(SEARCH("2nd",E240)))</formula>
    </cfRule>
    <cfRule type="containsText" dxfId="1261" priority="2272" operator="containsText" text="#">
      <formula>NOT(ISERROR(SEARCH("#",E240)))</formula>
    </cfRule>
    <cfRule type="containsText" dxfId="1260" priority="2273" operator="containsText" text="A">
      <formula>NOT(ISERROR(SEARCH("A",E240)))</formula>
    </cfRule>
    <cfRule type="containsText" dxfId="1259" priority="2274" operator="containsText" text="C">
      <formula>NOT(ISERROR(SEARCH("C",E240)))</formula>
    </cfRule>
    <cfRule type="containsText" dxfId="1258" priority="2275" operator="containsText" text="B">
      <formula>NOT(ISERROR(SEARCH("B",E240)))</formula>
    </cfRule>
  </conditionalFormatting>
  <conditionalFormatting sqref="E242">
    <cfRule type="containsText" dxfId="1257" priority="2260" operator="containsText" text="2nd">
      <formula>NOT(ISERROR(SEARCH("2nd",E242)))</formula>
    </cfRule>
    <cfRule type="containsText" dxfId="1256" priority="2261" operator="containsText" text="#">
      <formula>NOT(ISERROR(SEARCH("#",E242)))</formula>
    </cfRule>
    <cfRule type="containsText" dxfId="1255" priority="2262" operator="containsText" text="A">
      <formula>NOT(ISERROR(SEARCH("A",E242)))</formula>
    </cfRule>
    <cfRule type="containsText" dxfId="1254" priority="2263" operator="containsText" text="C">
      <formula>NOT(ISERROR(SEARCH("C",E242)))</formula>
    </cfRule>
    <cfRule type="containsText" dxfId="1253" priority="2264" operator="containsText" text="B">
      <formula>NOT(ISERROR(SEARCH("B",E242)))</formula>
    </cfRule>
  </conditionalFormatting>
  <conditionalFormatting sqref="E243">
    <cfRule type="containsText" dxfId="1252" priority="2249" operator="containsText" text="2nd">
      <formula>NOT(ISERROR(SEARCH("2nd",E243)))</formula>
    </cfRule>
    <cfRule type="containsText" dxfId="1251" priority="2250" operator="containsText" text="#">
      <formula>NOT(ISERROR(SEARCH("#",E243)))</formula>
    </cfRule>
    <cfRule type="containsText" dxfId="1250" priority="2251" operator="containsText" text="A">
      <formula>NOT(ISERROR(SEARCH("A",E243)))</formula>
    </cfRule>
    <cfRule type="containsText" dxfId="1249" priority="2252" operator="containsText" text="C">
      <formula>NOT(ISERROR(SEARCH("C",E243)))</formula>
    </cfRule>
    <cfRule type="containsText" dxfId="1248" priority="2253" operator="containsText" text="B">
      <formula>NOT(ISERROR(SEARCH("B",E243)))</formula>
    </cfRule>
  </conditionalFormatting>
  <conditionalFormatting sqref="E245">
    <cfRule type="containsText" dxfId="1247" priority="2238" operator="containsText" text="2nd">
      <formula>NOT(ISERROR(SEARCH("2nd",E245)))</formula>
    </cfRule>
    <cfRule type="containsText" dxfId="1246" priority="2239" operator="containsText" text="#">
      <formula>NOT(ISERROR(SEARCH("#",E245)))</formula>
    </cfRule>
    <cfRule type="containsText" dxfId="1245" priority="2240" operator="containsText" text="A">
      <formula>NOT(ISERROR(SEARCH("A",E245)))</formula>
    </cfRule>
    <cfRule type="containsText" dxfId="1244" priority="2241" operator="containsText" text="C">
      <formula>NOT(ISERROR(SEARCH("C",E245)))</formula>
    </cfRule>
    <cfRule type="containsText" dxfId="1243" priority="2242" operator="containsText" text="B">
      <formula>NOT(ISERROR(SEARCH("B",E245)))</formula>
    </cfRule>
  </conditionalFormatting>
  <conditionalFormatting sqref="E246">
    <cfRule type="containsText" dxfId="1242" priority="2227" operator="containsText" text="2nd">
      <formula>NOT(ISERROR(SEARCH("2nd",E246)))</formula>
    </cfRule>
    <cfRule type="containsText" dxfId="1241" priority="2228" operator="containsText" text="#">
      <formula>NOT(ISERROR(SEARCH("#",E246)))</formula>
    </cfRule>
    <cfRule type="containsText" dxfId="1240" priority="2229" operator="containsText" text="A">
      <formula>NOT(ISERROR(SEARCH("A",E246)))</formula>
    </cfRule>
    <cfRule type="containsText" dxfId="1239" priority="2230" operator="containsText" text="C">
      <formula>NOT(ISERROR(SEARCH("C",E246)))</formula>
    </cfRule>
    <cfRule type="containsText" dxfId="1238" priority="2231" operator="containsText" text="B">
      <formula>NOT(ISERROR(SEARCH("B",E246)))</formula>
    </cfRule>
  </conditionalFormatting>
  <conditionalFormatting sqref="E247">
    <cfRule type="containsText" dxfId="1237" priority="2216" operator="containsText" text="2nd">
      <formula>NOT(ISERROR(SEARCH("2nd",E247)))</formula>
    </cfRule>
    <cfRule type="containsText" dxfId="1236" priority="2217" operator="containsText" text="#">
      <formula>NOT(ISERROR(SEARCH("#",E247)))</formula>
    </cfRule>
    <cfRule type="containsText" dxfId="1235" priority="2218" operator="containsText" text="A">
      <formula>NOT(ISERROR(SEARCH("A",E247)))</formula>
    </cfRule>
    <cfRule type="containsText" dxfId="1234" priority="2219" operator="containsText" text="C">
      <formula>NOT(ISERROR(SEARCH("C",E247)))</formula>
    </cfRule>
    <cfRule type="containsText" dxfId="1233" priority="2220" operator="containsText" text="B">
      <formula>NOT(ISERROR(SEARCH("B",E247)))</formula>
    </cfRule>
  </conditionalFormatting>
  <conditionalFormatting sqref="E248">
    <cfRule type="containsText" dxfId="1232" priority="2205" operator="containsText" text="2nd">
      <formula>NOT(ISERROR(SEARCH("2nd",E248)))</formula>
    </cfRule>
    <cfRule type="containsText" dxfId="1231" priority="2206" operator="containsText" text="#">
      <formula>NOT(ISERROR(SEARCH("#",E248)))</formula>
    </cfRule>
    <cfRule type="containsText" dxfId="1230" priority="2207" operator="containsText" text="A">
      <formula>NOT(ISERROR(SEARCH("A",E248)))</formula>
    </cfRule>
    <cfRule type="containsText" dxfId="1229" priority="2208" operator="containsText" text="C">
      <formula>NOT(ISERROR(SEARCH("C",E248)))</formula>
    </cfRule>
    <cfRule type="containsText" dxfId="1228" priority="2209" operator="containsText" text="B">
      <formula>NOT(ISERROR(SEARCH("B",E248)))</formula>
    </cfRule>
  </conditionalFormatting>
  <conditionalFormatting sqref="E249">
    <cfRule type="containsText" dxfId="1227" priority="2194" operator="containsText" text="2nd">
      <formula>NOT(ISERROR(SEARCH("2nd",E249)))</formula>
    </cfRule>
    <cfRule type="containsText" dxfId="1226" priority="2195" operator="containsText" text="#">
      <formula>NOT(ISERROR(SEARCH("#",E249)))</formula>
    </cfRule>
    <cfRule type="containsText" dxfId="1225" priority="2196" operator="containsText" text="A">
      <formula>NOT(ISERROR(SEARCH("A",E249)))</formula>
    </cfRule>
    <cfRule type="containsText" dxfId="1224" priority="2197" operator="containsText" text="C">
      <formula>NOT(ISERROR(SEARCH("C",E249)))</formula>
    </cfRule>
    <cfRule type="containsText" dxfId="1223" priority="2198" operator="containsText" text="B">
      <formula>NOT(ISERROR(SEARCH("B",E249)))</formula>
    </cfRule>
  </conditionalFormatting>
  <conditionalFormatting sqref="E266">
    <cfRule type="containsText" dxfId="1222" priority="2172" operator="containsText" text="2nd">
      <formula>NOT(ISERROR(SEARCH("2nd",E266)))</formula>
    </cfRule>
    <cfRule type="containsText" dxfId="1221" priority="2173" operator="containsText" text="#">
      <formula>NOT(ISERROR(SEARCH("#",E266)))</formula>
    </cfRule>
    <cfRule type="containsText" dxfId="1220" priority="2174" operator="containsText" text="A">
      <formula>NOT(ISERROR(SEARCH("A",E266)))</formula>
    </cfRule>
    <cfRule type="containsText" dxfId="1219" priority="2175" operator="containsText" text="C">
      <formula>NOT(ISERROR(SEARCH("C",E266)))</formula>
    </cfRule>
    <cfRule type="containsText" dxfId="1218" priority="2176" operator="containsText" text="B">
      <formula>NOT(ISERROR(SEARCH("B",E266)))</formula>
    </cfRule>
  </conditionalFormatting>
  <conditionalFormatting sqref="E267">
    <cfRule type="containsText" dxfId="1217" priority="2161" operator="containsText" text="2nd">
      <formula>NOT(ISERROR(SEARCH("2nd",E267)))</formula>
    </cfRule>
    <cfRule type="containsText" dxfId="1216" priority="2162" operator="containsText" text="#">
      <formula>NOT(ISERROR(SEARCH("#",E267)))</formula>
    </cfRule>
    <cfRule type="containsText" dxfId="1215" priority="2163" operator="containsText" text="A">
      <formula>NOT(ISERROR(SEARCH("A",E267)))</formula>
    </cfRule>
    <cfRule type="containsText" dxfId="1214" priority="2164" operator="containsText" text="C">
      <formula>NOT(ISERROR(SEARCH("C",E267)))</formula>
    </cfRule>
    <cfRule type="containsText" dxfId="1213" priority="2165" operator="containsText" text="B">
      <formula>NOT(ISERROR(SEARCH("B",E267)))</formula>
    </cfRule>
  </conditionalFormatting>
  <conditionalFormatting sqref="E268">
    <cfRule type="containsText" dxfId="1212" priority="2150" operator="containsText" text="2nd">
      <formula>NOT(ISERROR(SEARCH("2nd",E268)))</formula>
    </cfRule>
    <cfRule type="containsText" dxfId="1211" priority="2151" operator="containsText" text="#">
      <formula>NOT(ISERROR(SEARCH("#",E268)))</formula>
    </cfRule>
    <cfRule type="containsText" dxfId="1210" priority="2152" operator="containsText" text="A">
      <formula>NOT(ISERROR(SEARCH("A",E268)))</formula>
    </cfRule>
    <cfRule type="containsText" dxfId="1209" priority="2153" operator="containsText" text="C">
      <formula>NOT(ISERROR(SEARCH("C",E268)))</formula>
    </cfRule>
    <cfRule type="containsText" dxfId="1208" priority="2154" operator="containsText" text="B">
      <formula>NOT(ISERROR(SEARCH("B",E268)))</formula>
    </cfRule>
  </conditionalFormatting>
  <conditionalFormatting sqref="E269">
    <cfRule type="containsText" dxfId="1207" priority="2139" operator="containsText" text="2nd">
      <formula>NOT(ISERROR(SEARCH("2nd",E269)))</formula>
    </cfRule>
    <cfRule type="containsText" dxfId="1206" priority="2140" operator="containsText" text="#">
      <formula>NOT(ISERROR(SEARCH("#",E269)))</formula>
    </cfRule>
    <cfRule type="containsText" dxfId="1205" priority="2141" operator="containsText" text="A">
      <formula>NOT(ISERROR(SEARCH("A",E269)))</formula>
    </cfRule>
    <cfRule type="containsText" dxfId="1204" priority="2142" operator="containsText" text="C">
      <formula>NOT(ISERROR(SEARCH("C",E269)))</formula>
    </cfRule>
    <cfRule type="containsText" dxfId="1203" priority="2143" operator="containsText" text="B">
      <formula>NOT(ISERROR(SEARCH("B",E269)))</formula>
    </cfRule>
  </conditionalFormatting>
  <conditionalFormatting sqref="E271">
    <cfRule type="containsText" dxfId="1202" priority="2128" operator="containsText" text="2nd">
      <formula>NOT(ISERROR(SEARCH("2nd",E271)))</formula>
    </cfRule>
    <cfRule type="containsText" dxfId="1201" priority="2129" operator="containsText" text="#">
      <formula>NOT(ISERROR(SEARCH("#",E271)))</formula>
    </cfRule>
    <cfRule type="containsText" dxfId="1200" priority="2130" operator="containsText" text="A">
      <formula>NOT(ISERROR(SEARCH("A",E271)))</formula>
    </cfRule>
    <cfRule type="containsText" dxfId="1199" priority="2131" operator="containsText" text="C">
      <formula>NOT(ISERROR(SEARCH("C",E271)))</formula>
    </cfRule>
    <cfRule type="containsText" dxfId="1198" priority="2132" operator="containsText" text="B">
      <formula>NOT(ISERROR(SEARCH("B",E271)))</formula>
    </cfRule>
  </conditionalFormatting>
  <conditionalFormatting sqref="E272">
    <cfRule type="containsText" dxfId="1197" priority="2117" operator="containsText" text="2nd">
      <formula>NOT(ISERROR(SEARCH("2nd",E272)))</formula>
    </cfRule>
    <cfRule type="containsText" dxfId="1196" priority="2118" operator="containsText" text="#">
      <formula>NOT(ISERROR(SEARCH("#",E272)))</formula>
    </cfRule>
    <cfRule type="containsText" dxfId="1195" priority="2119" operator="containsText" text="A">
      <formula>NOT(ISERROR(SEARCH("A",E272)))</formula>
    </cfRule>
    <cfRule type="containsText" dxfId="1194" priority="2120" operator="containsText" text="C">
      <formula>NOT(ISERROR(SEARCH("C",E272)))</formula>
    </cfRule>
    <cfRule type="containsText" dxfId="1193" priority="2121" operator="containsText" text="B">
      <formula>NOT(ISERROR(SEARCH("B",E272)))</formula>
    </cfRule>
  </conditionalFormatting>
  <conditionalFormatting sqref="E273">
    <cfRule type="containsText" dxfId="1192" priority="2106" operator="containsText" text="2nd">
      <formula>NOT(ISERROR(SEARCH("2nd",E273)))</formula>
    </cfRule>
    <cfRule type="containsText" dxfId="1191" priority="2107" operator="containsText" text="#">
      <formula>NOT(ISERROR(SEARCH("#",E273)))</formula>
    </cfRule>
    <cfRule type="containsText" dxfId="1190" priority="2108" operator="containsText" text="A">
      <formula>NOT(ISERROR(SEARCH("A",E273)))</formula>
    </cfRule>
    <cfRule type="containsText" dxfId="1189" priority="2109" operator="containsText" text="C">
      <formula>NOT(ISERROR(SEARCH("C",E273)))</formula>
    </cfRule>
    <cfRule type="containsText" dxfId="1188" priority="2110" operator="containsText" text="B">
      <formula>NOT(ISERROR(SEARCH("B",E273)))</formula>
    </cfRule>
  </conditionalFormatting>
  <conditionalFormatting sqref="E274">
    <cfRule type="containsText" dxfId="1187" priority="2095" operator="containsText" text="2nd">
      <formula>NOT(ISERROR(SEARCH("2nd",E274)))</formula>
    </cfRule>
    <cfRule type="containsText" dxfId="1186" priority="2096" operator="containsText" text="#">
      <formula>NOT(ISERROR(SEARCH("#",E274)))</formula>
    </cfRule>
    <cfRule type="containsText" dxfId="1185" priority="2097" operator="containsText" text="A">
      <formula>NOT(ISERROR(SEARCH("A",E274)))</formula>
    </cfRule>
    <cfRule type="containsText" dxfId="1184" priority="2098" operator="containsText" text="C">
      <formula>NOT(ISERROR(SEARCH("C",E274)))</formula>
    </cfRule>
    <cfRule type="containsText" dxfId="1183" priority="2099" operator="containsText" text="B">
      <formula>NOT(ISERROR(SEARCH("B",E274)))</formula>
    </cfRule>
  </conditionalFormatting>
  <conditionalFormatting sqref="E275">
    <cfRule type="containsText" dxfId="1182" priority="2084" operator="containsText" text="2nd">
      <formula>NOT(ISERROR(SEARCH("2nd",E275)))</formula>
    </cfRule>
    <cfRule type="containsText" dxfId="1181" priority="2085" operator="containsText" text="#">
      <formula>NOT(ISERROR(SEARCH("#",E275)))</formula>
    </cfRule>
    <cfRule type="containsText" dxfId="1180" priority="2086" operator="containsText" text="A">
      <formula>NOT(ISERROR(SEARCH("A",E275)))</formula>
    </cfRule>
    <cfRule type="containsText" dxfId="1179" priority="2087" operator="containsText" text="C">
      <formula>NOT(ISERROR(SEARCH("C",E275)))</formula>
    </cfRule>
    <cfRule type="containsText" dxfId="1178" priority="2088" operator="containsText" text="B">
      <formula>NOT(ISERROR(SEARCH("B",E275)))</formula>
    </cfRule>
  </conditionalFormatting>
  <conditionalFormatting sqref="E276">
    <cfRule type="containsText" dxfId="1177" priority="2073" operator="containsText" text="2nd">
      <formula>NOT(ISERROR(SEARCH("2nd",E276)))</formula>
    </cfRule>
    <cfRule type="containsText" dxfId="1176" priority="2074" operator="containsText" text="#">
      <formula>NOT(ISERROR(SEARCH("#",E276)))</formula>
    </cfRule>
    <cfRule type="containsText" dxfId="1175" priority="2075" operator="containsText" text="A">
      <formula>NOT(ISERROR(SEARCH("A",E276)))</formula>
    </cfRule>
    <cfRule type="containsText" dxfId="1174" priority="2076" operator="containsText" text="C">
      <formula>NOT(ISERROR(SEARCH("C",E276)))</formula>
    </cfRule>
    <cfRule type="containsText" dxfId="1173" priority="2077" operator="containsText" text="B">
      <formula>NOT(ISERROR(SEARCH("B",E276)))</formula>
    </cfRule>
  </conditionalFormatting>
  <conditionalFormatting sqref="E277">
    <cfRule type="containsText" dxfId="1172" priority="2062" operator="containsText" text="2nd">
      <formula>NOT(ISERROR(SEARCH("2nd",E277)))</formula>
    </cfRule>
    <cfRule type="containsText" dxfId="1171" priority="2063" operator="containsText" text="#">
      <formula>NOT(ISERROR(SEARCH("#",E277)))</formula>
    </cfRule>
    <cfRule type="containsText" dxfId="1170" priority="2064" operator="containsText" text="A">
      <formula>NOT(ISERROR(SEARCH("A",E277)))</formula>
    </cfRule>
    <cfRule type="containsText" dxfId="1169" priority="2065" operator="containsText" text="C">
      <formula>NOT(ISERROR(SEARCH("C",E277)))</formula>
    </cfRule>
    <cfRule type="containsText" dxfId="1168" priority="2066" operator="containsText" text="B">
      <formula>NOT(ISERROR(SEARCH("B",E277)))</formula>
    </cfRule>
  </conditionalFormatting>
  <conditionalFormatting sqref="E278">
    <cfRule type="containsText" dxfId="1167" priority="2051" operator="containsText" text="2nd">
      <formula>NOT(ISERROR(SEARCH("2nd",E278)))</formula>
    </cfRule>
    <cfRule type="containsText" dxfId="1166" priority="2052" operator="containsText" text="#">
      <formula>NOT(ISERROR(SEARCH("#",E278)))</formula>
    </cfRule>
    <cfRule type="containsText" dxfId="1165" priority="2053" operator="containsText" text="A">
      <formula>NOT(ISERROR(SEARCH("A",E278)))</formula>
    </cfRule>
    <cfRule type="containsText" dxfId="1164" priority="2054" operator="containsText" text="C">
      <formula>NOT(ISERROR(SEARCH("C",E278)))</formula>
    </cfRule>
    <cfRule type="containsText" dxfId="1163" priority="2055" operator="containsText" text="B">
      <formula>NOT(ISERROR(SEARCH("B",E278)))</formula>
    </cfRule>
  </conditionalFormatting>
  <conditionalFormatting sqref="E279">
    <cfRule type="containsText" dxfId="1162" priority="2040" operator="containsText" text="2nd">
      <formula>NOT(ISERROR(SEARCH("2nd",E279)))</formula>
    </cfRule>
    <cfRule type="containsText" dxfId="1161" priority="2041" operator="containsText" text="#">
      <formula>NOT(ISERROR(SEARCH("#",E279)))</formula>
    </cfRule>
    <cfRule type="containsText" dxfId="1160" priority="2042" operator="containsText" text="A">
      <formula>NOT(ISERROR(SEARCH("A",E279)))</formula>
    </cfRule>
    <cfRule type="containsText" dxfId="1159" priority="2043" operator="containsText" text="C">
      <formula>NOT(ISERROR(SEARCH("C",E279)))</formula>
    </cfRule>
    <cfRule type="containsText" dxfId="1158" priority="2044" operator="containsText" text="B">
      <formula>NOT(ISERROR(SEARCH("B",E279)))</formula>
    </cfRule>
  </conditionalFormatting>
  <conditionalFormatting sqref="E281">
    <cfRule type="containsText" dxfId="1157" priority="2029" operator="containsText" text="2nd">
      <formula>NOT(ISERROR(SEARCH("2nd",E281)))</formula>
    </cfRule>
    <cfRule type="containsText" dxfId="1156" priority="2030" operator="containsText" text="#">
      <formula>NOT(ISERROR(SEARCH("#",E281)))</formula>
    </cfRule>
    <cfRule type="containsText" dxfId="1155" priority="2031" operator="containsText" text="A">
      <formula>NOT(ISERROR(SEARCH("A",E281)))</formula>
    </cfRule>
    <cfRule type="containsText" dxfId="1154" priority="2032" operator="containsText" text="C">
      <formula>NOT(ISERROR(SEARCH("C",E281)))</formula>
    </cfRule>
    <cfRule type="containsText" dxfId="1153" priority="2033" operator="containsText" text="B">
      <formula>NOT(ISERROR(SEARCH("B",E281)))</formula>
    </cfRule>
  </conditionalFormatting>
  <conditionalFormatting sqref="E282">
    <cfRule type="containsText" dxfId="1152" priority="2018" operator="containsText" text="2nd">
      <formula>NOT(ISERROR(SEARCH("2nd",E282)))</formula>
    </cfRule>
    <cfRule type="containsText" dxfId="1151" priority="2019" operator="containsText" text="#">
      <formula>NOT(ISERROR(SEARCH("#",E282)))</formula>
    </cfRule>
    <cfRule type="containsText" dxfId="1150" priority="2020" operator="containsText" text="A">
      <formula>NOT(ISERROR(SEARCH("A",E282)))</formula>
    </cfRule>
    <cfRule type="containsText" dxfId="1149" priority="2021" operator="containsText" text="C">
      <formula>NOT(ISERROR(SEARCH("C",E282)))</formula>
    </cfRule>
    <cfRule type="containsText" dxfId="1148" priority="2022" operator="containsText" text="B">
      <formula>NOT(ISERROR(SEARCH("B",E282)))</formula>
    </cfRule>
  </conditionalFormatting>
  <conditionalFormatting sqref="E284">
    <cfRule type="containsText" dxfId="1147" priority="2007" operator="containsText" text="2nd">
      <formula>NOT(ISERROR(SEARCH("2nd",E284)))</formula>
    </cfRule>
    <cfRule type="containsText" dxfId="1146" priority="2008" operator="containsText" text="#">
      <formula>NOT(ISERROR(SEARCH("#",E284)))</formula>
    </cfRule>
    <cfRule type="containsText" dxfId="1145" priority="2009" operator="containsText" text="A">
      <formula>NOT(ISERROR(SEARCH("A",E284)))</formula>
    </cfRule>
    <cfRule type="containsText" dxfId="1144" priority="2010" operator="containsText" text="C">
      <formula>NOT(ISERROR(SEARCH("C",E284)))</formula>
    </cfRule>
    <cfRule type="containsText" dxfId="1143" priority="2011" operator="containsText" text="B">
      <formula>NOT(ISERROR(SEARCH("B",E284)))</formula>
    </cfRule>
  </conditionalFormatting>
  <conditionalFormatting sqref="E285">
    <cfRule type="containsText" dxfId="1142" priority="1996" operator="containsText" text="2nd">
      <formula>NOT(ISERROR(SEARCH("2nd",E285)))</formula>
    </cfRule>
    <cfRule type="containsText" dxfId="1141" priority="1997" operator="containsText" text="#">
      <formula>NOT(ISERROR(SEARCH("#",E285)))</formula>
    </cfRule>
    <cfRule type="containsText" dxfId="1140" priority="1998" operator="containsText" text="A">
      <formula>NOT(ISERROR(SEARCH("A",E285)))</formula>
    </cfRule>
    <cfRule type="containsText" dxfId="1139" priority="1999" operator="containsText" text="C">
      <formula>NOT(ISERROR(SEARCH("C",E285)))</formula>
    </cfRule>
    <cfRule type="containsText" dxfId="1138" priority="2000" operator="containsText" text="B">
      <formula>NOT(ISERROR(SEARCH("B",E285)))</formula>
    </cfRule>
  </conditionalFormatting>
  <conditionalFormatting sqref="E286">
    <cfRule type="containsText" dxfId="1137" priority="1985" operator="containsText" text="2nd">
      <formula>NOT(ISERROR(SEARCH("2nd",E286)))</formula>
    </cfRule>
    <cfRule type="containsText" dxfId="1136" priority="1986" operator="containsText" text="#">
      <formula>NOT(ISERROR(SEARCH("#",E286)))</formula>
    </cfRule>
    <cfRule type="containsText" dxfId="1135" priority="1987" operator="containsText" text="A">
      <formula>NOT(ISERROR(SEARCH("A",E286)))</formula>
    </cfRule>
    <cfRule type="containsText" dxfId="1134" priority="1988" operator="containsText" text="C">
      <formula>NOT(ISERROR(SEARCH("C",E286)))</formula>
    </cfRule>
    <cfRule type="containsText" dxfId="1133" priority="1989" operator="containsText" text="B">
      <formula>NOT(ISERROR(SEARCH("B",E286)))</formula>
    </cfRule>
  </conditionalFormatting>
  <conditionalFormatting sqref="E287">
    <cfRule type="containsText" dxfId="1132" priority="1974" operator="containsText" text="2nd">
      <formula>NOT(ISERROR(SEARCH("2nd",E287)))</formula>
    </cfRule>
    <cfRule type="containsText" dxfId="1131" priority="1975" operator="containsText" text="#">
      <formula>NOT(ISERROR(SEARCH("#",E287)))</formula>
    </cfRule>
    <cfRule type="containsText" dxfId="1130" priority="1976" operator="containsText" text="A">
      <formula>NOT(ISERROR(SEARCH("A",E287)))</formula>
    </cfRule>
    <cfRule type="containsText" dxfId="1129" priority="1977" operator="containsText" text="C">
      <formula>NOT(ISERROR(SEARCH("C",E287)))</formula>
    </cfRule>
    <cfRule type="containsText" dxfId="1128" priority="1978" operator="containsText" text="B">
      <formula>NOT(ISERROR(SEARCH("B",E287)))</formula>
    </cfRule>
  </conditionalFormatting>
  <conditionalFormatting sqref="F288">
    <cfRule type="expression" dxfId="1127" priority="1968">
      <formula>E288="#"</formula>
    </cfRule>
    <cfRule type="expression" dxfId="1126" priority="1969">
      <formula>E288="B"</formula>
    </cfRule>
    <cfRule type="expression" dxfId="1125" priority="1970">
      <formula>E288="C"</formula>
    </cfRule>
    <cfRule type="expression" priority="1971">
      <formula>E288="A"</formula>
    </cfRule>
    <cfRule type="expression" priority="1972">
      <formula>E288=n.a.</formula>
    </cfRule>
  </conditionalFormatting>
  <conditionalFormatting sqref="E288">
    <cfRule type="containsText" dxfId="1124" priority="1963" operator="containsText" text="2nd">
      <formula>NOT(ISERROR(SEARCH("2nd",E288)))</formula>
    </cfRule>
    <cfRule type="containsText" dxfId="1123" priority="1964" operator="containsText" text="#">
      <formula>NOT(ISERROR(SEARCH("#",E288)))</formula>
    </cfRule>
    <cfRule type="containsText" dxfId="1122" priority="1965" operator="containsText" text="A">
      <formula>NOT(ISERROR(SEARCH("A",E288)))</formula>
    </cfRule>
    <cfRule type="containsText" dxfId="1121" priority="1966" operator="containsText" text="C">
      <formula>NOT(ISERROR(SEARCH("C",E288)))</formula>
    </cfRule>
    <cfRule type="containsText" dxfId="1120" priority="1967" operator="containsText" text="B">
      <formula>NOT(ISERROR(SEARCH("B",E288)))</formula>
    </cfRule>
  </conditionalFormatting>
  <conditionalFormatting sqref="F288:K288">
    <cfRule type="expression" dxfId="1119" priority="1962">
      <formula>E288="2nd"</formula>
    </cfRule>
  </conditionalFormatting>
  <conditionalFormatting sqref="F289">
    <cfRule type="expression" dxfId="1118" priority="1957">
      <formula>E289="#"</formula>
    </cfRule>
    <cfRule type="expression" dxfId="1117" priority="1958">
      <formula>E289="B"</formula>
    </cfRule>
    <cfRule type="expression" dxfId="1116" priority="1959">
      <formula>E289="C"</formula>
    </cfRule>
    <cfRule type="expression" priority="1960">
      <formula>E289="A"</formula>
    </cfRule>
    <cfRule type="expression" priority="1961">
      <formula>E289=n.a.</formula>
    </cfRule>
  </conditionalFormatting>
  <conditionalFormatting sqref="F289:K289">
    <cfRule type="expression" dxfId="1115" priority="1951">
      <formula>E289="2nd"</formula>
    </cfRule>
  </conditionalFormatting>
  <conditionalFormatting sqref="E344">
    <cfRule type="containsText" dxfId="1114" priority="1897" operator="containsText" text="2nd">
      <formula>NOT(ISERROR(SEARCH("2nd",E344)))</formula>
    </cfRule>
    <cfRule type="containsText" dxfId="1113" priority="1898" operator="containsText" text="#">
      <formula>NOT(ISERROR(SEARCH("#",E344)))</formula>
    </cfRule>
    <cfRule type="containsText" dxfId="1112" priority="1899" operator="containsText" text="A">
      <formula>NOT(ISERROR(SEARCH("A",E344)))</formula>
    </cfRule>
    <cfRule type="containsText" dxfId="1111" priority="1900" operator="containsText" text="C">
      <formula>NOT(ISERROR(SEARCH("C",E344)))</formula>
    </cfRule>
    <cfRule type="containsText" dxfId="1110" priority="1901" operator="containsText" text="B">
      <formula>NOT(ISERROR(SEARCH("B",E344)))</formula>
    </cfRule>
  </conditionalFormatting>
  <conditionalFormatting sqref="E345">
    <cfRule type="containsText" dxfId="1109" priority="1886" operator="containsText" text="2nd">
      <formula>NOT(ISERROR(SEARCH("2nd",E345)))</formula>
    </cfRule>
    <cfRule type="containsText" dxfId="1108" priority="1887" operator="containsText" text="#">
      <formula>NOT(ISERROR(SEARCH("#",E345)))</formula>
    </cfRule>
    <cfRule type="containsText" dxfId="1107" priority="1888" operator="containsText" text="A">
      <formula>NOT(ISERROR(SEARCH("A",E345)))</formula>
    </cfRule>
    <cfRule type="containsText" dxfId="1106" priority="1889" operator="containsText" text="C">
      <formula>NOT(ISERROR(SEARCH("C",E345)))</formula>
    </cfRule>
    <cfRule type="containsText" dxfId="1105" priority="1890" operator="containsText" text="B">
      <formula>NOT(ISERROR(SEARCH("B",E345)))</formula>
    </cfRule>
  </conditionalFormatting>
  <conditionalFormatting sqref="E346">
    <cfRule type="containsText" dxfId="1104" priority="1875" operator="containsText" text="2nd">
      <formula>NOT(ISERROR(SEARCH("2nd",E346)))</formula>
    </cfRule>
    <cfRule type="containsText" dxfId="1103" priority="1876" operator="containsText" text="#">
      <formula>NOT(ISERROR(SEARCH("#",E346)))</formula>
    </cfRule>
    <cfRule type="containsText" dxfId="1102" priority="1877" operator="containsText" text="A">
      <formula>NOT(ISERROR(SEARCH("A",E346)))</formula>
    </cfRule>
    <cfRule type="containsText" dxfId="1101" priority="1878" operator="containsText" text="C">
      <formula>NOT(ISERROR(SEARCH("C",E346)))</formula>
    </cfRule>
    <cfRule type="containsText" dxfId="1100" priority="1879" operator="containsText" text="B">
      <formula>NOT(ISERROR(SEARCH("B",E346)))</formula>
    </cfRule>
  </conditionalFormatting>
  <conditionalFormatting sqref="E347">
    <cfRule type="containsText" dxfId="1099" priority="1864" operator="containsText" text="2nd">
      <formula>NOT(ISERROR(SEARCH("2nd",E347)))</formula>
    </cfRule>
    <cfRule type="containsText" dxfId="1098" priority="1865" operator="containsText" text="#">
      <formula>NOT(ISERROR(SEARCH("#",E347)))</formula>
    </cfRule>
    <cfRule type="containsText" dxfId="1097" priority="1866" operator="containsText" text="A">
      <formula>NOT(ISERROR(SEARCH("A",E347)))</formula>
    </cfRule>
    <cfRule type="containsText" dxfId="1096" priority="1867" operator="containsText" text="C">
      <formula>NOT(ISERROR(SEARCH("C",E347)))</formula>
    </cfRule>
    <cfRule type="containsText" dxfId="1095" priority="1868" operator="containsText" text="B">
      <formula>NOT(ISERROR(SEARCH("B",E347)))</formula>
    </cfRule>
  </conditionalFormatting>
  <conditionalFormatting sqref="E350">
    <cfRule type="containsText" dxfId="1094" priority="1842" operator="containsText" text="2nd">
      <formula>NOT(ISERROR(SEARCH("2nd",E350)))</formula>
    </cfRule>
    <cfRule type="containsText" dxfId="1093" priority="1843" operator="containsText" text="#">
      <formula>NOT(ISERROR(SEARCH("#",E350)))</formula>
    </cfRule>
    <cfRule type="containsText" dxfId="1092" priority="1844" operator="containsText" text="A">
      <formula>NOT(ISERROR(SEARCH("A",E350)))</formula>
    </cfRule>
    <cfRule type="containsText" dxfId="1091" priority="1845" operator="containsText" text="C">
      <formula>NOT(ISERROR(SEARCH("C",E350)))</formula>
    </cfRule>
    <cfRule type="containsText" dxfId="1090" priority="1846" operator="containsText" text="B">
      <formula>NOT(ISERROR(SEARCH("B",E350)))</formula>
    </cfRule>
  </conditionalFormatting>
  <conditionalFormatting sqref="E351">
    <cfRule type="containsText" dxfId="1089" priority="1831" operator="containsText" text="2nd">
      <formula>NOT(ISERROR(SEARCH("2nd",E351)))</formula>
    </cfRule>
    <cfRule type="containsText" dxfId="1088" priority="1832" operator="containsText" text="#">
      <formula>NOT(ISERROR(SEARCH("#",E351)))</formula>
    </cfRule>
    <cfRule type="containsText" dxfId="1087" priority="1833" operator="containsText" text="A">
      <formula>NOT(ISERROR(SEARCH("A",E351)))</formula>
    </cfRule>
    <cfRule type="containsText" dxfId="1086" priority="1834" operator="containsText" text="C">
      <formula>NOT(ISERROR(SEARCH("C",E351)))</formula>
    </cfRule>
    <cfRule type="containsText" dxfId="1085" priority="1835" operator="containsText" text="B">
      <formula>NOT(ISERROR(SEARCH("B",E351)))</formula>
    </cfRule>
  </conditionalFormatting>
  <conditionalFormatting sqref="E352">
    <cfRule type="containsText" dxfId="1084" priority="1820" operator="containsText" text="2nd">
      <formula>NOT(ISERROR(SEARCH("2nd",E352)))</formula>
    </cfRule>
    <cfRule type="containsText" dxfId="1083" priority="1821" operator="containsText" text="#">
      <formula>NOT(ISERROR(SEARCH("#",E352)))</formula>
    </cfRule>
    <cfRule type="containsText" dxfId="1082" priority="1822" operator="containsText" text="A">
      <formula>NOT(ISERROR(SEARCH("A",E352)))</formula>
    </cfRule>
    <cfRule type="containsText" dxfId="1081" priority="1823" operator="containsText" text="C">
      <formula>NOT(ISERROR(SEARCH("C",E352)))</formula>
    </cfRule>
    <cfRule type="containsText" dxfId="1080" priority="1824" operator="containsText" text="B">
      <formula>NOT(ISERROR(SEARCH("B",E352)))</formula>
    </cfRule>
  </conditionalFormatting>
  <conditionalFormatting sqref="E353">
    <cfRule type="containsText" dxfId="1079" priority="1809" operator="containsText" text="2nd">
      <formula>NOT(ISERROR(SEARCH("2nd",E353)))</formula>
    </cfRule>
    <cfRule type="containsText" dxfId="1078" priority="1810" operator="containsText" text="#">
      <formula>NOT(ISERROR(SEARCH("#",E353)))</formula>
    </cfRule>
    <cfRule type="containsText" dxfId="1077" priority="1811" operator="containsText" text="A">
      <formula>NOT(ISERROR(SEARCH("A",E353)))</formula>
    </cfRule>
    <cfRule type="containsText" dxfId="1076" priority="1812" operator="containsText" text="C">
      <formula>NOT(ISERROR(SEARCH("C",E353)))</formula>
    </cfRule>
    <cfRule type="containsText" dxfId="1075" priority="1813" operator="containsText" text="B">
      <formula>NOT(ISERROR(SEARCH("B",E353)))</formula>
    </cfRule>
  </conditionalFormatting>
  <conditionalFormatting sqref="E354">
    <cfRule type="containsText" dxfId="1074" priority="1798" operator="containsText" text="2nd">
      <formula>NOT(ISERROR(SEARCH("2nd",E354)))</formula>
    </cfRule>
    <cfRule type="containsText" dxfId="1073" priority="1799" operator="containsText" text="#">
      <formula>NOT(ISERROR(SEARCH("#",E354)))</formula>
    </cfRule>
    <cfRule type="containsText" dxfId="1072" priority="1800" operator="containsText" text="A">
      <formula>NOT(ISERROR(SEARCH("A",E354)))</formula>
    </cfRule>
    <cfRule type="containsText" dxfId="1071" priority="1801" operator="containsText" text="C">
      <formula>NOT(ISERROR(SEARCH("C",E354)))</formula>
    </cfRule>
    <cfRule type="containsText" dxfId="1070" priority="1802" operator="containsText" text="B">
      <formula>NOT(ISERROR(SEARCH("B",E354)))</formula>
    </cfRule>
  </conditionalFormatting>
  <conditionalFormatting sqref="E355">
    <cfRule type="containsText" dxfId="1069" priority="1787" operator="containsText" text="2nd">
      <formula>NOT(ISERROR(SEARCH("2nd",E355)))</formula>
    </cfRule>
    <cfRule type="containsText" dxfId="1068" priority="1788" operator="containsText" text="#">
      <formula>NOT(ISERROR(SEARCH("#",E355)))</formula>
    </cfRule>
    <cfRule type="containsText" dxfId="1067" priority="1789" operator="containsText" text="A">
      <formula>NOT(ISERROR(SEARCH("A",E355)))</formula>
    </cfRule>
    <cfRule type="containsText" dxfId="1066" priority="1790" operator="containsText" text="C">
      <formula>NOT(ISERROR(SEARCH("C",E355)))</formula>
    </cfRule>
    <cfRule type="containsText" dxfId="1065" priority="1791" operator="containsText" text="B">
      <formula>NOT(ISERROR(SEARCH("B",E355)))</formula>
    </cfRule>
  </conditionalFormatting>
  <conditionalFormatting sqref="E356">
    <cfRule type="containsText" dxfId="1064" priority="1776" operator="containsText" text="2nd">
      <formula>NOT(ISERROR(SEARCH("2nd",E356)))</formula>
    </cfRule>
    <cfRule type="containsText" dxfId="1063" priority="1777" operator="containsText" text="#">
      <formula>NOT(ISERROR(SEARCH("#",E356)))</formula>
    </cfRule>
    <cfRule type="containsText" dxfId="1062" priority="1778" operator="containsText" text="A">
      <formula>NOT(ISERROR(SEARCH("A",E356)))</formula>
    </cfRule>
    <cfRule type="containsText" dxfId="1061" priority="1779" operator="containsText" text="C">
      <formula>NOT(ISERROR(SEARCH("C",E356)))</formula>
    </cfRule>
    <cfRule type="containsText" dxfId="1060" priority="1780" operator="containsText" text="B">
      <formula>NOT(ISERROR(SEARCH("B",E356)))</formula>
    </cfRule>
  </conditionalFormatting>
  <conditionalFormatting sqref="E358">
    <cfRule type="containsText" dxfId="1059" priority="1754" operator="containsText" text="2nd">
      <formula>NOT(ISERROR(SEARCH("2nd",E358)))</formula>
    </cfRule>
    <cfRule type="containsText" dxfId="1058" priority="1755" operator="containsText" text="#">
      <formula>NOT(ISERROR(SEARCH("#",E358)))</formula>
    </cfRule>
    <cfRule type="containsText" dxfId="1057" priority="1756" operator="containsText" text="A">
      <formula>NOT(ISERROR(SEARCH("A",E358)))</formula>
    </cfRule>
    <cfRule type="containsText" dxfId="1056" priority="1757" operator="containsText" text="C">
      <formula>NOT(ISERROR(SEARCH("C",E358)))</formula>
    </cfRule>
    <cfRule type="containsText" dxfId="1055" priority="1758" operator="containsText" text="B">
      <formula>NOT(ISERROR(SEARCH("B",E358)))</formula>
    </cfRule>
  </conditionalFormatting>
  <conditionalFormatting sqref="E361">
    <cfRule type="containsText" dxfId="1054" priority="1732" operator="containsText" text="2nd">
      <formula>NOT(ISERROR(SEARCH("2nd",E361)))</formula>
    </cfRule>
    <cfRule type="containsText" dxfId="1053" priority="1733" operator="containsText" text="#">
      <formula>NOT(ISERROR(SEARCH("#",E361)))</formula>
    </cfRule>
    <cfRule type="containsText" dxfId="1052" priority="1734" operator="containsText" text="A">
      <formula>NOT(ISERROR(SEARCH("A",E361)))</formula>
    </cfRule>
    <cfRule type="containsText" dxfId="1051" priority="1735" operator="containsText" text="C">
      <formula>NOT(ISERROR(SEARCH("C",E361)))</formula>
    </cfRule>
    <cfRule type="containsText" dxfId="1050" priority="1736" operator="containsText" text="B">
      <formula>NOT(ISERROR(SEARCH("B",E361)))</formula>
    </cfRule>
  </conditionalFormatting>
  <conditionalFormatting sqref="E363">
    <cfRule type="containsText" dxfId="1049" priority="1710" operator="containsText" text="2nd">
      <formula>NOT(ISERROR(SEARCH("2nd",E363)))</formula>
    </cfRule>
    <cfRule type="containsText" dxfId="1048" priority="1711" operator="containsText" text="#">
      <formula>NOT(ISERROR(SEARCH("#",E363)))</formula>
    </cfRule>
    <cfRule type="containsText" dxfId="1047" priority="1712" operator="containsText" text="A">
      <formula>NOT(ISERROR(SEARCH("A",E363)))</formula>
    </cfRule>
    <cfRule type="containsText" dxfId="1046" priority="1713" operator="containsText" text="C">
      <formula>NOT(ISERROR(SEARCH("C",E363)))</formula>
    </cfRule>
    <cfRule type="containsText" dxfId="1045" priority="1714" operator="containsText" text="B">
      <formula>NOT(ISERROR(SEARCH("B",E363)))</formula>
    </cfRule>
  </conditionalFormatting>
  <conditionalFormatting sqref="E366">
    <cfRule type="containsText" dxfId="1044" priority="1688" operator="containsText" text="2nd">
      <formula>NOT(ISERROR(SEARCH("2nd",E366)))</formula>
    </cfRule>
    <cfRule type="containsText" dxfId="1043" priority="1689" operator="containsText" text="#">
      <formula>NOT(ISERROR(SEARCH("#",E366)))</formula>
    </cfRule>
    <cfRule type="containsText" dxfId="1042" priority="1690" operator="containsText" text="A">
      <formula>NOT(ISERROR(SEARCH("A",E366)))</formula>
    </cfRule>
    <cfRule type="containsText" dxfId="1041" priority="1691" operator="containsText" text="C">
      <formula>NOT(ISERROR(SEARCH("C",E366)))</formula>
    </cfRule>
    <cfRule type="containsText" dxfId="1040" priority="1692" operator="containsText" text="B">
      <formula>NOT(ISERROR(SEARCH("B",E366)))</formula>
    </cfRule>
  </conditionalFormatting>
  <conditionalFormatting sqref="E367">
    <cfRule type="containsText" dxfId="1039" priority="1677" operator="containsText" text="2nd">
      <formula>NOT(ISERROR(SEARCH("2nd",E367)))</formula>
    </cfRule>
    <cfRule type="containsText" dxfId="1038" priority="1678" operator="containsText" text="#">
      <formula>NOT(ISERROR(SEARCH("#",E367)))</formula>
    </cfRule>
    <cfRule type="containsText" dxfId="1037" priority="1679" operator="containsText" text="A">
      <formula>NOT(ISERROR(SEARCH("A",E367)))</formula>
    </cfRule>
    <cfRule type="containsText" dxfId="1036" priority="1680" operator="containsText" text="C">
      <formula>NOT(ISERROR(SEARCH("C",E367)))</formula>
    </cfRule>
    <cfRule type="containsText" dxfId="1035" priority="1681" operator="containsText" text="B">
      <formula>NOT(ISERROR(SEARCH("B",E367)))</formula>
    </cfRule>
  </conditionalFormatting>
  <conditionalFormatting sqref="E368">
    <cfRule type="containsText" dxfId="1034" priority="1666" operator="containsText" text="2nd">
      <formula>NOT(ISERROR(SEARCH("2nd",E368)))</formula>
    </cfRule>
    <cfRule type="containsText" dxfId="1033" priority="1667" operator="containsText" text="#">
      <formula>NOT(ISERROR(SEARCH("#",E368)))</formula>
    </cfRule>
    <cfRule type="containsText" dxfId="1032" priority="1668" operator="containsText" text="A">
      <formula>NOT(ISERROR(SEARCH("A",E368)))</formula>
    </cfRule>
    <cfRule type="containsText" dxfId="1031" priority="1669" operator="containsText" text="C">
      <formula>NOT(ISERROR(SEARCH("C",E368)))</formula>
    </cfRule>
    <cfRule type="containsText" dxfId="1030" priority="1670" operator="containsText" text="B">
      <formula>NOT(ISERROR(SEARCH("B",E368)))</formula>
    </cfRule>
  </conditionalFormatting>
  <conditionalFormatting sqref="E371">
    <cfRule type="containsText" dxfId="1029" priority="1633" operator="containsText" text="2nd">
      <formula>NOT(ISERROR(SEARCH("2nd",E371)))</formula>
    </cfRule>
    <cfRule type="containsText" dxfId="1028" priority="1634" operator="containsText" text="#">
      <formula>NOT(ISERROR(SEARCH("#",E371)))</formula>
    </cfRule>
    <cfRule type="containsText" dxfId="1027" priority="1635" operator="containsText" text="A">
      <formula>NOT(ISERROR(SEARCH("A",E371)))</formula>
    </cfRule>
    <cfRule type="containsText" dxfId="1026" priority="1636" operator="containsText" text="C">
      <formula>NOT(ISERROR(SEARCH("C",E371)))</formula>
    </cfRule>
    <cfRule type="containsText" dxfId="1025" priority="1637" operator="containsText" text="B">
      <formula>NOT(ISERROR(SEARCH("B",E371)))</formula>
    </cfRule>
  </conditionalFormatting>
  <conditionalFormatting sqref="F377">
    <cfRule type="expression" dxfId="1024" priority="1583">
      <formula>E377="#"</formula>
    </cfRule>
    <cfRule type="expression" dxfId="1023" priority="1584">
      <formula>E377="B"</formula>
    </cfRule>
    <cfRule type="expression" dxfId="1022" priority="1585">
      <formula>E377="C"</formula>
    </cfRule>
    <cfRule type="expression" priority="1586">
      <formula>E377="A"</formula>
    </cfRule>
    <cfRule type="expression" priority="1587">
      <formula>E377=n.a.</formula>
    </cfRule>
  </conditionalFormatting>
  <conditionalFormatting sqref="F377:K377">
    <cfRule type="expression" dxfId="1021" priority="1577">
      <formula>E377="2nd"</formula>
    </cfRule>
  </conditionalFormatting>
  <conditionalFormatting sqref="F378">
    <cfRule type="expression" dxfId="1020" priority="1572">
      <formula>E378="#"</formula>
    </cfRule>
    <cfRule type="expression" dxfId="1019" priority="1573">
      <formula>E378="B"</formula>
    </cfRule>
    <cfRule type="expression" dxfId="1018" priority="1574">
      <formula>E378="C"</formula>
    </cfRule>
    <cfRule type="expression" priority="1575">
      <formula>E378="A"</formula>
    </cfRule>
    <cfRule type="expression" priority="1576">
      <formula>E378=n.a.</formula>
    </cfRule>
  </conditionalFormatting>
  <conditionalFormatting sqref="F378:K378">
    <cfRule type="expression" dxfId="1017" priority="1566">
      <formula>E378="2nd"</formula>
    </cfRule>
  </conditionalFormatting>
  <conditionalFormatting sqref="N193">
    <cfRule type="cellIs" dxfId="1016" priority="1564" operator="equal">
      <formula>"nein"</formula>
    </cfRule>
    <cfRule type="cellIs" dxfId="1015" priority="1565" operator="equal">
      <formula>"ja"</formula>
    </cfRule>
  </conditionalFormatting>
  <conditionalFormatting sqref="N193">
    <cfRule type="cellIs" dxfId="1014" priority="1563" operator="equal">
      <formula>"nicht zutreffend"</formula>
    </cfRule>
  </conditionalFormatting>
  <conditionalFormatting sqref="N177:N179">
    <cfRule type="containsText" dxfId="1013" priority="1561" operator="containsText" text="Nein">
      <formula>NOT(ISERROR(SEARCH("Nein",N177)))</formula>
    </cfRule>
    <cfRule type="containsText" dxfId="1012" priority="1562" operator="containsText" text="Ja">
      <formula>NOT(ISERROR(SEARCH("Ja",N177)))</formula>
    </cfRule>
  </conditionalFormatting>
  <conditionalFormatting sqref="N183:N184">
    <cfRule type="containsText" dxfId="1011" priority="1559" operator="containsText" text="Nein">
      <formula>NOT(ISERROR(SEARCH("Nein",N183)))</formula>
    </cfRule>
    <cfRule type="containsText" dxfId="1010" priority="1560" operator="containsText" text="Ja">
      <formula>NOT(ISERROR(SEARCH("Ja",N183)))</formula>
    </cfRule>
  </conditionalFormatting>
  <conditionalFormatting sqref="N185">
    <cfRule type="containsText" dxfId="1009" priority="1557" operator="containsText" text="Nein">
      <formula>NOT(ISERROR(SEARCH("Nein",N185)))</formula>
    </cfRule>
    <cfRule type="containsText" dxfId="1008" priority="1558" operator="containsText" text="Ja">
      <formula>NOT(ISERROR(SEARCH("Ja",N185)))</formula>
    </cfRule>
  </conditionalFormatting>
  <conditionalFormatting sqref="N187">
    <cfRule type="containsText" dxfId="1007" priority="1555" operator="containsText" text="Nein">
      <formula>NOT(ISERROR(SEARCH("Nein",N187)))</formula>
    </cfRule>
    <cfRule type="containsText" dxfId="1006" priority="1556" operator="containsText" text="Ja">
      <formula>NOT(ISERROR(SEARCH("Ja",N187)))</formula>
    </cfRule>
  </conditionalFormatting>
  <conditionalFormatting sqref="N174">
    <cfRule type="containsText" dxfId="1005" priority="1553" operator="containsText" text="Yes">
      <formula>NOT(ISERROR(SEARCH("Yes",N174)))</formula>
    </cfRule>
    <cfRule type="containsText" dxfId="1004" priority="1554" operator="containsText" text="No">
      <formula>NOT(ISERROR(SEARCH("No",N174)))</formula>
    </cfRule>
  </conditionalFormatting>
  <conditionalFormatting sqref="N175">
    <cfRule type="containsText" dxfId="1003" priority="1551" operator="containsText" text="Yes">
      <formula>NOT(ISERROR(SEARCH("Yes",N175)))</formula>
    </cfRule>
    <cfRule type="containsText" dxfId="1002" priority="1552" operator="containsText" text="No">
      <formula>NOT(ISERROR(SEARCH("No",N175)))</formula>
    </cfRule>
  </conditionalFormatting>
  <conditionalFormatting sqref="N176">
    <cfRule type="containsText" dxfId="1001" priority="1549" operator="containsText" text="Yes">
      <formula>NOT(ISERROR(SEARCH("Yes",N176)))</formula>
    </cfRule>
    <cfRule type="containsText" dxfId="1000" priority="1550" operator="containsText" text="No">
      <formula>NOT(ISERROR(SEARCH("No",N176)))</formula>
    </cfRule>
  </conditionalFormatting>
  <conditionalFormatting sqref="N181">
    <cfRule type="containsText" dxfId="999" priority="1545" operator="containsText" text="Yes">
      <formula>NOT(ISERROR(SEARCH("Yes",N181)))</formula>
    </cfRule>
    <cfRule type="containsText" dxfId="998" priority="1546" operator="containsText" text="No">
      <formula>NOT(ISERROR(SEARCH("No",N181)))</formula>
    </cfRule>
  </conditionalFormatting>
  <conditionalFormatting sqref="N186">
    <cfRule type="containsText" dxfId="997" priority="1539" operator="containsText" text="Yes">
      <formula>NOT(ISERROR(SEARCH("Yes",N186)))</formula>
    </cfRule>
    <cfRule type="containsText" dxfId="996" priority="1540" operator="containsText" text="No">
      <formula>NOT(ISERROR(SEARCH("No",N186)))</formula>
    </cfRule>
  </conditionalFormatting>
  <conditionalFormatting sqref="N188">
    <cfRule type="containsText" dxfId="995" priority="1537" operator="containsText" text="Yes">
      <formula>NOT(ISERROR(SEARCH("Yes",N188)))</formula>
    </cfRule>
    <cfRule type="containsText" dxfId="994" priority="1538" operator="containsText" text="No">
      <formula>NOT(ISERROR(SEARCH("No",N188)))</formula>
    </cfRule>
  </conditionalFormatting>
  <conditionalFormatting sqref="N190">
    <cfRule type="containsText" dxfId="993" priority="1535" operator="containsText" text="Yes">
      <formula>NOT(ISERROR(SEARCH("Yes",N190)))</formula>
    </cfRule>
    <cfRule type="containsText" dxfId="992" priority="1536" operator="containsText" text="No">
      <formula>NOT(ISERROR(SEARCH("No",N190)))</formula>
    </cfRule>
  </conditionalFormatting>
  <conditionalFormatting sqref="N182">
    <cfRule type="containsText" dxfId="991" priority="1533" operator="containsText" text="Nein">
      <formula>NOT(ISERROR(SEARCH("Nein",N182)))</formula>
    </cfRule>
    <cfRule type="containsText" dxfId="990" priority="1534" operator="containsText" text="Ja">
      <formula>NOT(ISERROR(SEARCH("Ja",N182)))</formula>
    </cfRule>
  </conditionalFormatting>
  <conditionalFormatting sqref="N180">
    <cfRule type="containsText" dxfId="989" priority="1531" operator="containsText" text="Nein">
      <formula>NOT(ISERROR(SEARCH("Nein",N180)))</formula>
    </cfRule>
    <cfRule type="containsText" dxfId="988" priority="1532" operator="containsText" text="Ja">
      <formula>NOT(ISERROR(SEARCH("Ja",N180)))</formula>
    </cfRule>
  </conditionalFormatting>
  <conditionalFormatting sqref="E421">
    <cfRule type="containsText" dxfId="987" priority="1530" operator="containsText" text="A">
      <formula>NOT(ISERROR(SEARCH("A",E421)))</formula>
    </cfRule>
  </conditionalFormatting>
  <conditionalFormatting sqref="E427">
    <cfRule type="containsText" dxfId="986" priority="1529" operator="containsText" text="A">
      <formula>NOT(ISERROR(SEARCH("A",E427)))</formula>
    </cfRule>
  </conditionalFormatting>
  <conditionalFormatting sqref="E436">
    <cfRule type="containsText" dxfId="985" priority="1527" operator="containsText" text="A">
      <formula>NOT(ISERROR(SEARCH("A",E436)))</formula>
    </cfRule>
  </conditionalFormatting>
  <conditionalFormatting sqref="E439">
    <cfRule type="containsText" dxfId="984" priority="1526" operator="containsText" text="A">
      <formula>NOT(ISERROR(SEARCH("A",E439)))</formula>
    </cfRule>
  </conditionalFormatting>
  <conditionalFormatting sqref="E450">
    <cfRule type="containsText" dxfId="983" priority="1525" operator="containsText" text="A">
      <formula>NOT(ISERROR(SEARCH("A",E450)))</formula>
    </cfRule>
  </conditionalFormatting>
  <conditionalFormatting sqref="E451">
    <cfRule type="containsText" dxfId="982" priority="1524" operator="containsText" text="A">
      <formula>NOT(ISERROR(SEARCH("A",E451)))</formula>
    </cfRule>
  </conditionalFormatting>
  <conditionalFormatting sqref="E452">
    <cfRule type="containsText" dxfId="981" priority="1523" operator="containsText" text="A">
      <formula>NOT(ISERROR(SEARCH("A",E452)))</formula>
    </cfRule>
  </conditionalFormatting>
  <conditionalFormatting sqref="E453">
    <cfRule type="containsText" dxfId="980" priority="1522" operator="containsText" text="A">
      <formula>NOT(ISERROR(SEARCH("A",E453)))</formula>
    </cfRule>
  </conditionalFormatting>
  <conditionalFormatting sqref="E454">
    <cfRule type="containsText" dxfId="979" priority="1521" operator="containsText" text="A">
      <formula>NOT(ISERROR(SEARCH("A",E454)))</formula>
    </cfRule>
  </conditionalFormatting>
  <conditionalFormatting sqref="E455">
    <cfRule type="containsText" dxfId="978" priority="1520" operator="containsText" text="A">
      <formula>NOT(ISERROR(SEARCH("A",E455)))</formula>
    </cfRule>
  </conditionalFormatting>
  <conditionalFormatting sqref="E456">
    <cfRule type="containsText" dxfId="977" priority="1519" operator="containsText" text="A">
      <formula>NOT(ISERROR(SEARCH("A",E456)))</formula>
    </cfRule>
  </conditionalFormatting>
  <conditionalFormatting sqref="E422">
    <cfRule type="containsText" dxfId="976" priority="1509" operator="containsText" text="2nd">
      <formula>NOT(ISERROR(SEARCH("2nd",E422)))</formula>
    </cfRule>
    <cfRule type="containsText" dxfId="975" priority="1510" operator="containsText" text="#">
      <formula>NOT(ISERROR(SEARCH("#",E422)))</formula>
    </cfRule>
    <cfRule type="containsText" dxfId="974" priority="1511" operator="containsText" text="A">
      <formula>NOT(ISERROR(SEARCH("A",E422)))</formula>
    </cfRule>
    <cfRule type="containsText" dxfId="973" priority="1512" operator="containsText" text="C">
      <formula>NOT(ISERROR(SEARCH("C",E422)))</formula>
    </cfRule>
    <cfRule type="containsText" dxfId="972" priority="1513" operator="containsText" text="B">
      <formula>NOT(ISERROR(SEARCH("B",E422)))</formula>
    </cfRule>
  </conditionalFormatting>
  <conditionalFormatting sqref="E423">
    <cfRule type="containsText" dxfId="971" priority="1498" operator="containsText" text="2nd">
      <formula>NOT(ISERROR(SEARCH("2nd",E423)))</formula>
    </cfRule>
    <cfRule type="containsText" dxfId="970" priority="1499" operator="containsText" text="#">
      <formula>NOT(ISERROR(SEARCH("#",E423)))</formula>
    </cfRule>
    <cfRule type="containsText" dxfId="969" priority="1500" operator="containsText" text="A">
      <formula>NOT(ISERROR(SEARCH("A",E423)))</formula>
    </cfRule>
    <cfRule type="containsText" dxfId="968" priority="1501" operator="containsText" text="C">
      <formula>NOT(ISERROR(SEARCH("C",E423)))</formula>
    </cfRule>
    <cfRule type="containsText" dxfId="967" priority="1502" operator="containsText" text="B">
      <formula>NOT(ISERROR(SEARCH("B",E423)))</formula>
    </cfRule>
  </conditionalFormatting>
  <conditionalFormatting sqref="E424">
    <cfRule type="containsText" dxfId="966" priority="1487" operator="containsText" text="2nd">
      <formula>NOT(ISERROR(SEARCH("2nd",E424)))</formula>
    </cfRule>
    <cfRule type="containsText" dxfId="965" priority="1488" operator="containsText" text="#">
      <formula>NOT(ISERROR(SEARCH("#",E424)))</formula>
    </cfRule>
    <cfRule type="containsText" dxfId="964" priority="1489" operator="containsText" text="A">
      <formula>NOT(ISERROR(SEARCH("A",E424)))</formula>
    </cfRule>
    <cfRule type="containsText" dxfId="963" priority="1490" operator="containsText" text="C">
      <formula>NOT(ISERROR(SEARCH("C",E424)))</formula>
    </cfRule>
    <cfRule type="containsText" dxfId="962" priority="1491" operator="containsText" text="B">
      <formula>NOT(ISERROR(SEARCH("B",E424)))</formula>
    </cfRule>
  </conditionalFormatting>
  <conditionalFormatting sqref="E425">
    <cfRule type="containsText" dxfId="961" priority="1476" operator="containsText" text="2nd">
      <formula>NOT(ISERROR(SEARCH("2nd",E425)))</formula>
    </cfRule>
    <cfRule type="containsText" dxfId="960" priority="1477" operator="containsText" text="#">
      <formula>NOT(ISERROR(SEARCH("#",E425)))</formula>
    </cfRule>
    <cfRule type="containsText" dxfId="959" priority="1478" operator="containsText" text="A">
      <formula>NOT(ISERROR(SEARCH("A",E425)))</formula>
    </cfRule>
    <cfRule type="containsText" dxfId="958" priority="1479" operator="containsText" text="C">
      <formula>NOT(ISERROR(SEARCH("C",E425)))</formula>
    </cfRule>
    <cfRule type="containsText" dxfId="957" priority="1480" operator="containsText" text="B">
      <formula>NOT(ISERROR(SEARCH("B",E425)))</formula>
    </cfRule>
  </conditionalFormatting>
  <conditionalFormatting sqref="E426">
    <cfRule type="containsText" dxfId="956" priority="1465" operator="containsText" text="2nd">
      <formula>NOT(ISERROR(SEARCH("2nd",E426)))</formula>
    </cfRule>
    <cfRule type="containsText" dxfId="955" priority="1466" operator="containsText" text="#">
      <formula>NOT(ISERROR(SEARCH("#",E426)))</formula>
    </cfRule>
    <cfRule type="containsText" dxfId="954" priority="1467" operator="containsText" text="A">
      <formula>NOT(ISERROR(SEARCH("A",E426)))</formula>
    </cfRule>
    <cfRule type="containsText" dxfId="953" priority="1468" operator="containsText" text="C">
      <formula>NOT(ISERROR(SEARCH("C",E426)))</formula>
    </cfRule>
    <cfRule type="containsText" dxfId="952" priority="1469" operator="containsText" text="B">
      <formula>NOT(ISERROR(SEARCH("B",E426)))</formula>
    </cfRule>
  </conditionalFormatting>
  <conditionalFormatting sqref="E428">
    <cfRule type="containsText" dxfId="951" priority="1454" operator="containsText" text="2nd">
      <formula>NOT(ISERROR(SEARCH("2nd",E428)))</formula>
    </cfRule>
    <cfRule type="containsText" dxfId="950" priority="1455" operator="containsText" text="#">
      <formula>NOT(ISERROR(SEARCH("#",E428)))</formula>
    </cfRule>
    <cfRule type="containsText" dxfId="949" priority="1456" operator="containsText" text="A">
      <formula>NOT(ISERROR(SEARCH("A",E428)))</formula>
    </cfRule>
    <cfRule type="containsText" dxfId="948" priority="1457" operator="containsText" text="C">
      <formula>NOT(ISERROR(SEARCH("C",E428)))</formula>
    </cfRule>
    <cfRule type="containsText" dxfId="947" priority="1458" operator="containsText" text="B">
      <formula>NOT(ISERROR(SEARCH("B",E428)))</formula>
    </cfRule>
  </conditionalFormatting>
  <conditionalFormatting sqref="E429">
    <cfRule type="containsText" dxfId="946" priority="1443" operator="containsText" text="2nd">
      <formula>NOT(ISERROR(SEARCH("2nd",E429)))</formula>
    </cfRule>
    <cfRule type="containsText" dxfId="945" priority="1444" operator="containsText" text="#">
      <formula>NOT(ISERROR(SEARCH("#",E429)))</formula>
    </cfRule>
    <cfRule type="containsText" dxfId="944" priority="1445" operator="containsText" text="A">
      <formula>NOT(ISERROR(SEARCH("A",E429)))</formula>
    </cfRule>
    <cfRule type="containsText" dxfId="943" priority="1446" operator="containsText" text="C">
      <formula>NOT(ISERROR(SEARCH("C",E429)))</formula>
    </cfRule>
    <cfRule type="containsText" dxfId="942" priority="1447" operator="containsText" text="B">
      <formula>NOT(ISERROR(SEARCH("B",E429)))</formula>
    </cfRule>
  </conditionalFormatting>
  <conditionalFormatting sqref="E430">
    <cfRule type="containsText" dxfId="941" priority="1432" operator="containsText" text="2nd">
      <formula>NOT(ISERROR(SEARCH("2nd",E430)))</formula>
    </cfRule>
    <cfRule type="containsText" dxfId="940" priority="1433" operator="containsText" text="#">
      <formula>NOT(ISERROR(SEARCH("#",E430)))</formula>
    </cfRule>
    <cfRule type="containsText" dxfId="939" priority="1434" operator="containsText" text="A">
      <formula>NOT(ISERROR(SEARCH("A",E430)))</formula>
    </cfRule>
    <cfRule type="containsText" dxfId="938" priority="1435" operator="containsText" text="C">
      <formula>NOT(ISERROR(SEARCH("C",E430)))</formula>
    </cfRule>
    <cfRule type="containsText" dxfId="937" priority="1436" operator="containsText" text="B">
      <formula>NOT(ISERROR(SEARCH("B",E430)))</formula>
    </cfRule>
  </conditionalFormatting>
  <conditionalFormatting sqref="E431">
    <cfRule type="containsText" dxfId="936" priority="1421" operator="containsText" text="2nd">
      <formula>NOT(ISERROR(SEARCH("2nd",E431)))</formula>
    </cfRule>
    <cfRule type="containsText" dxfId="935" priority="1422" operator="containsText" text="#">
      <formula>NOT(ISERROR(SEARCH("#",E431)))</formula>
    </cfRule>
    <cfRule type="containsText" dxfId="934" priority="1423" operator="containsText" text="A">
      <formula>NOT(ISERROR(SEARCH("A",E431)))</formula>
    </cfRule>
    <cfRule type="containsText" dxfId="933" priority="1424" operator="containsText" text="C">
      <formula>NOT(ISERROR(SEARCH("C",E431)))</formula>
    </cfRule>
    <cfRule type="containsText" dxfId="932" priority="1425" operator="containsText" text="B">
      <formula>NOT(ISERROR(SEARCH("B",E431)))</formula>
    </cfRule>
  </conditionalFormatting>
  <conditionalFormatting sqref="E432">
    <cfRule type="containsText" dxfId="931" priority="1410" operator="containsText" text="2nd">
      <formula>NOT(ISERROR(SEARCH("2nd",E432)))</formula>
    </cfRule>
    <cfRule type="containsText" dxfId="930" priority="1411" operator="containsText" text="#">
      <formula>NOT(ISERROR(SEARCH("#",E432)))</formula>
    </cfRule>
    <cfRule type="containsText" dxfId="929" priority="1412" operator="containsText" text="A">
      <formula>NOT(ISERROR(SEARCH("A",E432)))</formula>
    </cfRule>
    <cfRule type="containsText" dxfId="928" priority="1413" operator="containsText" text="C">
      <formula>NOT(ISERROR(SEARCH("C",E432)))</formula>
    </cfRule>
    <cfRule type="containsText" dxfId="927" priority="1414" operator="containsText" text="B">
      <formula>NOT(ISERROR(SEARCH("B",E432)))</formula>
    </cfRule>
  </conditionalFormatting>
  <conditionalFormatting sqref="E433">
    <cfRule type="containsText" dxfId="926" priority="1399" operator="containsText" text="2nd">
      <formula>NOT(ISERROR(SEARCH("2nd",E433)))</formula>
    </cfRule>
    <cfRule type="containsText" dxfId="925" priority="1400" operator="containsText" text="#">
      <formula>NOT(ISERROR(SEARCH("#",E433)))</formula>
    </cfRule>
    <cfRule type="containsText" dxfId="924" priority="1401" operator="containsText" text="A">
      <formula>NOT(ISERROR(SEARCH("A",E433)))</formula>
    </cfRule>
    <cfRule type="containsText" dxfId="923" priority="1402" operator="containsText" text="C">
      <formula>NOT(ISERROR(SEARCH("C",E433)))</formula>
    </cfRule>
    <cfRule type="containsText" dxfId="922" priority="1403" operator="containsText" text="B">
      <formula>NOT(ISERROR(SEARCH("B",E433)))</formula>
    </cfRule>
  </conditionalFormatting>
  <conditionalFormatting sqref="E435">
    <cfRule type="containsText" dxfId="921" priority="1344" operator="containsText" text="2nd">
      <formula>NOT(ISERROR(SEARCH("2nd",E435)))</formula>
    </cfRule>
    <cfRule type="containsText" dxfId="920" priority="1345" operator="containsText" text="#">
      <formula>NOT(ISERROR(SEARCH("#",E435)))</formula>
    </cfRule>
    <cfRule type="containsText" dxfId="919" priority="1346" operator="containsText" text="A">
      <formula>NOT(ISERROR(SEARCH("A",E435)))</formula>
    </cfRule>
    <cfRule type="containsText" dxfId="918" priority="1347" operator="containsText" text="C">
      <formula>NOT(ISERROR(SEARCH("C",E435)))</formula>
    </cfRule>
    <cfRule type="containsText" dxfId="917" priority="1348" operator="containsText" text="B">
      <formula>NOT(ISERROR(SEARCH("B",E435)))</formula>
    </cfRule>
  </conditionalFormatting>
  <conditionalFormatting sqref="E437">
    <cfRule type="containsText" dxfId="916" priority="1333" operator="containsText" text="2nd">
      <formula>NOT(ISERROR(SEARCH("2nd",E437)))</formula>
    </cfRule>
    <cfRule type="containsText" dxfId="915" priority="1334" operator="containsText" text="#">
      <formula>NOT(ISERROR(SEARCH("#",E437)))</formula>
    </cfRule>
    <cfRule type="containsText" dxfId="914" priority="1335" operator="containsText" text="A">
      <formula>NOT(ISERROR(SEARCH("A",E437)))</formula>
    </cfRule>
    <cfRule type="containsText" dxfId="913" priority="1336" operator="containsText" text="C">
      <formula>NOT(ISERROR(SEARCH("C",E437)))</formula>
    </cfRule>
    <cfRule type="containsText" dxfId="912" priority="1337" operator="containsText" text="B">
      <formula>NOT(ISERROR(SEARCH("B",E437)))</formula>
    </cfRule>
  </conditionalFormatting>
  <conditionalFormatting sqref="E438">
    <cfRule type="containsText" dxfId="911" priority="1322" operator="containsText" text="2nd">
      <formula>NOT(ISERROR(SEARCH("2nd",E438)))</formula>
    </cfRule>
    <cfRule type="containsText" dxfId="910" priority="1323" operator="containsText" text="#">
      <formula>NOT(ISERROR(SEARCH("#",E438)))</formula>
    </cfRule>
    <cfRule type="containsText" dxfId="909" priority="1324" operator="containsText" text="A">
      <formula>NOT(ISERROR(SEARCH("A",E438)))</formula>
    </cfRule>
    <cfRule type="containsText" dxfId="908" priority="1325" operator="containsText" text="C">
      <formula>NOT(ISERROR(SEARCH("C",E438)))</formula>
    </cfRule>
    <cfRule type="containsText" dxfId="907" priority="1326" operator="containsText" text="B">
      <formula>NOT(ISERROR(SEARCH("B",E438)))</formula>
    </cfRule>
  </conditionalFormatting>
  <conditionalFormatting sqref="E440">
    <cfRule type="containsText" dxfId="906" priority="1311" operator="containsText" text="2nd">
      <formula>NOT(ISERROR(SEARCH("2nd",E440)))</formula>
    </cfRule>
    <cfRule type="containsText" dxfId="905" priority="1312" operator="containsText" text="#">
      <formula>NOT(ISERROR(SEARCH("#",E440)))</formula>
    </cfRule>
    <cfRule type="containsText" dxfId="904" priority="1313" operator="containsText" text="A">
      <formula>NOT(ISERROR(SEARCH("A",E440)))</formula>
    </cfRule>
    <cfRule type="containsText" dxfId="903" priority="1314" operator="containsText" text="C">
      <formula>NOT(ISERROR(SEARCH("C",E440)))</formula>
    </cfRule>
    <cfRule type="containsText" dxfId="902" priority="1315" operator="containsText" text="B">
      <formula>NOT(ISERROR(SEARCH("B",E440)))</formula>
    </cfRule>
  </conditionalFormatting>
  <conditionalFormatting sqref="E441">
    <cfRule type="containsText" dxfId="901" priority="1300" operator="containsText" text="2nd">
      <formula>NOT(ISERROR(SEARCH("2nd",E441)))</formula>
    </cfRule>
    <cfRule type="containsText" dxfId="900" priority="1301" operator="containsText" text="#">
      <formula>NOT(ISERROR(SEARCH("#",E441)))</formula>
    </cfRule>
    <cfRule type="containsText" dxfId="899" priority="1302" operator="containsText" text="A">
      <formula>NOT(ISERROR(SEARCH("A",E441)))</formula>
    </cfRule>
    <cfRule type="containsText" dxfId="898" priority="1303" operator="containsText" text="C">
      <formula>NOT(ISERROR(SEARCH("C",E441)))</formula>
    </cfRule>
    <cfRule type="containsText" dxfId="897" priority="1304" operator="containsText" text="B">
      <formula>NOT(ISERROR(SEARCH("B",E441)))</formula>
    </cfRule>
  </conditionalFormatting>
  <conditionalFormatting sqref="E442">
    <cfRule type="containsText" dxfId="896" priority="1289" operator="containsText" text="2nd">
      <formula>NOT(ISERROR(SEARCH("2nd",E442)))</formula>
    </cfRule>
    <cfRule type="containsText" dxfId="895" priority="1290" operator="containsText" text="#">
      <formula>NOT(ISERROR(SEARCH("#",E442)))</formula>
    </cfRule>
    <cfRule type="containsText" dxfId="894" priority="1291" operator="containsText" text="A">
      <formula>NOT(ISERROR(SEARCH("A",E442)))</formula>
    </cfRule>
    <cfRule type="containsText" dxfId="893" priority="1292" operator="containsText" text="C">
      <formula>NOT(ISERROR(SEARCH("C",E442)))</formula>
    </cfRule>
    <cfRule type="containsText" dxfId="892" priority="1293" operator="containsText" text="B">
      <formula>NOT(ISERROR(SEARCH("B",E442)))</formula>
    </cfRule>
  </conditionalFormatting>
  <conditionalFormatting sqref="E443">
    <cfRule type="containsText" dxfId="891" priority="1278" operator="containsText" text="2nd">
      <formula>NOT(ISERROR(SEARCH("2nd",E443)))</formula>
    </cfRule>
    <cfRule type="containsText" dxfId="890" priority="1279" operator="containsText" text="#">
      <formula>NOT(ISERROR(SEARCH("#",E443)))</formula>
    </cfRule>
    <cfRule type="containsText" dxfId="889" priority="1280" operator="containsText" text="A">
      <formula>NOT(ISERROR(SEARCH("A",E443)))</formula>
    </cfRule>
    <cfRule type="containsText" dxfId="888" priority="1281" operator="containsText" text="C">
      <formula>NOT(ISERROR(SEARCH("C",E443)))</formula>
    </cfRule>
    <cfRule type="containsText" dxfId="887" priority="1282" operator="containsText" text="B">
      <formula>NOT(ISERROR(SEARCH("B",E443)))</formula>
    </cfRule>
  </conditionalFormatting>
  <conditionalFormatting sqref="E444">
    <cfRule type="containsText" dxfId="886" priority="1267" operator="containsText" text="2nd">
      <formula>NOT(ISERROR(SEARCH("2nd",E444)))</formula>
    </cfRule>
    <cfRule type="containsText" dxfId="885" priority="1268" operator="containsText" text="#">
      <formula>NOT(ISERROR(SEARCH("#",E444)))</formula>
    </cfRule>
    <cfRule type="containsText" dxfId="884" priority="1269" operator="containsText" text="A">
      <formula>NOT(ISERROR(SEARCH("A",E444)))</formula>
    </cfRule>
    <cfRule type="containsText" dxfId="883" priority="1270" operator="containsText" text="C">
      <formula>NOT(ISERROR(SEARCH("C",E444)))</formula>
    </cfRule>
    <cfRule type="containsText" dxfId="882" priority="1271" operator="containsText" text="B">
      <formula>NOT(ISERROR(SEARCH("B",E444)))</formula>
    </cfRule>
  </conditionalFormatting>
  <conditionalFormatting sqref="E445">
    <cfRule type="containsText" dxfId="881" priority="1256" operator="containsText" text="2nd">
      <formula>NOT(ISERROR(SEARCH("2nd",E445)))</formula>
    </cfRule>
    <cfRule type="containsText" dxfId="880" priority="1257" operator="containsText" text="#">
      <formula>NOT(ISERROR(SEARCH("#",E445)))</formula>
    </cfRule>
    <cfRule type="containsText" dxfId="879" priority="1258" operator="containsText" text="A">
      <formula>NOT(ISERROR(SEARCH("A",E445)))</formula>
    </cfRule>
    <cfRule type="containsText" dxfId="878" priority="1259" operator="containsText" text="C">
      <formula>NOT(ISERROR(SEARCH("C",E445)))</formula>
    </cfRule>
    <cfRule type="containsText" dxfId="877" priority="1260" operator="containsText" text="B">
      <formula>NOT(ISERROR(SEARCH("B",E445)))</formula>
    </cfRule>
  </conditionalFormatting>
  <conditionalFormatting sqref="E434">
    <cfRule type="containsText" dxfId="876" priority="1245" operator="containsText" text="2nd">
      <formula>NOT(ISERROR(SEARCH("2nd",E434)))</formula>
    </cfRule>
    <cfRule type="containsText" dxfId="875" priority="1246" operator="containsText" text="#">
      <formula>NOT(ISERROR(SEARCH("#",E434)))</formula>
    </cfRule>
    <cfRule type="containsText" dxfId="874" priority="1247" operator="containsText" text="A">
      <formula>NOT(ISERROR(SEARCH("A",E434)))</formula>
    </cfRule>
    <cfRule type="containsText" dxfId="873" priority="1248" operator="containsText" text="C">
      <formula>NOT(ISERROR(SEARCH("C",E434)))</formula>
    </cfRule>
    <cfRule type="containsText" dxfId="872" priority="1249" operator="containsText" text="B">
      <formula>NOT(ISERROR(SEARCH("B",E434)))</formula>
    </cfRule>
  </conditionalFormatting>
  <conditionalFormatting sqref="E447">
    <cfRule type="containsText" dxfId="871" priority="1231" operator="containsText" text="A">
      <formula>NOT(ISERROR(SEARCH("A",E447)))</formula>
    </cfRule>
  </conditionalFormatting>
  <conditionalFormatting sqref="E448">
    <cfRule type="containsText" dxfId="870" priority="1230" operator="containsText" text="A">
      <formula>NOT(ISERROR(SEARCH("A",E448)))</formula>
    </cfRule>
  </conditionalFormatting>
  <conditionalFormatting sqref="E449">
    <cfRule type="containsText" dxfId="869" priority="1229" operator="containsText" text="A">
      <formula>NOT(ISERROR(SEARCH("A",E449)))</formula>
    </cfRule>
  </conditionalFormatting>
  <conditionalFormatting sqref="N119:N121">
    <cfRule type="containsText" dxfId="868" priority="1155" operator="containsText" text="Nein">
      <formula>NOT(ISERROR(SEARCH("Nein",N119)))</formula>
    </cfRule>
    <cfRule type="containsText" dxfId="867" priority="1156" operator="containsText" text="Ja">
      <formula>NOT(ISERROR(SEARCH("Ja",N119)))</formula>
    </cfRule>
  </conditionalFormatting>
  <conditionalFormatting sqref="N125">
    <cfRule type="containsText" dxfId="866" priority="1153" operator="containsText" text="Nein">
      <formula>NOT(ISERROR(SEARCH("Nein",N125)))</formula>
    </cfRule>
    <cfRule type="containsText" dxfId="865" priority="1154" operator="containsText" text="Ja">
      <formula>NOT(ISERROR(SEARCH("Ja",N125)))</formula>
    </cfRule>
  </conditionalFormatting>
  <conditionalFormatting sqref="N127">
    <cfRule type="containsText" dxfId="864" priority="1151" operator="containsText" text="Nein">
      <formula>NOT(ISERROR(SEARCH("Nein",N127)))</formula>
    </cfRule>
    <cfRule type="containsText" dxfId="863" priority="1152" operator="containsText" text="Ja">
      <formula>NOT(ISERROR(SEARCH("Ja",N127)))</formula>
    </cfRule>
  </conditionalFormatting>
  <conditionalFormatting sqref="N129">
    <cfRule type="containsText" dxfId="862" priority="1149" operator="containsText" text="Nein">
      <formula>NOT(ISERROR(SEARCH("Nein",N129)))</formula>
    </cfRule>
    <cfRule type="containsText" dxfId="861" priority="1150" operator="containsText" text="Ja">
      <formula>NOT(ISERROR(SEARCH("Ja",N129)))</formula>
    </cfRule>
  </conditionalFormatting>
  <conditionalFormatting sqref="N116">
    <cfRule type="containsText" dxfId="860" priority="1147" operator="containsText" text="Yes">
      <formula>NOT(ISERROR(SEARCH("Yes",N116)))</formula>
    </cfRule>
    <cfRule type="containsText" dxfId="859" priority="1148" operator="containsText" text="No">
      <formula>NOT(ISERROR(SEARCH("No",N116)))</formula>
    </cfRule>
  </conditionalFormatting>
  <conditionalFormatting sqref="N117">
    <cfRule type="containsText" dxfId="858" priority="1145" operator="containsText" text="Yes">
      <formula>NOT(ISERROR(SEARCH("Yes",N117)))</formula>
    </cfRule>
    <cfRule type="containsText" dxfId="857" priority="1146" operator="containsText" text="No">
      <formula>NOT(ISERROR(SEARCH("No",N117)))</formula>
    </cfRule>
  </conditionalFormatting>
  <conditionalFormatting sqref="N118">
    <cfRule type="containsText" dxfId="856" priority="1143" operator="containsText" text="Yes">
      <formula>NOT(ISERROR(SEARCH("Yes",N118)))</formula>
    </cfRule>
    <cfRule type="containsText" dxfId="855" priority="1144" operator="containsText" text="No">
      <formula>NOT(ISERROR(SEARCH("No",N118)))</formula>
    </cfRule>
  </conditionalFormatting>
  <conditionalFormatting sqref="N128">
    <cfRule type="containsText" dxfId="854" priority="1133" operator="containsText" text="Yes">
      <formula>NOT(ISERROR(SEARCH("Yes",N128)))</formula>
    </cfRule>
    <cfRule type="containsText" dxfId="853" priority="1134" operator="containsText" text="No">
      <formula>NOT(ISERROR(SEARCH("No",N128)))</formula>
    </cfRule>
  </conditionalFormatting>
  <conditionalFormatting sqref="N130">
    <cfRule type="containsText" dxfId="852" priority="1131" operator="containsText" text="Yes">
      <formula>NOT(ISERROR(SEARCH("Yes",N130)))</formula>
    </cfRule>
    <cfRule type="containsText" dxfId="851" priority="1132" operator="containsText" text="No">
      <formula>NOT(ISERROR(SEARCH("No",N130)))</formula>
    </cfRule>
  </conditionalFormatting>
  <conditionalFormatting sqref="N122">
    <cfRule type="containsText" dxfId="850" priority="1127" operator="containsText" text="Nein">
      <formula>NOT(ISERROR(SEARCH("Nein",N122)))</formula>
    </cfRule>
    <cfRule type="containsText" dxfId="849" priority="1128" operator="containsText" text="Ja">
      <formula>NOT(ISERROR(SEARCH("Ja",N122)))</formula>
    </cfRule>
  </conditionalFormatting>
  <conditionalFormatting sqref="N123">
    <cfRule type="containsText" dxfId="848" priority="1125" operator="containsText" text="Nein">
      <formula>NOT(ISERROR(SEARCH("Nein",N123)))</formula>
    </cfRule>
    <cfRule type="containsText" dxfId="847" priority="1126" operator="containsText" text="Ja">
      <formula>NOT(ISERROR(SEARCH("Ja",N123)))</formula>
    </cfRule>
  </conditionalFormatting>
  <conditionalFormatting sqref="N124">
    <cfRule type="containsText" dxfId="846" priority="1123" operator="containsText" text="Nein">
      <formula>NOT(ISERROR(SEARCH("Nein",N124)))</formula>
    </cfRule>
    <cfRule type="containsText" dxfId="845" priority="1124" operator="containsText" text="Ja">
      <formula>NOT(ISERROR(SEARCH("Ja",N124)))</formula>
    </cfRule>
  </conditionalFormatting>
  <conditionalFormatting sqref="N126">
    <cfRule type="containsText" dxfId="844" priority="1121" operator="containsText" text="Nein">
      <formula>NOT(ISERROR(SEARCH("Nein",N126)))</formula>
    </cfRule>
    <cfRule type="containsText" dxfId="843" priority="1122" operator="containsText" text="Ja">
      <formula>NOT(ISERROR(SEARCH("Ja",N126)))</formula>
    </cfRule>
  </conditionalFormatting>
  <conditionalFormatting sqref="N132">
    <cfRule type="containsText" dxfId="842" priority="1119" operator="containsText" text="Nein">
      <formula>NOT(ISERROR(SEARCH("Nein",N132)))</formula>
    </cfRule>
    <cfRule type="containsText" dxfId="841" priority="1120" operator="containsText" text="Ja">
      <formula>NOT(ISERROR(SEARCH("Ja",N132)))</formula>
    </cfRule>
  </conditionalFormatting>
  <conditionalFormatting sqref="E304">
    <cfRule type="containsText" dxfId="840" priority="1118" operator="containsText" text="A">
      <formula>NOT(ISERROR(SEARCH("A",E304)))</formula>
    </cfRule>
  </conditionalFormatting>
  <conditionalFormatting sqref="E310">
    <cfRule type="containsText" dxfId="839" priority="1117" operator="containsText" text="A">
      <formula>NOT(ISERROR(SEARCH("A",E310)))</formula>
    </cfRule>
  </conditionalFormatting>
  <conditionalFormatting sqref="E317">
    <cfRule type="containsText" dxfId="838" priority="1116" operator="containsText" text="A">
      <formula>NOT(ISERROR(SEARCH("A",E317)))</formula>
    </cfRule>
  </conditionalFormatting>
  <conditionalFormatting sqref="E323">
    <cfRule type="containsText" dxfId="837" priority="1115" operator="containsText" text="A">
      <formula>NOT(ISERROR(SEARCH("A",E323)))</formula>
    </cfRule>
  </conditionalFormatting>
  <conditionalFormatting sqref="E326">
    <cfRule type="containsText" dxfId="836" priority="1114" operator="containsText" text="A">
      <formula>NOT(ISERROR(SEARCH("A",E326)))</formula>
    </cfRule>
  </conditionalFormatting>
  <conditionalFormatting sqref="E333">
    <cfRule type="containsText" dxfId="835" priority="1113" operator="containsText" text="A">
      <formula>NOT(ISERROR(SEARCH("A",E333)))</formula>
    </cfRule>
  </conditionalFormatting>
  <conditionalFormatting sqref="E334">
    <cfRule type="containsText" dxfId="834" priority="1112" operator="containsText" text="A">
      <formula>NOT(ISERROR(SEARCH("A",E334)))</formula>
    </cfRule>
  </conditionalFormatting>
  <conditionalFormatting sqref="E335">
    <cfRule type="containsText" dxfId="833" priority="1111" operator="containsText" text="A">
      <formula>NOT(ISERROR(SEARCH("A",E335)))</formula>
    </cfRule>
  </conditionalFormatting>
  <conditionalFormatting sqref="E336">
    <cfRule type="containsText" dxfId="832" priority="1110" operator="containsText" text="A">
      <formula>NOT(ISERROR(SEARCH("A",E336)))</formula>
    </cfRule>
  </conditionalFormatting>
  <conditionalFormatting sqref="E337">
    <cfRule type="containsText" dxfId="831" priority="1109" operator="containsText" text="A">
      <formula>NOT(ISERROR(SEARCH("A",E337)))</formula>
    </cfRule>
  </conditionalFormatting>
  <conditionalFormatting sqref="E338">
    <cfRule type="containsText" dxfId="830" priority="1108" operator="containsText" text="A">
      <formula>NOT(ISERROR(SEARCH("A",E338)))</formula>
    </cfRule>
  </conditionalFormatting>
  <conditionalFormatting sqref="E339">
    <cfRule type="containsText" dxfId="829" priority="1107" operator="containsText" text="A">
      <formula>NOT(ISERROR(SEARCH("A",E339)))</formula>
    </cfRule>
  </conditionalFormatting>
  <conditionalFormatting sqref="F305">
    <cfRule type="expression" dxfId="828" priority="1102">
      <formula>E305="#"</formula>
    </cfRule>
    <cfRule type="expression" dxfId="827" priority="1103">
      <formula>E305="B"</formula>
    </cfRule>
    <cfRule type="expression" dxfId="826" priority="1104">
      <formula>E305="C"</formula>
    </cfRule>
    <cfRule type="expression" priority="1105">
      <formula>E305="A"</formula>
    </cfRule>
    <cfRule type="expression" priority="1106">
      <formula>E305=n.a.</formula>
    </cfRule>
  </conditionalFormatting>
  <conditionalFormatting sqref="E305">
    <cfRule type="containsText" dxfId="825" priority="1097" operator="containsText" text="2nd">
      <formula>NOT(ISERROR(SEARCH("2nd",E305)))</formula>
    </cfRule>
    <cfRule type="containsText" dxfId="824" priority="1098" operator="containsText" text="#">
      <formula>NOT(ISERROR(SEARCH("#",E305)))</formula>
    </cfRule>
    <cfRule type="containsText" dxfId="823" priority="1099" operator="containsText" text="A">
      <formula>NOT(ISERROR(SEARCH("A",E305)))</formula>
    </cfRule>
    <cfRule type="containsText" dxfId="822" priority="1100" operator="containsText" text="C">
      <formula>NOT(ISERROR(SEARCH("C",E305)))</formula>
    </cfRule>
    <cfRule type="containsText" dxfId="821" priority="1101" operator="containsText" text="B">
      <formula>NOT(ISERROR(SEARCH("B",E305)))</formula>
    </cfRule>
  </conditionalFormatting>
  <conditionalFormatting sqref="F305:K305">
    <cfRule type="expression" dxfId="820" priority="1096">
      <formula>E305="2nd"</formula>
    </cfRule>
  </conditionalFormatting>
  <conditionalFormatting sqref="F306">
    <cfRule type="expression" dxfId="819" priority="1091">
      <formula>E306="#"</formula>
    </cfRule>
    <cfRule type="expression" dxfId="818" priority="1092">
      <formula>E306="B"</formula>
    </cfRule>
    <cfRule type="expression" dxfId="817" priority="1093">
      <formula>E306="C"</formula>
    </cfRule>
    <cfRule type="expression" priority="1094">
      <formula>E306="A"</formula>
    </cfRule>
    <cfRule type="expression" priority="1095">
      <formula>E306=n.a.</formula>
    </cfRule>
  </conditionalFormatting>
  <conditionalFormatting sqref="E306">
    <cfRule type="containsText" dxfId="816" priority="1086" operator="containsText" text="2nd">
      <formula>NOT(ISERROR(SEARCH("2nd",E306)))</formula>
    </cfRule>
    <cfRule type="containsText" dxfId="815" priority="1087" operator="containsText" text="#">
      <formula>NOT(ISERROR(SEARCH("#",E306)))</formula>
    </cfRule>
    <cfRule type="containsText" dxfId="814" priority="1088" operator="containsText" text="A">
      <formula>NOT(ISERROR(SEARCH("A",E306)))</formula>
    </cfRule>
    <cfRule type="containsText" dxfId="813" priority="1089" operator="containsText" text="C">
      <formula>NOT(ISERROR(SEARCH("C",E306)))</formula>
    </cfRule>
    <cfRule type="containsText" dxfId="812" priority="1090" operator="containsText" text="B">
      <formula>NOT(ISERROR(SEARCH("B",E306)))</formula>
    </cfRule>
  </conditionalFormatting>
  <conditionalFormatting sqref="F306:K306">
    <cfRule type="expression" dxfId="811" priority="1085">
      <formula>E306="2nd"</formula>
    </cfRule>
  </conditionalFormatting>
  <conditionalFormatting sqref="F307">
    <cfRule type="expression" dxfId="810" priority="1080">
      <formula>E307="#"</formula>
    </cfRule>
    <cfRule type="expression" dxfId="809" priority="1081">
      <formula>E307="B"</formula>
    </cfRule>
    <cfRule type="expression" dxfId="808" priority="1082">
      <formula>E307="C"</formula>
    </cfRule>
    <cfRule type="expression" priority="1083">
      <formula>E307="A"</formula>
    </cfRule>
    <cfRule type="expression" priority="1084">
      <formula>E307=n.a.</formula>
    </cfRule>
  </conditionalFormatting>
  <conditionalFormatting sqref="E307">
    <cfRule type="containsText" dxfId="807" priority="1075" operator="containsText" text="2nd">
      <formula>NOT(ISERROR(SEARCH("2nd",E307)))</formula>
    </cfRule>
    <cfRule type="containsText" dxfId="806" priority="1076" operator="containsText" text="#">
      <formula>NOT(ISERROR(SEARCH("#",E307)))</formula>
    </cfRule>
    <cfRule type="containsText" dxfId="805" priority="1077" operator="containsText" text="A">
      <formula>NOT(ISERROR(SEARCH("A",E307)))</formula>
    </cfRule>
    <cfRule type="containsText" dxfId="804" priority="1078" operator="containsText" text="C">
      <formula>NOT(ISERROR(SEARCH("C",E307)))</formula>
    </cfRule>
    <cfRule type="containsText" dxfId="803" priority="1079" operator="containsText" text="B">
      <formula>NOT(ISERROR(SEARCH("B",E307)))</formula>
    </cfRule>
  </conditionalFormatting>
  <conditionalFormatting sqref="F307:K307">
    <cfRule type="expression" dxfId="802" priority="1074">
      <formula>E307="2nd"</formula>
    </cfRule>
  </conditionalFormatting>
  <conditionalFormatting sqref="F308">
    <cfRule type="expression" dxfId="801" priority="1069">
      <formula>E308="#"</formula>
    </cfRule>
    <cfRule type="expression" dxfId="800" priority="1070">
      <formula>E308="B"</formula>
    </cfRule>
    <cfRule type="expression" dxfId="799" priority="1071">
      <formula>E308="C"</formula>
    </cfRule>
    <cfRule type="expression" priority="1072">
      <formula>E308="A"</formula>
    </cfRule>
    <cfRule type="expression" priority="1073">
      <formula>E308=n.a.</formula>
    </cfRule>
  </conditionalFormatting>
  <conditionalFormatting sqref="E308">
    <cfRule type="containsText" dxfId="798" priority="1064" operator="containsText" text="2nd">
      <formula>NOT(ISERROR(SEARCH("2nd",E308)))</formula>
    </cfRule>
    <cfRule type="containsText" dxfId="797" priority="1065" operator="containsText" text="#">
      <formula>NOT(ISERROR(SEARCH("#",E308)))</formula>
    </cfRule>
    <cfRule type="containsText" dxfId="796" priority="1066" operator="containsText" text="A">
      <formula>NOT(ISERROR(SEARCH("A",E308)))</formula>
    </cfRule>
    <cfRule type="containsText" dxfId="795" priority="1067" operator="containsText" text="C">
      <formula>NOT(ISERROR(SEARCH("C",E308)))</formula>
    </cfRule>
    <cfRule type="containsText" dxfId="794" priority="1068" operator="containsText" text="B">
      <formula>NOT(ISERROR(SEARCH("B",E308)))</formula>
    </cfRule>
  </conditionalFormatting>
  <conditionalFormatting sqref="F308:K308">
    <cfRule type="expression" dxfId="793" priority="1063">
      <formula>E308="2nd"</formula>
    </cfRule>
  </conditionalFormatting>
  <conditionalFormatting sqref="F309">
    <cfRule type="expression" dxfId="792" priority="1058">
      <formula>E309="#"</formula>
    </cfRule>
    <cfRule type="expression" dxfId="791" priority="1059">
      <formula>E309="B"</formula>
    </cfRule>
    <cfRule type="expression" dxfId="790" priority="1060">
      <formula>E309="C"</formula>
    </cfRule>
    <cfRule type="expression" priority="1061">
      <formula>E309="A"</formula>
    </cfRule>
    <cfRule type="expression" priority="1062">
      <formula>E309=n.a.</formula>
    </cfRule>
  </conditionalFormatting>
  <conditionalFormatting sqref="E309">
    <cfRule type="containsText" dxfId="789" priority="1053" operator="containsText" text="2nd">
      <formula>NOT(ISERROR(SEARCH("2nd",E309)))</formula>
    </cfRule>
    <cfRule type="containsText" dxfId="788" priority="1054" operator="containsText" text="#">
      <formula>NOT(ISERROR(SEARCH("#",E309)))</formula>
    </cfRule>
    <cfRule type="containsText" dxfId="787" priority="1055" operator="containsText" text="A">
      <formula>NOT(ISERROR(SEARCH("A",E309)))</formula>
    </cfRule>
    <cfRule type="containsText" dxfId="786" priority="1056" operator="containsText" text="C">
      <formula>NOT(ISERROR(SEARCH("C",E309)))</formula>
    </cfRule>
    <cfRule type="containsText" dxfId="785" priority="1057" operator="containsText" text="B">
      <formula>NOT(ISERROR(SEARCH("B",E309)))</formula>
    </cfRule>
  </conditionalFormatting>
  <conditionalFormatting sqref="F309:K309">
    <cfRule type="expression" dxfId="784" priority="1052">
      <formula>E309="2nd"</formula>
    </cfRule>
  </conditionalFormatting>
  <conditionalFormatting sqref="F311">
    <cfRule type="expression" dxfId="783" priority="1047">
      <formula>E311="#"</formula>
    </cfRule>
    <cfRule type="expression" dxfId="782" priority="1048">
      <formula>E311="B"</formula>
    </cfRule>
    <cfRule type="expression" dxfId="781" priority="1049">
      <formula>E311="C"</formula>
    </cfRule>
    <cfRule type="expression" priority="1050">
      <formula>E311="A"</formula>
    </cfRule>
    <cfRule type="expression" priority="1051">
      <formula>E311=n.a.</formula>
    </cfRule>
  </conditionalFormatting>
  <conditionalFormatting sqref="E311">
    <cfRule type="containsText" dxfId="780" priority="1042" operator="containsText" text="2nd">
      <formula>NOT(ISERROR(SEARCH("2nd",E311)))</formula>
    </cfRule>
    <cfRule type="containsText" dxfId="779" priority="1043" operator="containsText" text="#">
      <formula>NOT(ISERROR(SEARCH("#",E311)))</formula>
    </cfRule>
    <cfRule type="containsText" dxfId="778" priority="1044" operator="containsText" text="A">
      <formula>NOT(ISERROR(SEARCH("A",E311)))</formula>
    </cfRule>
    <cfRule type="containsText" dxfId="777" priority="1045" operator="containsText" text="C">
      <formula>NOT(ISERROR(SEARCH("C",E311)))</formula>
    </cfRule>
    <cfRule type="containsText" dxfId="776" priority="1046" operator="containsText" text="B">
      <formula>NOT(ISERROR(SEARCH("B",E311)))</formula>
    </cfRule>
  </conditionalFormatting>
  <conditionalFormatting sqref="F311:K311">
    <cfRule type="expression" dxfId="775" priority="1041">
      <formula>E311="2nd"</formula>
    </cfRule>
  </conditionalFormatting>
  <conditionalFormatting sqref="F312">
    <cfRule type="expression" dxfId="774" priority="1036">
      <formula>E312="#"</formula>
    </cfRule>
    <cfRule type="expression" dxfId="773" priority="1037">
      <formula>E312="B"</formula>
    </cfRule>
    <cfRule type="expression" dxfId="772" priority="1038">
      <formula>E312="C"</formula>
    </cfRule>
    <cfRule type="expression" priority="1039">
      <formula>E312="A"</formula>
    </cfRule>
    <cfRule type="expression" priority="1040">
      <formula>E312=n.a.</formula>
    </cfRule>
  </conditionalFormatting>
  <conditionalFormatting sqref="E312">
    <cfRule type="containsText" dxfId="771" priority="1031" operator="containsText" text="2nd">
      <formula>NOT(ISERROR(SEARCH("2nd",E312)))</formula>
    </cfRule>
    <cfRule type="containsText" dxfId="770" priority="1032" operator="containsText" text="#">
      <formula>NOT(ISERROR(SEARCH("#",E312)))</formula>
    </cfRule>
    <cfRule type="containsText" dxfId="769" priority="1033" operator="containsText" text="A">
      <formula>NOT(ISERROR(SEARCH("A",E312)))</formula>
    </cfRule>
    <cfRule type="containsText" dxfId="768" priority="1034" operator="containsText" text="C">
      <formula>NOT(ISERROR(SEARCH("C",E312)))</formula>
    </cfRule>
    <cfRule type="containsText" dxfId="767" priority="1035" operator="containsText" text="B">
      <formula>NOT(ISERROR(SEARCH("B",E312)))</formula>
    </cfRule>
  </conditionalFormatting>
  <conditionalFormatting sqref="F312:K312">
    <cfRule type="expression" dxfId="766" priority="1030">
      <formula>E312="2nd"</formula>
    </cfRule>
  </conditionalFormatting>
  <conditionalFormatting sqref="F313">
    <cfRule type="expression" dxfId="765" priority="1025">
      <formula>E313="#"</formula>
    </cfRule>
    <cfRule type="expression" dxfId="764" priority="1026">
      <formula>E313="B"</formula>
    </cfRule>
    <cfRule type="expression" dxfId="763" priority="1027">
      <formula>E313="C"</formula>
    </cfRule>
    <cfRule type="expression" priority="1028">
      <formula>E313="A"</formula>
    </cfRule>
    <cfRule type="expression" priority="1029">
      <formula>E313=n.a.</formula>
    </cfRule>
  </conditionalFormatting>
  <conditionalFormatting sqref="E313">
    <cfRule type="containsText" dxfId="762" priority="1020" operator="containsText" text="2nd">
      <formula>NOT(ISERROR(SEARCH("2nd",E313)))</formula>
    </cfRule>
    <cfRule type="containsText" dxfId="761" priority="1021" operator="containsText" text="#">
      <formula>NOT(ISERROR(SEARCH("#",E313)))</formula>
    </cfRule>
    <cfRule type="containsText" dxfId="760" priority="1022" operator="containsText" text="A">
      <formula>NOT(ISERROR(SEARCH("A",E313)))</formula>
    </cfRule>
    <cfRule type="containsText" dxfId="759" priority="1023" operator="containsText" text="C">
      <formula>NOT(ISERROR(SEARCH("C",E313)))</formula>
    </cfRule>
    <cfRule type="containsText" dxfId="758" priority="1024" operator="containsText" text="B">
      <formula>NOT(ISERROR(SEARCH("B",E313)))</formula>
    </cfRule>
  </conditionalFormatting>
  <conditionalFormatting sqref="F313:K313">
    <cfRule type="expression" dxfId="757" priority="1019">
      <formula>E313="2nd"</formula>
    </cfRule>
  </conditionalFormatting>
  <conditionalFormatting sqref="F314">
    <cfRule type="expression" dxfId="756" priority="1014">
      <formula>E314="#"</formula>
    </cfRule>
    <cfRule type="expression" dxfId="755" priority="1015">
      <formula>E314="B"</formula>
    </cfRule>
    <cfRule type="expression" dxfId="754" priority="1016">
      <formula>E314="C"</formula>
    </cfRule>
    <cfRule type="expression" priority="1017">
      <formula>E314="A"</formula>
    </cfRule>
    <cfRule type="expression" priority="1018">
      <formula>E314=n.a.</formula>
    </cfRule>
  </conditionalFormatting>
  <conditionalFormatting sqref="E314">
    <cfRule type="containsText" dxfId="753" priority="1009" operator="containsText" text="2nd">
      <formula>NOT(ISERROR(SEARCH("2nd",E314)))</formula>
    </cfRule>
    <cfRule type="containsText" dxfId="752" priority="1010" operator="containsText" text="#">
      <formula>NOT(ISERROR(SEARCH("#",E314)))</formula>
    </cfRule>
    <cfRule type="containsText" dxfId="751" priority="1011" operator="containsText" text="A">
      <formula>NOT(ISERROR(SEARCH("A",E314)))</formula>
    </cfRule>
    <cfRule type="containsText" dxfId="750" priority="1012" operator="containsText" text="C">
      <formula>NOT(ISERROR(SEARCH("C",E314)))</formula>
    </cfRule>
    <cfRule type="containsText" dxfId="749" priority="1013" operator="containsText" text="B">
      <formula>NOT(ISERROR(SEARCH("B",E314)))</formula>
    </cfRule>
  </conditionalFormatting>
  <conditionalFormatting sqref="F314:K314">
    <cfRule type="expression" dxfId="748" priority="1008">
      <formula>E314="2nd"</formula>
    </cfRule>
  </conditionalFormatting>
  <conditionalFormatting sqref="F315">
    <cfRule type="expression" dxfId="747" priority="1003">
      <formula>E315="#"</formula>
    </cfRule>
    <cfRule type="expression" dxfId="746" priority="1004">
      <formula>E315="B"</formula>
    </cfRule>
    <cfRule type="expression" dxfId="745" priority="1005">
      <formula>E315="C"</formula>
    </cfRule>
    <cfRule type="expression" priority="1006">
      <formula>E315="A"</formula>
    </cfRule>
    <cfRule type="expression" priority="1007">
      <formula>E315=n.a.</formula>
    </cfRule>
  </conditionalFormatting>
  <conditionalFormatting sqref="E315">
    <cfRule type="containsText" dxfId="744" priority="998" operator="containsText" text="2nd">
      <formula>NOT(ISERROR(SEARCH("2nd",E315)))</formula>
    </cfRule>
    <cfRule type="containsText" dxfId="743" priority="999" operator="containsText" text="#">
      <formula>NOT(ISERROR(SEARCH("#",E315)))</formula>
    </cfRule>
    <cfRule type="containsText" dxfId="742" priority="1000" operator="containsText" text="A">
      <formula>NOT(ISERROR(SEARCH("A",E315)))</formula>
    </cfRule>
    <cfRule type="containsText" dxfId="741" priority="1001" operator="containsText" text="C">
      <formula>NOT(ISERROR(SEARCH("C",E315)))</formula>
    </cfRule>
    <cfRule type="containsText" dxfId="740" priority="1002" operator="containsText" text="B">
      <formula>NOT(ISERROR(SEARCH("B",E315)))</formula>
    </cfRule>
  </conditionalFormatting>
  <conditionalFormatting sqref="F315:K315">
    <cfRule type="expression" dxfId="739" priority="997">
      <formula>E315="2nd"</formula>
    </cfRule>
  </conditionalFormatting>
  <conditionalFormatting sqref="F316">
    <cfRule type="expression" dxfId="738" priority="992">
      <formula>E316="#"</formula>
    </cfRule>
    <cfRule type="expression" dxfId="737" priority="993">
      <formula>E316="B"</formula>
    </cfRule>
    <cfRule type="expression" dxfId="736" priority="994">
      <formula>E316="C"</formula>
    </cfRule>
    <cfRule type="expression" priority="995">
      <formula>E316="A"</formula>
    </cfRule>
    <cfRule type="expression" priority="996">
      <formula>E316=n.a.</formula>
    </cfRule>
  </conditionalFormatting>
  <conditionalFormatting sqref="E316">
    <cfRule type="containsText" dxfId="735" priority="987" operator="containsText" text="2nd">
      <formula>NOT(ISERROR(SEARCH("2nd",E316)))</formula>
    </cfRule>
    <cfRule type="containsText" dxfId="734" priority="988" operator="containsText" text="#">
      <formula>NOT(ISERROR(SEARCH("#",E316)))</formula>
    </cfRule>
    <cfRule type="containsText" dxfId="733" priority="989" operator="containsText" text="A">
      <formula>NOT(ISERROR(SEARCH("A",E316)))</formula>
    </cfRule>
    <cfRule type="containsText" dxfId="732" priority="990" operator="containsText" text="C">
      <formula>NOT(ISERROR(SEARCH("C",E316)))</formula>
    </cfRule>
    <cfRule type="containsText" dxfId="731" priority="991" operator="containsText" text="B">
      <formula>NOT(ISERROR(SEARCH("B",E316)))</formula>
    </cfRule>
  </conditionalFormatting>
  <conditionalFormatting sqref="F316:K316">
    <cfRule type="expression" dxfId="730" priority="986">
      <formula>E316="2nd"</formula>
    </cfRule>
  </conditionalFormatting>
  <conditionalFormatting sqref="E322">
    <cfRule type="containsText" dxfId="729" priority="932" operator="containsText" text="2nd">
      <formula>NOT(ISERROR(SEARCH("2nd",E322)))</formula>
    </cfRule>
    <cfRule type="containsText" dxfId="728" priority="933" operator="containsText" text="#">
      <formula>NOT(ISERROR(SEARCH("#",E322)))</formula>
    </cfRule>
    <cfRule type="containsText" dxfId="727" priority="934" operator="containsText" text="A">
      <formula>NOT(ISERROR(SEARCH("A",E322)))</formula>
    </cfRule>
    <cfRule type="containsText" dxfId="726" priority="935" operator="containsText" text="C">
      <formula>NOT(ISERROR(SEARCH("C",E322)))</formula>
    </cfRule>
    <cfRule type="containsText" dxfId="725" priority="936" operator="containsText" text="B">
      <formula>NOT(ISERROR(SEARCH("B",E322)))</formula>
    </cfRule>
  </conditionalFormatting>
  <conditionalFormatting sqref="F324">
    <cfRule type="expression" dxfId="724" priority="926">
      <formula>E324="#"</formula>
    </cfRule>
    <cfRule type="expression" dxfId="723" priority="927">
      <formula>E324="B"</formula>
    </cfRule>
    <cfRule type="expression" dxfId="722" priority="928">
      <formula>E324="C"</formula>
    </cfRule>
    <cfRule type="expression" priority="929">
      <formula>E324="A"</formula>
    </cfRule>
    <cfRule type="expression" priority="930">
      <formula>E324=n.a.</formula>
    </cfRule>
  </conditionalFormatting>
  <conditionalFormatting sqref="E324">
    <cfRule type="containsText" dxfId="721" priority="921" operator="containsText" text="2nd">
      <formula>NOT(ISERROR(SEARCH("2nd",E324)))</formula>
    </cfRule>
    <cfRule type="containsText" dxfId="720" priority="922" operator="containsText" text="#">
      <formula>NOT(ISERROR(SEARCH("#",E324)))</formula>
    </cfRule>
    <cfRule type="containsText" dxfId="719" priority="923" operator="containsText" text="A">
      <formula>NOT(ISERROR(SEARCH("A",E324)))</formula>
    </cfRule>
    <cfRule type="containsText" dxfId="718" priority="924" operator="containsText" text="C">
      <formula>NOT(ISERROR(SEARCH("C",E324)))</formula>
    </cfRule>
    <cfRule type="containsText" dxfId="717" priority="925" operator="containsText" text="B">
      <formula>NOT(ISERROR(SEARCH("B",E324)))</formula>
    </cfRule>
  </conditionalFormatting>
  <conditionalFormatting sqref="F324:K324">
    <cfRule type="expression" dxfId="716" priority="920">
      <formula>E324="2nd"</formula>
    </cfRule>
  </conditionalFormatting>
  <conditionalFormatting sqref="F325">
    <cfRule type="expression" dxfId="715" priority="915">
      <formula>E325="#"</formula>
    </cfRule>
    <cfRule type="expression" dxfId="714" priority="916">
      <formula>E325="B"</formula>
    </cfRule>
    <cfRule type="expression" dxfId="713" priority="917">
      <formula>E325="C"</formula>
    </cfRule>
    <cfRule type="expression" priority="918">
      <formula>E325="A"</formula>
    </cfRule>
    <cfRule type="expression" priority="919">
      <formula>E325=n.a.</formula>
    </cfRule>
  </conditionalFormatting>
  <conditionalFormatting sqref="E325">
    <cfRule type="containsText" dxfId="712" priority="910" operator="containsText" text="2nd">
      <formula>NOT(ISERROR(SEARCH("2nd",E325)))</formula>
    </cfRule>
    <cfRule type="containsText" dxfId="711" priority="911" operator="containsText" text="#">
      <formula>NOT(ISERROR(SEARCH("#",E325)))</formula>
    </cfRule>
    <cfRule type="containsText" dxfId="710" priority="912" operator="containsText" text="A">
      <formula>NOT(ISERROR(SEARCH("A",E325)))</formula>
    </cfRule>
    <cfRule type="containsText" dxfId="709" priority="913" operator="containsText" text="C">
      <formula>NOT(ISERROR(SEARCH("C",E325)))</formula>
    </cfRule>
    <cfRule type="containsText" dxfId="708" priority="914" operator="containsText" text="B">
      <formula>NOT(ISERROR(SEARCH("B",E325)))</formula>
    </cfRule>
  </conditionalFormatting>
  <conditionalFormatting sqref="F325:K325">
    <cfRule type="expression" dxfId="707" priority="909">
      <formula>E325="2nd"</formula>
    </cfRule>
  </conditionalFormatting>
  <conditionalFormatting sqref="E327">
    <cfRule type="containsText" dxfId="706" priority="899" operator="containsText" text="2nd">
      <formula>NOT(ISERROR(SEARCH("2nd",E327)))</formula>
    </cfRule>
    <cfRule type="containsText" dxfId="705" priority="900" operator="containsText" text="#">
      <formula>NOT(ISERROR(SEARCH("#",E327)))</formula>
    </cfRule>
    <cfRule type="containsText" dxfId="704" priority="901" operator="containsText" text="A">
      <formula>NOT(ISERROR(SEARCH("A",E327)))</formula>
    </cfRule>
    <cfRule type="containsText" dxfId="703" priority="902" operator="containsText" text="C">
      <formula>NOT(ISERROR(SEARCH("C",E327)))</formula>
    </cfRule>
    <cfRule type="containsText" dxfId="702" priority="903" operator="containsText" text="B">
      <formula>NOT(ISERROR(SEARCH("B",E327)))</formula>
    </cfRule>
  </conditionalFormatting>
  <conditionalFormatting sqref="E317">
    <cfRule type="containsText" dxfId="701" priority="831" operator="containsText" text="2nd">
      <formula>NOT(ISERROR(SEARCH("2nd",E317)))</formula>
    </cfRule>
    <cfRule type="containsText" dxfId="700" priority="832" operator="containsText" text="#">
      <formula>NOT(ISERROR(SEARCH("#",E317)))</formula>
    </cfRule>
    <cfRule type="containsText" dxfId="699" priority="833" operator="containsText" text="A">
      <formula>NOT(ISERROR(SEARCH("A",E317)))</formula>
    </cfRule>
    <cfRule type="containsText" dxfId="698" priority="834" operator="containsText" text="C">
      <formula>NOT(ISERROR(SEARCH("C",E317)))</formula>
    </cfRule>
    <cfRule type="containsText" dxfId="697" priority="835" operator="containsText" text="B">
      <formula>NOT(ISERROR(SEARCH("B",E317)))</formula>
    </cfRule>
  </conditionalFormatting>
  <conditionalFormatting sqref="E322">
    <cfRule type="containsText" dxfId="696" priority="798" operator="containsText" text="2nd">
      <formula>NOT(ISERROR(SEARCH("2nd",E322)))</formula>
    </cfRule>
    <cfRule type="containsText" dxfId="695" priority="799" operator="containsText" text="#">
      <formula>NOT(ISERROR(SEARCH("#",E322)))</formula>
    </cfRule>
    <cfRule type="containsText" dxfId="694" priority="800" operator="containsText" text="A">
      <formula>NOT(ISERROR(SEARCH("A",E322)))</formula>
    </cfRule>
    <cfRule type="containsText" dxfId="693" priority="801" operator="containsText" text="C">
      <formula>NOT(ISERROR(SEARCH("C",E322)))</formula>
    </cfRule>
    <cfRule type="containsText" dxfId="692" priority="802" operator="containsText" text="B">
      <formula>NOT(ISERROR(SEARCH("B",E322)))</formula>
    </cfRule>
  </conditionalFormatting>
  <conditionalFormatting sqref="F323">
    <cfRule type="expression" dxfId="691" priority="792">
      <formula>E323="#"</formula>
    </cfRule>
    <cfRule type="expression" dxfId="690" priority="793">
      <formula>E323="B"</formula>
    </cfRule>
    <cfRule type="expression" dxfId="689" priority="794">
      <formula>E323="C"</formula>
    </cfRule>
    <cfRule type="expression" priority="795">
      <formula>E323="A"</formula>
    </cfRule>
    <cfRule type="expression" priority="796">
      <formula>E323=n.a.</formula>
    </cfRule>
  </conditionalFormatting>
  <conditionalFormatting sqref="E323">
    <cfRule type="containsText" dxfId="688" priority="787" operator="containsText" text="2nd">
      <formula>NOT(ISERROR(SEARCH("2nd",E323)))</formula>
    </cfRule>
    <cfRule type="containsText" dxfId="687" priority="788" operator="containsText" text="#">
      <formula>NOT(ISERROR(SEARCH("#",E323)))</formula>
    </cfRule>
    <cfRule type="containsText" dxfId="686" priority="789" operator="containsText" text="A">
      <formula>NOT(ISERROR(SEARCH("A",E323)))</formula>
    </cfRule>
    <cfRule type="containsText" dxfId="685" priority="790" operator="containsText" text="C">
      <formula>NOT(ISERROR(SEARCH("C",E323)))</formula>
    </cfRule>
    <cfRule type="containsText" dxfId="684" priority="791" operator="containsText" text="B">
      <formula>NOT(ISERROR(SEARCH("B",E323)))</formula>
    </cfRule>
  </conditionalFormatting>
  <conditionalFormatting sqref="F323:K323">
    <cfRule type="expression" dxfId="683" priority="786">
      <formula>E323="2nd"</formula>
    </cfRule>
  </conditionalFormatting>
  <conditionalFormatting sqref="F324">
    <cfRule type="expression" dxfId="682" priority="781">
      <formula>E324="#"</formula>
    </cfRule>
    <cfRule type="expression" dxfId="681" priority="782">
      <formula>E324="B"</formula>
    </cfRule>
    <cfRule type="expression" dxfId="680" priority="783">
      <formula>E324="C"</formula>
    </cfRule>
    <cfRule type="expression" priority="784">
      <formula>E324="A"</formula>
    </cfRule>
    <cfRule type="expression" priority="785">
      <formula>E324=n.a.</formula>
    </cfRule>
  </conditionalFormatting>
  <conditionalFormatting sqref="E324">
    <cfRule type="containsText" dxfId="679" priority="776" operator="containsText" text="2nd">
      <formula>NOT(ISERROR(SEARCH("2nd",E324)))</formula>
    </cfRule>
    <cfRule type="containsText" dxfId="678" priority="777" operator="containsText" text="#">
      <formula>NOT(ISERROR(SEARCH("#",E324)))</formula>
    </cfRule>
    <cfRule type="containsText" dxfId="677" priority="778" operator="containsText" text="A">
      <formula>NOT(ISERROR(SEARCH("A",E324)))</formula>
    </cfRule>
    <cfRule type="containsText" dxfId="676" priority="779" operator="containsText" text="C">
      <formula>NOT(ISERROR(SEARCH("C",E324)))</formula>
    </cfRule>
    <cfRule type="containsText" dxfId="675" priority="780" operator="containsText" text="B">
      <formula>NOT(ISERROR(SEARCH("B",E324)))</formula>
    </cfRule>
  </conditionalFormatting>
  <conditionalFormatting sqref="F324:K324">
    <cfRule type="expression" dxfId="674" priority="775">
      <formula>E324="2nd"</formula>
    </cfRule>
  </conditionalFormatting>
  <conditionalFormatting sqref="F325">
    <cfRule type="expression" dxfId="673" priority="770">
      <formula>E325="#"</formula>
    </cfRule>
    <cfRule type="expression" dxfId="672" priority="771">
      <formula>E325="B"</formula>
    </cfRule>
    <cfRule type="expression" dxfId="671" priority="772">
      <formula>E325="C"</formula>
    </cfRule>
    <cfRule type="expression" priority="773">
      <formula>E325="A"</formula>
    </cfRule>
    <cfRule type="expression" priority="774">
      <formula>E325=n.a.</formula>
    </cfRule>
  </conditionalFormatting>
  <conditionalFormatting sqref="E325">
    <cfRule type="containsText" dxfId="670" priority="765" operator="containsText" text="2nd">
      <formula>NOT(ISERROR(SEARCH("2nd",E325)))</formula>
    </cfRule>
    <cfRule type="containsText" dxfId="669" priority="766" operator="containsText" text="#">
      <formula>NOT(ISERROR(SEARCH("#",E325)))</formula>
    </cfRule>
    <cfRule type="containsText" dxfId="668" priority="767" operator="containsText" text="A">
      <formula>NOT(ISERROR(SEARCH("A",E325)))</formula>
    </cfRule>
    <cfRule type="containsText" dxfId="667" priority="768" operator="containsText" text="C">
      <formula>NOT(ISERROR(SEARCH("C",E325)))</formula>
    </cfRule>
    <cfRule type="containsText" dxfId="666" priority="769" operator="containsText" text="B">
      <formula>NOT(ISERROR(SEARCH("B",E325)))</formula>
    </cfRule>
  </conditionalFormatting>
  <conditionalFormatting sqref="F325:K325">
    <cfRule type="expression" dxfId="665" priority="764">
      <formula>E325="2nd"</formula>
    </cfRule>
  </conditionalFormatting>
  <conditionalFormatting sqref="F326">
    <cfRule type="expression" dxfId="664" priority="759">
      <formula>E326="#"</formula>
    </cfRule>
    <cfRule type="expression" dxfId="663" priority="760">
      <formula>E326="B"</formula>
    </cfRule>
    <cfRule type="expression" dxfId="662" priority="761">
      <formula>E326="C"</formula>
    </cfRule>
    <cfRule type="expression" priority="762">
      <formula>E326="A"</formula>
    </cfRule>
    <cfRule type="expression" priority="763">
      <formula>E326=n.a.</formula>
    </cfRule>
  </conditionalFormatting>
  <conditionalFormatting sqref="E326">
    <cfRule type="containsText" dxfId="661" priority="754" operator="containsText" text="2nd">
      <formula>NOT(ISERROR(SEARCH("2nd",E326)))</formula>
    </cfRule>
    <cfRule type="containsText" dxfId="660" priority="755" operator="containsText" text="#">
      <formula>NOT(ISERROR(SEARCH("#",E326)))</formula>
    </cfRule>
    <cfRule type="containsText" dxfId="659" priority="756" operator="containsText" text="A">
      <formula>NOT(ISERROR(SEARCH("A",E326)))</formula>
    </cfRule>
    <cfRule type="containsText" dxfId="658" priority="757" operator="containsText" text="C">
      <formula>NOT(ISERROR(SEARCH("C",E326)))</formula>
    </cfRule>
    <cfRule type="containsText" dxfId="657" priority="758" operator="containsText" text="B">
      <formula>NOT(ISERROR(SEARCH("B",E326)))</formula>
    </cfRule>
  </conditionalFormatting>
  <conditionalFormatting sqref="F326:K326">
    <cfRule type="expression" dxfId="656" priority="753">
      <formula>E326="2nd"</formula>
    </cfRule>
  </conditionalFormatting>
  <conditionalFormatting sqref="E327">
    <cfRule type="containsText" dxfId="655" priority="743" operator="containsText" text="2nd">
      <formula>NOT(ISERROR(SEARCH("2nd",E327)))</formula>
    </cfRule>
    <cfRule type="containsText" dxfId="654" priority="744" operator="containsText" text="#">
      <formula>NOT(ISERROR(SEARCH("#",E327)))</formula>
    </cfRule>
    <cfRule type="containsText" dxfId="653" priority="745" operator="containsText" text="A">
      <formula>NOT(ISERROR(SEARCH("A",E327)))</formula>
    </cfRule>
    <cfRule type="containsText" dxfId="652" priority="746" operator="containsText" text="C">
      <formula>NOT(ISERROR(SEARCH("C",E327)))</formula>
    </cfRule>
    <cfRule type="containsText" dxfId="651" priority="747" operator="containsText" text="B">
      <formula>NOT(ISERROR(SEARCH("B",E327)))</formula>
    </cfRule>
  </conditionalFormatting>
  <conditionalFormatting sqref="E328">
    <cfRule type="containsText" dxfId="650" priority="741" operator="containsText" text="A">
      <formula>NOT(ISERROR(SEARCH("A",E328)))</formula>
    </cfRule>
  </conditionalFormatting>
  <conditionalFormatting sqref="E329">
    <cfRule type="containsText" dxfId="649" priority="740" operator="containsText" text="A">
      <formula>NOT(ISERROR(SEARCH("A",E329)))</formula>
    </cfRule>
  </conditionalFormatting>
  <conditionalFormatting sqref="E330">
    <cfRule type="containsText" dxfId="648" priority="739" operator="containsText" text="A">
      <formula>NOT(ISERROR(SEARCH("A",E330)))</formula>
    </cfRule>
  </conditionalFormatting>
  <conditionalFormatting sqref="E331">
    <cfRule type="containsText" dxfId="647" priority="738" operator="containsText" text="A">
      <formula>NOT(ISERROR(SEARCH("A",E331)))</formula>
    </cfRule>
  </conditionalFormatting>
  <conditionalFormatting sqref="E332">
    <cfRule type="containsText" dxfId="646" priority="737" operator="containsText" text="A">
      <formula>NOT(ISERROR(SEARCH("A",E332)))</formula>
    </cfRule>
  </conditionalFormatting>
  <conditionalFormatting sqref="F317">
    <cfRule type="expression" dxfId="645" priority="732">
      <formula>E317="#"</formula>
    </cfRule>
    <cfRule type="expression" dxfId="644" priority="733">
      <formula>E317="B"</formula>
    </cfRule>
    <cfRule type="expression" dxfId="643" priority="734">
      <formula>E317="C"</formula>
    </cfRule>
    <cfRule type="expression" priority="735">
      <formula>E317="A"</formula>
    </cfRule>
    <cfRule type="expression" priority="736">
      <formula>E317=n.a.</formula>
    </cfRule>
  </conditionalFormatting>
  <conditionalFormatting sqref="F317:K317">
    <cfRule type="expression" dxfId="642" priority="731">
      <formula>E317="2nd"</formula>
    </cfRule>
  </conditionalFormatting>
  <conditionalFormatting sqref="F322">
    <cfRule type="expression" dxfId="641" priority="708">
      <formula>E322="#"</formula>
    </cfRule>
    <cfRule type="expression" dxfId="640" priority="709">
      <formula>E322="B"</formula>
    </cfRule>
    <cfRule type="expression" dxfId="639" priority="710">
      <formula>E322="C"</formula>
    </cfRule>
    <cfRule type="expression" priority="711">
      <formula>E322="A"</formula>
    </cfRule>
    <cfRule type="expression" priority="712">
      <formula>E322=n.a.</formula>
    </cfRule>
  </conditionalFormatting>
  <conditionalFormatting sqref="F322:K322">
    <cfRule type="expression" dxfId="638" priority="707">
      <formula>E322="2nd"</formula>
    </cfRule>
  </conditionalFormatting>
  <conditionalFormatting sqref="F327">
    <cfRule type="expression" dxfId="637" priority="702">
      <formula>E327="#"</formula>
    </cfRule>
    <cfRule type="expression" dxfId="636" priority="703">
      <formula>E327="B"</formula>
    </cfRule>
    <cfRule type="expression" dxfId="635" priority="704">
      <formula>E327="C"</formula>
    </cfRule>
    <cfRule type="expression" priority="705">
      <formula>E327="A"</formula>
    </cfRule>
    <cfRule type="expression" priority="706">
      <formula>E327=n.a.</formula>
    </cfRule>
  </conditionalFormatting>
  <conditionalFormatting sqref="F327:K327">
    <cfRule type="expression" dxfId="634" priority="701">
      <formula>E327="2nd"</formula>
    </cfRule>
  </conditionalFormatting>
  <conditionalFormatting sqref="E326">
    <cfRule type="containsText" dxfId="633" priority="700" operator="containsText" text="A">
      <formula>NOT(ISERROR(SEARCH("A",E326)))</formula>
    </cfRule>
  </conditionalFormatting>
  <conditionalFormatting sqref="E327">
    <cfRule type="containsText" dxfId="632" priority="699" operator="containsText" text="A">
      <formula>NOT(ISERROR(SEARCH("A",E327)))</formula>
    </cfRule>
  </conditionalFormatting>
  <conditionalFormatting sqref="E328">
    <cfRule type="containsText" dxfId="631" priority="698" operator="containsText" text="A">
      <formula>NOT(ISERROR(SEARCH("A",E328)))</formula>
    </cfRule>
  </conditionalFormatting>
  <conditionalFormatting sqref="E322">
    <cfRule type="containsText" dxfId="630" priority="696" operator="containsText" text="A">
      <formula>NOT(ISERROR(SEARCH("A",E322)))</formula>
    </cfRule>
  </conditionalFormatting>
  <conditionalFormatting sqref="E323">
    <cfRule type="containsText" dxfId="629" priority="695" operator="containsText" text="A">
      <formula>NOT(ISERROR(SEARCH("A",E323)))</formula>
    </cfRule>
  </conditionalFormatting>
  <conditionalFormatting sqref="E324">
    <cfRule type="containsText" dxfId="628" priority="694" operator="containsText" text="A">
      <formula>NOT(ISERROR(SEARCH("A",E324)))</formula>
    </cfRule>
  </conditionalFormatting>
  <conditionalFormatting sqref="E325">
    <cfRule type="containsText" dxfId="627" priority="693" operator="containsText" text="A">
      <formula>NOT(ISERROR(SEARCH("A",E325)))</formula>
    </cfRule>
  </conditionalFormatting>
  <conditionalFormatting sqref="E320">
    <cfRule type="containsText" dxfId="626" priority="692" operator="containsText" text="A">
      <formula>NOT(ISERROR(SEARCH("A",E320)))</formula>
    </cfRule>
  </conditionalFormatting>
  <conditionalFormatting sqref="E319">
    <cfRule type="containsText" dxfId="625" priority="687" operator="containsText" text="2nd">
      <formula>NOT(ISERROR(SEARCH("2nd",E319)))</formula>
    </cfRule>
    <cfRule type="containsText" dxfId="624" priority="688" operator="containsText" text="#">
      <formula>NOT(ISERROR(SEARCH("#",E319)))</formula>
    </cfRule>
    <cfRule type="containsText" dxfId="623" priority="689" operator="containsText" text="A">
      <formula>NOT(ISERROR(SEARCH("A",E319)))</formula>
    </cfRule>
    <cfRule type="containsText" dxfId="622" priority="690" operator="containsText" text="C">
      <formula>NOT(ISERROR(SEARCH("C",E319)))</formula>
    </cfRule>
    <cfRule type="containsText" dxfId="621" priority="691" operator="containsText" text="B">
      <formula>NOT(ISERROR(SEARCH("B",E319)))</formula>
    </cfRule>
  </conditionalFormatting>
  <conditionalFormatting sqref="F321">
    <cfRule type="expression" dxfId="620" priority="682">
      <formula>E321="#"</formula>
    </cfRule>
    <cfRule type="expression" dxfId="619" priority="683">
      <formula>E321="B"</formula>
    </cfRule>
    <cfRule type="expression" dxfId="618" priority="684">
      <formula>E321="C"</formula>
    </cfRule>
    <cfRule type="expression" priority="685">
      <formula>E321="A"</formula>
    </cfRule>
    <cfRule type="expression" priority="686">
      <formula>E321=n.a.</formula>
    </cfRule>
  </conditionalFormatting>
  <conditionalFormatting sqref="E321">
    <cfRule type="containsText" dxfId="617" priority="677" operator="containsText" text="2nd">
      <formula>NOT(ISERROR(SEARCH("2nd",E321)))</formula>
    </cfRule>
    <cfRule type="containsText" dxfId="616" priority="678" operator="containsText" text="#">
      <formula>NOT(ISERROR(SEARCH("#",E321)))</formula>
    </cfRule>
    <cfRule type="containsText" dxfId="615" priority="679" operator="containsText" text="A">
      <formula>NOT(ISERROR(SEARCH("A",E321)))</formula>
    </cfRule>
    <cfRule type="containsText" dxfId="614" priority="680" operator="containsText" text="C">
      <formula>NOT(ISERROR(SEARCH("C",E321)))</formula>
    </cfRule>
    <cfRule type="containsText" dxfId="613" priority="681" operator="containsText" text="B">
      <formula>NOT(ISERROR(SEARCH("B",E321)))</formula>
    </cfRule>
  </conditionalFormatting>
  <conditionalFormatting sqref="F321:K321">
    <cfRule type="expression" dxfId="612" priority="676">
      <formula>E321="2nd"</formula>
    </cfRule>
  </conditionalFormatting>
  <conditionalFormatting sqref="E319">
    <cfRule type="containsText" dxfId="611" priority="671" operator="containsText" text="2nd">
      <formula>NOT(ISERROR(SEARCH("2nd",E319)))</formula>
    </cfRule>
    <cfRule type="containsText" dxfId="610" priority="672" operator="containsText" text="#">
      <formula>NOT(ISERROR(SEARCH("#",E319)))</formula>
    </cfRule>
    <cfRule type="containsText" dxfId="609" priority="673" operator="containsText" text="A">
      <formula>NOT(ISERROR(SEARCH("A",E319)))</formula>
    </cfRule>
    <cfRule type="containsText" dxfId="608" priority="674" operator="containsText" text="C">
      <formula>NOT(ISERROR(SEARCH("C",E319)))</formula>
    </cfRule>
    <cfRule type="containsText" dxfId="607" priority="675" operator="containsText" text="B">
      <formula>NOT(ISERROR(SEARCH("B",E319)))</formula>
    </cfRule>
  </conditionalFormatting>
  <conditionalFormatting sqref="F320">
    <cfRule type="expression" dxfId="606" priority="666">
      <formula>E320="#"</formula>
    </cfRule>
    <cfRule type="expression" dxfId="605" priority="667">
      <formula>E320="B"</formula>
    </cfRule>
    <cfRule type="expression" dxfId="604" priority="668">
      <formula>E320="C"</formula>
    </cfRule>
    <cfRule type="expression" priority="669">
      <formula>E320="A"</formula>
    </cfRule>
    <cfRule type="expression" priority="670">
      <formula>E320=n.a.</formula>
    </cfRule>
  </conditionalFormatting>
  <conditionalFormatting sqref="E320">
    <cfRule type="containsText" dxfId="603" priority="661" operator="containsText" text="2nd">
      <formula>NOT(ISERROR(SEARCH("2nd",E320)))</formula>
    </cfRule>
    <cfRule type="containsText" dxfId="602" priority="662" operator="containsText" text="#">
      <formula>NOT(ISERROR(SEARCH("#",E320)))</formula>
    </cfRule>
    <cfRule type="containsText" dxfId="601" priority="663" operator="containsText" text="A">
      <formula>NOT(ISERROR(SEARCH("A",E320)))</formula>
    </cfRule>
    <cfRule type="containsText" dxfId="600" priority="664" operator="containsText" text="C">
      <formula>NOT(ISERROR(SEARCH("C",E320)))</formula>
    </cfRule>
    <cfRule type="containsText" dxfId="599" priority="665" operator="containsText" text="B">
      <formula>NOT(ISERROR(SEARCH("B",E320)))</formula>
    </cfRule>
  </conditionalFormatting>
  <conditionalFormatting sqref="F320:K320">
    <cfRule type="expression" dxfId="598" priority="660">
      <formula>E320="2nd"</formula>
    </cfRule>
  </conditionalFormatting>
  <conditionalFormatting sqref="F321">
    <cfRule type="expression" dxfId="597" priority="655">
      <formula>E321="#"</formula>
    </cfRule>
    <cfRule type="expression" dxfId="596" priority="656">
      <formula>E321="B"</formula>
    </cfRule>
    <cfRule type="expression" dxfId="595" priority="657">
      <formula>E321="C"</formula>
    </cfRule>
    <cfRule type="expression" priority="658">
      <formula>E321="A"</formula>
    </cfRule>
    <cfRule type="expression" priority="659">
      <formula>E321=n.a.</formula>
    </cfRule>
  </conditionalFormatting>
  <conditionalFormatting sqref="E321">
    <cfRule type="containsText" dxfId="594" priority="650" operator="containsText" text="2nd">
      <formula>NOT(ISERROR(SEARCH("2nd",E321)))</formula>
    </cfRule>
    <cfRule type="containsText" dxfId="593" priority="651" operator="containsText" text="#">
      <formula>NOT(ISERROR(SEARCH("#",E321)))</formula>
    </cfRule>
    <cfRule type="containsText" dxfId="592" priority="652" operator="containsText" text="A">
      <formula>NOT(ISERROR(SEARCH("A",E321)))</formula>
    </cfRule>
    <cfRule type="containsText" dxfId="591" priority="653" operator="containsText" text="C">
      <formula>NOT(ISERROR(SEARCH("C",E321)))</formula>
    </cfRule>
    <cfRule type="containsText" dxfId="590" priority="654" operator="containsText" text="B">
      <formula>NOT(ISERROR(SEARCH("B",E321)))</formula>
    </cfRule>
  </conditionalFormatting>
  <conditionalFormatting sqref="F321:K321">
    <cfRule type="expression" dxfId="589" priority="649">
      <formula>E321="2nd"</formula>
    </cfRule>
  </conditionalFormatting>
  <conditionalFormatting sqref="F319">
    <cfRule type="expression" dxfId="588" priority="644">
      <formula>E319="#"</formula>
    </cfRule>
    <cfRule type="expression" dxfId="587" priority="645">
      <formula>E319="B"</formula>
    </cfRule>
    <cfRule type="expression" dxfId="586" priority="646">
      <formula>E319="C"</formula>
    </cfRule>
    <cfRule type="expression" priority="647">
      <formula>E319="A"</formula>
    </cfRule>
    <cfRule type="expression" priority="648">
      <formula>E319=n.a.</formula>
    </cfRule>
  </conditionalFormatting>
  <conditionalFormatting sqref="F319:K319">
    <cfRule type="expression" dxfId="585" priority="643">
      <formula>E319="2nd"</formula>
    </cfRule>
  </conditionalFormatting>
  <conditionalFormatting sqref="E319">
    <cfRule type="containsText" dxfId="584" priority="642" operator="containsText" text="A">
      <formula>NOT(ISERROR(SEARCH("A",E319)))</formula>
    </cfRule>
  </conditionalFormatting>
  <conditionalFormatting sqref="E320">
    <cfRule type="containsText" dxfId="583" priority="641" operator="containsText" text="A">
      <formula>NOT(ISERROR(SEARCH("A",E320)))</formula>
    </cfRule>
  </conditionalFormatting>
  <conditionalFormatting sqref="E321">
    <cfRule type="containsText" dxfId="582" priority="640" operator="containsText" text="A">
      <formula>NOT(ISERROR(SEARCH("A",E321)))</formula>
    </cfRule>
  </conditionalFormatting>
  <conditionalFormatting sqref="E318">
    <cfRule type="containsText" dxfId="581" priority="639" operator="containsText" text="A">
      <formula>NOT(ISERROR(SEARCH("A",E318)))</formula>
    </cfRule>
  </conditionalFormatting>
  <conditionalFormatting sqref="E318">
    <cfRule type="containsText" dxfId="580" priority="634" operator="containsText" text="2nd">
      <formula>NOT(ISERROR(SEARCH("2nd",E318)))</formula>
    </cfRule>
    <cfRule type="containsText" dxfId="579" priority="635" operator="containsText" text="#">
      <formula>NOT(ISERROR(SEARCH("#",E318)))</formula>
    </cfRule>
    <cfRule type="containsText" dxfId="578" priority="636" operator="containsText" text="A">
      <formula>NOT(ISERROR(SEARCH("A",E318)))</formula>
    </cfRule>
    <cfRule type="containsText" dxfId="577" priority="637" operator="containsText" text="C">
      <formula>NOT(ISERROR(SEARCH("C",E318)))</formula>
    </cfRule>
    <cfRule type="containsText" dxfId="576" priority="638" operator="containsText" text="B">
      <formula>NOT(ISERROR(SEARCH("B",E318)))</formula>
    </cfRule>
  </conditionalFormatting>
  <conditionalFormatting sqref="F318">
    <cfRule type="expression" dxfId="575" priority="629">
      <formula>E318="#"</formula>
    </cfRule>
    <cfRule type="expression" dxfId="574" priority="630">
      <formula>E318="B"</formula>
    </cfRule>
    <cfRule type="expression" dxfId="573" priority="631">
      <formula>E318="C"</formula>
    </cfRule>
    <cfRule type="expression" priority="632">
      <formula>E318="A"</formula>
    </cfRule>
    <cfRule type="expression" priority="633">
      <formula>E318=n.a.</formula>
    </cfRule>
  </conditionalFormatting>
  <conditionalFormatting sqref="F318:K318">
    <cfRule type="expression" dxfId="572" priority="628">
      <formula>E318="2nd"</formula>
    </cfRule>
  </conditionalFormatting>
  <conditionalFormatting sqref="E163">
    <cfRule type="containsText" dxfId="571" priority="616" operator="containsText" text="2nd">
      <formula>NOT(ISERROR(SEARCH("2nd",E163)))</formula>
    </cfRule>
    <cfRule type="containsText" dxfId="570" priority="617" operator="containsText" text="#">
      <formula>NOT(ISERROR(SEARCH("#",E163)))</formula>
    </cfRule>
    <cfRule type="containsText" dxfId="569" priority="618" operator="containsText" text="A">
      <formula>NOT(ISERROR(SEARCH("A",E163)))</formula>
    </cfRule>
    <cfRule type="containsText" dxfId="568" priority="619" operator="containsText" text="C">
      <formula>NOT(ISERROR(SEARCH("C",E163)))</formula>
    </cfRule>
    <cfRule type="containsText" dxfId="567" priority="620" operator="containsText" text="B">
      <formula>NOT(ISERROR(SEARCH("B",E163)))</formula>
    </cfRule>
  </conditionalFormatting>
  <conditionalFormatting sqref="E165">
    <cfRule type="containsText" dxfId="566" priority="605" operator="containsText" text="2nd">
      <formula>NOT(ISERROR(SEARCH("2nd",E165)))</formula>
    </cfRule>
    <cfRule type="containsText" dxfId="565" priority="606" operator="containsText" text="#">
      <formula>NOT(ISERROR(SEARCH("#",E165)))</formula>
    </cfRule>
    <cfRule type="containsText" dxfId="564" priority="607" operator="containsText" text="A">
      <formula>NOT(ISERROR(SEARCH("A",E165)))</formula>
    </cfRule>
    <cfRule type="containsText" dxfId="563" priority="608" operator="containsText" text="C">
      <formula>NOT(ISERROR(SEARCH("C",E165)))</formula>
    </cfRule>
    <cfRule type="containsText" dxfId="562" priority="609" operator="containsText" text="B">
      <formula>NOT(ISERROR(SEARCH("B",E165)))</formula>
    </cfRule>
  </conditionalFormatting>
  <conditionalFormatting sqref="E166">
    <cfRule type="containsText" dxfId="561" priority="594" operator="containsText" text="2nd">
      <formula>NOT(ISERROR(SEARCH("2nd",E166)))</formula>
    </cfRule>
    <cfRule type="containsText" dxfId="560" priority="595" operator="containsText" text="#">
      <formula>NOT(ISERROR(SEARCH("#",E166)))</formula>
    </cfRule>
    <cfRule type="containsText" dxfId="559" priority="596" operator="containsText" text="A">
      <formula>NOT(ISERROR(SEARCH("A",E166)))</formula>
    </cfRule>
    <cfRule type="containsText" dxfId="558" priority="597" operator="containsText" text="C">
      <formula>NOT(ISERROR(SEARCH("C",E166)))</formula>
    </cfRule>
    <cfRule type="containsText" dxfId="557" priority="598" operator="containsText" text="B">
      <formula>NOT(ISERROR(SEARCH("B",E166)))</formula>
    </cfRule>
  </conditionalFormatting>
  <conditionalFormatting sqref="E168">
    <cfRule type="containsText" dxfId="556" priority="583" operator="containsText" text="2nd">
      <formula>NOT(ISERROR(SEARCH("2nd",E168)))</formula>
    </cfRule>
    <cfRule type="containsText" dxfId="555" priority="584" operator="containsText" text="#">
      <formula>NOT(ISERROR(SEARCH("#",E168)))</formula>
    </cfRule>
    <cfRule type="containsText" dxfId="554" priority="585" operator="containsText" text="A">
      <formula>NOT(ISERROR(SEARCH("A",E168)))</formula>
    </cfRule>
    <cfRule type="containsText" dxfId="553" priority="586" operator="containsText" text="C">
      <formula>NOT(ISERROR(SEARCH("C",E168)))</formula>
    </cfRule>
    <cfRule type="containsText" dxfId="552" priority="587" operator="containsText" text="B">
      <formula>NOT(ISERROR(SEARCH("B",E168)))</formula>
    </cfRule>
  </conditionalFormatting>
  <conditionalFormatting sqref="E169">
    <cfRule type="containsText" dxfId="551" priority="572" operator="containsText" text="2nd">
      <formula>NOT(ISERROR(SEARCH("2nd",E169)))</formula>
    </cfRule>
    <cfRule type="containsText" dxfId="550" priority="573" operator="containsText" text="#">
      <formula>NOT(ISERROR(SEARCH("#",E169)))</formula>
    </cfRule>
    <cfRule type="containsText" dxfId="549" priority="574" operator="containsText" text="A">
      <formula>NOT(ISERROR(SEARCH("A",E169)))</formula>
    </cfRule>
    <cfRule type="containsText" dxfId="548" priority="575" operator="containsText" text="C">
      <formula>NOT(ISERROR(SEARCH("C",E169)))</formula>
    </cfRule>
    <cfRule type="containsText" dxfId="547" priority="576" operator="containsText" text="B">
      <formula>NOT(ISERROR(SEARCH("B",E169)))</formula>
    </cfRule>
  </conditionalFormatting>
  <conditionalFormatting sqref="E170">
    <cfRule type="containsText" dxfId="546" priority="561" operator="containsText" text="2nd">
      <formula>NOT(ISERROR(SEARCH("2nd",E170)))</formula>
    </cfRule>
    <cfRule type="containsText" dxfId="545" priority="562" operator="containsText" text="#">
      <formula>NOT(ISERROR(SEARCH("#",E170)))</formula>
    </cfRule>
    <cfRule type="containsText" dxfId="544" priority="563" operator="containsText" text="A">
      <formula>NOT(ISERROR(SEARCH("A",E170)))</formula>
    </cfRule>
    <cfRule type="containsText" dxfId="543" priority="564" operator="containsText" text="C">
      <formula>NOT(ISERROR(SEARCH("C",E170)))</formula>
    </cfRule>
    <cfRule type="containsText" dxfId="542" priority="565" operator="containsText" text="B">
      <formula>NOT(ISERROR(SEARCH("B",E170)))</formula>
    </cfRule>
  </conditionalFormatting>
  <conditionalFormatting sqref="E171">
    <cfRule type="containsText" dxfId="541" priority="550" operator="containsText" text="2nd">
      <formula>NOT(ISERROR(SEARCH("2nd",E171)))</formula>
    </cfRule>
    <cfRule type="containsText" dxfId="540" priority="551" operator="containsText" text="#">
      <formula>NOT(ISERROR(SEARCH("#",E171)))</formula>
    </cfRule>
    <cfRule type="containsText" dxfId="539" priority="552" operator="containsText" text="A">
      <formula>NOT(ISERROR(SEARCH("A",E171)))</formula>
    </cfRule>
    <cfRule type="containsText" dxfId="538" priority="553" operator="containsText" text="C">
      <formula>NOT(ISERROR(SEARCH("C",E171)))</formula>
    </cfRule>
    <cfRule type="containsText" dxfId="537" priority="554" operator="containsText" text="B">
      <formula>NOT(ISERROR(SEARCH("B",E171)))</formula>
    </cfRule>
  </conditionalFormatting>
  <conditionalFormatting sqref="E172">
    <cfRule type="containsText" dxfId="536" priority="539" operator="containsText" text="2nd">
      <formula>NOT(ISERROR(SEARCH("2nd",E172)))</formula>
    </cfRule>
    <cfRule type="containsText" dxfId="535" priority="540" operator="containsText" text="#">
      <formula>NOT(ISERROR(SEARCH("#",E172)))</formula>
    </cfRule>
    <cfRule type="containsText" dxfId="534" priority="541" operator="containsText" text="A">
      <formula>NOT(ISERROR(SEARCH("A",E172)))</formula>
    </cfRule>
    <cfRule type="containsText" dxfId="533" priority="542" operator="containsText" text="C">
      <formula>NOT(ISERROR(SEARCH("C",E172)))</formula>
    </cfRule>
    <cfRule type="containsText" dxfId="532" priority="543" operator="containsText" text="B">
      <formula>NOT(ISERROR(SEARCH("B",E172)))</formula>
    </cfRule>
  </conditionalFormatting>
  <conditionalFormatting sqref="F168:F173">
    <cfRule type="expression" dxfId="531" priority="533">
      <formula>E168="#"</formula>
    </cfRule>
    <cfRule type="expression" dxfId="530" priority="534">
      <formula>E168="B"</formula>
    </cfRule>
    <cfRule type="expression" dxfId="529" priority="535">
      <formula>E168="C"</formula>
    </cfRule>
    <cfRule type="expression" priority="536">
      <formula>E168="A"</formula>
    </cfRule>
    <cfRule type="expression" priority="537">
      <formula>E168=n.a.</formula>
    </cfRule>
  </conditionalFormatting>
  <conditionalFormatting sqref="E173">
    <cfRule type="containsText" dxfId="528" priority="528" operator="containsText" text="2nd">
      <formula>NOT(ISERROR(SEARCH("2nd",E173)))</formula>
    </cfRule>
    <cfRule type="containsText" dxfId="527" priority="529" operator="containsText" text="#">
      <formula>NOT(ISERROR(SEARCH("#",E173)))</formula>
    </cfRule>
    <cfRule type="containsText" dxfId="526" priority="530" operator="containsText" text="A">
      <formula>NOT(ISERROR(SEARCH("A",E173)))</formula>
    </cfRule>
    <cfRule type="containsText" dxfId="525" priority="531" operator="containsText" text="C">
      <formula>NOT(ISERROR(SEARCH("C",E173)))</formula>
    </cfRule>
    <cfRule type="containsText" dxfId="524" priority="532" operator="containsText" text="B">
      <formula>NOT(ISERROR(SEARCH("B",E173)))</formula>
    </cfRule>
  </conditionalFormatting>
  <conditionalFormatting sqref="F168:K173">
    <cfRule type="expression" dxfId="523" priority="527">
      <formula>E168="2nd"</formula>
    </cfRule>
  </conditionalFormatting>
  <conditionalFormatting sqref="E205">
    <cfRule type="containsText" dxfId="522" priority="526" operator="containsText" text="A">
      <formula>NOT(ISERROR(SEARCH("A",E205)))</formula>
    </cfRule>
  </conditionalFormatting>
  <conditionalFormatting sqref="E208">
    <cfRule type="containsText" dxfId="521" priority="525" operator="containsText" text="A">
      <formula>NOT(ISERROR(SEARCH("A",E208)))</formula>
    </cfRule>
  </conditionalFormatting>
  <conditionalFormatting sqref="E204">
    <cfRule type="containsText" dxfId="520" priority="520" operator="containsText" text="2nd">
      <formula>NOT(ISERROR(SEARCH("2nd",E204)))</formula>
    </cfRule>
    <cfRule type="containsText" dxfId="519" priority="521" operator="containsText" text="#">
      <formula>NOT(ISERROR(SEARCH("#",E204)))</formula>
    </cfRule>
    <cfRule type="containsText" dxfId="518" priority="522" operator="containsText" text="A">
      <formula>NOT(ISERROR(SEARCH("A",E204)))</formula>
    </cfRule>
    <cfRule type="containsText" dxfId="517" priority="523" operator="containsText" text="C">
      <formula>NOT(ISERROR(SEARCH("C",E204)))</formula>
    </cfRule>
    <cfRule type="containsText" dxfId="516" priority="524" operator="containsText" text="B">
      <formula>NOT(ISERROR(SEARCH("B",E204)))</formula>
    </cfRule>
  </conditionalFormatting>
  <conditionalFormatting sqref="E206">
    <cfRule type="containsText" dxfId="515" priority="515" operator="containsText" text="2nd">
      <formula>NOT(ISERROR(SEARCH("2nd",E206)))</formula>
    </cfRule>
    <cfRule type="containsText" dxfId="514" priority="516" operator="containsText" text="#">
      <formula>NOT(ISERROR(SEARCH("#",E206)))</formula>
    </cfRule>
    <cfRule type="containsText" dxfId="513" priority="517" operator="containsText" text="A">
      <formula>NOT(ISERROR(SEARCH("A",E206)))</formula>
    </cfRule>
    <cfRule type="containsText" dxfId="512" priority="518" operator="containsText" text="C">
      <formula>NOT(ISERROR(SEARCH("C",E206)))</formula>
    </cfRule>
    <cfRule type="containsText" dxfId="511" priority="519" operator="containsText" text="B">
      <formula>NOT(ISERROR(SEARCH("B",E206)))</formula>
    </cfRule>
  </conditionalFormatting>
  <conditionalFormatting sqref="E207">
    <cfRule type="containsText" dxfId="510" priority="510" operator="containsText" text="2nd">
      <formula>NOT(ISERROR(SEARCH("2nd",E207)))</formula>
    </cfRule>
    <cfRule type="containsText" dxfId="509" priority="511" operator="containsText" text="#">
      <formula>NOT(ISERROR(SEARCH("#",E207)))</formula>
    </cfRule>
    <cfRule type="containsText" dxfId="508" priority="512" operator="containsText" text="A">
      <formula>NOT(ISERROR(SEARCH("A",E207)))</formula>
    </cfRule>
    <cfRule type="containsText" dxfId="507" priority="513" operator="containsText" text="C">
      <formula>NOT(ISERROR(SEARCH("C",E207)))</formula>
    </cfRule>
    <cfRule type="containsText" dxfId="506" priority="514" operator="containsText" text="B">
      <formula>NOT(ISERROR(SEARCH("B",E207)))</formula>
    </cfRule>
  </conditionalFormatting>
  <conditionalFormatting sqref="E209">
    <cfRule type="containsText" dxfId="505" priority="505" operator="containsText" text="2nd">
      <formula>NOT(ISERROR(SEARCH("2nd",E209)))</formula>
    </cfRule>
    <cfRule type="containsText" dxfId="504" priority="506" operator="containsText" text="#">
      <formula>NOT(ISERROR(SEARCH("#",E209)))</formula>
    </cfRule>
    <cfRule type="containsText" dxfId="503" priority="507" operator="containsText" text="A">
      <formula>NOT(ISERROR(SEARCH("A",E209)))</formula>
    </cfRule>
    <cfRule type="containsText" dxfId="502" priority="508" operator="containsText" text="C">
      <formula>NOT(ISERROR(SEARCH("C",E209)))</formula>
    </cfRule>
    <cfRule type="containsText" dxfId="501" priority="509" operator="containsText" text="B">
      <formula>NOT(ISERROR(SEARCH("B",E209)))</formula>
    </cfRule>
  </conditionalFormatting>
  <conditionalFormatting sqref="E210">
    <cfRule type="containsText" dxfId="500" priority="500" operator="containsText" text="2nd">
      <formula>NOT(ISERROR(SEARCH("2nd",E210)))</formula>
    </cfRule>
    <cfRule type="containsText" dxfId="499" priority="501" operator="containsText" text="#">
      <formula>NOT(ISERROR(SEARCH("#",E210)))</formula>
    </cfRule>
    <cfRule type="containsText" dxfId="498" priority="502" operator="containsText" text="A">
      <formula>NOT(ISERROR(SEARCH("A",E210)))</formula>
    </cfRule>
    <cfRule type="containsText" dxfId="497" priority="503" operator="containsText" text="C">
      <formula>NOT(ISERROR(SEARCH("C",E210)))</formula>
    </cfRule>
    <cfRule type="containsText" dxfId="496" priority="504" operator="containsText" text="B">
      <formula>NOT(ISERROR(SEARCH("B",E210)))</formula>
    </cfRule>
  </conditionalFormatting>
  <conditionalFormatting sqref="E211">
    <cfRule type="containsText" dxfId="495" priority="495" operator="containsText" text="2nd">
      <formula>NOT(ISERROR(SEARCH("2nd",E211)))</formula>
    </cfRule>
    <cfRule type="containsText" dxfId="494" priority="496" operator="containsText" text="#">
      <formula>NOT(ISERROR(SEARCH("#",E211)))</formula>
    </cfRule>
    <cfRule type="containsText" dxfId="493" priority="497" operator="containsText" text="A">
      <formula>NOT(ISERROR(SEARCH("A",E211)))</formula>
    </cfRule>
    <cfRule type="containsText" dxfId="492" priority="498" operator="containsText" text="C">
      <formula>NOT(ISERROR(SEARCH("C",E211)))</formula>
    </cfRule>
    <cfRule type="containsText" dxfId="491" priority="499" operator="containsText" text="B">
      <formula>NOT(ISERROR(SEARCH("B",E211)))</formula>
    </cfRule>
  </conditionalFormatting>
  <conditionalFormatting sqref="E212">
    <cfRule type="containsText" dxfId="490" priority="490" operator="containsText" text="2nd">
      <formula>NOT(ISERROR(SEARCH("2nd",E212)))</formula>
    </cfRule>
    <cfRule type="containsText" dxfId="489" priority="491" operator="containsText" text="#">
      <formula>NOT(ISERROR(SEARCH("#",E212)))</formula>
    </cfRule>
    <cfRule type="containsText" dxfId="488" priority="492" operator="containsText" text="A">
      <formula>NOT(ISERROR(SEARCH("A",E212)))</formula>
    </cfRule>
    <cfRule type="containsText" dxfId="487" priority="493" operator="containsText" text="C">
      <formula>NOT(ISERROR(SEARCH("C",E212)))</formula>
    </cfRule>
    <cfRule type="containsText" dxfId="486" priority="494" operator="containsText" text="B">
      <formula>NOT(ISERROR(SEARCH("B",E212)))</formula>
    </cfRule>
  </conditionalFormatting>
  <conditionalFormatting sqref="E213">
    <cfRule type="containsText" dxfId="485" priority="485" operator="containsText" text="2nd">
      <formula>NOT(ISERROR(SEARCH("2nd",E213)))</formula>
    </cfRule>
    <cfRule type="containsText" dxfId="484" priority="486" operator="containsText" text="#">
      <formula>NOT(ISERROR(SEARCH("#",E213)))</formula>
    </cfRule>
    <cfRule type="containsText" dxfId="483" priority="487" operator="containsText" text="A">
      <formula>NOT(ISERROR(SEARCH("A",E213)))</formula>
    </cfRule>
    <cfRule type="containsText" dxfId="482" priority="488" operator="containsText" text="C">
      <formula>NOT(ISERROR(SEARCH("C",E213)))</formula>
    </cfRule>
    <cfRule type="containsText" dxfId="481" priority="489" operator="containsText" text="B">
      <formula>NOT(ISERROR(SEARCH("B",E213)))</formula>
    </cfRule>
  </conditionalFormatting>
  <conditionalFormatting sqref="E214">
    <cfRule type="containsText" dxfId="480" priority="480" operator="containsText" text="2nd">
      <formula>NOT(ISERROR(SEARCH("2nd",E214)))</formula>
    </cfRule>
    <cfRule type="containsText" dxfId="479" priority="481" operator="containsText" text="#">
      <formula>NOT(ISERROR(SEARCH("#",E214)))</formula>
    </cfRule>
    <cfRule type="containsText" dxfId="478" priority="482" operator="containsText" text="A">
      <formula>NOT(ISERROR(SEARCH("A",E214)))</formula>
    </cfRule>
    <cfRule type="containsText" dxfId="477" priority="483" operator="containsText" text="C">
      <formula>NOT(ISERROR(SEARCH("C",E214)))</formula>
    </cfRule>
    <cfRule type="containsText" dxfId="476" priority="484" operator="containsText" text="B">
      <formula>NOT(ISERROR(SEARCH("B",E214)))</formula>
    </cfRule>
  </conditionalFormatting>
  <conditionalFormatting sqref="E240">
    <cfRule type="containsText" dxfId="475" priority="479" operator="containsText" text="A">
      <formula>NOT(ISERROR(SEARCH("A",E240)))</formula>
    </cfRule>
  </conditionalFormatting>
  <conditionalFormatting sqref="E243">
    <cfRule type="containsText" dxfId="474" priority="478" operator="containsText" text="A">
      <formula>NOT(ISERROR(SEARCH("A",E243)))</formula>
    </cfRule>
  </conditionalFormatting>
  <conditionalFormatting sqref="E239">
    <cfRule type="containsText" dxfId="473" priority="468" operator="containsText" text="2nd">
      <formula>NOT(ISERROR(SEARCH("2nd",E239)))</formula>
    </cfRule>
    <cfRule type="containsText" dxfId="472" priority="469" operator="containsText" text="#">
      <formula>NOT(ISERROR(SEARCH("#",E239)))</formula>
    </cfRule>
    <cfRule type="containsText" dxfId="471" priority="470" operator="containsText" text="A">
      <formula>NOT(ISERROR(SEARCH("A",E239)))</formula>
    </cfRule>
    <cfRule type="containsText" dxfId="470" priority="471" operator="containsText" text="C">
      <formula>NOT(ISERROR(SEARCH("C",E239)))</formula>
    </cfRule>
    <cfRule type="containsText" dxfId="469" priority="472" operator="containsText" text="B">
      <formula>NOT(ISERROR(SEARCH("B",E239)))</formula>
    </cfRule>
  </conditionalFormatting>
  <conditionalFormatting sqref="E241">
    <cfRule type="containsText" dxfId="468" priority="457" operator="containsText" text="2nd">
      <formula>NOT(ISERROR(SEARCH("2nd",E241)))</formula>
    </cfRule>
    <cfRule type="containsText" dxfId="467" priority="458" operator="containsText" text="#">
      <formula>NOT(ISERROR(SEARCH("#",E241)))</formula>
    </cfRule>
    <cfRule type="containsText" dxfId="466" priority="459" operator="containsText" text="A">
      <formula>NOT(ISERROR(SEARCH("A",E241)))</formula>
    </cfRule>
    <cfRule type="containsText" dxfId="465" priority="460" operator="containsText" text="C">
      <formula>NOT(ISERROR(SEARCH("C",E241)))</formula>
    </cfRule>
    <cfRule type="containsText" dxfId="464" priority="461" operator="containsText" text="B">
      <formula>NOT(ISERROR(SEARCH("B",E241)))</formula>
    </cfRule>
  </conditionalFormatting>
  <conditionalFormatting sqref="E242">
    <cfRule type="containsText" dxfId="463" priority="446" operator="containsText" text="2nd">
      <formula>NOT(ISERROR(SEARCH("2nd",E242)))</formula>
    </cfRule>
    <cfRule type="containsText" dxfId="462" priority="447" operator="containsText" text="#">
      <formula>NOT(ISERROR(SEARCH("#",E242)))</formula>
    </cfRule>
    <cfRule type="containsText" dxfId="461" priority="448" operator="containsText" text="A">
      <formula>NOT(ISERROR(SEARCH("A",E242)))</formula>
    </cfRule>
    <cfRule type="containsText" dxfId="460" priority="449" operator="containsText" text="C">
      <formula>NOT(ISERROR(SEARCH("C",E242)))</formula>
    </cfRule>
    <cfRule type="containsText" dxfId="459" priority="450" operator="containsText" text="B">
      <formula>NOT(ISERROR(SEARCH("B",E242)))</formula>
    </cfRule>
  </conditionalFormatting>
  <conditionalFormatting sqref="E244">
    <cfRule type="containsText" dxfId="458" priority="435" operator="containsText" text="2nd">
      <formula>NOT(ISERROR(SEARCH("2nd",E244)))</formula>
    </cfRule>
    <cfRule type="containsText" dxfId="457" priority="436" operator="containsText" text="#">
      <formula>NOT(ISERROR(SEARCH("#",E244)))</formula>
    </cfRule>
    <cfRule type="containsText" dxfId="456" priority="437" operator="containsText" text="A">
      <formula>NOT(ISERROR(SEARCH("A",E244)))</formula>
    </cfRule>
    <cfRule type="containsText" dxfId="455" priority="438" operator="containsText" text="C">
      <formula>NOT(ISERROR(SEARCH("C",E244)))</formula>
    </cfRule>
    <cfRule type="containsText" dxfId="454" priority="439" operator="containsText" text="B">
      <formula>NOT(ISERROR(SEARCH("B",E244)))</formula>
    </cfRule>
  </conditionalFormatting>
  <conditionalFormatting sqref="E245">
    <cfRule type="containsText" dxfId="453" priority="424" operator="containsText" text="2nd">
      <formula>NOT(ISERROR(SEARCH("2nd",E245)))</formula>
    </cfRule>
    <cfRule type="containsText" dxfId="452" priority="425" operator="containsText" text="#">
      <formula>NOT(ISERROR(SEARCH("#",E245)))</formula>
    </cfRule>
    <cfRule type="containsText" dxfId="451" priority="426" operator="containsText" text="A">
      <formula>NOT(ISERROR(SEARCH("A",E245)))</formula>
    </cfRule>
    <cfRule type="containsText" dxfId="450" priority="427" operator="containsText" text="C">
      <formula>NOT(ISERROR(SEARCH("C",E245)))</formula>
    </cfRule>
    <cfRule type="containsText" dxfId="449" priority="428" operator="containsText" text="B">
      <formula>NOT(ISERROR(SEARCH("B",E245)))</formula>
    </cfRule>
  </conditionalFormatting>
  <conditionalFormatting sqref="E246">
    <cfRule type="containsText" dxfId="448" priority="413" operator="containsText" text="2nd">
      <formula>NOT(ISERROR(SEARCH("2nd",E246)))</formula>
    </cfRule>
    <cfRule type="containsText" dxfId="447" priority="414" operator="containsText" text="#">
      <formula>NOT(ISERROR(SEARCH("#",E246)))</formula>
    </cfRule>
    <cfRule type="containsText" dxfId="446" priority="415" operator="containsText" text="A">
      <formula>NOT(ISERROR(SEARCH("A",E246)))</formula>
    </cfRule>
    <cfRule type="containsText" dxfId="445" priority="416" operator="containsText" text="C">
      <formula>NOT(ISERROR(SEARCH("C",E246)))</formula>
    </cfRule>
    <cfRule type="containsText" dxfId="444" priority="417" operator="containsText" text="B">
      <formula>NOT(ISERROR(SEARCH("B",E246)))</formula>
    </cfRule>
  </conditionalFormatting>
  <conditionalFormatting sqref="E247">
    <cfRule type="containsText" dxfId="443" priority="402" operator="containsText" text="2nd">
      <formula>NOT(ISERROR(SEARCH("2nd",E247)))</formula>
    </cfRule>
    <cfRule type="containsText" dxfId="442" priority="403" operator="containsText" text="#">
      <formula>NOT(ISERROR(SEARCH("#",E247)))</formula>
    </cfRule>
    <cfRule type="containsText" dxfId="441" priority="404" operator="containsText" text="A">
      <formula>NOT(ISERROR(SEARCH("A",E247)))</formula>
    </cfRule>
    <cfRule type="containsText" dxfId="440" priority="405" operator="containsText" text="C">
      <formula>NOT(ISERROR(SEARCH("C",E247)))</formula>
    </cfRule>
    <cfRule type="containsText" dxfId="439" priority="406" operator="containsText" text="B">
      <formula>NOT(ISERROR(SEARCH("B",E247)))</formula>
    </cfRule>
  </conditionalFormatting>
  <conditionalFormatting sqref="E248">
    <cfRule type="containsText" dxfId="438" priority="391" operator="containsText" text="2nd">
      <formula>NOT(ISERROR(SEARCH("2nd",E248)))</formula>
    </cfRule>
    <cfRule type="containsText" dxfId="437" priority="392" operator="containsText" text="#">
      <formula>NOT(ISERROR(SEARCH("#",E248)))</formula>
    </cfRule>
    <cfRule type="containsText" dxfId="436" priority="393" operator="containsText" text="A">
      <formula>NOT(ISERROR(SEARCH("A",E248)))</formula>
    </cfRule>
    <cfRule type="containsText" dxfId="435" priority="394" operator="containsText" text="C">
      <formula>NOT(ISERROR(SEARCH("C",E248)))</formula>
    </cfRule>
    <cfRule type="containsText" dxfId="434" priority="395" operator="containsText" text="B">
      <formula>NOT(ISERROR(SEARCH("B",E248)))</formula>
    </cfRule>
  </conditionalFormatting>
  <conditionalFormatting sqref="E249">
    <cfRule type="containsText" dxfId="433" priority="380" operator="containsText" text="2nd">
      <formula>NOT(ISERROR(SEARCH("2nd",E249)))</formula>
    </cfRule>
    <cfRule type="containsText" dxfId="432" priority="381" operator="containsText" text="#">
      <formula>NOT(ISERROR(SEARCH("#",E249)))</formula>
    </cfRule>
    <cfRule type="containsText" dxfId="431" priority="382" operator="containsText" text="A">
      <formula>NOT(ISERROR(SEARCH("A",E249)))</formula>
    </cfRule>
    <cfRule type="containsText" dxfId="430" priority="383" operator="containsText" text="C">
      <formula>NOT(ISERROR(SEARCH("C",E249)))</formula>
    </cfRule>
    <cfRule type="containsText" dxfId="429" priority="384" operator="containsText" text="B">
      <formula>NOT(ISERROR(SEARCH("B",E249)))</formula>
    </cfRule>
  </conditionalFormatting>
  <conditionalFormatting sqref="E279">
    <cfRule type="containsText" dxfId="428" priority="378" operator="containsText" text="A">
      <formula>NOT(ISERROR(SEARCH("A",E279)))</formula>
    </cfRule>
  </conditionalFormatting>
  <conditionalFormatting sqref="E282">
    <cfRule type="containsText" dxfId="427" priority="377" operator="containsText" text="A">
      <formula>NOT(ISERROR(SEARCH("A",E282)))</formula>
    </cfRule>
  </conditionalFormatting>
  <conditionalFormatting sqref="E278">
    <cfRule type="containsText" dxfId="426" priority="367" operator="containsText" text="2nd">
      <formula>NOT(ISERROR(SEARCH("2nd",E278)))</formula>
    </cfRule>
    <cfRule type="containsText" dxfId="425" priority="368" operator="containsText" text="#">
      <formula>NOT(ISERROR(SEARCH("#",E278)))</formula>
    </cfRule>
    <cfRule type="containsText" dxfId="424" priority="369" operator="containsText" text="A">
      <formula>NOT(ISERROR(SEARCH("A",E278)))</formula>
    </cfRule>
    <cfRule type="containsText" dxfId="423" priority="370" operator="containsText" text="C">
      <formula>NOT(ISERROR(SEARCH("C",E278)))</formula>
    </cfRule>
    <cfRule type="containsText" dxfId="422" priority="371" operator="containsText" text="B">
      <formula>NOT(ISERROR(SEARCH("B",E278)))</formula>
    </cfRule>
  </conditionalFormatting>
  <conditionalFormatting sqref="E280">
    <cfRule type="containsText" dxfId="421" priority="356" operator="containsText" text="2nd">
      <formula>NOT(ISERROR(SEARCH("2nd",E280)))</formula>
    </cfRule>
    <cfRule type="containsText" dxfId="420" priority="357" operator="containsText" text="#">
      <formula>NOT(ISERROR(SEARCH("#",E280)))</formula>
    </cfRule>
    <cfRule type="containsText" dxfId="419" priority="358" operator="containsText" text="A">
      <formula>NOT(ISERROR(SEARCH("A",E280)))</formula>
    </cfRule>
    <cfRule type="containsText" dxfId="418" priority="359" operator="containsText" text="C">
      <formula>NOT(ISERROR(SEARCH("C",E280)))</formula>
    </cfRule>
    <cfRule type="containsText" dxfId="417" priority="360" operator="containsText" text="B">
      <formula>NOT(ISERROR(SEARCH("B",E280)))</formula>
    </cfRule>
  </conditionalFormatting>
  <conditionalFormatting sqref="E281">
    <cfRule type="containsText" dxfId="416" priority="345" operator="containsText" text="2nd">
      <formula>NOT(ISERROR(SEARCH("2nd",E281)))</formula>
    </cfRule>
    <cfRule type="containsText" dxfId="415" priority="346" operator="containsText" text="#">
      <formula>NOT(ISERROR(SEARCH("#",E281)))</formula>
    </cfRule>
    <cfRule type="containsText" dxfId="414" priority="347" operator="containsText" text="A">
      <formula>NOT(ISERROR(SEARCH("A",E281)))</formula>
    </cfRule>
    <cfRule type="containsText" dxfId="413" priority="348" operator="containsText" text="C">
      <formula>NOT(ISERROR(SEARCH("C",E281)))</formula>
    </cfRule>
    <cfRule type="containsText" dxfId="412" priority="349" operator="containsText" text="B">
      <formula>NOT(ISERROR(SEARCH("B",E281)))</formula>
    </cfRule>
  </conditionalFormatting>
  <conditionalFormatting sqref="E283">
    <cfRule type="containsText" dxfId="411" priority="334" operator="containsText" text="2nd">
      <formula>NOT(ISERROR(SEARCH("2nd",E283)))</formula>
    </cfRule>
    <cfRule type="containsText" dxfId="410" priority="335" operator="containsText" text="#">
      <formula>NOT(ISERROR(SEARCH("#",E283)))</formula>
    </cfRule>
    <cfRule type="containsText" dxfId="409" priority="336" operator="containsText" text="A">
      <formula>NOT(ISERROR(SEARCH("A",E283)))</formula>
    </cfRule>
    <cfRule type="containsText" dxfId="408" priority="337" operator="containsText" text="C">
      <formula>NOT(ISERROR(SEARCH("C",E283)))</formula>
    </cfRule>
    <cfRule type="containsText" dxfId="407" priority="338" operator="containsText" text="B">
      <formula>NOT(ISERROR(SEARCH("B",E283)))</formula>
    </cfRule>
  </conditionalFormatting>
  <conditionalFormatting sqref="E284">
    <cfRule type="containsText" dxfId="406" priority="323" operator="containsText" text="2nd">
      <formula>NOT(ISERROR(SEARCH("2nd",E284)))</formula>
    </cfRule>
    <cfRule type="containsText" dxfId="405" priority="324" operator="containsText" text="#">
      <formula>NOT(ISERROR(SEARCH("#",E284)))</formula>
    </cfRule>
    <cfRule type="containsText" dxfId="404" priority="325" operator="containsText" text="A">
      <formula>NOT(ISERROR(SEARCH("A",E284)))</formula>
    </cfRule>
    <cfRule type="containsText" dxfId="403" priority="326" operator="containsText" text="C">
      <formula>NOT(ISERROR(SEARCH("C",E284)))</formula>
    </cfRule>
    <cfRule type="containsText" dxfId="402" priority="327" operator="containsText" text="B">
      <formula>NOT(ISERROR(SEARCH("B",E284)))</formula>
    </cfRule>
  </conditionalFormatting>
  <conditionalFormatting sqref="E285">
    <cfRule type="containsText" dxfId="401" priority="312" operator="containsText" text="2nd">
      <formula>NOT(ISERROR(SEARCH("2nd",E285)))</formula>
    </cfRule>
    <cfRule type="containsText" dxfId="400" priority="313" operator="containsText" text="#">
      <formula>NOT(ISERROR(SEARCH("#",E285)))</formula>
    </cfRule>
    <cfRule type="containsText" dxfId="399" priority="314" operator="containsText" text="A">
      <formula>NOT(ISERROR(SEARCH("A",E285)))</formula>
    </cfRule>
    <cfRule type="containsText" dxfId="398" priority="315" operator="containsText" text="C">
      <formula>NOT(ISERROR(SEARCH("C",E285)))</formula>
    </cfRule>
    <cfRule type="containsText" dxfId="397" priority="316" operator="containsText" text="B">
      <formula>NOT(ISERROR(SEARCH("B",E285)))</formula>
    </cfRule>
  </conditionalFormatting>
  <conditionalFormatting sqref="E286">
    <cfRule type="containsText" dxfId="396" priority="301" operator="containsText" text="2nd">
      <formula>NOT(ISERROR(SEARCH("2nd",E286)))</formula>
    </cfRule>
    <cfRule type="containsText" dxfId="395" priority="302" operator="containsText" text="#">
      <formula>NOT(ISERROR(SEARCH("#",E286)))</formula>
    </cfRule>
    <cfRule type="containsText" dxfId="394" priority="303" operator="containsText" text="A">
      <formula>NOT(ISERROR(SEARCH("A",E286)))</formula>
    </cfRule>
    <cfRule type="containsText" dxfId="393" priority="304" operator="containsText" text="C">
      <formula>NOT(ISERROR(SEARCH("C",E286)))</formula>
    </cfRule>
    <cfRule type="containsText" dxfId="392" priority="305" operator="containsText" text="B">
      <formula>NOT(ISERROR(SEARCH("B",E286)))</formula>
    </cfRule>
  </conditionalFormatting>
  <conditionalFormatting sqref="E287">
    <cfRule type="containsText" dxfId="391" priority="290" operator="containsText" text="2nd">
      <formula>NOT(ISERROR(SEARCH("2nd",E287)))</formula>
    </cfRule>
    <cfRule type="containsText" dxfId="390" priority="291" operator="containsText" text="#">
      <formula>NOT(ISERROR(SEARCH("#",E287)))</formula>
    </cfRule>
    <cfRule type="containsText" dxfId="389" priority="292" operator="containsText" text="A">
      <formula>NOT(ISERROR(SEARCH("A",E287)))</formula>
    </cfRule>
    <cfRule type="containsText" dxfId="388" priority="293" operator="containsText" text="C">
      <formula>NOT(ISERROR(SEARCH("C",E287)))</formula>
    </cfRule>
    <cfRule type="containsText" dxfId="387" priority="294" operator="containsText" text="B">
      <formula>NOT(ISERROR(SEARCH("B",E287)))</formula>
    </cfRule>
  </conditionalFormatting>
  <conditionalFormatting sqref="F288">
    <cfRule type="expression" dxfId="386" priority="284">
      <formula>E288="#"</formula>
    </cfRule>
    <cfRule type="expression" dxfId="385" priority="285">
      <formula>E288="B"</formula>
    </cfRule>
    <cfRule type="expression" dxfId="384" priority="286">
      <formula>E288="C"</formula>
    </cfRule>
    <cfRule type="expression" priority="287">
      <formula>E288="A"</formula>
    </cfRule>
    <cfRule type="expression" priority="288">
      <formula>E288=n.a.</formula>
    </cfRule>
  </conditionalFormatting>
  <conditionalFormatting sqref="E288">
    <cfRule type="containsText" dxfId="383" priority="279" operator="containsText" text="2nd">
      <formula>NOT(ISERROR(SEARCH("2nd",E288)))</formula>
    </cfRule>
    <cfRule type="containsText" dxfId="382" priority="280" operator="containsText" text="#">
      <formula>NOT(ISERROR(SEARCH("#",E288)))</formula>
    </cfRule>
    <cfRule type="containsText" dxfId="381" priority="281" operator="containsText" text="A">
      <formula>NOT(ISERROR(SEARCH("A",E288)))</formula>
    </cfRule>
    <cfRule type="containsText" dxfId="380" priority="282" operator="containsText" text="C">
      <formula>NOT(ISERROR(SEARCH("C",E288)))</formula>
    </cfRule>
    <cfRule type="containsText" dxfId="379" priority="283" operator="containsText" text="B">
      <formula>NOT(ISERROR(SEARCH("B",E288)))</formula>
    </cfRule>
  </conditionalFormatting>
  <conditionalFormatting sqref="F288:K288">
    <cfRule type="expression" dxfId="378" priority="278">
      <formula>E288="2nd"</formula>
    </cfRule>
  </conditionalFormatting>
  <conditionalFormatting sqref="E371">
    <cfRule type="containsText" dxfId="377" priority="275" operator="containsText" text="A">
      <formula>NOT(ISERROR(SEARCH("A",E371)))</formula>
    </cfRule>
  </conditionalFormatting>
  <conditionalFormatting sqref="E358">
    <cfRule type="containsText" dxfId="376" priority="265" operator="containsText" text="2nd">
      <formula>NOT(ISERROR(SEARCH("2nd",E358)))</formula>
    </cfRule>
    <cfRule type="containsText" dxfId="375" priority="266" operator="containsText" text="#">
      <formula>NOT(ISERROR(SEARCH("#",E358)))</formula>
    </cfRule>
    <cfRule type="containsText" dxfId="374" priority="267" operator="containsText" text="A">
      <formula>NOT(ISERROR(SEARCH("A",E358)))</formula>
    </cfRule>
    <cfRule type="containsText" dxfId="373" priority="268" operator="containsText" text="C">
      <formula>NOT(ISERROR(SEARCH("C",E358)))</formula>
    </cfRule>
    <cfRule type="containsText" dxfId="372" priority="269" operator="containsText" text="B">
      <formula>NOT(ISERROR(SEARCH("B",E358)))</formula>
    </cfRule>
  </conditionalFormatting>
  <conditionalFormatting sqref="E360">
    <cfRule type="containsText" dxfId="371" priority="254" operator="containsText" text="2nd">
      <formula>NOT(ISERROR(SEARCH("2nd",E360)))</formula>
    </cfRule>
    <cfRule type="containsText" dxfId="370" priority="255" operator="containsText" text="#">
      <formula>NOT(ISERROR(SEARCH("#",E360)))</formula>
    </cfRule>
    <cfRule type="containsText" dxfId="369" priority="256" operator="containsText" text="A">
      <formula>NOT(ISERROR(SEARCH("A",E360)))</formula>
    </cfRule>
    <cfRule type="containsText" dxfId="368" priority="257" operator="containsText" text="C">
      <formula>NOT(ISERROR(SEARCH("C",E360)))</formula>
    </cfRule>
    <cfRule type="containsText" dxfId="367" priority="258" operator="containsText" text="B">
      <formula>NOT(ISERROR(SEARCH("B",E360)))</formula>
    </cfRule>
  </conditionalFormatting>
  <conditionalFormatting sqref="E361">
    <cfRule type="containsText" dxfId="366" priority="243" operator="containsText" text="2nd">
      <formula>NOT(ISERROR(SEARCH("2nd",E361)))</formula>
    </cfRule>
    <cfRule type="containsText" dxfId="365" priority="244" operator="containsText" text="#">
      <formula>NOT(ISERROR(SEARCH("#",E361)))</formula>
    </cfRule>
    <cfRule type="containsText" dxfId="364" priority="245" operator="containsText" text="A">
      <formula>NOT(ISERROR(SEARCH("A",E361)))</formula>
    </cfRule>
    <cfRule type="containsText" dxfId="363" priority="246" operator="containsText" text="C">
      <formula>NOT(ISERROR(SEARCH("C",E361)))</formula>
    </cfRule>
    <cfRule type="containsText" dxfId="362" priority="247" operator="containsText" text="B">
      <formula>NOT(ISERROR(SEARCH("B",E361)))</formula>
    </cfRule>
  </conditionalFormatting>
  <conditionalFormatting sqref="E363">
    <cfRule type="containsText" dxfId="361" priority="221" operator="containsText" text="2nd">
      <formula>NOT(ISERROR(SEARCH("2nd",E363)))</formula>
    </cfRule>
    <cfRule type="containsText" dxfId="360" priority="222" operator="containsText" text="#">
      <formula>NOT(ISERROR(SEARCH("#",E363)))</formula>
    </cfRule>
    <cfRule type="containsText" dxfId="359" priority="223" operator="containsText" text="A">
      <formula>NOT(ISERROR(SEARCH("A",E363)))</formula>
    </cfRule>
    <cfRule type="containsText" dxfId="358" priority="224" operator="containsText" text="C">
      <formula>NOT(ISERROR(SEARCH("C",E363)))</formula>
    </cfRule>
    <cfRule type="containsText" dxfId="357" priority="225" operator="containsText" text="B">
      <formula>NOT(ISERROR(SEARCH("B",E363)))</formula>
    </cfRule>
  </conditionalFormatting>
  <conditionalFormatting sqref="E365">
    <cfRule type="containsText" dxfId="356" priority="210" operator="containsText" text="2nd">
      <formula>NOT(ISERROR(SEARCH("2nd",E365)))</formula>
    </cfRule>
    <cfRule type="containsText" dxfId="355" priority="211" operator="containsText" text="#">
      <formula>NOT(ISERROR(SEARCH("#",E365)))</formula>
    </cfRule>
    <cfRule type="containsText" dxfId="354" priority="212" operator="containsText" text="A">
      <formula>NOT(ISERROR(SEARCH("A",E365)))</formula>
    </cfRule>
    <cfRule type="containsText" dxfId="353" priority="213" operator="containsText" text="C">
      <formula>NOT(ISERROR(SEARCH("C",E365)))</formula>
    </cfRule>
    <cfRule type="containsText" dxfId="352" priority="214" operator="containsText" text="B">
      <formula>NOT(ISERROR(SEARCH("B",E365)))</formula>
    </cfRule>
  </conditionalFormatting>
  <conditionalFormatting sqref="E366">
    <cfRule type="containsText" dxfId="351" priority="199" operator="containsText" text="2nd">
      <formula>NOT(ISERROR(SEARCH("2nd",E366)))</formula>
    </cfRule>
    <cfRule type="containsText" dxfId="350" priority="200" operator="containsText" text="#">
      <formula>NOT(ISERROR(SEARCH("#",E366)))</formula>
    </cfRule>
    <cfRule type="containsText" dxfId="349" priority="201" operator="containsText" text="A">
      <formula>NOT(ISERROR(SEARCH("A",E366)))</formula>
    </cfRule>
    <cfRule type="containsText" dxfId="348" priority="202" operator="containsText" text="C">
      <formula>NOT(ISERROR(SEARCH("C",E366)))</formula>
    </cfRule>
    <cfRule type="containsText" dxfId="347" priority="203" operator="containsText" text="B">
      <formula>NOT(ISERROR(SEARCH("B",E366)))</formula>
    </cfRule>
  </conditionalFormatting>
  <conditionalFormatting sqref="E367">
    <cfRule type="containsText" dxfId="346" priority="188" operator="containsText" text="2nd">
      <formula>NOT(ISERROR(SEARCH("2nd",E367)))</formula>
    </cfRule>
    <cfRule type="containsText" dxfId="345" priority="189" operator="containsText" text="#">
      <formula>NOT(ISERROR(SEARCH("#",E367)))</formula>
    </cfRule>
    <cfRule type="containsText" dxfId="344" priority="190" operator="containsText" text="A">
      <formula>NOT(ISERROR(SEARCH("A",E367)))</formula>
    </cfRule>
    <cfRule type="containsText" dxfId="343" priority="191" operator="containsText" text="C">
      <formula>NOT(ISERROR(SEARCH("C",E367)))</formula>
    </cfRule>
    <cfRule type="containsText" dxfId="342" priority="192" operator="containsText" text="B">
      <formula>NOT(ISERROR(SEARCH("B",E367)))</formula>
    </cfRule>
  </conditionalFormatting>
  <conditionalFormatting sqref="E368">
    <cfRule type="containsText" dxfId="341" priority="177" operator="containsText" text="2nd">
      <formula>NOT(ISERROR(SEARCH("2nd",E368)))</formula>
    </cfRule>
    <cfRule type="containsText" dxfId="340" priority="178" operator="containsText" text="#">
      <formula>NOT(ISERROR(SEARCH("#",E368)))</formula>
    </cfRule>
    <cfRule type="containsText" dxfId="339" priority="179" operator="containsText" text="A">
      <formula>NOT(ISERROR(SEARCH("A",E368)))</formula>
    </cfRule>
    <cfRule type="containsText" dxfId="338" priority="180" operator="containsText" text="C">
      <formula>NOT(ISERROR(SEARCH("C",E368)))</formula>
    </cfRule>
    <cfRule type="containsText" dxfId="337" priority="181" operator="containsText" text="B">
      <formula>NOT(ISERROR(SEARCH("B",E368)))</formula>
    </cfRule>
  </conditionalFormatting>
  <conditionalFormatting sqref="F260:F261">
    <cfRule type="expression" dxfId="336" priority="94">
      <formula>E260="#"</formula>
    </cfRule>
    <cfRule type="expression" dxfId="335" priority="95">
      <formula>E260="B"</formula>
    </cfRule>
    <cfRule type="expression" dxfId="334" priority="96">
      <formula>E260="C"</formula>
    </cfRule>
    <cfRule type="expression" priority="97">
      <formula>E260="A"</formula>
    </cfRule>
    <cfRule type="expression" priority="98">
      <formula>E260=n.a.</formula>
    </cfRule>
  </conditionalFormatting>
  <conditionalFormatting sqref="F260:K261">
    <cfRule type="expression" dxfId="333" priority="93">
      <formula>E260="2nd"</formula>
    </cfRule>
  </conditionalFormatting>
  <conditionalFormatting sqref="F265:F287">
    <cfRule type="expression" dxfId="332" priority="82">
      <formula>E265="#"</formula>
    </cfRule>
    <cfRule type="expression" dxfId="331" priority="83">
      <formula>E265="B"</formula>
    </cfRule>
    <cfRule type="expression" dxfId="330" priority="84">
      <formula>E265="C"</formula>
    </cfRule>
    <cfRule type="expression" priority="85">
      <formula>E265="A"</formula>
    </cfRule>
    <cfRule type="expression" priority="86">
      <formula>E265=n.a.</formula>
    </cfRule>
  </conditionalFormatting>
  <conditionalFormatting sqref="F265:K287">
    <cfRule type="expression" dxfId="329" priority="81">
      <formula>E265="2nd"</formula>
    </cfRule>
  </conditionalFormatting>
  <conditionalFormatting sqref="F265:F287">
    <cfRule type="expression" dxfId="328" priority="76">
      <formula>E265="#"</formula>
    </cfRule>
    <cfRule type="expression" dxfId="327" priority="77">
      <formula>E265="B"</formula>
    </cfRule>
    <cfRule type="expression" dxfId="326" priority="78">
      <formula>E265="C"</formula>
    </cfRule>
    <cfRule type="expression" priority="79">
      <formula>E265="A"</formula>
    </cfRule>
    <cfRule type="expression" priority="80">
      <formula>E265=n.a.</formula>
    </cfRule>
  </conditionalFormatting>
  <conditionalFormatting sqref="F265:K287">
    <cfRule type="expression" dxfId="325" priority="75">
      <formula>E265="2nd"</formula>
    </cfRule>
  </conditionalFormatting>
  <conditionalFormatting sqref="F226:F259">
    <cfRule type="expression" dxfId="324" priority="70">
      <formula>E226="#"</formula>
    </cfRule>
    <cfRule type="expression" dxfId="323" priority="71">
      <formula>E226="B"</formula>
    </cfRule>
    <cfRule type="expression" dxfId="322" priority="72">
      <formula>E226="C"</formula>
    </cfRule>
    <cfRule type="expression" priority="73">
      <formula>E226="A"</formula>
    </cfRule>
    <cfRule type="expression" priority="74">
      <formula>E226=n.a.</formula>
    </cfRule>
  </conditionalFormatting>
  <conditionalFormatting sqref="F226:K259">
    <cfRule type="expression" dxfId="321" priority="69">
      <formula>E226="2nd"</formula>
    </cfRule>
  </conditionalFormatting>
  <conditionalFormatting sqref="E148">
    <cfRule type="containsText" dxfId="320" priority="68" operator="containsText" text="A">
      <formula>NOT(ISERROR(SEARCH("A",E148)))</formula>
    </cfRule>
  </conditionalFormatting>
  <conditionalFormatting sqref="E154">
    <cfRule type="containsText" dxfId="319" priority="67" operator="containsText" text="A">
      <formula>NOT(ISERROR(SEARCH("A",E154)))</formula>
    </cfRule>
  </conditionalFormatting>
  <conditionalFormatting sqref="E164">
    <cfRule type="containsText" dxfId="318" priority="66" operator="containsText" text="A">
      <formula>NOT(ISERROR(SEARCH("A",E164)))</formula>
    </cfRule>
  </conditionalFormatting>
  <conditionalFormatting sqref="E167">
    <cfRule type="containsText" dxfId="317" priority="65" operator="containsText" text="A">
      <formula>NOT(ISERROR(SEARCH("A",E167)))</formula>
    </cfRule>
  </conditionalFormatting>
  <conditionalFormatting sqref="F441:F445">
    <cfRule type="expression" dxfId="316" priority="448948">
      <formula>E440="#"</formula>
    </cfRule>
    <cfRule type="expression" dxfId="315" priority="448949">
      <formula>E440="B"</formula>
    </cfRule>
    <cfRule type="expression" dxfId="314" priority="448950">
      <formula>E440="C"</formula>
    </cfRule>
    <cfRule type="expression" priority="448951">
      <formula>E440="A"</formula>
    </cfRule>
    <cfRule type="expression" priority="448952">
      <formula>E440=n.a.</formula>
    </cfRule>
  </conditionalFormatting>
  <conditionalFormatting sqref="F441:K445">
    <cfRule type="expression" dxfId="313" priority="448953">
      <formula>E440="2nd"</formula>
    </cfRule>
  </conditionalFormatting>
  <conditionalFormatting sqref="E446">
    <cfRule type="containsText" dxfId="312" priority="64" operator="containsText" text="A">
      <formula>NOT(ISERROR(SEARCH("A",E446)))</formula>
    </cfRule>
  </conditionalFormatting>
  <conditionalFormatting sqref="F421:F440">
    <cfRule type="expression" dxfId="311" priority="59">
      <formula>E420="#"</formula>
    </cfRule>
    <cfRule type="expression" dxfId="310" priority="60">
      <formula>E420="B"</formula>
    </cfRule>
    <cfRule type="expression" dxfId="309" priority="61">
      <formula>E420="C"</formula>
    </cfRule>
    <cfRule type="expression" priority="62">
      <formula>E420="A"</formula>
    </cfRule>
    <cfRule type="expression" priority="63">
      <formula>E420=n.a.</formula>
    </cfRule>
  </conditionalFormatting>
  <conditionalFormatting sqref="F421:K440">
    <cfRule type="expression" dxfId="308" priority="58">
      <formula>E420="2nd"</formula>
    </cfRule>
  </conditionalFormatting>
  <conditionalFormatting sqref="E348">
    <cfRule type="containsText" dxfId="307" priority="53" operator="containsText" text="2nd">
      <formula>NOT(ISERROR(SEARCH("2nd",E348)))</formula>
    </cfRule>
    <cfRule type="containsText" dxfId="306" priority="54" operator="containsText" text="#">
      <formula>NOT(ISERROR(SEARCH("#",E348)))</formula>
    </cfRule>
    <cfRule type="containsText" dxfId="305" priority="55" operator="containsText" text="A">
      <formula>NOT(ISERROR(SEARCH("A",E348)))</formula>
    </cfRule>
    <cfRule type="containsText" dxfId="304" priority="56" operator="containsText" text="C">
      <formula>NOT(ISERROR(SEARCH("C",E348)))</formula>
    </cfRule>
    <cfRule type="containsText" dxfId="303" priority="57" operator="containsText" text="B">
      <formula>NOT(ISERROR(SEARCH("B",E348)))</formula>
    </cfRule>
  </conditionalFormatting>
  <conditionalFormatting sqref="E357">
    <cfRule type="containsText" dxfId="302" priority="48" operator="containsText" text="2nd">
      <formula>NOT(ISERROR(SEARCH("2nd",E357)))</formula>
    </cfRule>
    <cfRule type="containsText" dxfId="301" priority="49" operator="containsText" text="#">
      <formula>NOT(ISERROR(SEARCH("#",E357)))</formula>
    </cfRule>
    <cfRule type="containsText" dxfId="300" priority="50" operator="containsText" text="A">
      <formula>NOT(ISERROR(SEARCH("A",E357)))</formula>
    </cfRule>
    <cfRule type="containsText" dxfId="299" priority="51" operator="containsText" text="C">
      <formula>NOT(ISERROR(SEARCH("C",E357)))</formula>
    </cfRule>
    <cfRule type="containsText" dxfId="298" priority="52" operator="containsText" text="B">
      <formula>NOT(ISERROR(SEARCH("B",E357)))</formula>
    </cfRule>
  </conditionalFormatting>
  <conditionalFormatting sqref="E357">
    <cfRule type="containsText" dxfId="297" priority="47" operator="containsText" text="A">
      <formula>NOT(ISERROR(SEARCH("A",E357)))</formula>
    </cfRule>
  </conditionalFormatting>
  <conditionalFormatting sqref="E359">
    <cfRule type="containsText" dxfId="296" priority="42" operator="containsText" text="2nd">
      <formula>NOT(ISERROR(SEARCH("2nd",E359)))</formula>
    </cfRule>
    <cfRule type="containsText" dxfId="295" priority="43" operator="containsText" text="#">
      <formula>NOT(ISERROR(SEARCH("#",E359)))</formula>
    </cfRule>
    <cfRule type="containsText" dxfId="294" priority="44" operator="containsText" text="A">
      <formula>NOT(ISERROR(SEARCH("A",E359)))</formula>
    </cfRule>
    <cfRule type="containsText" dxfId="293" priority="45" operator="containsText" text="C">
      <formula>NOT(ISERROR(SEARCH("C",E359)))</formula>
    </cfRule>
    <cfRule type="containsText" dxfId="292" priority="46" operator="containsText" text="B">
      <formula>NOT(ISERROR(SEARCH("B",E359)))</formula>
    </cfRule>
  </conditionalFormatting>
  <conditionalFormatting sqref="E359">
    <cfRule type="containsText" dxfId="291" priority="37" operator="containsText" text="2nd">
      <formula>NOT(ISERROR(SEARCH("2nd",E359)))</formula>
    </cfRule>
    <cfRule type="containsText" dxfId="290" priority="38" operator="containsText" text="#">
      <formula>NOT(ISERROR(SEARCH("#",E359)))</formula>
    </cfRule>
    <cfRule type="containsText" dxfId="289" priority="39" operator="containsText" text="A">
      <formula>NOT(ISERROR(SEARCH("A",E359)))</formula>
    </cfRule>
    <cfRule type="containsText" dxfId="288" priority="40" operator="containsText" text="C">
      <formula>NOT(ISERROR(SEARCH("C",E359)))</formula>
    </cfRule>
    <cfRule type="containsText" dxfId="287" priority="41" operator="containsText" text="B">
      <formula>NOT(ISERROR(SEARCH("B",E359)))</formula>
    </cfRule>
  </conditionalFormatting>
  <conditionalFormatting sqref="E362">
    <cfRule type="containsText" dxfId="286" priority="32" operator="containsText" text="2nd">
      <formula>NOT(ISERROR(SEARCH("2nd",E362)))</formula>
    </cfRule>
    <cfRule type="containsText" dxfId="285" priority="33" operator="containsText" text="#">
      <formula>NOT(ISERROR(SEARCH("#",E362)))</formula>
    </cfRule>
    <cfRule type="containsText" dxfId="284" priority="34" operator="containsText" text="A">
      <formula>NOT(ISERROR(SEARCH("A",E362)))</formula>
    </cfRule>
    <cfRule type="containsText" dxfId="283" priority="35" operator="containsText" text="C">
      <formula>NOT(ISERROR(SEARCH("C",E362)))</formula>
    </cfRule>
    <cfRule type="containsText" dxfId="282" priority="36" operator="containsText" text="B">
      <formula>NOT(ISERROR(SEARCH("B",E362)))</formula>
    </cfRule>
  </conditionalFormatting>
  <conditionalFormatting sqref="E362">
    <cfRule type="containsText" dxfId="281" priority="31" operator="containsText" text="A">
      <formula>NOT(ISERROR(SEARCH("A",E362)))</formula>
    </cfRule>
  </conditionalFormatting>
  <conditionalFormatting sqref="E364">
    <cfRule type="containsText" dxfId="280" priority="26" operator="containsText" text="2nd">
      <formula>NOT(ISERROR(SEARCH("2nd",E364)))</formula>
    </cfRule>
    <cfRule type="containsText" dxfId="279" priority="27" operator="containsText" text="#">
      <formula>NOT(ISERROR(SEARCH("#",E364)))</formula>
    </cfRule>
    <cfRule type="containsText" dxfId="278" priority="28" operator="containsText" text="A">
      <formula>NOT(ISERROR(SEARCH("A",E364)))</formula>
    </cfRule>
    <cfRule type="containsText" dxfId="277" priority="29" operator="containsText" text="C">
      <formula>NOT(ISERROR(SEARCH("C",E364)))</formula>
    </cfRule>
    <cfRule type="containsText" dxfId="276" priority="30" operator="containsText" text="B">
      <formula>NOT(ISERROR(SEARCH("B",E364)))</formula>
    </cfRule>
  </conditionalFormatting>
  <conditionalFormatting sqref="E364">
    <cfRule type="containsText" dxfId="275" priority="21" operator="containsText" text="2nd">
      <formula>NOT(ISERROR(SEARCH("2nd",E364)))</formula>
    </cfRule>
    <cfRule type="containsText" dxfId="274" priority="22" operator="containsText" text="#">
      <formula>NOT(ISERROR(SEARCH("#",E364)))</formula>
    </cfRule>
    <cfRule type="containsText" dxfId="273" priority="23" operator="containsText" text="A">
      <formula>NOT(ISERROR(SEARCH("A",E364)))</formula>
    </cfRule>
    <cfRule type="containsText" dxfId="272" priority="24" operator="containsText" text="C">
      <formula>NOT(ISERROR(SEARCH("C",E364)))</formula>
    </cfRule>
    <cfRule type="containsText" dxfId="271" priority="25" operator="containsText" text="B">
      <formula>NOT(ISERROR(SEARCH("B",E364)))</formula>
    </cfRule>
  </conditionalFormatting>
  <conditionalFormatting sqref="E370">
    <cfRule type="containsText" dxfId="270" priority="16" operator="containsText" text="2nd">
      <formula>NOT(ISERROR(SEARCH("2nd",E370)))</formula>
    </cfRule>
    <cfRule type="containsText" dxfId="269" priority="17" operator="containsText" text="#">
      <formula>NOT(ISERROR(SEARCH("#",E370)))</formula>
    </cfRule>
    <cfRule type="containsText" dxfId="268" priority="18" operator="containsText" text="A">
      <formula>NOT(ISERROR(SEARCH("A",E370)))</formula>
    </cfRule>
    <cfRule type="containsText" dxfId="267" priority="19" operator="containsText" text="C">
      <formula>NOT(ISERROR(SEARCH("C",E370)))</formula>
    </cfRule>
    <cfRule type="containsText" dxfId="266" priority="20" operator="containsText" text="B">
      <formula>NOT(ISERROR(SEARCH("B",E370)))</formula>
    </cfRule>
  </conditionalFormatting>
  <conditionalFormatting sqref="E370">
    <cfRule type="containsText" dxfId="265" priority="15" operator="containsText" text="A">
      <formula>NOT(ISERROR(SEARCH("A",E370)))</formula>
    </cfRule>
  </conditionalFormatting>
  <conditionalFormatting sqref="E372:E377">
    <cfRule type="containsText" dxfId="264" priority="10" operator="containsText" text="2nd">
      <formula>NOT(ISERROR(SEARCH("2nd",E372)))</formula>
    </cfRule>
    <cfRule type="containsText" dxfId="263" priority="11" operator="containsText" text="#">
      <formula>NOT(ISERROR(SEARCH("#",E372)))</formula>
    </cfRule>
    <cfRule type="containsText" dxfId="262" priority="12" operator="containsText" text="A">
      <formula>NOT(ISERROR(SEARCH("A",E372)))</formula>
    </cfRule>
    <cfRule type="containsText" dxfId="261" priority="13" operator="containsText" text="C">
      <formula>NOT(ISERROR(SEARCH("C",E372)))</formula>
    </cfRule>
    <cfRule type="containsText" dxfId="260" priority="14" operator="containsText" text="B">
      <formula>NOT(ISERROR(SEARCH("B",E372)))</formula>
    </cfRule>
  </conditionalFormatting>
  <conditionalFormatting sqref="E372:E377">
    <cfRule type="containsText" dxfId="259" priority="9" operator="containsText" text="A">
      <formula>NOT(ISERROR(SEARCH("A",E372)))</formula>
    </cfRule>
  </conditionalFormatting>
  <conditionalFormatting sqref="N140">
    <cfRule type="containsText" dxfId="258" priority="7" operator="containsText" text="Yes">
      <formula>NOT(ISERROR(SEARCH("Yes",N140)))</formula>
    </cfRule>
    <cfRule type="containsText" dxfId="257" priority="8" operator="containsText" text="No">
      <formula>NOT(ISERROR(SEARCH("No",N140)))</formula>
    </cfRule>
  </conditionalFormatting>
  <conditionalFormatting sqref="E369">
    <cfRule type="containsText" dxfId="256" priority="2" operator="containsText" text="2nd">
      <formula>NOT(ISERROR(SEARCH("2nd",E369)))</formula>
    </cfRule>
    <cfRule type="containsText" dxfId="255" priority="3" operator="containsText" text="#">
      <formula>NOT(ISERROR(SEARCH("#",E369)))</formula>
    </cfRule>
    <cfRule type="containsText" dxfId="254" priority="4" operator="containsText" text="A">
      <formula>NOT(ISERROR(SEARCH("A",E369)))</formula>
    </cfRule>
    <cfRule type="containsText" dxfId="253" priority="5" operator="containsText" text="C">
      <formula>NOT(ISERROR(SEARCH("C",E369)))</formula>
    </cfRule>
    <cfRule type="containsText" dxfId="252" priority="6" operator="containsText" text="B">
      <formula>NOT(ISERROR(SEARCH("B",E369)))</formula>
    </cfRule>
  </conditionalFormatting>
  <conditionalFormatting sqref="E369">
    <cfRule type="containsText" dxfId="251" priority="1" operator="containsText" text="A">
      <formula>NOT(ISERROR(SEARCH("A",E369)))</formula>
    </cfRule>
  </conditionalFormatting>
  <dataValidations count="6">
    <dataValidation type="list" allowBlank="1" showErrorMessage="1" sqref="E340:E342 E223:E225 E301:E303 E262:E264 E185:E186 E379:E380 E420">
      <formula1>Status</formula1>
    </dataValidation>
    <dataValidation type="list" allowBlank="1" showInputMessage="1" showErrorMessage="1" sqref="N156:N157 N110:N111 N87:N88 N71 N74:N81 N83 N85 N94 N97:N104 N106 N108 N142:N146 N154 N148:N150 N152">
      <formula1>"Ja,Nein,"</formula1>
    </dataValidation>
    <dataValidation type="list" allowBlank="1" showInputMessage="1" showErrorMessage="1" sqref="N51:N53 N57:N59 N61 N63 N65:N66 N177:N180 N182:N185 N187 N189 N191:N192 N131:N134 N129 N119:N127">
      <formula1>"Ja,Nein"</formula1>
    </dataValidation>
    <dataValidation type="list" allowBlank="1" showErrorMessage="1" sqref="E428:E435 E344:E347 E271:E278 E244:E249 E155:E163 E188:E192 E194:E199 E165:E166 E360:E363 E168:E173 E227:E230 E201:E204 E209:E214 E206:E207 E266:E269 E232:E239 E280:E281 E241:E242 E372:E377 E283:E288 E305:E309 E311:E318 E149:E153 E422:E426 E440:E445 E437:E438 E350:E358 E365:E370">
      <formula1>erwListe</formula1>
    </dataValidation>
    <dataValidation type="list" allowBlank="1" showInputMessage="1" showErrorMessage="1" sqref="N33 N25:N28 N130 N37 N39 N41 N48:N50 N54:N56 N174:N176 N60 N62 N64 N70 N72:N73 N128 N82 N84 N86 N93 N95:N96 N116:N118 N105 N107 N109 N181 N139:N141 N188 N186 N151 N153 N155 N190 N147">
      <formula1>"Yes,No"</formula1>
    </dataValidation>
    <dataValidation type="list" allowBlank="1" showInputMessage="1" showErrorMessage="1" sqref="N20:O20">
      <formula1>RoMP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tabSelected="1" workbookViewId="0">
      <selection activeCell="F4" sqref="F4"/>
    </sheetView>
  </sheetViews>
  <sheetFormatPr baseColWidth="10" defaultRowHeight="12.75" x14ac:dyDescent="0.2"/>
  <cols>
    <col min="1" max="1" width="49.42578125" bestFit="1" customWidth="1"/>
    <col min="2" max="2" width="13.140625" bestFit="1" customWidth="1"/>
    <col min="3" max="3" width="26.85546875" bestFit="1" customWidth="1"/>
    <col min="4" max="4" width="33" bestFit="1" customWidth="1"/>
    <col min="5" max="5" width="12.28515625" bestFit="1" customWidth="1"/>
    <col min="6" max="6" width="20" bestFit="1" customWidth="1"/>
    <col min="7" max="7" width="17" bestFit="1" customWidth="1"/>
  </cols>
  <sheetData>
    <row r="1" spans="1:7" ht="15.75" x14ac:dyDescent="0.25">
      <c r="A1" s="868" t="s">
        <v>356</v>
      </c>
      <c r="B1" s="868"/>
      <c r="C1" s="868"/>
      <c r="D1" s="868"/>
      <c r="E1" s="868"/>
      <c r="F1" s="868"/>
      <c r="G1" s="868"/>
    </row>
    <row r="2" spans="1:7" x14ac:dyDescent="0.2">
      <c r="A2" s="575" t="s">
        <v>29</v>
      </c>
      <c r="B2" s="575" t="s">
        <v>357</v>
      </c>
      <c r="C2" s="575" t="s">
        <v>358</v>
      </c>
      <c r="D2" s="575" t="s">
        <v>373</v>
      </c>
      <c r="E2" s="575" t="s">
        <v>359</v>
      </c>
      <c r="F2" s="575" t="s">
        <v>360</v>
      </c>
      <c r="G2" s="575" t="s">
        <v>361</v>
      </c>
    </row>
    <row r="3" spans="1:7" x14ac:dyDescent="0.2">
      <c r="A3" s="894" t="s">
        <v>337</v>
      </c>
      <c r="B3" s="894" t="s">
        <v>371</v>
      </c>
      <c r="C3" s="894" t="s">
        <v>144</v>
      </c>
      <c r="D3" s="894"/>
      <c r="E3" s="895" t="s">
        <v>376</v>
      </c>
      <c r="F3" s="896"/>
      <c r="G3" s="897" t="s">
        <v>19</v>
      </c>
    </row>
    <row r="4" spans="1:7" x14ac:dyDescent="0.2">
      <c r="A4" s="894" t="s">
        <v>337</v>
      </c>
      <c r="B4" s="894" t="s">
        <v>371</v>
      </c>
      <c r="C4" s="894" t="s">
        <v>144</v>
      </c>
      <c r="D4" s="894"/>
      <c r="E4" s="895" t="s">
        <v>377</v>
      </c>
      <c r="F4" s="896"/>
      <c r="G4" s="897" t="s">
        <v>372</v>
      </c>
    </row>
    <row r="5" spans="1:7" x14ac:dyDescent="0.2">
      <c r="A5" s="11" t="s">
        <v>337</v>
      </c>
      <c r="B5" s="11" t="s">
        <v>365</v>
      </c>
      <c r="C5" s="11" t="s">
        <v>366</v>
      </c>
      <c r="D5" s="11"/>
      <c r="E5" s="894" t="s">
        <v>378</v>
      </c>
      <c r="F5" s="898"/>
      <c r="G5" s="898">
        <v>2</v>
      </c>
    </row>
    <row r="6" spans="1:7" x14ac:dyDescent="0.2">
      <c r="A6" s="11" t="s">
        <v>337</v>
      </c>
      <c r="B6" s="11" t="s">
        <v>365</v>
      </c>
      <c r="C6" s="11" t="s">
        <v>366</v>
      </c>
      <c r="D6" s="11"/>
      <c r="E6" s="894" t="s">
        <v>379</v>
      </c>
      <c r="F6" s="898"/>
      <c r="G6" s="898">
        <v>1.38</v>
      </c>
    </row>
    <row r="7" spans="1:7" x14ac:dyDescent="0.2">
      <c r="A7" s="11" t="s">
        <v>337</v>
      </c>
      <c r="B7" s="11" t="s">
        <v>365</v>
      </c>
      <c r="C7" s="11" t="s">
        <v>366</v>
      </c>
      <c r="D7" s="11"/>
      <c r="E7" s="894" t="s">
        <v>380</v>
      </c>
      <c r="F7" s="898"/>
      <c r="G7" s="898">
        <v>1.38</v>
      </c>
    </row>
    <row r="8" spans="1:7" x14ac:dyDescent="0.2">
      <c r="A8" s="11" t="s">
        <v>337</v>
      </c>
      <c r="B8" s="11" t="s">
        <v>365</v>
      </c>
      <c r="C8" s="11" t="s">
        <v>366</v>
      </c>
      <c r="D8" s="11"/>
      <c r="E8" s="894" t="s">
        <v>381</v>
      </c>
      <c r="F8" s="898"/>
      <c r="G8" s="898" t="s">
        <v>31</v>
      </c>
    </row>
    <row r="9" spans="1:7" x14ac:dyDescent="0.2">
      <c r="A9" s="11" t="s">
        <v>337</v>
      </c>
      <c r="B9" s="11" t="s">
        <v>365</v>
      </c>
      <c r="C9" s="11" t="s">
        <v>366</v>
      </c>
      <c r="D9" s="11"/>
      <c r="E9" s="894" t="s">
        <v>382</v>
      </c>
      <c r="F9" s="898"/>
      <c r="G9" s="898" t="s">
        <v>355</v>
      </c>
    </row>
    <row r="10" spans="1:7" x14ac:dyDescent="0.2">
      <c r="A10" s="11" t="s">
        <v>337</v>
      </c>
      <c r="B10" s="11" t="s">
        <v>370</v>
      </c>
      <c r="C10" s="576"/>
      <c r="D10" s="11"/>
      <c r="E10" s="895" t="s">
        <v>383</v>
      </c>
      <c r="F10" s="898"/>
      <c r="G10" s="898" t="s">
        <v>374</v>
      </c>
    </row>
    <row r="11" spans="1:7" x14ac:dyDescent="0.2">
      <c r="A11" s="11" t="s">
        <v>337</v>
      </c>
      <c r="B11" s="11" t="s">
        <v>370</v>
      </c>
      <c r="C11" s="576"/>
      <c r="D11" s="11"/>
      <c r="E11" s="895" t="s">
        <v>384</v>
      </c>
      <c r="F11" s="898"/>
      <c r="G11" s="898" t="s">
        <v>385</v>
      </c>
    </row>
    <row r="12" spans="1:7" x14ac:dyDescent="0.2">
      <c r="A12" s="11" t="s">
        <v>337</v>
      </c>
      <c r="B12" s="11" t="s">
        <v>370</v>
      </c>
      <c r="C12" s="576"/>
      <c r="D12" s="11"/>
      <c r="E12" s="895" t="s">
        <v>386</v>
      </c>
      <c r="F12" s="898"/>
      <c r="G12" s="898" t="s">
        <v>18</v>
      </c>
    </row>
    <row r="13" spans="1:7" x14ac:dyDescent="0.2">
      <c r="A13" s="11" t="s">
        <v>337</v>
      </c>
      <c r="B13" s="11" t="s">
        <v>370</v>
      </c>
      <c r="C13" s="576"/>
      <c r="D13" s="11"/>
      <c r="E13" s="895" t="s">
        <v>387</v>
      </c>
      <c r="F13" s="898"/>
      <c r="G13" s="898" t="s">
        <v>388</v>
      </c>
    </row>
    <row r="14" spans="1:7" x14ac:dyDescent="0.2">
      <c r="A14" s="11" t="s">
        <v>337</v>
      </c>
      <c r="B14" s="11" t="s">
        <v>370</v>
      </c>
      <c r="C14" s="576"/>
      <c r="D14" s="11"/>
      <c r="E14" s="895" t="s">
        <v>389</v>
      </c>
      <c r="F14" s="898"/>
      <c r="G14" s="898" t="s">
        <v>390</v>
      </c>
    </row>
    <row r="15" spans="1:7" x14ac:dyDescent="0.2">
      <c r="A15" s="11" t="s">
        <v>337</v>
      </c>
      <c r="B15" s="11" t="s">
        <v>370</v>
      </c>
      <c r="C15" s="576"/>
      <c r="D15" s="11"/>
      <c r="E15" s="895" t="s">
        <v>391</v>
      </c>
      <c r="F15" s="898"/>
      <c r="G15" s="898" t="s">
        <v>392</v>
      </c>
    </row>
    <row r="16" spans="1:7" x14ac:dyDescent="0.2">
      <c r="A16" s="11" t="s">
        <v>337</v>
      </c>
      <c r="B16" s="11" t="s">
        <v>370</v>
      </c>
      <c r="C16" s="576"/>
      <c r="D16" s="11"/>
      <c r="E16" s="895" t="s">
        <v>393</v>
      </c>
      <c r="F16" s="898"/>
      <c r="G16" s="898" t="s">
        <v>394</v>
      </c>
    </row>
    <row r="17" spans="1:7" x14ac:dyDescent="0.2">
      <c r="A17" s="11" t="s">
        <v>337</v>
      </c>
      <c r="B17" s="11" t="s">
        <v>370</v>
      </c>
      <c r="C17" s="576"/>
      <c r="D17" s="11"/>
      <c r="E17" s="895" t="s">
        <v>395</v>
      </c>
      <c r="F17" s="898"/>
      <c r="G17" s="898" t="s">
        <v>396</v>
      </c>
    </row>
    <row r="18" spans="1:7" x14ac:dyDescent="0.2">
      <c r="A18" s="11" t="s">
        <v>337</v>
      </c>
      <c r="B18" s="11" t="s">
        <v>370</v>
      </c>
      <c r="C18" s="576"/>
      <c r="D18" s="11"/>
      <c r="E18" s="895" t="s">
        <v>397</v>
      </c>
      <c r="F18" s="898"/>
      <c r="G18" s="898" t="s">
        <v>398</v>
      </c>
    </row>
    <row r="19" spans="1:7" x14ac:dyDescent="0.2">
      <c r="A19" s="11" t="s">
        <v>337</v>
      </c>
      <c r="B19" s="11" t="s">
        <v>370</v>
      </c>
      <c r="C19" s="576"/>
      <c r="D19" s="11"/>
      <c r="E19" s="895" t="s">
        <v>399</v>
      </c>
      <c r="F19" s="898"/>
      <c r="G19" s="898" t="s">
        <v>400</v>
      </c>
    </row>
    <row r="20" spans="1:7" x14ac:dyDescent="0.2">
      <c r="A20" s="11" t="s">
        <v>337</v>
      </c>
      <c r="B20" s="11" t="s">
        <v>362</v>
      </c>
      <c r="C20" s="11" t="s">
        <v>263</v>
      </c>
      <c r="D20" s="11"/>
      <c r="E20" s="895" t="s">
        <v>143</v>
      </c>
      <c r="F20" s="898" t="s">
        <v>363</v>
      </c>
      <c r="G20" s="898">
        <v>6.8000000000000005E-2</v>
      </c>
    </row>
    <row r="21" spans="1:7" x14ac:dyDescent="0.2">
      <c r="A21" s="11" t="s">
        <v>337</v>
      </c>
      <c r="B21" s="11" t="s">
        <v>362</v>
      </c>
      <c r="C21" s="11" t="s">
        <v>263</v>
      </c>
      <c r="D21" s="11"/>
      <c r="E21" s="895" t="s">
        <v>143</v>
      </c>
      <c r="F21" s="898" t="s">
        <v>364</v>
      </c>
      <c r="G21" s="898">
        <v>0.1</v>
      </c>
    </row>
    <row r="22" spans="1:7" x14ac:dyDescent="0.2">
      <c r="A22" s="11" t="s">
        <v>337</v>
      </c>
      <c r="B22" s="11" t="s">
        <v>362</v>
      </c>
      <c r="C22" s="11" t="s">
        <v>263</v>
      </c>
      <c r="D22" s="11"/>
      <c r="E22" s="895" t="s">
        <v>142</v>
      </c>
      <c r="F22" s="898" t="s">
        <v>363</v>
      </c>
      <c r="G22" s="898">
        <v>6.8000000000000005E-2</v>
      </c>
    </row>
    <row r="23" spans="1:7" x14ac:dyDescent="0.2">
      <c r="A23" s="11" t="s">
        <v>337</v>
      </c>
      <c r="B23" s="11" t="s">
        <v>362</v>
      </c>
      <c r="C23" s="11" t="s">
        <v>263</v>
      </c>
      <c r="D23" s="11"/>
      <c r="E23" s="895" t="s">
        <v>142</v>
      </c>
      <c r="F23" s="898" t="s">
        <v>364</v>
      </c>
      <c r="G23" s="898">
        <v>0.1</v>
      </c>
    </row>
    <row r="24" spans="1:7" x14ac:dyDescent="0.2">
      <c r="A24" s="11" t="s">
        <v>337</v>
      </c>
      <c r="B24" s="11" t="s">
        <v>365</v>
      </c>
      <c r="C24" s="11" t="s">
        <v>366</v>
      </c>
      <c r="D24" s="11">
        <v>1</v>
      </c>
      <c r="E24" s="11" t="s">
        <v>64</v>
      </c>
      <c r="F24" s="898" t="s">
        <v>363</v>
      </c>
      <c r="G24" s="898" t="s">
        <v>64</v>
      </c>
    </row>
    <row r="25" spans="1:7" x14ac:dyDescent="0.2">
      <c r="A25" s="11" t="s">
        <v>337</v>
      </c>
      <c r="B25" s="11" t="s">
        <v>365</v>
      </c>
      <c r="C25" s="11" t="s">
        <v>366</v>
      </c>
      <c r="D25" s="11">
        <v>1</v>
      </c>
      <c r="E25" s="11" t="s">
        <v>94</v>
      </c>
      <c r="F25" s="898" t="s">
        <v>363</v>
      </c>
      <c r="G25" s="898">
        <v>9.3840000000000007E-2</v>
      </c>
    </row>
    <row r="26" spans="1:7" x14ac:dyDescent="0.2">
      <c r="A26" s="11" t="s">
        <v>337</v>
      </c>
      <c r="B26" s="11" t="s">
        <v>365</v>
      </c>
      <c r="C26" s="11" t="s">
        <v>366</v>
      </c>
      <c r="D26" s="11">
        <v>1</v>
      </c>
      <c r="E26" s="11" t="s">
        <v>95</v>
      </c>
      <c r="F26" s="898" t="s">
        <v>363</v>
      </c>
      <c r="G26" s="898">
        <v>10</v>
      </c>
    </row>
    <row r="27" spans="1:7" x14ac:dyDescent="0.2">
      <c r="A27" s="11" t="s">
        <v>337</v>
      </c>
      <c r="B27" s="11" t="s">
        <v>365</v>
      </c>
      <c r="C27" s="11" t="s">
        <v>366</v>
      </c>
      <c r="D27" s="11">
        <v>1</v>
      </c>
      <c r="E27" s="11" t="s">
        <v>177</v>
      </c>
      <c r="F27" s="898" t="s">
        <v>363</v>
      </c>
      <c r="G27" s="898">
        <v>10</v>
      </c>
    </row>
    <row r="28" spans="1:7" x14ac:dyDescent="0.2">
      <c r="A28" s="11" t="s">
        <v>337</v>
      </c>
      <c r="B28" s="11" t="s">
        <v>365</v>
      </c>
      <c r="C28" s="11" t="s">
        <v>366</v>
      </c>
      <c r="D28" s="11">
        <v>1</v>
      </c>
      <c r="E28" s="11" t="s">
        <v>97</v>
      </c>
      <c r="F28" s="898" t="s">
        <v>363</v>
      </c>
      <c r="G28" s="898">
        <v>1.38</v>
      </c>
    </row>
    <row r="29" spans="1:7" x14ac:dyDescent="0.2">
      <c r="A29" s="11" t="s">
        <v>337</v>
      </c>
      <c r="B29" s="11" t="s">
        <v>365</v>
      </c>
      <c r="C29" s="11" t="s">
        <v>366</v>
      </c>
      <c r="D29" s="11">
        <v>1</v>
      </c>
      <c r="E29" s="11" t="s">
        <v>30</v>
      </c>
      <c r="F29" s="898" t="s">
        <v>363</v>
      </c>
      <c r="G29" s="898" t="s">
        <v>367</v>
      </c>
    </row>
    <row r="30" spans="1:7" x14ac:dyDescent="0.2">
      <c r="A30" s="11" t="s">
        <v>337</v>
      </c>
      <c r="B30" s="11" t="s">
        <v>365</v>
      </c>
      <c r="C30" s="11" t="s">
        <v>366</v>
      </c>
      <c r="D30" s="11">
        <v>1</v>
      </c>
      <c r="E30" s="11" t="s">
        <v>113</v>
      </c>
      <c r="F30" s="898"/>
      <c r="G30" s="898">
        <v>200</v>
      </c>
    </row>
    <row r="31" spans="1:7" x14ac:dyDescent="0.2">
      <c r="A31" s="11" t="s">
        <v>337</v>
      </c>
      <c r="B31" s="11" t="s">
        <v>365</v>
      </c>
      <c r="C31" s="11" t="s">
        <v>366</v>
      </c>
      <c r="D31" s="11">
        <v>1</v>
      </c>
      <c r="E31" s="11" t="s">
        <v>114</v>
      </c>
      <c r="F31" s="898"/>
      <c r="G31" s="898">
        <v>200</v>
      </c>
    </row>
    <row r="32" spans="1:7" x14ac:dyDescent="0.2">
      <c r="A32" s="11" t="s">
        <v>337</v>
      </c>
      <c r="B32" s="11" t="s">
        <v>365</v>
      </c>
      <c r="C32" s="11" t="s">
        <v>401</v>
      </c>
      <c r="D32" s="11">
        <v>1</v>
      </c>
      <c r="E32" s="11" t="s">
        <v>368</v>
      </c>
      <c r="F32" s="898"/>
      <c r="G32" s="898" t="s">
        <v>367</v>
      </c>
    </row>
    <row r="33" spans="1:7" x14ac:dyDescent="0.2">
      <c r="A33" s="11" t="s">
        <v>337</v>
      </c>
      <c r="B33" s="11" t="s">
        <v>365</v>
      </c>
      <c r="C33" s="11" t="s">
        <v>401</v>
      </c>
      <c r="D33" s="11">
        <v>1</v>
      </c>
      <c r="E33" s="11" t="s">
        <v>368</v>
      </c>
      <c r="F33" s="898"/>
      <c r="G33" s="898" t="s">
        <v>369</v>
      </c>
    </row>
  </sheetData>
  <mergeCells count="1">
    <mergeCell ref="A1:G1"/>
  </mergeCells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>
    <pageSetUpPr fitToPage="1"/>
  </sheetPr>
  <dimension ref="A1:BW230"/>
  <sheetViews>
    <sheetView showGridLines="0" zoomScaleNormal="100" workbookViewId="0">
      <selection activeCell="E4" sqref="E4"/>
    </sheetView>
  </sheetViews>
  <sheetFormatPr baseColWidth="10" defaultColWidth="9.140625" defaultRowHeight="15" outlineLevelRow="2" x14ac:dyDescent="0.25"/>
  <cols>
    <col min="1" max="1" width="2.85546875" style="41" customWidth="1"/>
    <col min="2" max="2" width="14.85546875" style="41" customWidth="1"/>
    <col min="3" max="4" width="10.7109375" style="41" customWidth="1"/>
    <col min="5" max="5" width="25.7109375" style="41" customWidth="1"/>
    <col min="6" max="10" width="9.7109375" style="41" customWidth="1"/>
    <col min="11" max="11" width="9.7109375" style="170" customWidth="1"/>
    <col min="12" max="13" width="11.28515625" style="170" customWidth="1"/>
    <col min="14" max="14" width="9.7109375" style="41" customWidth="1"/>
    <col min="15" max="22" width="17.7109375" style="41" customWidth="1"/>
    <col min="23" max="24" width="7.7109375" style="41" customWidth="1"/>
    <col min="25" max="28" width="20.7109375" style="41" customWidth="1"/>
    <col min="29" max="34" width="7.7109375" style="41" customWidth="1"/>
    <col min="35" max="54" width="10.7109375" style="41" customWidth="1"/>
    <col min="55" max="55" width="1.7109375" style="155" customWidth="1"/>
    <col min="56" max="56" width="66.28515625" style="150" bestFit="1" customWidth="1"/>
    <col min="57" max="57" width="6.5703125" style="150" customWidth="1"/>
    <col min="58" max="58" width="4.42578125" style="150" customWidth="1"/>
    <col min="59" max="59" width="4" style="150" customWidth="1"/>
    <col min="60" max="60" width="4.85546875" style="150" customWidth="1"/>
    <col min="61" max="62" width="4" style="150" customWidth="1"/>
    <col min="63" max="63" width="4" style="150" hidden="1" customWidth="1"/>
    <col min="64" max="64" width="4.5703125" style="150" hidden="1" customWidth="1"/>
    <col min="65" max="65" width="14.7109375" style="150" hidden="1" customWidth="1"/>
    <col min="66" max="66" width="6.5703125" style="150" hidden="1" customWidth="1"/>
    <col min="67" max="67" width="4.42578125" style="150" hidden="1" customWidth="1"/>
    <col min="68" max="68" width="4" style="150" hidden="1" customWidth="1"/>
    <col min="69" max="69" width="4.85546875" style="150" hidden="1" customWidth="1"/>
    <col min="70" max="73" width="4" style="150" hidden="1" customWidth="1"/>
    <col min="74" max="74" width="10.7109375" style="50" customWidth="1"/>
    <col min="75" max="16384" width="9.140625" style="41"/>
  </cols>
  <sheetData>
    <row r="1" spans="1:73" ht="24.95" customHeight="1" x14ac:dyDescent="0.25">
      <c r="A1" s="816" t="s">
        <v>126</v>
      </c>
      <c r="B1" s="817"/>
      <c r="C1" s="817"/>
      <c r="D1" s="817"/>
      <c r="E1" s="817"/>
      <c r="F1" s="817"/>
      <c r="G1" s="817"/>
      <c r="H1" s="817"/>
      <c r="I1" s="817"/>
      <c r="J1" s="818"/>
      <c r="K1" s="816" t="str">
        <f>CONCATENATE(('Release of Results'!C10)," ",('Release of Results'!C11)," ",('Release of Results'!C12))</f>
        <v>[e.g. Ferrari F150 MEDC17] [Chassis name] [Engine description]</v>
      </c>
      <c r="L1" s="817"/>
      <c r="M1" s="817"/>
      <c r="N1" s="817"/>
      <c r="O1" s="817"/>
      <c r="P1" s="817"/>
      <c r="Q1" s="818"/>
      <c r="R1" s="39"/>
      <c r="S1" s="39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</row>
    <row r="2" spans="1:73" ht="24.95" customHeight="1" thickBot="1" x14ac:dyDescent="0.3">
      <c r="A2" s="819"/>
      <c r="B2" s="820"/>
      <c r="C2" s="820"/>
      <c r="D2" s="820"/>
      <c r="E2" s="820"/>
      <c r="F2" s="820"/>
      <c r="G2" s="820"/>
      <c r="H2" s="820"/>
      <c r="I2" s="820"/>
      <c r="J2" s="821"/>
      <c r="K2" s="819"/>
      <c r="L2" s="820"/>
      <c r="M2" s="820"/>
      <c r="N2" s="820"/>
      <c r="O2" s="820"/>
      <c r="P2" s="820"/>
      <c r="Q2" s="821"/>
      <c r="R2" s="39"/>
      <c r="S2" s="39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73" ht="24.95" customHeight="1" thickBot="1" x14ac:dyDescent="0.3">
      <c r="A3" s="39"/>
      <c r="B3" s="39"/>
      <c r="C3" s="39"/>
      <c r="D3" s="39"/>
      <c r="E3" s="39"/>
      <c r="F3" s="39"/>
      <c r="G3" s="39"/>
      <c r="H3" s="39"/>
      <c r="I3" s="39"/>
      <c r="J3" s="39"/>
      <c r="K3" s="160"/>
      <c r="L3" s="160"/>
      <c r="M3" s="160"/>
      <c r="N3" s="39"/>
      <c r="O3" s="39"/>
      <c r="P3" s="39"/>
      <c r="Q3" s="39"/>
      <c r="R3" s="39"/>
      <c r="S3" s="39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</row>
    <row r="4" spans="1:73" ht="39.950000000000003" customHeight="1" thickBot="1" x14ac:dyDescent="0.3">
      <c r="A4" s="39"/>
      <c r="B4" s="790" t="s">
        <v>71</v>
      </c>
      <c r="C4" s="791"/>
      <c r="D4" s="792"/>
      <c r="E4" s="111" t="s">
        <v>265</v>
      </c>
      <c r="F4" s="99" t="s">
        <v>72</v>
      </c>
      <c r="G4" s="99" t="s">
        <v>73</v>
      </c>
      <c r="H4" s="99" t="s">
        <v>74</v>
      </c>
      <c r="I4" s="99" t="s">
        <v>75</v>
      </c>
      <c r="J4" s="99" t="s">
        <v>76</v>
      </c>
      <c r="K4" s="161" t="s">
        <v>170</v>
      </c>
      <c r="L4" s="368" t="s">
        <v>284</v>
      </c>
      <c r="M4" s="365" t="s">
        <v>285</v>
      </c>
      <c r="N4" s="356" t="s">
        <v>77</v>
      </c>
      <c r="O4" s="783"/>
      <c r="P4" s="783"/>
      <c r="Q4" s="39"/>
      <c r="R4" s="39"/>
      <c r="S4" s="39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</row>
    <row r="5" spans="1:73" ht="24.95" customHeight="1" thickBot="1" x14ac:dyDescent="0.3">
      <c r="A5" s="39"/>
      <c r="B5" s="793" t="s">
        <v>143</v>
      </c>
      <c r="C5" s="794"/>
      <c r="D5" s="794"/>
      <c r="E5" s="795"/>
      <c r="F5" s="360">
        <f>VLOOKUP(E4,'Daten Gasoline'!CJ14:CR16,2,FALSE)</f>
        <v>6.8000000000000005E-2</v>
      </c>
      <c r="G5" s="360">
        <f>VLOOKUP(E4,'Daten Gasoline'!CJ14:CR16,3,FALSE)</f>
        <v>0.1</v>
      </c>
      <c r="H5" s="360">
        <f>VLOOKUP(E4,'Daten Gasoline'!CJ14:CR16,4,FALSE)</f>
        <v>1</v>
      </c>
      <c r="I5" s="360">
        <f>VLOOKUP(E4,'Daten Gasoline'!CJ14:CR16,5,FALSE)</f>
        <v>0.06</v>
      </c>
      <c r="J5" s="360">
        <f>VLOOKUP(E4,'Daten Gasoline'!CJ14:CR16,6,FALSE)</f>
        <v>4.5</v>
      </c>
      <c r="K5" s="360">
        <f>VLOOKUP(E4,'Daten Gasoline'!CJ14:CR16,7,FALSE)</f>
        <v>600000000000</v>
      </c>
      <c r="L5" s="354" t="str">
        <f>VLOOKUP(E4,'Daten Gasoline'!CJ14:CR16,8,FALSE)</f>
        <v>-</v>
      </c>
      <c r="M5" s="354" t="str">
        <f>VLOOKUP(E4,'Daten Gasoline'!CJ14:CR16,9,FALSE)</f>
        <v>-</v>
      </c>
      <c r="N5" s="354" t="s">
        <v>5</v>
      </c>
      <c r="O5" s="760"/>
      <c r="P5" s="760"/>
      <c r="Q5" s="39"/>
      <c r="R5" s="39"/>
      <c r="S5" s="39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73" ht="24.95" customHeight="1" thickBot="1" x14ac:dyDescent="0.3">
      <c r="A6" s="39"/>
      <c r="B6" s="790" t="s">
        <v>142</v>
      </c>
      <c r="C6" s="791"/>
      <c r="D6" s="791"/>
      <c r="E6" s="792"/>
      <c r="F6" s="355" t="str">
        <f>VLOOKUP(E4,'Daten Gasoline'!CJ17:CR19,2,FALSE)</f>
        <v>-</v>
      </c>
      <c r="G6" s="355" t="str">
        <f>VLOOKUP(E4,'Daten Gasoline'!CJ17:CR19,3,FALSE)</f>
        <v>-</v>
      </c>
      <c r="H6" s="355" t="str">
        <f>VLOOKUP(E4,'Daten Gasoline'!CJ17:CR19,4,FALSE)</f>
        <v>-</v>
      </c>
      <c r="I6" s="355" t="str">
        <f>VLOOKUP(E4,'Daten Gasoline'!CJ17:CR19,5,FALSE)</f>
        <v>-</v>
      </c>
      <c r="J6" s="355" t="str">
        <f>VLOOKUP(E4,'Daten Gasoline'!CJ17:CR19,6,FALSE)</f>
        <v>-</v>
      </c>
      <c r="K6" s="355" t="str">
        <f>VLOOKUP(E4,'Daten Gasoline'!CJ17:CR19,7,FALSE)</f>
        <v>-</v>
      </c>
      <c r="L6" s="355" t="str">
        <f>VLOOKUP(E4,'Daten Gasoline'!CJ17:CR19,8,FALSE)</f>
        <v>-</v>
      </c>
      <c r="M6" s="355" t="str">
        <f>VLOOKUP(E4,'Daten Gasoline'!CJ17:CR19,9,FALSE)</f>
        <v>-</v>
      </c>
      <c r="N6" s="355" t="s">
        <v>5</v>
      </c>
      <c r="O6" s="116"/>
      <c r="P6" s="116"/>
      <c r="Q6" s="39"/>
      <c r="R6" s="39"/>
      <c r="S6" s="39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73" ht="24.95" customHeight="1" thickBot="1" x14ac:dyDescent="0.3">
      <c r="A7" s="39"/>
      <c r="B7" s="39"/>
      <c r="C7" s="39"/>
      <c r="D7" s="39"/>
      <c r="E7" s="39"/>
      <c r="F7" s="39"/>
      <c r="G7" s="39"/>
      <c r="H7" s="61"/>
      <c r="I7" s="39"/>
      <c r="J7" s="39"/>
      <c r="K7" s="160"/>
      <c r="L7" s="160"/>
      <c r="M7" s="160"/>
      <c r="N7" s="39"/>
      <c r="O7" s="39"/>
      <c r="P7" s="39"/>
      <c r="Q7" s="39"/>
      <c r="R7" s="39"/>
      <c r="S7" s="39"/>
      <c r="T7" s="40"/>
      <c r="U7" s="40"/>
      <c r="V7" s="40"/>
      <c r="W7" s="42"/>
      <c r="X7" s="42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73" ht="24.95" customHeight="1" thickBot="1" x14ac:dyDescent="0.3">
      <c r="A8" s="39"/>
      <c r="B8" s="185">
        <v>1</v>
      </c>
      <c r="C8" s="784" t="s">
        <v>176</v>
      </c>
      <c r="D8" s="785"/>
      <c r="E8" s="785"/>
      <c r="F8" s="785"/>
      <c r="G8" s="785"/>
      <c r="H8" s="785"/>
      <c r="I8" s="785"/>
      <c r="J8" s="785"/>
      <c r="K8" s="785"/>
      <c r="L8" s="785"/>
      <c r="M8" s="785"/>
      <c r="N8" s="786"/>
      <c r="O8" s="49" t="s">
        <v>117</v>
      </c>
      <c r="P8" s="71" t="str">
        <f>IF(COUNTIF(F17:M32,"refused")&gt;0,"refused",IF(COUNTIF(F17:M32,"failed")&gt;0,"failed",IF(COUNTIF(F17:M32,"passed")&gt;0,"passed","-")))</f>
        <v>-</v>
      </c>
      <c r="Q8" s="70" t="s">
        <v>80</v>
      </c>
      <c r="R8" s="70" t="str">
        <f>IF(COUNT(F13:M14,F18:M19,F23:M24,F28:M29)&gt;0,"listed","not listed")</f>
        <v>not listed</v>
      </c>
      <c r="S8" s="118"/>
      <c r="T8" s="43"/>
      <c r="U8" s="43"/>
      <c r="V8" s="44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73" ht="15" customHeight="1" outlineLevel="1" thickBot="1" x14ac:dyDescent="0.3">
      <c r="A9" s="39"/>
      <c r="B9" s="120"/>
      <c r="C9" s="121"/>
      <c r="D9" s="121"/>
      <c r="E9" s="121"/>
      <c r="F9" s="121"/>
      <c r="G9" s="121"/>
      <c r="H9" s="121"/>
      <c r="I9" s="121"/>
      <c r="J9" s="121"/>
      <c r="K9" s="162"/>
      <c r="L9" s="162"/>
      <c r="M9" s="162"/>
      <c r="N9" s="121"/>
      <c r="O9" s="121"/>
      <c r="P9" s="121"/>
      <c r="Q9" s="121"/>
      <c r="R9" s="121"/>
      <c r="S9" s="121"/>
      <c r="T9" s="45"/>
      <c r="U9" s="45"/>
      <c r="V9" s="46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73" ht="15" customHeight="1" outlineLevel="1" thickBot="1" x14ac:dyDescent="0.3">
      <c r="A10" s="39"/>
      <c r="B10" s="744" t="s">
        <v>81</v>
      </c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745"/>
      <c r="N10" s="746"/>
      <c r="O10" s="744" t="s">
        <v>82</v>
      </c>
      <c r="P10" s="745"/>
      <c r="Q10" s="745"/>
      <c r="R10" s="746"/>
      <c r="S10" s="745" t="s">
        <v>83</v>
      </c>
      <c r="T10" s="745"/>
      <c r="U10" s="745"/>
      <c r="V10" s="746"/>
      <c r="W10" s="47"/>
      <c r="X10" s="47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</row>
    <row r="11" spans="1:73" ht="35.1" customHeight="1" outlineLevel="1" thickBot="1" x14ac:dyDescent="0.3">
      <c r="A11" s="39"/>
      <c r="B11" s="787" t="s">
        <v>84</v>
      </c>
      <c r="C11" s="788"/>
      <c r="D11" s="788"/>
      <c r="E11" s="789"/>
      <c r="F11" s="69" t="str">
        <f>F$4</f>
        <v>NMHC 
[g/km]</v>
      </c>
      <c r="G11" s="69" t="str">
        <f t="shared" ref="G11:N11" si="0">G$4</f>
        <v>THC
[g/km]</v>
      </c>
      <c r="H11" s="69" t="str">
        <f t="shared" si="0"/>
        <v>CO
[g/km]</v>
      </c>
      <c r="I11" s="69" t="str">
        <f t="shared" si="0"/>
        <v>NOx
[g/km]</v>
      </c>
      <c r="J11" s="69" t="str">
        <f t="shared" si="0"/>
        <v>PM
[mg/km]</v>
      </c>
      <c r="K11" s="69" t="str">
        <f t="shared" si="0"/>
        <v>PN
[#/km]</v>
      </c>
      <c r="L11" s="366" t="str">
        <f t="shared" si="0"/>
        <v>Additional
component</v>
      </c>
      <c r="M11" s="366" t="str">
        <f t="shared" si="0"/>
        <v>Additional
component 2</v>
      </c>
      <c r="N11" s="69" t="str">
        <f t="shared" si="0"/>
        <v>CO2
[g/km]</v>
      </c>
      <c r="O11" s="747"/>
      <c r="P11" s="748"/>
      <c r="Q11" s="748"/>
      <c r="R11" s="753"/>
      <c r="S11" s="747"/>
      <c r="T11" s="748"/>
      <c r="U11" s="748"/>
      <c r="V11" s="753"/>
      <c r="W11" s="119"/>
      <c r="X11" s="119"/>
      <c r="Y11" s="743"/>
      <c r="Z11" s="743"/>
      <c r="AA11" s="743"/>
      <c r="AB11" s="743"/>
      <c r="AC11" s="743"/>
      <c r="AD11" s="743"/>
      <c r="AE11" s="743"/>
      <c r="AF11" s="743"/>
      <c r="AG11" s="743"/>
      <c r="AH11" s="743"/>
      <c r="BD11" s="151" t="s">
        <v>85</v>
      </c>
      <c r="BE11" s="152" t="str">
        <f>F$4</f>
        <v>NMHC 
[g/km]</v>
      </c>
      <c r="BF11" s="152" t="str">
        <f t="shared" ref="BF11:BL11" si="1">G$4</f>
        <v>THC
[g/km]</v>
      </c>
      <c r="BG11" s="152" t="str">
        <f t="shared" si="1"/>
        <v>CO
[g/km]</v>
      </c>
      <c r="BH11" s="152" t="str">
        <f t="shared" si="1"/>
        <v>NOx
[g/km]</v>
      </c>
      <c r="BI11" s="152" t="str">
        <f t="shared" si="1"/>
        <v>PM
[mg/km]</v>
      </c>
      <c r="BJ11" s="152" t="str">
        <f t="shared" si="1"/>
        <v>PN
[#/km]</v>
      </c>
      <c r="BK11" s="152" t="str">
        <f t="shared" si="1"/>
        <v>Additional
component</v>
      </c>
      <c r="BL11" s="152" t="str">
        <f t="shared" si="1"/>
        <v>Additional
component 2</v>
      </c>
    </row>
    <row r="12" spans="1:73" ht="15" customHeight="1" outlineLevel="1" thickBot="1" x14ac:dyDescent="0.3">
      <c r="A12" s="39"/>
      <c r="B12" s="779" t="s">
        <v>93</v>
      </c>
      <c r="C12" s="48" t="s">
        <v>64</v>
      </c>
      <c r="D12" s="768" t="s">
        <v>119</v>
      </c>
      <c r="E12" s="769"/>
      <c r="F12" s="107" t="s">
        <v>64</v>
      </c>
      <c r="G12" s="107" t="s">
        <v>64</v>
      </c>
      <c r="H12" s="107" t="s">
        <v>64</v>
      </c>
      <c r="I12" s="107" t="s">
        <v>64</v>
      </c>
      <c r="J12" s="107" t="s">
        <v>64</v>
      </c>
      <c r="K12" s="164" t="s">
        <v>64</v>
      </c>
      <c r="L12" s="164" t="s">
        <v>64</v>
      </c>
      <c r="M12" s="164" t="s">
        <v>64</v>
      </c>
      <c r="N12" s="107" t="s">
        <v>64</v>
      </c>
      <c r="O12" s="749"/>
      <c r="P12" s="750"/>
      <c r="Q12" s="750"/>
      <c r="R12" s="754"/>
      <c r="S12" s="749"/>
      <c r="T12" s="750"/>
      <c r="U12" s="750"/>
      <c r="V12" s="754"/>
      <c r="W12" s="119"/>
      <c r="X12" s="119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BD12" s="151" t="str">
        <f>$E$4</f>
        <v>Euro 6d</v>
      </c>
      <c r="BE12" s="153">
        <v>1</v>
      </c>
      <c r="BF12" s="153">
        <v>1</v>
      </c>
      <c r="BG12" s="153">
        <v>1</v>
      </c>
      <c r="BH12" s="153">
        <v>1</v>
      </c>
      <c r="BI12" s="153">
        <v>1</v>
      </c>
      <c r="BJ12" s="153">
        <v>1</v>
      </c>
      <c r="BK12" s="153">
        <v>1</v>
      </c>
      <c r="BL12" s="153">
        <v>1</v>
      </c>
    </row>
    <row r="13" spans="1:73" ht="15" customHeight="1" outlineLevel="1" x14ac:dyDescent="0.25">
      <c r="A13" s="39"/>
      <c r="B13" s="780"/>
      <c r="C13" s="770" t="s">
        <v>114</v>
      </c>
      <c r="D13" s="770" t="s">
        <v>113</v>
      </c>
      <c r="E13" s="110" t="s">
        <v>94</v>
      </c>
      <c r="F13" s="98" t="s">
        <v>5</v>
      </c>
      <c r="G13" s="98" t="s">
        <v>5</v>
      </c>
      <c r="H13" s="98" t="s">
        <v>5</v>
      </c>
      <c r="I13" s="98" t="s">
        <v>5</v>
      </c>
      <c r="J13" s="98" t="s">
        <v>5</v>
      </c>
      <c r="K13" s="165" t="s">
        <v>5</v>
      </c>
      <c r="L13" s="165" t="s">
        <v>5</v>
      </c>
      <c r="M13" s="165" t="s">
        <v>5</v>
      </c>
      <c r="N13" s="98" t="s">
        <v>5</v>
      </c>
      <c r="O13" s="749"/>
      <c r="P13" s="750"/>
      <c r="Q13" s="750"/>
      <c r="R13" s="754"/>
      <c r="S13" s="749"/>
      <c r="T13" s="750"/>
      <c r="U13" s="750"/>
      <c r="V13" s="754"/>
      <c r="W13" s="119"/>
      <c r="X13" s="119"/>
      <c r="Y13" s="743"/>
      <c r="Z13" s="743"/>
      <c r="AA13" s="743"/>
      <c r="AB13" s="743"/>
      <c r="AC13" s="743"/>
      <c r="AD13" s="743"/>
      <c r="AE13" s="743"/>
      <c r="AF13" s="743"/>
      <c r="AG13" s="743"/>
      <c r="AH13" s="743"/>
      <c r="BD13" s="151" t="str">
        <f>"1st " &amp;  B12</f>
        <v>1st Cold</v>
      </c>
      <c r="BE13" s="153" t="str">
        <f>IF(AND(OR($C15="-",$C15="CET",$C15=""),OR(F12="-",F12="CET",F12="")),"-",IF(AND(OR(F13="-",F13=""),OR(F14="-",F14="")),"-",IF(NOT(OR(F13="-",F13="")),F13/F$5,F14/F$5)))</f>
        <v>-</v>
      </c>
      <c r="BF13" s="153" t="str">
        <f t="shared" ref="BF13:BL13" si="2">IF(AND(OR($C15="-",$C15="CET",$C15=""),OR(G12="-",G12="CET",G12="")),"-",IF(AND(OR(G13="-",G13=""),OR(G14="-",G14="")),"-",IF(NOT(OR(G13="-",G13="")),G13/G$5,G14/G$5)))</f>
        <v>-</v>
      </c>
      <c r="BG13" s="153" t="str">
        <f t="shared" si="2"/>
        <v>-</v>
      </c>
      <c r="BH13" s="153" t="str">
        <f t="shared" si="2"/>
        <v>-</v>
      </c>
      <c r="BI13" s="153" t="str">
        <f t="shared" si="2"/>
        <v>-</v>
      </c>
      <c r="BJ13" s="153" t="str">
        <f t="shared" si="2"/>
        <v>-</v>
      </c>
      <c r="BK13" s="153" t="str">
        <f t="shared" si="2"/>
        <v>-</v>
      </c>
      <c r="BL13" s="153" t="str">
        <f t="shared" si="2"/>
        <v>-</v>
      </c>
    </row>
    <row r="14" spans="1:73" s="50" customFormat="1" ht="15" customHeight="1" outlineLevel="1" thickBot="1" x14ac:dyDescent="0.3">
      <c r="A14" s="53"/>
      <c r="B14" s="780"/>
      <c r="C14" s="742"/>
      <c r="D14" s="742"/>
      <c r="E14" s="104" t="s">
        <v>95</v>
      </c>
      <c r="F14" s="97" t="s">
        <v>5</v>
      </c>
      <c r="G14" s="97" t="s">
        <v>5</v>
      </c>
      <c r="H14" s="97" t="s">
        <v>5</v>
      </c>
      <c r="I14" s="97" t="s">
        <v>5</v>
      </c>
      <c r="J14" s="97" t="s">
        <v>5</v>
      </c>
      <c r="K14" s="166" t="s">
        <v>5</v>
      </c>
      <c r="L14" s="166" t="s">
        <v>5</v>
      </c>
      <c r="M14" s="166" t="s">
        <v>5</v>
      </c>
      <c r="N14" s="97" t="s">
        <v>5</v>
      </c>
      <c r="O14" s="749"/>
      <c r="P14" s="750"/>
      <c r="Q14" s="750"/>
      <c r="R14" s="754"/>
      <c r="S14" s="749"/>
      <c r="T14" s="750"/>
      <c r="U14" s="750"/>
      <c r="V14" s="754"/>
      <c r="W14" s="51"/>
      <c r="X14" s="51"/>
      <c r="Y14" s="743"/>
      <c r="Z14" s="743"/>
      <c r="AA14" s="743"/>
      <c r="AB14" s="743"/>
      <c r="AC14" s="743"/>
      <c r="AD14" s="743"/>
      <c r="AE14" s="743"/>
      <c r="AF14" s="743"/>
      <c r="AG14" s="743"/>
      <c r="AH14" s="743"/>
      <c r="BC14" s="150"/>
      <c r="BD14" s="151" t="str">
        <f>"1st " &amp; B18</f>
        <v>1st Warm</v>
      </c>
      <c r="BE14" s="153" t="str">
        <f>IF((OR($C20="-",$C20="CET",$C20="")),"-",IF(AND(OR(F18="-",F18=""),OR(F19="-",F19="")),"-",IF(NOT(OR(F18="-",F18="")),F18/F$5,F19/F$5)))</f>
        <v>-</v>
      </c>
      <c r="BF14" s="153" t="str">
        <f t="shared" ref="BF14:BL14" si="3">IF((OR($C20="-",$C20="CET",$C20="")),"-",IF(AND(OR(G18="-",G18=""),OR(G19="-",G19="")),"-",IF(NOT(OR(G18="-",G18="")),G18/G$5,G19/G$5)))</f>
        <v>-</v>
      </c>
      <c r="BG14" s="153" t="str">
        <f t="shared" si="3"/>
        <v>-</v>
      </c>
      <c r="BH14" s="153" t="str">
        <f t="shared" si="3"/>
        <v>-</v>
      </c>
      <c r="BI14" s="153" t="str">
        <f t="shared" si="3"/>
        <v>-</v>
      </c>
      <c r="BJ14" s="153" t="str">
        <f t="shared" si="3"/>
        <v>-</v>
      </c>
      <c r="BK14" s="153" t="str">
        <f t="shared" si="3"/>
        <v>-</v>
      </c>
      <c r="BL14" s="153" t="str">
        <f t="shared" si="3"/>
        <v>-</v>
      </c>
      <c r="BM14" s="150"/>
      <c r="BN14" s="150"/>
      <c r="BO14" s="150"/>
      <c r="BP14" s="150"/>
      <c r="BQ14" s="150"/>
      <c r="BR14" s="150"/>
      <c r="BS14" s="150"/>
      <c r="BT14" s="150"/>
      <c r="BU14" s="150"/>
    </row>
    <row r="15" spans="1:73" ht="15" customHeight="1" outlineLevel="1" thickBot="1" x14ac:dyDescent="0.3">
      <c r="A15" s="39"/>
      <c r="B15" s="780"/>
      <c r="C15" s="764" t="s">
        <v>64</v>
      </c>
      <c r="D15" s="772" t="str">
        <f>IF(AND(F16="-",G16="-",H16="-",I16="-",J16="-",K16="-",K16="-",L16="-"),"-",MAX(F16,G16,H16,I16,J16,K16,L16,M16))</f>
        <v>-</v>
      </c>
      <c r="E15" s="66" t="s">
        <v>177</v>
      </c>
      <c r="F15" s="65" t="str">
        <f>IF(OR(F14="-",F14=""),IF(OR(F13="-",F13=""),"-",F13),IF(OR(F13="-",F13=""),F14,(F13+F14)/2))</f>
        <v>-</v>
      </c>
      <c r="G15" s="65" t="str">
        <f t="shared" ref="G15:N15" si="4">IF(OR(G14="-",G14=""),IF(OR(G13="-",G13=""),"-",G13),IF(OR(G13="-",G13=""),G14,(G13+G14)/2))</f>
        <v>-</v>
      </c>
      <c r="H15" s="65" t="str">
        <f t="shared" si="4"/>
        <v>-</v>
      </c>
      <c r="I15" s="65" t="str">
        <f t="shared" si="4"/>
        <v>-</v>
      </c>
      <c r="J15" s="65" t="str">
        <f t="shared" si="4"/>
        <v>-</v>
      </c>
      <c r="K15" s="167" t="str">
        <f t="shared" si="4"/>
        <v>-</v>
      </c>
      <c r="L15" s="167" t="str">
        <f t="shared" ref="L15:M15" si="5">IF(OR(L14="-",L14=""),IF(OR(L13="-",L13=""),"-",L13),IF(OR(L13="-",L13=""),L14,(L13+L14)/2))</f>
        <v>-</v>
      </c>
      <c r="M15" s="167" t="str">
        <f t="shared" si="5"/>
        <v>-</v>
      </c>
      <c r="N15" s="65" t="str">
        <f t="shared" si="4"/>
        <v>-</v>
      </c>
      <c r="O15" s="749"/>
      <c r="P15" s="750"/>
      <c r="Q15" s="750"/>
      <c r="R15" s="754"/>
      <c r="S15" s="749"/>
      <c r="T15" s="750"/>
      <c r="U15" s="750"/>
      <c r="V15" s="754"/>
      <c r="W15" s="119"/>
      <c r="X15" s="119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BD15" s="151" t="str">
        <f>"1st " &amp; B23</f>
        <v>1st Hot 1</v>
      </c>
      <c r="BE15" s="153" t="str">
        <f>IF((OR($C25="-",$C25="CET",$C25="")),"-",IF(AND(OR(F23="-",F23=""),OR(F24="-",F24="")),"-",IF(NOT(OR(F23="-",F23="")),F23/F$5,F24/F$5)))</f>
        <v>-</v>
      </c>
      <c r="BF15" s="153" t="str">
        <f t="shared" ref="BF15:BL15" si="6">IF((OR($C25="-",$C25="CET",$C25="")),"-",IF(AND(OR(G23="-",G23=""),OR(G24="-",G24="")),"-",IF(NOT(OR(G23="-",G23="")),G23/G$5,G24/G$5)))</f>
        <v>-</v>
      </c>
      <c r="BG15" s="153" t="str">
        <f t="shared" si="6"/>
        <v>-</v>
      </c>
      <c r="BH15" s="153" t="str">
        <f t="shared" si="6"/>
        <v>-</v>
      </c>
      <c r="BI15" s="153" t="str">
        <f t="shared" si="6"/>
        <v>-</v>
      </c>
      <c r="BJ15" s="153" t="str">
        <f t="shared" si="6"/>
        <v>-</v>
      </c>
      <c r="BK15" s="153" t="str">
        <f t="shared" si="6"/>
        <v>-</v>
      </c>
      <c r="BL15" s="153" t="str">
        <f t="shared" si="6"/>
        <v>-</v>
      </c>
    </row>
    <row r="16" spans="1:73" ht="15" customHeight="1" outlineLevel="1" thickBot="1" x14ac:dyDescent="0.3">
      <c r="A16" s="39"/>
      <c r="B16" s="780"/>
      <c r="C16" s="765"/>
      <c r="D16" s="773"/>
      <c r="E16" s="64" t="s">
        <v>97</v>
      </c>
      <c r="F16" s="63" t="str">
        <f>IF(AND(OR($C15="-",$C15="CET",$C15=""),OR(F12="-",F12="CET",F12="")),"-",IF(AND(NOT(F15="-"),NOT(F$5="-"),NOT(F$5="")),F15/F$5,"-"))</f>
        <v>-</v>
      </c>
      <c r="G16" s="63" t="str">
        <f t="shared" ref="G16:N16" si="7">IF(AND(OR($C15="-",$C15="CET",$C15=""),OR(G12="-",G12="CET",G12="")),"-",IF(AND(NOT(G15="-"),NOT(G$5="-"),NOT(G$5="")),G15/G$5,"-"))</f>
        <v>-</v>
      </c>
      <c r="H16" s="63" t="str">
        <f t="shared" si="7"/>
        <v>-</v>
      </c>
      <c r="I16" s="63" t="str">
        <f t="shared" si="7"/>
        <v>-</v>
      </c>
      <c r="J16" s="63" t="str">
        <f t="shared" si="7"/>
        <v>-</v>
      </c>
      <c r="K16" s="168" t="str">
        <f t="shared" si="7"/>
        <v>-</v>
      </c>
      <c r="L16" s="168" t="str">
        <f t="shared" ref="L16:M16" si="8">IF(AND(OR($C15="-",$C15="CET",$C15=""),OR(L12="-",L12="CET",L12="")),"-",IF(AND(NOT(L15="-"),NOT(L$5="-"),NOT(L$5="")),L15/L$5,"-"))</f>
        <v>-</v>
      </c>
      <c r="M16" s="168" t="str">
        <f t="shared" si="8"/>
        <v>-</v>
      </c>
      <c r="N16" s="63" t="str">
        <f t="shared" si="7"/>
        <v>-</v>
      </c>
      <c r="O16" s="749"/>
      <c r="P16" s="750"/>
      <c r="Q16" s="750"/>
      <c r="R16" s="754"/>
      <c r="S16" s="749"/>
      <c r="T16" s="750"/>
      <c r="U16" s="750"/>
      <c r="V16" s="754"/>
      <c r="W16" s="119"/>
      <c r="X16" s="119"/>
      <c r="Y16" s="743"/>
      <c r="Z16" s="743"/>
      <c r="AA16" s="743"/>
      <c r="AB16" s="743"/>
      <c r="AC16" s="743"/>
      <c r="AD16" s="743"/>
      <c r="AE16" s="743"/>
      <c r="AF16" s="743"/>
      <c r="AG16" s="743"/>
      <c r="AH16" s="743"/>
      <c r="BD16" s="151" t="str">
        <f>"1st " &amp; B28</f>
        <v>1st Hot 2</v>
      </c>
      <c r="BE16" s="153" t="str">
        <f>IF((OR($C30="-",$C30="CET",$C30="")),"-",IF(AND(OR(F28="-",F28=""),OR(F29="-",F29="")),"-",IF(NOT(OR(F28="-",F28="")),F28/F$5,F29/F$5)))</f>
        <v>-</v>
      </c>
      <c r="BF16" s="153" t="str">
        <f t="shared" ref="BF16:BL16" si="9">IF((OR($C30="-",$C30="CET",$C30="")),"-",IF(AND(OR(G28="-",G28=""),OR(G29="-",G29="")),"-",IF(NOT(OR(G28="-",G28="")),G28/G$5,G29/G$5)))</f>
        <v>-</v>
      </c>
      <c r="BG16" s="153" t="str">
        <f t="shared" si="9"/>
        <v>-</v>
      </c>
      <c r="BH16" s="153" t="str">
        <f t="shared" si="9"/>
        <v>-</v>
      </c>
      <c r="BI16" s="153" t="str">
        <f t="shared" si="9"/>
        <v>-</v>
      </c>
      <c r="BJ16" s="153" t="str">
        <f t="shared" si="9"/>
        <v>-</v>
      </c>
      <c r="BK16" s="153" t="str">
        <f t="shared" si="9"/>
        <v>-</v>
      </c>
      <c r="BL16" s="153" t="str">
        <f t="shared" si="9"/>
        <v>-</v>
      </c>
    </row>
    <row r="17" spans="1:73" ht="15" customHeight="1" outlineLevel="1" thickBot="1" x14ac:dyDescent="0.3">
      <c r="A17" s="39"/>
      <c r="B17" s="781"/>
      <c r="C17" s="771"/>
      <c r="D17" s="774"/>
      <c r="E17" s="68" t="s">
        <v>30</v>
      </c>
      <c r="F17" s="62" t="str">
        <f t="shared" ref="F17:K17" si="10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62" t="str">
        <f t="shared" si="10"/>
        <v>-</v>
      </c>
      <c r="H17" s="62" t="str">
        <f t="shared" si="10"/>
        <v>-</v>
      </c>
      <c r="I17" s="62" t="str">
        <f t="shared" si="10"/>
        <v>-</v>
      </c>
      <c r="J17" s="62" t="str">
        <f t="shared" si="10"/>
        <v>-</v>
      </c>
      <c r="K17" s="169" t="str">
        <f t="shared" si="10"/>
        <v>-</v>
      </c>
      <c r="L17" s="169" t="str">
        <f t="shared" ref="L17:M17" si="11">IF(AND(OR(L13="-",L13=""),OR(L14="-",L14="")),"-",IF(AND(OR(L12="CET",L12="-",L12=""),OR($C15="CET",$C15="-",$C15="")),"-",IF($R$8="not listed","-",IF(AND(NOT(L$5="-"),NOT(L$5="")),IF(AND(AND(NOT(L13=0),NOT(L13="-"),NOT(L13="")),AND(NOT(L14="-"),NOT(L14=0),NOT(L14=""))),IF(AND((L13+L14)/2&lt;1*L$5*IF(OR(L12="CET",L12="-",L12=""),IF(OR($C15="CET",$C15="-",$C15=""),"-",$C15),L12),L13&lt;1.1*L$5*IF(OR(L12="CET",L12="-",L12=""),IF(OR($C15="CET",$C15="-",$C15=""),"-",$C15),L12),L14&lt;1.1*L$5*IF(OR(L12="CET",L12="-",L12=""),IF($C15="CET","-",$C15),L12)),"passed","refused"),IF(IF(OR(L13="-",L13=""),L14,L13)&lt;0.7*L$5*IF(OR(L12="CET",L12="-",L12=""),IF($C15="CET","-",$C15),L12),"passed",IF(IF(OR(L13="-",L13=""),L14,L13)&lt;1.1*IF(OR(L12="CET",L12="-",L12=""),IF($C15="CET","-",$C15),L12)*L$5,"failed","refused"))),"-"))))</f>
        <v>-</v>
      </c>
      <c r="M17" s="169" t="str">
        <f t="shared" si="11"/>
        <v>-</v>
      </c>
      <c r="N17" s="62" t="str">
        <f>IF(AND(OR(N13="-",N13=""),OR(N14="-",N14="")),"-",IF(AND(OR(N12="CET",N12="-",N12=""),OR($C15="CET",$C15="-",$C15="")),"-",IF($R$8="not listed","-",IF(AND(NOT(N$5="-"),NOT(N$5="")),IF(AND(AND(NOT(N13=0),NOT(N13="-"),NOT(N13="")),AND(NOT(N14="-"),NOT(N14=0),NOT(N14=""))),IF(AND((N13+N14)/2&lt;1*N$5*IF(OR(N12="CET",N12="-",N12=""),IF(OR($C15="CET",$C15="-",$C15=""),"-",$C15),N12),N13&lt;1.1*N$5*IF(OR(N12="CET",N12="-",N12=""),IF(OR($C15="CET",$C15="-",$C15=""),"-",$C15),N12),N14&lt;1.1*N$5*IF(OR(N12="CET",N12="-",N12=""),IF($C15="CET","-",$C15),N12)),"passed","refused"),IF(IF(OR(N13="-",N13=""),N14,N13)&lt;0.7*N$5*IF(OR(N12="CET",N12="-",N12=""),IF($C15="CET","-",$C15),N12),"passed",IF(IF(OR(N13="-",N13=""),N14,N13)&lt;1.1*IF(OR(N12="CET",N12="-",N12=""),IF($C15="CET","-",$C15),N12)*N$5,"failed","refused"))),"-"))))</f>
        <v>-</v>
      </c>
      <c r="O17" s="749"/>
      <c r="P17" s="750"/>
      <c r="Q17" s="750"/>
      <c r="R17" s="754"/>
      <c r="S17" s="749"/>
      <c r="T17" s="750"/>
      <c r="U17" s="750"/>
      <c r="V17" s="754"/>
      <c r="W17" s="119"/>
      <c r="X17" s="119"/>
      <c r="Y17" s="743"/>
      <c r="Z17" s="743"/>
      <c r="AA17" s="743"/>
      <c r="AB17" s="743"/>
      <c r="AC17" s="743"/>
      <c r="AD17" s="743"/>
      <c r="AE17" s="743"/>
      <c r="AF17" s="743"/>
      <c r="AG17" s="743"/>
      <c r="AH17" s="743"/>
      <c r="BC17" s="155" t="str">
        <f>IF(COUNTIF(F17:M17,"refused")&gt;0,"refused",IF(COUNTIF(F17:M17,"failed")&gt;0,"failed",IF(COUNTIF(F17:M17,"passed")&gt;0,"passed","-")))</f>
        <v>-</v>
      </c>
      <c r="BD17" s="151" t="str">
        <f>"0.7*IEF " &amp; (B12)</f>
        <v>0.7*IEF Cold</v>
      </c>
      <c r="BE17" s="153" t="str">
        <f>IF(AND(OR($C15="-",$C15="CET",$C15=""),OR(F12="-",F12="CET",F12="")),"-",0.7*IF(OR(F12="CET",F12="-",F12=""),IF(OR($C15="CET",$C15="-",$C15=""),"-",$C15),F12))</f>
        <v>-</v>
      </c>
      <c r="BF17" s="153" t="str">
        <f t="shared" ref="BF17:BL17" si="12">IF(AND(OR($C15="-",$C15="CET",$C15=""),OR(G12="-",G12="CET",G12="")),"-",0.7*IF(OR(G12="CET",G12="-",G12=""),IF(OR($C15="CET",$C15="-",$C15=""),"-",$C15),G12))</f>
        <v>-</v>
      </c>
      <c r="BG17" s="153" t="str">
        <f t="shared" si="12"/>
        <v>-</v>
      </c>
      <c r="BH17" s="153" t="str">
        <f t="shared" si="12"/>
        <v>-</v>
      </c>
      <c r="BI17" s="153" t="str">
        <f t="shared" si="12"/>
        <v>-</v>
      </c>
      <c r="BJ17" s="153" t="str">
        <f t="shared" si="12"/>
        <v>-</v>
      </c>
      <c r="BK17" s="153" t="str">
        <f t="shared" si="12"/>
        <v>-</v>
      </c>
      <c r="BL17" s="153" t="str">
        <f t="shared" si="12"/>
        <v>-</v>
      </c>
    </row>
    <row r="18" spans="1:73" ht="15" customHeight="1" outlineLevel="1" x14ac:dyDescent="0.25">
      <c r="A18" s="39"/>
      <c r="B18" s="779" t="s">
        <v>98</v>
      </c>
      <c r="C18" s="770" t="s">
        <v>114</v>
      </c>
      <c r="D18" s="770" t="s">
        <v>113</v>
      </c>
      <c r="E18" s="106" t="s">
        <v>94</v>
      </c>
      <c r="F18" s="98" t="s">
        <v>5</v>
      </c>
      <c r="G18" s="98" t="s">
        <v>5</v>
      </c>
      <c r="H18" s="98" t="s">
        <v>5</v>
      </c>
      <c r="I18" s="98" t="s">
        <v>5</v>
      </c>
      <c r="J18" s="98" t="s">
        <v>5</v>
      </c>
      <c r="K18" s="165" t="s">
        <v>5</v>
      </c>
      <c r="L18" s="165" t="s">
        <v>5</v>
      </c>
      <c r="M18" s="165" t="s">
        <v>5</v>
      </c>
      <c r="N18" s="98" t="s">
        <v>5</v>
      </c>
      <c r="O18" s="749"/>
      <c r="P18" s="750"/>
      <c r="Q18" s="750"/>
      <c r="R18" s="754"/>
      <c r="S18" s="749"/>
      <c r="T18" s="750"/>
      <c r="U18" s="750"/>
      <c r="V18" s="754"/>
      <c r="W18" s="119"/>
      <c r="X18" s="119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BC18" s="155" t="str">
        <f t="shared" ref="BC18:BC99" si="13">IF(COUNTIF(F18:M18,"refused")&gt;0,"refused",IF(COUNTIF(F18:M18,"failed")&gt;0,"failed",IF(COUNTIF(F18:M18,"passed")&gt;0,"passed","-")))</f>
        <v>-</v>
      </c>
      <c r="BD18" s="151" t="str">
        <f>"0.7*IEF" &amp; B18</f>
        <v>0.7*IEFWarm</v>
      </c>
      <c r="BE18" s="153">
        <f>IF(OR($C20="-",$C20="CET",$C20=""),"-",0.7*$C20)</f>
        <v>0.7</v>
      </c>
      <c r="BF18" s="153">
        <f t="shared" ref="BF18:BL18" si="14">IF(OR($C20="-",$C20="CET",$C20=""),"-",0.7*$C20)</f>
        <v>0.7</v>
      </c>
      <c r="BG18" s="153">
        <f t="shared" si="14"/>
        <v>0.7</v>
      </c>
      <c r="BH18" s="153">
        <f t="shared" si="14"/>
        <v>0.7</v>
      </c>
      <c r="BI18" s="153">
        <f t="shared" si="14"/>
        <v>0.7</v>
      </c>
      <c r="BJ18" s="153">
        <f t="shared" si="14"/>
        <v>0.7</v>
      </c>
      <c r="BK18" s="153">
        <f t="shared" si="14"/>
        <v>0.7</v>
      </c>
      <c r="BL18" s="153">
        <f t="shared" si="14"/>
        <v>0.7</v>
      </c>
    </row>
    <row r="19" spans="1:73" s="50" customFormat="1" ht="15" customHeight="1" outlineLevel="1" thickBot="1" x14ac:dyDescent="0.3">
      <c r="A19" s="53"/>
      <c r="B19" s="780"/>
      <c r="C19" s="741"/>
      <c r="D19" s="742"/>
      <c r="E19" s="104" t="s">
        <v>95</v>
      </c>
      <c r="F19" s="97" t="s">
        <v>5</v>
      </c>
      <c r="G19" s="97" t="s">
        <v>5</v>
      </c>
      <c r="H19" s="97" t="s">
        <v>5</v>
      </c>
      <c r="I19" s="97" t="s">
        <v>5</v>
      </c>
      <c r="J19" s="97" t="s">
        <v>5</v>
      </c>
      <c r="K19" s="166" t="s">
        <v>5</v>
      </c>
      <c r="L19" s="166" t="s">
        <v>5</v>
      </c>
      <c r="M19" s="166" t="s">
        <v>5</v>
      </c>
      <c r="N19" s="97" t="s">
        <v>5</v>
      </c>
      <c r="O19" s="749"/>
      <c r="P19" s="750"/>
      <c r="Q19" s="750"/>
      <c r="R19" s="754"/>
      <c r="S19" s="749"/>
      <c r="T19" s="750"/>
      <c r="U19" s="750"/>
      <c r="V19" s="754"/>
      <c r="W19" s="51"/>
      <c r="X19" s="51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BC19" s="155" t="str">
        <f t="shared" si="13"/>
        <v>-</v>
      </c>
      <c r="BD19" s="151" t="str">
        <f>"0.7*IEF " &amp; B23</f>
        <v>0.7*IEF Hot 1</v>
      </c>
      <c r="BE19" s="153">
        <f>IF(OR($C25="-",$C25="CET",$C25=""),"-",0.7*$C25)</f>
        <v>0.7</v>
      </c>
      <c r="BF19" s="153">
        <f t="shared" ref="BF19:BL19" si="15">IF(OR($C25="-",$C25="CET",$C25=""),"-",0.7*$C25)</f>
        <v>0.7</v>
      </c>
      <c r="BG19" s="153">
        <f t="shared" si="15"/>
        <v>0.7</v>
      </c>
      <c r="BH19" s="153">
        <f t="shared" si="15"/>
        <v>0.7</v>
      </c>
      <c r="BI19" s="153">
        <f t="shared" si="15"/>
        <v>0.7</v>
      </c>
      <c r="BJ19" s="153">
        <f t="shared" si="15"/>
        <v>0.7</v>
      </c>
      <c r="BK19" s="153">
        <f t="shared" si="15"/>
        <v>0.7</v>
      </c>
      <c r="BL19" s="153">
        <f t="shared" si="15"/>
        <v>0.7</v>
      </c>
      <c r="BM19" s="150"/>
      <c r="BN19" s="150"/>
      <c r="BO19" s="150"/>
      <c r="BP19" s="150"/>
      <c r="BQ19" s="150"/>
      <c r="BR19" s="150"/>
      <c r="BS19" s="150"/>
      <c r="BT19" s="150"/>
      <c r="BU19" s="150"/>
    </row>
    <row r="20" spans="1:73" ht="15" customHeight="1" outlineLevel="1" thickBot="1" x14ac:dyDescent="0.3">
      <c r="A20" s="39"/>
      <c r="B20" s="780"/>
      <c r="C20" s="764">
        <v>1</v>
      </c>
      <c r="D20" s="772" t="str">
        <f>IF(AND(F21="-",G21="-",H21="-",I21="-",J21="-",K21="-",K21="-",L21="-"),"-",MAX(F21,G21,H21,I21,J21,K21,L21,M21))</f>
        <v>-</v>
      </c>
      <c r="E20" s="66" t="s">
        <v>177</v>
      </c>
      <c r="F20" s="65" t="str">
        <f t="shared" ref="F20:N20" si="16">IF(OR(F19="-",F19=""),IF(OR(F18="-",F18=""),"-",F18),IF(OR(F18="-",F18=""),F19,(F18+F19)/2))</f>
        <v>-</v>
      </c>
      <c r="G20" s="65" t="str">
        <f t="shared" si="16"/>
        <v>-</v>
      </c>
      <c r="H20" s="65" t="str">
        <f t="shared" si="16"/>
        <v>-</v>
      </c>
      <c r="I20" s="65" t="str">
        <f t="shared" si="16"/>
        <v>-</v>
      </c>
      <c r="J20" s="65" t="str">
        <f t="shared" si="16"/>
        <v>-</v>
      </c>
      <c r="K20" s="167" t="str">
        <f t="shared" si="16"/>
        <v>-</v>
      </c>
      <c r="L20" s="167" t="str">
        <f t="shared" ref="L20:M20" si="17">IF(OR(L19="-",L19=""),IF(OR(L18="-",L18=""),"-",L18),IF(OR(L18="-",L18=""),L19,(L18+L19)/2))</f>
        <v>-</v>
      </c>
      <c r="M20" s="167" t="str">
        <f t="shared" si="17"/>
        <v>-</v>
      </c>
      <c r="N20" s="65" t="str">
        <f t="shared" si="16"/>
        <v>-</v>
      </c>
      <c r="O20" s="749"/>
      <c r="P20" s="750"/>
      <c r="Q20" s="750"/>
      <c r="R20" s="754"/>
      <c r="S20" s="749"/>
      <c r="T20" s="750"/>
      <c r="U20" s="750"/>
      <c r="V20" s="754"/>
      <c r="W20" s="119"/>
      <c r="X20" s="119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BC20" s="155" t="str">
        <f t="shared" si="13"/>
        <v>-</v>
      </c>
      <c r="BD20" s="151" t="str">
        <f>"0.7*IEF " &amp; B28</f>
        <v>0.7*IEF Hot 2</v>
      </c>
      <c r="BE20" s="153">
        <f>IF(OR($C30="-",$C30="CET",$C30=""),"-",0.7*$C30)</f>
        <v>0.7</v>
      </c>
      <c r="BF20" s="153">
        <f t="shared" ref="BF20:BL20" si="18">IF(OR($C30="-",$C30="CET",$C30=""),"-",0.7*$C30)</f>
        <v>0.7</v>
      </c>
      <c r="BG20" s="153">
        <f t="shared" si="18"/>
        <v>0.7</v>
      </c>
      <c r="BH20" s="153">
        <f t="shared" si="18"/>
        <v>0.7</v>
      </c>
      <c r="BI20" s="153">
        <f t="shared" si="18"/>
        <v>0.7</v>
      </c>
      <c r="BJ20" s="153">
        <f t="shared" si="18"/>
        <v>0.7</v>
      </c>
      <c r="BK20" s="153">
        <f t="shared" si="18"/>
        <v>0.7</v>
      </c>
      <c r="BL20" s="153">
        <f t="shared" si="18"/>
        <v>0.7</v>
      </c>
    </row>
    <row r="21" spans="1:73" ht="15" customHeight="1" outlineLevel="1" thickBot="1" x14ac:dyDescent="0.3">
      <c r="A21" s="39"/>
      <c r="B21" s="780"/>
      <c r="C21" s="765"/>
      <c r="D21" s="773"/>
      <c r="E21" s="64" t="s">
        <v>97</v>
      </c>
      <c r="F21" s="63" t="str">
        <f>IF(OR($C20="-",$C20="CET",$C20=""),"-",IF(AND(NOT(F20="-"),NOT(F$5="-"),NOT(F$5="")),F20/F$5,"-"))</f>
        <v>-</v>
      </c>
      <c r="G21" s="63" t="str">
        <f t="shared" ref="G21:N21" si="19">IF(OR($C20="-",$C20="CET",$C20=""),"-",IF(AND(NOT(G20="-"),NOT(G$5="-"),NOT(G$5="")),G20/G$5,"-"))</f>
        <v>-</v>
      </c>
      <c r="H21" s="63" t="str">
        <f t="shared" si="19"/>
        <v>-</v>
      </c>
      <c r="I21" s="63" t="str">
        <f t="shared" si="19"/>
        <v>-</v>
      </c>
      <c r="J21" s="63" t="str">
        <f t="shared" si="19"/>
        <v>-</v>
      </c>
      <c r="K21" s="168" t="str">
        <f t="shared" si="19"/>
        <v>-</v>
      </c>
      <c r="L21" s="168" t="str">
        <f t="shared" ref="L21:M21" si="20">IF(OR($C20="-",$C20="CET",$C20=""),"-",IF(AND(NOT(L20="-"),NOT(L$5="-"),NOT(L$5="")),L20/L$5,"-"))</f>
        <v>-</v>
      </c>
      <c r="M21" s="168" t="str">
        <f t="shared" si="20"/>
        <v>-</v>
      </c>
      <c r="N21" s="63" t="str">
        <f t="shared" si="19"/>
        <v>-</v>
      </c>
      <c r="O21" s="749"/>
      <c r="P21" s="750"/>
      <c r="Q21" s="750"/>
      <c r="R21" s="754"/>
      <c r="S21" s="749"/>
      <c r="T21" s="750"/>
      <c r="U21" s="750"/>
      <c r="V21" s="754"/>
      <c r="W21" s="119"/>
      <c r="X21" s="119"/>
      <c r="Y21" s="743"/>
      <c r="Z21" s="743"/>
      <c r="AA21" s="743"/>
      <c r="AB21" s="743"/>
      <c r="AC21" s="743"/>
      <c r="AD21" s="743"/>
      <c r="AE21" s="743"/>
      <c r="AF21" s="743"/>
      <c r="AG21" s="743"/>
      <c r="AH21" s="743"/>
      <c r="BC21" s="155" t="str">
        <f t="shared" si="13"/>
        <v>-</v>
      </c>
      <c r="BD21" s="151" t="str">
        <f>B12</f>
        <v>Cold</v>
      </c>
      <c r="BE21" s="153" t="str">
        <f>F16</f>
        <v>-</v>
      </c>
      <c r="BF21" s="153" t="str">
        <f t="shared" ref="BF21:BL21" si="21">G16</f>
        <v>-</v>
      </c>
      <c r="BG21" s="153" t="str">
        <f t="shared" si="21"/>
        <v>-</v>
      </c>
      <c r="BH21" s="153" t="str">
        <f t="shared" si="21"/>
        <v>-</v>
      </c>
      <c r="BI21" s="153" t="str">
        <f t="shared" si="21"/>
        <v>-</v>
      </c>
      <c r="BJ21" s="153" t="str">
        <f t="shared" si="21"/>
        <v>-</v>
      </c>
      <c r="BK21" s="153" t="str">
        <f t="shared" si="21"/>
        <v>-</v>
      </c>
      <c r="BL21" s="153" t="str">
        <f t="shared" si="21"/>
        <v>-</v>
      </c>
    </row>
    <row r="22" spans="1:73" ht="15" customHeight="1" outlineLevel="1" thickBot="1" x14ac:dyDescent="0.3">
      <c r="A22" s="40"/>
      <c r="B22" s="781"/>
      <c r="C22" s="771"/>
      <c r="D22" s="774"/>
      <c r="E22" s="68" t="s">
        <v>30</v>
      </c>
      <c r="F22" s="62" t="str">
        <f t="shared" ref="F22:K22" si="22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62" t="str">
        <f t="shared" si="22"/>
        <v>-</v>
      </c>
      <c r="H22" s="62" t="str">
        <f t="shared" si="22"/>
        <v>-</v>
      </c>
      <c r="I22" s="62" t="str">
        <f t="shared" si="22"/>
        <v>-</v>
      </c>
      <c r="J22" s="62" t="str">
        <f t="shared" si="22"/>
        <v>-</v>
      </c>
      <c r="K22" s="169" t="str">
        <f t="shared" si="22"/>
        <v>-</v>
      </c>
      <c r="L22" s="169" t="str">
        <f t="shared" ref="L22:M22" si="23">IF(AND(OR(L18="-",L18=""),OR(L19="-",L19="")),"-",IF(OR($C20="-",$C20="",$C20="CET"),"-",IF($R$8="not listed","-",IF(NOT(L$5="-"),IF(AND(AND(NOT(L18=0),NOT(L18="-"),NOT(L18="")),AND(NOT(L19="-"),NOT(L19=0),NOT(L19=""))),IF(AND((L18+L19)/2&lt;1*L$5*IF(OR($C20="CET",$C20="-",$C20=""),"-",$C20),L18&lt;1.1*L$5*IF(OR($C20="CET",$C20="-",$C20=""),"-",$C20),L19&lt;1.1*L$5*IF(OR($C20="CET",$C20="-",$C20=""),"-",$C20)),"passed","refused"),IF(IF(OR(L18="-",L18=""),L19,L18)&lt;0.7*L$5*IF(OR($C20="CET",$C20="-",$C20=""),"-",$C20),"passed",IF(IF(OR(L18="-",L18=""),L19,L18)&lt;1.1*IF(OR($C20="CET",$C20="-",$C20=""),"-",$C20)*L$5,"failed","refused"))),"-"))))</f>
        <v>-</v>
      </c>
      <c r="M22" s="169" t="str">
        <f t="shared" si="23"/>
        <v>-</v>
      </c>
      <c r="N22" s="62" t="str">
        <f>IF(AND(OR(N18="-",N18=""),OR(N19="-",N19="")),"-",IF(OR($C20="-",$C20="",$C20="CET"),"-",IF($R$8="not listed","-",IF(NOT(N$5="-"),IF(AND(AND(NOT(N18=0),NOT(N18="-"),NOT(N18="")),AND(NOT(N19="-"),NOT(N19=0),NOT(N19=""))),IF(AND((N18+N19)/2&lt;1*N$5*IF(OR($C20="CET",$C20="-",$C20=""),"-",$C20),N18&lt;1.1*N$5*IF(OR($C20="CET",$C20="-",$C20=""),"-",$C20),N19&lt;1.1*N$5*IF(OR($C20="CET",$C20="-",$C20=""),"-",$C20)),"passed","refused"),IF(IF(OR(N18="-",N18=""),N19,N18)&lt;0.7*N$5*IF(OR($C20="CET",$C20="-",$C20=""),"-",$C20),"passed",IF(IF(OR(N18="-",N18=""),N19,N18)&lt;1.1*IF(OR($C20="CET",$C20="-",$C20=""),"-",$C20)*N$5,"failed","refused"))),"-"))))</f>
        <v>-</v>
      </c>
      <c r="O22" s="749"/>
      <c r="P22" s="750"/>
      <c r="Q22" s="750"/>
      <c r="R22" s="754"/>
      <c r="S22" s="749"/>
      <c r="T22" s="750"/>
      <c r="U22" s="750"/>
      <c r="V22" s="754"/>
      <c r="W22" s="119"/>
      <c r="X22" s="119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BC22" s="155" t="str">
        <f t="shared" si="13"/>
        <v>-</v>
      </c>
      <c r="BD22" s="151" t="str">
        <f>B18</f>
        <v>Warm</v>
      </c>
      <c r="BE22" s="153" t="str">
        <f>F21</f>
        <v>-</v>
      </c>
      <c r="BF22" s="153" t="str">
        <f t="shared" ref="BF22:BL22" si="24">G21</f>
        <v>-</v>
      </c>
      <c r="BG22" s="153" t="str">
        <f t="shared" si="24"/>
        <v>-</v>
      </c>
      <c r="BH22" s="153" t="str">
        <f t="shared" si="24"/>
        <v>-</v>
      </c>
      <c r="BI22" s="153" t="str">
        <f t="shared" si="24"/>
        <v>-</v>
      </c>
      <c r="BJ22" s="153" t="str">
        <f t="shared" si="24"/>
        <v>-</v>
      </c>
      <c r="BK22" s="153" t="str">
        <f t="shared" si="24"/>
        <v>-</v>
      </c>
      <c r="BL22" s="153" t="str">
        <f t="shared" si="24"/>
        <v>-</v>
      </c>
    </row>
    <row r="23" spans="1:73" ht="15" customHeight="1" outlineLevel="1" thickBot="1" x14ac:dyDescent="0.3">
      <c r="A23" s="40"/>
      <c r="B23" s="779" t="s">
        <v>99</v>
      </c>
      <c r="C23" s="770" t="s">
        <v>114</v>
      </c>
      <c r="D23" s="770" t="s">
        <v>113</v>
      </c>
      <c r="E23" s="106" t="s">
        <v>94</v>
      </c>
      <c r="F23" s="98" t="s">
        <v>5</v>
      </c>
      <c r="G23" s="98" t="s">
        <v>5</v>
      </c>
      <c r="H23" s="98" t="s">
        <v>5</v>
      </c>
      <c r="I23" s="98" t="s">
        <v>5</v>
      </c>
      <c r="J23" s="98" t="s">
        <v>5</v>
      </c>
      <c r="K23" s="165" t="s">
        <v>5</v>
      </c>
      <c r="L23" s="165" t="s">
        <v>5</v>
      </c>
      <c r="M23" s="165" t="s">
        <v>5</v>
      </c>
      <c r="N23" s="98" t="s">
        <v>5</v>
      </c>
      <c r="O23" s="749"/>
      <c r="P23" s="750"/>
      <c r="Q23" s="750"/>
      <c r="R23" s="754"/>
      <c r="S23" s="749"/>
      <c r="T23" s="750"/>
      <c r="U23" s="750"/>
      <c r="V23" s="754"/>
      <c r="W23" s="119"/>
      <c r="X23" s="119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BC23" s="155" t="str">
        <f t="shared" si="13"/>
        <v>-</v>
      </c>
      <c r="BD23" s="151" t="str">
        <f>B23</f>
        <v>Hot 1</v>
      </c>
      <c r="BE23" s="153" t="str">
        <f>F26</f>
        <v>-</v>
      </c>
      <c r="BF23" s="153" t="str">
        <f t="shared" ref="BF23:BL23" si="25">G26</f>
        <v>-</v>
      </c>
      <c r="BG23" s="153" t="str">
        <f t="shared" si="25"/>
        <v>-</v>
      </c>
      <c r="BH23" s="153" t="str">
        <f t="shared" si="25"/>
        <v>-</v>
      </c>
      <c r="BI23" s="153" t="str">
        <f t="shared" si="25"/>
        <v>-</v>
      </c>
      <c r="BJ23" s="153" t="str">
        <f t="shared" si="25"/>
        <v>-</v>
      </c>
      <c r="BK23" s="153" t="str">
        <f t="shared" si="25"/>
        <v>-</v>
      </c>
      <c r="BL23" s="153" t="str">
        <f t="shared" si="25"/>
        <v>-</v>
      </c>
    </row>
    <row r="24" spans="1:73" s="50" customFormat="1" ht="15" customHeight="1" outlineLevel="1" thickBot="1" x14ac:dyDescent="0.3">
      <c r="A24" s="52"/>
      <c r="B24" s="780"/>
      <c r="C24" s="741"/>
      <c r="D24" s="742"/>
      <c r="E24" s="109" t="s">
        <v>95</v>
      </c>
      <c r="F24" s="97" t="s">
        <v>5</v>
      </c>
      <c r="G24" s="97" t="s">
        <v>5</v>
      </c>
      <c r="H24" s="97" t="s">
        <v>5</v>
      </c>
      <c r="I24" s="97" t="s">
        <v>5</v>
      </c>
      <c r="J24" s="97" t="s">
        <v>5</v>
      </c>
      <c r="K24" s="166" t="s">
        <v>5</v>
      </c>
      <c r="L24" s="166" t="s">
        <v>5</v>
      </c>
      <c r="M24" s="166" t="s">
        <v>5</v>
      </c>
      <c r="N24" s="97" t="s">
        <v>5</v>
      </c>
      <c r="O24" s="749"/>
      <c r="P24" s="750"/>
      <c r="Q24" s="750"/>
      <c r="R24" s="754"/>
      <c r="S24" s="749"/>
      <c r="T24" s="750"/>
      <c r="U24" s="750"/>
      <c r="V24" s="754"/>
      <c r="W24" s="51"/>
      <c r="X24" s="51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BC24" s="155" t="str">
        <f t="shared" si="13"/>
        <v>-</v>
      </c>
      <c r="BD24" s="151" t="str">
        <f>B28</f>
        <v>Hot 2</v>
      </c>
      <c r="BE24" s="153" t="str">
        <f>F31</f>
        <v>-</v>
      </c>
      <c r="BF24" s="153" t="str">
        <f t="shared" ref="BF24:BL24" si="26">G31</f>
        <v>-</v>
      </c>
      <c r="BG24" s="153" t="str">
        <f t="shared" si="26"/>
        <v>-</v>
      </c>
      <c r="BH24" s="153" t="str">
        <f t="shared" si="26"/>
        <v>-</v>
      </c>
      <c r="BI24" s="153" t="str">
        <f t="shared" si="26"/>
        <v>-</v>
      </c>
      <c r="BJ24" s="153" t="str">
        <f t="shared" si="26"/>
        <v>-</v>
      </c>
      <c r="BK24" s="153" t="str">
        <f t="shared" si="26"/>
        <v>-</v>
      </c>
      <c r="BL24" s="153" t="str">
        <f t="shared" si="26"/>
        <v>-</v>
      </c>
      <c r="BM24" s="150"/>
      <c r="BN24" s="150"/>
      <c r="BO24" s="150"/>
      <c r="BP24" s="150"/>
      <c r="BQ24" s="150"/>
      <c r="BR24" s="150"/>
      <c r="BS24" s="150"/>
      <c r="BT24" s="150"/>
      <c r="BU24" s="150"/>
    </row>
    <row r="25" spans="1:73" ht="15" customHeight="1" outlineLevel="1" thickBot="1" x14ac:dyDescent="0.3">
      <c r="A25" s="40"/>
      <c r="B25" s="780"/>
      <c r="C25" s="764">
        <v>1</v>
      </c>
      <c r="D25" s="772" t="str">
        <f>IF(AND(F26="-",G26="-",H26="-",I26="-",J26="-",K26="-",K26="-",L26="-"),"-",MAX(F26,G26,H26,I26,J26,K26,L26,M26))</f>
        <v>-</v>
      </c>
      <c r="E25" s="66" t="s">
        <v>177</v>
      </c>
      <c r="F25" s="65" t="str">
        <f t="shared" ref="F25:N25" si="27">IF(OR(F24="-",F24=""),IF(OR(F23="-",F23=""),"-",F23),IF(OR(F23="-",F23=""),F24,(F23+F24)/2))</f>
        <v>-</v>
      </c>
      <c r="G25" s="65" t="str">
        <f t="shared" si="27"/>
        <v>-</v>
      </c>
      <c r="H25" s="65" t="str">
        <f t="shared" si="27"/>
        <v>-</v>
      </c>
      <c r="I25" s="65" t="str">
        <f t="shared" si="27"/>
        <v>-</v>
      </c>
      <c r="J25" s="65" t="str">
        <f t="shared" si="27"/>
        <v>-</v>
      </c>
      <c r="K25" s="167" t="str">
        <f t="shared" si="27"/>
        <v>-</v>
      </c>
      <c r="L25" s="167" t="str">
        <f t="shared" ref="L25:M25" si="28">IF(OR(L24="-",L24=""),IF(OR(L23="-",L23=""),"-",L23),IF(OR(L23="-",L23=""),L24,(L23+L24)/2))</f>
        <v>-</v>
      </c>
      <c r="M25" s="167" t="str">
        <f t="shared" si="28"/>
        <v>-</v>
      </c>
      <c r="N25" s="65" t="str">
        <f t="shared" si="27"/>
        <v>-</v>
      </c>
      <c r="O25" s="749"/>
      <c r="P25" s="750"/>
      <c r="Q25" s="750"/>
      <c r="R25" s="754"/>
      <c r="S25" s="749"/>
      <c r="T25" s="750"/>
      <c r="U25" s="750"/>
      <c r="V25" s="754"/>
      <c r="W25" s="119"/>
      <c r="X25" s="119"/>
      <c r="Y25" s="743"/>
      <c r="Z25" s="743"/>
      <c r="AA25" s="743"/>
      <c r="AB25" s="743"/>
      <c r="AC25" s="743"/>
      <c r="AD25" s="743"/>
      <c r="AE25" s="743"/>
      <c r="AF25" s="743"/>
      <c r="AG25" s="743"/>
      <c r="AH25" s="743"/>
      <c r="BC25" s="155" t="str">
        <f t="shared" si="13"/>
        <v>-</v>
      </c>
      <c r="BD25" s="151" t="str">
        <f>"IEF " &amp;B12</f>
        <v>IEF Cold</v>
      </c>
      <c r="BE25" s="153" t="str">
        <f>IF(AND(OR($C15="-",$C15="CET",$C15=""),OR(F12="-",F12="CET",F12="")),"-",IF(OR(F12="CET",F12="-",F12=""),IF(OR($C15="CET",$C15="-",$C15=""),"-",$C15),F12))</f>
        <v>-</v>
      </c>
      <c r="BF25" s="153" t="str">
        <f t="shared" ref="BF25:BL25" si="29">IF(AND(OR($C15="-",$C15="CET",$C15=""),OR(G12="-",G12="CET",G12="")),"-",IF(OR(G12="CET",G12="-",G12=""),IF(OR($C15="CET",$C15="-",$C15=""),"-",$C15),G12))</f>
        <v>-</v>
      </c>
      <c r="BG25" s="153" t="str">
        <f t="shared" si="29"/>
        <v>-</v>
      </c>
      <c r="BH25" s="153" t="str">
        <f t="shared" si="29"/>
        <v>-</v>
      </c>
      <c r="BI25" s="153" t="str">
        <f t="shared" si="29"/>
        <v>-</v>
      </c>
      <c r="BJ25" s="153" t="str">
        <f t="shared" si="29"/>
        <v>-</v>
      </c>
      <c r="BK25" s="153" t="str">
        <f t="shared" si="29"/>
        <v>-</v>
      </c>
      <c r="BL25" s="153" t="str">
        <f t="shared" si="29"/>
        <v>-</v>
      </c>
    </row>
    <row r="26" spans="1:73" ht="15" customHeight="1" outlineLevel="1" thickBot="1" x14ac:dyDescent="0.3">
      <c r="A26" s="40"/>
      <c r="B26" s="780"/>
      <c r="C26" s="765"/>
      <c r="D26" s="773"/>
      <c r="E26" s="64" t="s">
        <v>97</v>
      </c>
      <c r="F26" s="63" t="str">
        <f t="shared" ref="F26:N26" si="30">IF(OR($C25="-",$C25="CET",$C25=""),"-",IF(AND(NOT(F25="-"),NOT(F$5="-"),NOT(F$5="")),F25/F$5,"-"))</f>
        <v>-</v>
      </c>
      <c r="G26" s="63" t="str">
        <f t="shared" si="30"/>
        <v>-</v>
      </c>
      <c r="H26" s="63" t="str">
        <f t="shared" si="30"/>
        <v>-</v>
      </c>
      <c r="I26" s="63" t="str">
        <f t="shared" si="30"/>
        <v>-</v>
      </c>
      <c r="J26" s="63" t="str">
        <f t="shared" si="30"/>
        <v>-</v>
      </c>
      <c r="K26" s="168" t="str">
        <f t="shared" si="30"/>
        <v>-</v>
      </c>
      <c r="L26" s="168" t="str">
        <f t="shared" ref="L26:M26" si="31">IF(OR($C25="-",$C25="CET",$C25=""),"-",IF(AND(NOT(L25="-"),NOT(L$5="-"),NOT(L$5="")),L25/L$5,"-"))</f>
        <v>-</v>
      </c>
      <c r="M26" s="168" t="str">
        <f t="shared" si="31"/>
        <v>-</v>
      </c>
      <c r="N26" s="63" t="str">
        <f t="shared" si="30"/>
        <v>-</v>
      </c>
      <c r="O26" s="749"/>
      <c r="P26" s="750"/>
      <c r="Q26" s="750"/>
      <c r="R26" s="754"/>
      <c r="S26" s="749"/>
      <c r="T26" s="750"/>
      <c r="U26" s="750"/>
      <c r="V26" s="754"/>
      <c r="W26" s="119"/>
      <c r="X26" s="119"/>
      <c r="Y26" s="743"/>
      <c r="Z26" s="743"/>
      <c r="AA26" s="743"/>
      <c r="AB26" s="743"/>
      <c r="AC26" s="743"/>
      <c r="AD26" s="743"/>
      <c r="AE26" s="743"/>
      <c r="AF26" s="743"/>
      <c r="AG26" s="743"/>
      <c r="AH26" s="743"/>
      <c r="BC26" s="155" t="str">
        <f t="shared" si="13"/>
        <v>-</v>
      </c>
      <c r="BD26" s="151" t="str">
        <f>"IEF " &amp; B18</f>
        <v>IEF Warm</v>
      </c>
      <c r="BE26" s="153">
        <f>IF(OR($C20="CET",$C20="-",$C20=""),"-",$C20)</f>
        <v>1</v>
      </c>
      <c r="BF26" s="153">
        <f t="shared" ref="BF26:BL26" si="32">IF(OR($C20="CET",$C20="-",$C20=""),"-",$C20)</f>
        <v>1</v>
      </c>
      <c r="BG26" s="153">
        <f t="shared" si="32"/>
        <v>1</v>
      </c>
      <c r="BH26" s="153">
        <f t="shared" si="32"/>
        <v>1</v>
      </c>
      <c r="BI26" s="153">
        <f t="shared" si="32"/>
        <v>1</v>
      </c>
      <c r="BJ26" s="153">
        <f t="shared" si="32"/>
        <v>1</v>
      </c>
      <c r="BK26" s="153">
        <f t="shared" si="32"/>
        <v>1</v>
      </c>
      <c r="BL26" s="153">
        <f t="shared" si="32"/>
        <v>1</v>
      </c>
    </row>
    <row r="27" spans="1:73" ht="15" customHeight="1" outlineLevel="1" thickBot="1" x14ac:dyDescent="0.3">
      <c r="A27" s="40"/>
      <c r="B27" s="781"/>
      <c r="C27" s="771"/>
      <c r="D27" s="774"/>
      <c r="E27" s="68" t="s">
        <v>30</v>
      </c>
      <c r="F27" s="62" t="str">
        <f t="shared" ref="F27:K27" si="33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62" t="str">
        <f t="shared" si="33"/>
        <v>-</v>
      </c>
      <c r="H27" s="62" t="str">
        <f t="shared" si="33"/>
        <v>-</v>
      </c>
      <c r="I27" s="62" t="str">
        <f t="shared" si="33"/>
        <v>-</v>
      </c>
      <c r="J27" s="62" t="str">
        <f t="shared" si="33"/>
        <v>-</v>
      </c>
      <c r="K27" s="169" t="str">
        <f t="shared" si="33"/>
        <v>-</v>
      </c>
      <c r="L27" s="169" t="str">
        <f t="shared" ref="L27:M27" si="34">IF(AND(OR(L23="-",L23=""),OR(L24="-",L24="")),"-",IF(OR($C25="-",$C25="",$C25="CET"),"-",IF($R$8="not listed","-",IF(NOT(L$5="-"),IF(AND(AND(NOT(L23=0),NOT(L23="-"),NOT(L23="")),AND(NOT(L24="-"),NOT(L24=0),NOT(L24=""))),IF(AND((L23+L24)/2&lt;1*L$5*IF(OR($C25="CET",$C25="-",$C25=""),"-",$C25),L23&lt;1.1*L$5*IF(OR($C25="CET",$C25="-",$C25=""),"-",$C25),L24&lt;1.1*L$5*IF(OR($C25="CET",$C25="-",$C25=""),"-",$C25)),"passed","refused"),IF(IF(OR(L23="-",L23=""),L24,L23)&lt;0.7*L$5*IF(OR($C25="CET",$C25="-",$C25=""),"-",$C25),"passed",IF(IF(OR(L23="-",L23=""),L24,L23)&lt;1.1*IF(OR($C25="CET",$C25="-",$C25=""),"-",$C25)*L$5,"failed","refused"))),"-"))))</f>
        <v>-</v>
      </c>
      <c r="M27" s="169" t="str">
        <f t="shared" si="34"/>
        <v>-</v>
      </c>
      <c r="N27" s="62" t="str">
        <f>IF(AND(OR(N23="-",N23=""),OR(N24="-",N24="")),"-",IF(OR($C25="-",$C25="",$C25="CET"),"-",IF($R$8="not listed","-",IF(NOT(N$5="-"),IF(AND(AND(NOT(N23=0),NOT(N23="-"),NOT(N23="")),AND(NOT(N24="-"),NOT(N24=0),NOT(N24=""))),IF(AND((N23+N24)/2&lt;1*N$5*IF(OR($C25="CET",$C25="-",$C25=""),"-",$C25),N23&lt;1.1*N$5*IF(OR($C25="CET",$C25="-",$C25=""),"-",$C25),N24&lt;1.1*N$5*IF(OR($C25="CET",$C25="-",$C25=""),"-",$C25)),"passed","refused"),IF(IF(OR(N23="-",N23=""),N24,N23)&lt;0.7*N$5*IF(OR($C25="CET",$C25="-",$C25=""),"-",$C25),"passed",IF(IF(OR(N23="-",N23=""),N24,N23)&lt;1.1*IF(OR($C25="CET",$C25="-",$C25=""),"-",$C25)*N$5,"failed","refused"))),"-"))))</f>
        <v>-</v>
      </c>
      <c r="O27" s="749"/>
      <c r="P27" s="750"/>
      <c r="Q27" s="750"/>
      <c r="R27" s="754"/>
      <c r="S27" s="749"/>
      <c r="T27" s="750"/>
      <c r="U27" s="750"/>
      <c r="V27" s="754"/>
      <c r="W27" s="119"/>
      <c r="X27" s="119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BC27" s="155" t="str">
        <f t="shared" si="13"/>
        <v>-</v>
      </c>
      <c r="BD27" s="151" t="str">
        <f>"IEF " &amp; B23</f>
        <v>IEF Hot 1</v>
      </c>
      <c r="BE27" s="153">
        <f>IF(OR($C25="CET",$C25="-",$C25=""),"-",$C25)</f>
        <v>1</v>
      </c>
      <c r="BF27" s="153">
        <f t="shared" ref="BF27:BL27" si="35">IF(OR($C25="CET",$C25="-",$C25=""),"-",$C25)</f>
        <v>1</v>
      </c>
      <c r="BG27" s="153">
        <f t="shared" si="35"/>
        <v>1</v>
      </c>
      <c r="BH27" s="153">
        <f t="shared" si="35"/>
        <v>1</v>
      </c>
      <c r="BI27" s="153">
        <f t="shared" si="35"/>
        <v>1</v>
      </c>
      <c r="BJ27" s="153">
        <f t="shared" si="35"/>
        <v>1</v>
      </c>
      <c r="BK27" s="153">
        <f t="shared" si="35"/>
        <v>1</v>
      </c>
      <c r="BL27" s="153">
        <f t="shared" si="35"/>
        <v>1</v>
      </c>
    </row>
    <row r="28" spans="1:73" ht="15" customHeight="1" outlineLevel="1" x14ac:dyDescent="0.25">
      <c r="A28" s="40"/>
      <c r="B28" s="779" t="s">
        <v>100</v>
      </c>
      <c r="C28" s="770" t="s">
        <v>114</v>
      </c>
      <c r="D28" s="770" t="s">
        <v>113</v>
      </c>
      <c r="E28" s="106" t="s">
        <v>94</v>
      </c>
      <c r="F28" s="98" t="s">
        <v>5</v>
      </c>
      <c r="G28" s="98" t="s">
        <v>5</v>
      </c>
      <c r="H28" s="98" t="s">
        <v>5</v>
      </c>
      <c r="I28" s="98" t="s">
        <v>5</v>
      </c>
      <c r="J28" s="98" t="s">
        <v>5</v>
      </c>
      <c r="K28" s="165" t="s">
        <v>5</v>
      </c>
      <c r="L28" s="165" t="s">
        <v>5</v>
      </c>
      <c r="M28" s="165" t="s">
        <v>5</v>
      </c>
      <c r="N28" s="98" t="s">
        <v>5</v>
      </c>
      <c r="O28" s="749"/>
      <c r="P28" s="750"/>
      <c r="Q28" s="750"/>
      <c r="R28" s="754"/>
      <c r="S28" s="749"/>
      <c r="T28" s="750"/>
      <c r="U28" s="750"/>
      <c r="V28" s="754"/>
      <c r="W28" s="119"/>
      <c r="X28" s="119"/>
      <c r="Y28" s="743"/>
      <c r="Z28" s="743"/>
      <c r="AA28" s="743"/>
      <c r="AB28" s="743"/>
      <c r="AC28" s="743"/>
      <c r="AD28" s="743"/>
      <c r="AE28" s="743"/>
      <c r="AF28" s="743"/>
      <c r="AG28" s="743"/>
      <c r="AH28" s="743"/>
      <c r="BC28" s="155" t="str">
        <f t="shared" si="13"/>
        <v>-</v>
      </c>
      <c r="BD28" s="151" t="str">
        <f>"IEF " &amp; B28</f>
        <v>IEF Hot 2</v>
      </c>
      <c r="BE28" s="153">
        <f>IF(OR($C30="CET",$C30="-",$C30=""),"-",$C30)</f>
        <v>1</v>
      </c>
      <c r="BF28" s="153">
        <f t="shared" ref="BF28:BL28" si="36">IF(OR($C30="CET",$C30="-",$C30=""),"-",$C30)</f>
        <v>1</v>
      </c>
      <c r="BG28" s="153">
        <f t="shared" si="36"/>
        <v>1</v>
      </c>
      <c r="BH28" s="153">
        <f t="shared" si="36"/>
        <v>1</v>
      </c>
      <c r="BI28" s="153">
        <f t="shared" si="36"/>
        <v>1</v>
      </c>
      <c r="BJ28" s="153">
        <f t="shared" si="36"/>
        <v>1</v>
      </c>
      <c r="BK28" s="153">
        <f t="shared" si="36"/>
        <v>1</v>
      </c>
      <c r="BL28" s="153">
        <f t="shared" si="36"/>
        <v>1</v>
      </c>
    </row>
    <row r="29" spans="1:73" s="50" customFormat="1" ht="15" customHeight="1" outlineLevel="1" thickBot="1" x14ac:dyDescent="0.3">
      <c r="A29" s="52"/>
      <c r="B29" s="780"/>
      <c r="C29" s="741"/>
      <c r="D29" s="742"/>
      <c r="E29" s="104" t="s">
        <v>95</v>
      </c>
      <c r="F29" s="97" t="s">
        <v>5</v>
      </c>
      <c r="G29" s="97" t="s">
        <v>5</v>
      </c>
      <c r="H29" s="97" t="s">
        <v>5</v>
      </c>
      <c r="I29" s="97" t="s">
        <v>5</v>
      </c>
      <c r="J29" s="97" t="s">
        <v>5</v>
      </c>
      <c r="K29" s="166" t="s">
        <v>5</v>
      </c>
      <c r="L29" s="166" t="s">
        <v>5</v>
      </c>
      <c r="M29" s="166" t="s">
        <v>5</v>
      </c>
      <c r="N29" s="97" t="s">
        <v>5</v>
      </c>
      <c r="O29" s="749"/>
      <c r="P29" s="750"/>
      <c r="Q29" s="750"/>
      <c r="R29" s="754"/>
      <c r="S29" s="749"/>
      <c r="T29" s="750"/>
      <c r="U29" s="750"/>
      <c r="V29" s="754"/>
      <c r="W29" s="51"/>
      <c r="X29" s="51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BC29" s="155" t="str">
        <f t="shared" si="13"/>
        <v>-</v>
      </c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50"/>
      <c r="BP29" s="150"/>
      <c r="BQ29" s="150"/>
      <c r="BR29" s="150"/>
      <c r="BS29" s="150"/>
      <c r="BT29" s="150"/>
      <c r="BU29" s="150"/>
    </row>
    <row r="30" spans="1:73" ht="15" customHeight="1" outlineLevel="1" thickBot="1" x14ac:dyDescent="0.3">
      <c r="A30" s="40"/>
      <c r="B30" s="780"/>
      <c r="C30" s="764">
        <v>1</v>
      </c>
      <c r="D30" s="772" t="str">
        <f>IF(AND(F31="-",G31="-",H31="-",I31="-",J31="-",K31="-",K31="-",L31="-"),"-",MAX(F31,G31,H31,I31,J31,K31,L31,M31))</f>
        <v>-</v>
      </c>
      <c r="E30" s="66" t="s">
        <v>177</v>
      </c>
      <c r="F30" s="65" t="str">
        <f t="shared" ref="F30:N30" si="37">IF(OR(F29="-",F29=""),IF(OR(F28="-",F28=""),"-",F28),IF(OR(F28="-",F28=""),F29,(F28+F29)/2))</f>
        <v>-</v>
      </c>
      <c r="G30" s="65" t="str">
        <f t="shared" si="37"/>
        <v>-</v>
      </c>
      <c r="H30" s="65" t="str">
        <f t="shared" si="37"/>
        <v>-</v>
      </c>
      <c r="I30" s="65" t="str">
        <f t="shared" si="37"/>
        <v>-</v>
      </c>
      <c r="J30" s="65" t="str">
        <f t="shared" si="37"/>
        <v>-</v>
      </c>
      <c r="K30" s="167" t="str">
        <f t="shared" si="37"/>
        <v>-</v>
      </c>
      <c r="L30" s="167" t="str">
        <f t="shared" ref="L30:M30" si="38">IF(OR(L29="-",L29=""),IF(OR(L28="-",L28=""),"-",L28),IF(OR(L28="-",L28=""),L29,(L28+L29)/2))</f>
        <v>-</v>
      </c>
      <c r="M30" s="167" t="str">
        <f t="shared" si="38"/>
        <v>-</v>
      </c>
      <c r="N30" s="65" t="str">
        <f t="shared" si="37"/>
        <v>-</v>
      </c>
      <c r="O30" s="749"/>
      <c r="P30" s="750"/>
      <c r="Q30" s="750"/>
      <c r="R30" s="754"/>
      <c r="S30" s="749"/>
      <c r="T30" s="750"/>
      <c r="U30" s="750"/>
      <c r="V30" s="754"/>
      <c r="W30" s="119"/>
      <c r="X30" s="119"/>
      <c r="Y30" s="743"/>
      <c r="Z30" s="743"/>
      <c r="AA30" s="743"/>
      <c r="AB30" s="743"/>
      <c r="AC30" s="743"/>
      <c r="AD30" s="743"/>
      <c r="AE30" s="743"/>
      <c r="AF30" s="743"/>
      <c r="AG30" s="743"/>
      <c r="AH30" s="743"/>
      <c r="BC30" s="155" t="str">
        <f t="shared" si="13"/>
        <v>-</v>
      </c>
    </row>
    <row r="31" spans="1:73" ht="15" customHeight="1" outlineLevel="1" thickBot="1" x14ac:dyDescent="0.3">
      <c r="A31" s="40"/>
      <c r="B31" s="780"/>
      <c r="C31" s="765"/>
      <c r="D31" s="773"/>
      <c r="E31" s="64" t="s">
        <v>97</v>
      </c>
      <c r="F31" s="63" t="str">
        <f t="shared" ref="F31:N31" si="39">IF(OR($C30="-",$C30="CET",$C30=""),"-",IF(AND(NOT(F30="-"),NOT(F$5="-"),NOT(F$5="")),F30/F$5,"-"))</f>
        <v>-</v>
      </c>
      <c r="G31" s="63" t="str">
        <f t="shared" si="39"/>
        <v>-</v>
      </c>
      <c r="H31" s="63" t="str">
        <f t="shared" si="39"/>
        <v>-</v>
      </c>
      <c r="I31" s="63" t="str">
        <f t="shared" si="39"/>
        <v>-</v>
      </c>
      <c r="J31" s="63" t="str">
        <f t="shared" si="39"/>
        <v>-</v>
      </c>
      <c r="K31" s="168" t="str">
        <f t="shared" si="39"/>
        <v>-</v>
      </c>
      <c r="L31" s="168" t="str">
        <f t="shared" ref="L31:M31" si="40">IF(OR($C30="-",$C30="CET",$C30=""),"-",IF(AND(NOT(L30="-"),NOT(L$5="-"),NOT(L$5="")),L30/L$5,"-"))</f>
        <v>-</v>
      </c>
      <c r="M31" s="168" t="str">
        <f t="shared" si="40"/>
        <v>-</v>
      </c>
      <c r="N31" s="63" t="str">
        <f t="shared" si="39"/>
        <v>-</v>
      </c>
      <c r="O31" s="749"/>
      <c r="P31" s="750"/>
      <c r="Q31" s="750"/>
      <c r="R31" s="754"/>
      <c r="S31" s="749"/>
      <c r="T31" s="750"/>
      <c r="U31" s="750"/>
      <c r="V31" s="754"/>
      <c r="W31" s="119"/>
      <c r="X31" s="119"/>
      <c r="Y31" s="743"/>
      <c r="Z31" s="743"/>
      <c r="AA31" s="743"/>
      <c r="AB31" s="743"/>
      <c r="AC31" s="743"/>
      <c r="AD31" s="743"/>
      <c r="AE31" s="743"/>
      <c r="AF31" s="743"/>
      <c r="AG31" s="743"/>
      <c r="AH31" s="743"/>
      <c r="BC31" s="155" t="str">
        <f t="shared" si="13"/>
        <v>-</v>
      </c>
    </row>
    <row r="32" spans="1:73" ht="15" customHeight="1" outlineLevel="1" thickBot="1" x14ac:dyDescent="0.3">
      <c r="B32" s="781"/>
      <c r="C32" s="771"/>
      <c r="D32" s="774"/>
      <c r="E32" s="62" t="s">
        <v>30</v>
      </c>
      <c r="F32" s="62" t="str">
        <f t="shared" ref="F32:K32" si="41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62" t="str">
        <f t="shared" si="41"/>
        <v>-</v>
      </c>
      <c r="H32" s="62" t="str">
        <f t="shared" si="41"/>
        <v>-</v>
      </c>
      <c r="I32" s="62" t="str">
        <f t="shared" si="41"/>
        <v>-</v>
      </c>
      <c r="J32" s="62" t="str">
        <f t="shared" si="41"/>
        <v>-</v>
      </c>
      <c r="K32" s="169" t="str">
        <f t="shared" si="41"/>
        <v>-</v>
      </c>
      <c r="L32" s="169" t="str">
        <f t="shared" ref="L32:M32" si="42">IF(AND(OR(L28="-",L28=""),OR(L29="-",L29="")),"-",IF(OR($C30="-",$C30="",$C30="CET"),"-",IF($R$8="not listed","-",IF(NOT(L$5="-"),IF(AND(AND(NOT(L28=0),NOT(L28="-"),NOT(L28="")),AND(NOT(L29="-"),NOT(L29=0),NOT(L29=""))),IF(AND((L28+L29)/2&lt;1*L$5*IF(OR($C30="CET",$C30="-",$C30=""),"-",$C30),L28&lt;1.1*L$5*IF(OR($C30="CET",$C30="-",$C30=""),"-",$C30),L29&lt;1.1*L$5*IF(OR($C30="CET",$C30="-",$C30=""),"-",$C30)),"passed","refused"),IF(IF(OR(L28="-",L28=""),L29,L28)&lt;0.7*L$5*IF(OR($C30="CET",$C30="-",$C30=""),"-",$C30),"passed",IF(IF(OR(L28="-",L28=""),L29,L28)&lt;1.1*IF(OR($C30="CET",$C30="-",$C30=""),"-",$C30)*L$5,"failed","refused"))),"-"))))</f>
        <v>-</v>
      </c>
      <c r="M32" s="169" t="str">
        <f t="shared" si="42"/>
        <v>-</v>
      </c>
      <c r="N32" s="62" t="str">
        <f>IF(AND(OR(N28="-",N28=""),OR(N29="-",N29="")),"-",IF(OR($C30="-",$C30="",$C30="CET"),"-",IF($R$8="not listed","-",IF(NOT(N$5="-"),IF(AND(AND(NOT(N28=0),NOT(N28="-"),NOT(N28="")),AND(NOT(N29="-"),NOT(N29=0),NOT(N29=""))),IF(AND((N28+N29)/2&lt;1*N$5*IF(OR($C30="CET",$C30="-",$C30=""),"-",$C30),N28&lt;1.1*N$5*IF(OR($C30="CET",$C30="-",$C30=""),"-",$C30),N29&lt;1.1*N$5*IF(OR($C30="CET",$C30="-",$C30=""),"-",$C30)),"passed","refused"),IF(IF(OR(N28="-",N28=""),N29,N28)&lt;0.7*N$5*IF(OR($C30="CET",$C30="-",$C30=""),"-",$C30),"passed",IF(IF(OR(N28="-",N28=""),N29,N28)&lt;1.1*IF(OR($C30="CET",$C30="-",$C30=""),"-",$C30)*N$5,"failed","refused"))),"-"))))</f>
        <v>-</v>
      </c>
      <c r="O32" s="751"/>
      <c r="P32" s="752"/>
      <c r="Q32" s="752"/>
      <c r="R32" s="755"/>
      <c r="S32" s="751"/>
      <c r="T32" s="752"/>
      <c r="U32" s="752"/>
      <c r="V32" s="755"/>
      <c r="BC32" s="155" t="str">
        <f t="shared" si="13"/>
        <v>-</v>
      </c>
    </row>
    <row r="33" spans="1:73" x14ac:dyDescent="0.25">
      <c r="BC33" s="155" t="str">
        <f t="shared" si="13"/>
        <v>-</v>
      </c>
    </row>
    <row r="34" spans="1:73" x14ac:dyDescent="0.25">
      <c r="BC34" s="155" t="str">
        <f t="shared" si="13"/>
        <v>-</v>
      </c>
    </row>
    <row r="35" spans="1:73" ht="15.75" thickBot="1" x14ac:dyDescent="0.3">
      <c r="BC35" s="155" t="str">
        <f t="shared" si="13"/>
        <v>-</v>
      </c>
    </row>
    <row r="36" spans="1:73" ht="24.95" customHeight="1" thickBot="1" x14ac:dyDescent="0.3">
      <c r="A36" s="39"/>
      <c r="B36" s="185">
        <v>2</v>
      </c>
      <c r="C36" s="757" t="s">
        <v>179</v>
      </c>
      <c r="D36" s="758"/>
      <c r="E36" s="758"/>
      <c r="F36" s="758"/>
      <c r="G36" s="758"/>
      <c r="H36" s="758"/>
      <c r="I36" s="758"/>
      <c r="J36" s="758"/>
      <c r="K36" s="758"/>
      <c r="L36" s="758"/>
      <c r="M36" s="758"/>
      <c r="N36" s="759"/>
      <c r="O36" s="49" t="s">
        <v>117</v>
      </c>
      <c r="P36" s="71" t="str">
        <f>IF(COUNTIF(F41:M45,"refused")&gt;0,"refused",IF(COUNTIF(F41:M45,"failed")&gt;0,"failed",IF(COUNTIF(F41:M45,"passed")&gt;0,"passed","-")))</f>
        <v>-</v>
      </c>
      <c r="Q36" s="70" t="s">
        <v>80</v>
      </c>
      <c r="R36" s="70" t="str">
        <f>IF(COUNT(F41:M42)&gt;0,"listed","not listed")</f>
        <v>not listed</v>
      </c>
      <c r="S36" s="118"/>
      <c r="T36" s="43"/>
      <c r="U36" s="43"/>
      <c r="V36" s="44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BC36" s="155" t="str">
        <f t="shared" ref="BC36:BC62" si="43">IF(COUNTIF(F36:M36,"refused")&gt;0,"refused",IF(COUNTIF(F36:M36,"failed")&gt;0,"failed",IF(COUNTIF(F36:M36,"passed")&gt;0,"passed","-")))</f>
        <v>-</v>
      </c>
    </row>
    <row r="37" spans="1:73" ht="15" customHeight="1" outlineLevel="1" thickBot="1" x14ac:dyDescent="0.3">
      <c r="A37" s="39"/>
      <c r="B37" s="120"/>
      <c r="C37" s="121"/>
      <c r="D37" s="121"/>
      <c r="E37" s="121"/>
      <c r="F37" s="121"/>
      <c r="G37" s="121"/>
      <c r="H37" s="121"/>
      <c r="I37" s="121"/>
      <c r="J37" s="121"/>
      <c r="K37" s="162"/>
      <c r="L37" s="162"/>
      <c r="M37" s="162"/>
      <c r="N37" s="121"/>
      <c r="O37" s="121"/>
      <c r="P37" s="121"/>
      <c r="Q37" s="121"/>
      <c r="R37" s="121"/>
      <c r="S37" s="121"/>
      <c r="T37" s="45"/>
      <c r="U37" s="45"/>
      <c r="V37" s="46"/>
      <c r="W37" s="47"/>
      <c r="X37" s="47"/>
      <c r="Y37" s="756"/>
      <c r="Z37" s="756"/>
      <c r="AA37" s="756"/>
      <c r="AB37" s="756"/>
      <c r="AC37" s="756"/>
      <c r="AD37" s="756"/>
      <c r="AE37" s="756"/>
      <c r="AF37" s="756"/>
      <c r="AG37" s="756"/>
      <c r="AH37" s="756"/>
      <c r="BC37" s="155" t="str">
        <f t="shared" si="43"/>
        <v>-</v>
      </c>
    </row>
    <row r="38" spans="1:73" ht="15" customHeight="1" outlineLevel="1" thickBot="1" x14ac:dyDescent="0.3">
      <c r="A38" s="39"/>
      <c r="B38" s="744" t="s">
        <v>81</v>
      </c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6"/>
      <c r="O38" s="744" t="s">
        <v>82</v>
      </c>
      <c r="P38" s="745"/>
      <c r="Q38" s="745"/>
      <c r="R38" s="746"/>
      <c r="S38" s="744" t="s">
        <v>83</v>
      </c>
      <c r="T38" s="745"/>
      <c r="U38" s="745"/>
      <c r="V38" s="746"/>
      <c r="W38" s="119"/>
      <c r="X38" s="119"/>
      <c r="Y38" s="743"/>
      <c r="Z38" s="743"/>
      <c r="AA38" s="743"/>
      <c r="AB38" s="743"/>
      <c r="AC38" s="743"/>
      <c r="AD38" s="743"/>
      <c r="AE38" s="743"/>
      <c r="AF38" s="743"/>
      <c r="AG38" s="743"/>
      <c r="AH38" s="743"/>
      <c r="BC38" s="155" t="str">
        <f t="shared" si="43"/>
        <v>-</v>
      </c>
    </row>
    <row r="39" spans="1:73" ht="35.1" customHeight="1" outlineLevel="1" thickBot="1" x14ac:dyDescent="0.3">
      <c r="A39" s="39"/>
      <c r="B39" s="811" t="s">
        <v>84</v>
      </c>
      <c r="C39" s="812"/>
      <c r="D39" s="812"/>
      <c r="E39" s="813"/>
      <c r="F39" s="69" t="str">
        <f>F$4</f>
        <v>NMHC 
[g/km]</v>
      </c>
      <c r="G39" s="69" t="str">
        <f t="shared" ref="G39:N39" si="44">G$4</f>
        <v>THC
[g/km]</v>
      </c>
      <c r="H39" s="69" t="str">
        <f t="shared" si="44"/>
        <v>CO
[g/km]</v>
      </c>
      <c r="I39" s="69" t="str">
        <f t="shared" si="44"/>
        <v>NOx
[g/km]</v>
      </c>
      <c r="J39" s="69" t="str">
        <f t="shared" si="44"/>
        <v>PM
[mg/km]</v>
      </c>
      <c r="K39" s="69" t="str">
        <f t="shared" si="44"/>
        <v>PN
[#/km]</v>
      </c>
      <c r="L39" s="366" t="str">
        <f t="shared" si="44"/>
        <v>Additional
component</v>
      </c>
      <c r="M39" s="366" t="str">
        <f t="shared" si="44"/>
        <v>Additional
component 2</v>
      </c>
      <c r="N39" s="69" t="str">
        <f t="shared" si="44"/>
        <v>CO2
[g/km]</v>
      </c>
      <c r="O39" s="748"/>
      <c r="P39" s="748"/>
      <c r="Q39" s="748"/>
      <c r="R39" s="753"/>
      <c r="S39" s="747"/>
      <c r="T39" s="748"/>
      <c r="U39" s="748"/>
      <c r="V39" s="753"/>
      <c r="W39" s="119"/>
      <c r="X39" s="119"/>
      <c r="Y39" s="743"/>
      <c r="Z39" s="743"/>
      <c r="AA39" s="743"/>
      <c r="AB39" s="743"/>
      <c r="AC39" s="743"/>
      <c r="AD39" s="743"/>
      <c r="AE39" s="743"/>
      <c r="AF39" s="743"/>
      <c r="AG39" s="743"/>
      <c r="AH39" s="743"/>
      <c r="BC39" s="155" t="str">
        <f t="shared" si="43"/>
        <v>-</v>
      </c>
    </row>
    <row r="40" spans="1:73" ht="15" customHeight="1" outlineLevel="1" thickBot="1" x14ac:dyDescent="0.3">
      <c r="A40" s="39"/>
      <c r="B40" s="806" t="s">
        <v>179</v>
      </c>
      <c r="C40" s="115" t="s">
        <v>64</v>
      </c>
      <c r="D40" s="767" t="s">
        <v>119</v>
      </c>
      <c r="E40" s="769"/>
      <c r="F40" s="107" t="s">
        <v>64</v>
      </c>
      <c r="G40" s="107" t="s">
        <v>64</v>
      </c>
      <c r="H40" s="107" t="s">
        <v>64</v>
      </c>
      <c r="I40" s="107" t="s">
        <v>64</v>
      </c>
      <c r="J40" s="107" t="s">
        <v>64</v>
      </c>
      <c r="K40" s="164" t="s">
        <v>64</v>
      </c>
      <c r="L40" s="164" t="s">
        <v>64</v>
      </c>
      <c r="M40" s="164" t="s">
        <v>64</v>
      </c>
      <c r="N40" s="107" t="s">
        <v>64</v>
      </c>
      <c r="O40" s="750"/>
      <c r="P40" s="750"/>
      <c r="Q40" s="750"/>
      <c r="R40" s="754"/>
      <c r="S40" s="749"/>
      <c r="T40" s="750"/>
      <c r="U40" s="750"/>
      <c r="V40" s="754"/>
      <c r="W40" s="119"/>
      <c r="X40" s="119"/>
      <c r="Y40" s="743"/>
      <c r="Z40" s="743"/>
      <c r="AA40" s="743"/>
      <c r="AB40" s="743"/>
      <c r="AC40" s="743"/>
      <c r="AD40" s="743"/>
      <c r="AE40" s="743"/>
      <c r="AF40" s="743"/>
      <c r="AG40" s="743"/>
      <c r="AH40" s="743"/>
      <c r="BC40" s="155" t="str">
        <f t="shared" si="43"/>
        <v>-</v>
      </c>
    </row>
    <row r="41" spans="1:73" s="50" customFormat="1" ht="15" customHeight="1" outlineLevel="1" x14ac:dyDescent="0.25">
      <c r="A41" s="53"/>
      <c r="B41" s="807"/>
      <c r="C41" s="770" t="s">
        <v>114</v>
      </c>
      <c r="D41" s="770" t="s">
        <v>113</v>
      </c>
      <c r="E41" s="106" t="s">
        <v>94</v>
      </c>
      <c r="F41" s="105" t="s">
        <v>5</v>
      </c>
      <c r="G41" s="105" t="s">
        <v>5</v>
      </c>
      <c r="H41" s="105" t="s">
        <v>5</v>
      </c>
      <c r="I41" s="105" t="s">
        <v>5</v>
      </c>
      <c r="J41" s="105" t="s">
        <v>5</v>
      </c>
      <c r="K41" s="173" t="s">
        <v>5</v>
      </c>
      <c r="L41" s="173" t="s">
        <v>5</v>
      </c>
      <c r="M41" s="173" t="s">
        <v>5</v>
      </c>
      <c r="N41" s="105" t="s">
        <v>5</v>
      </c>
      <c r="O41" s="750"/>
      <c r="P41" s="750"/>
      <c r="Q41" s="750"/>
      <c r="R41" s="754"/>
      <c r="S41" s="749"/>
      <c r="T41" s="750"/>
      <c r="U41" s="750"/>
      <c r="V41" s="754"/>
      <c r="W41" s="51"/>
      <c r="X41" s="51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BC41" s="155" t="str">
        <f t="shared" si="43"/>
        <v>-</v>
      </c>
      <c r="BD41" s="150"/>
      <c r="BE41" s="150"/>
      <c r="BF41" s="150"/>
      <c r="BG41" s="150"/>
      <c r="BH41" s="150"/>
      <c r="BI41" s="150"/>
      <c r="BJ41" s="150"/>
      <c r="BK41" s="150"/>
      <c r="BL41" s="150"/>
      <c r="BM41" s="150"/>
      <c r="BN41" s="150"/>
      <c r="BO41" s="150"/>
      <c r="BP41" s="150"/>
      <c r="BQ41" s="150"/>
      <c r="BR41" s="150"/>
      <c r="BS41" s="150"/>
      <c r="BT41" s="150"/>
      <c r="BU41" s="150"/>
    </row>
    <row r="42" spans="1:73" ht="15" customHeight="1" outlineLevel="1" thickBot="1" x14ac:dyDescent="0.3">
      <c r="A42" s="39"/>
      <c r="B42" s="807"/>
      <c r="C42" s="742"/>
      <c r="D42" s="742"/>
      <c r="E42" s="104" t="s">
        <v>95</v>
      </c>
      <c r="F42" s="103" t="s">
        <v>5</v>
      </c>
      <c r="G42" s="103" t="s">
        <v>5</v>
      </c>
      <c r="H42" s="103" t="s">
        <v>5</v>
      </c>
      <c r="I42" s="103" t="s">
        <v>5</v>
      </c>
      <c r="J42" s="103" t="s">
        <v>5</v>
      </c>
      <c r="K42" s="174" t="s">
        <v>5</v>
      </c>
      <c r="L42" s="174" t="s">
        <v>5</v>
      </c>
      <c r="M42" s="174" t="s">
        <v>5</v>
      </c>
      <c r="N42" s="103" t="s">
        <v>5</v>
      </c>
      <c r="O42" s="750"/>
      <c r="P42" s="750"/>
      <c r="Q42" s="750"/>
      <c r="R42" s="754"/>
      <c r="S42" s="749"/>
      <c r="T42" s="750"/>
      <c r="U42" s="750"/>
      <c r="V42" s="754"/>
      <c r="W42" s="119"/>
      <c r="X42" s="119"/>
      <c r="Y42" s="743"/>
      <c r="Z42" s="743"/>
      <c r="AA42" s="743"/>
      <c r="AB42" s="743"/>
      <c r="AC42" s="743"/>
      <c r="AD42" s="743"/>
      <c r="AE42" s="743"/>
      <c r="AF42" s="743"/>
      <c r="AG42" s="743"/>
      <c r="AH42" s="743"/>
      <c r="BC42" s="155" t="str">
        <f t="shared" si="43"/>
        <v>-</v>
      </c>
    </row>
    <row r="43" spans="1:73" ht="15" customHeight="1" outlineLevel="1" thickBot="1" x14ac:dyDescent="0.3">
      <c r="A43" s="39"/>
      <c r="B43" s="807"/>
      <c r="C43" s="854" t="s">
        <v>64</v>
      </c>
      <c r="D43" s="772" t="str">
        <f>IF(AND(F44="-",G44="-",H44="-",I44="-",J44="-",K44="-",K44="-",L44="-"),"-",MAX(F44,G44,H44,I44,J44,K44,L44,M44))</f>
        <v>-</v>
      </c>
      <c r="E43" s="66" t="s">
        <v>177</v>
      </c>
      <c r="F43" s="65" t="str">
        <f>IF(OR(F42="-",F42=""),IF(OR(F41="-",F41=""),"-",F41),IF(OR(F41="-",F41=""),F42,(F41+F42)/2))</f>
        <v>-</v>
      </c>
      <c r="G43" s="65" t="str">
        <f t="shared" ref="G43:N43" si="45">IF(OR(G42="-",G42=""),IF(OR(G41="-",G41=""),"-",G41),IF(OR(G41="-",G41=""),G42,(G41+G42)/2))</f>
        <v>-</v>
      </c>
      <c r="H43" s="65" t="str">
        <f t="shared" si="45"/>
        <v>-</v>
      </c>
      <c r="I43" s="65" t="str">
        <f t="shared" si="45"/>
        <v>-</v>
      </c>
      <c r="J43" s="65" t="str">
        <f t="shared" si="45"/>
        <v>-</v>
      </c>
      <c r="K43" s="167" t="str">
        <f t="shared" si="45"/>
        <v>-</v>
      </c>
      <c r="L43" s="167" t="str">
        <f t="shared" ref="L43:M43" si="46">IF(OR(L42="-",L42=""),IF(OR(L41="-",L41=""),"-",L41),IF(OR(L41="-",L41=""),L42,(L41+L42)/2))</f>
        <v>-</v>
      </c>
      <c r="M43" s="167" t="str">
        <f t="shared" si="46"/>
        <v>-</v>
      </c>
      <c r="N43" s="65" t="str">
        <f t="shared" si="45"/>
        <v>-</v>
      </c>
      <c r="O43" s="750"/>
      <c r="P43" s="750"/>
      <c r="Q43" s="750"/>
      <c r="R43" s="754"/>
      <c r="S43" s="749"/>
      <c r="T43" s="750"/>
      <c r="U43" s="750"/>
      <c r="V43" s="754"/>
      <c r="W43" s="119"/>
      <c r="X43" s="119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BC43" s="155" t="str">
        <f t="shared" si="43"/>
        <v>-</v>
      </c>
    </row>
    <row r="44" spans="1:73" ht="15" customHeight="1" outlineLevel="1" thickBot="1" x14ac:dyDescent="0.3">
      <c r="A44" s="39"/>
      <c r="B44" s="807"/>
      <c r="C44" s="855"/>
      <c r="D44" s="773"/>
      <c r="E44" s="64" t="s">
        <v>97</v>
      </c>
      <c r="F44" s="63" t="str">
        <f t="shared" ref="F44:N44" si="47">IF(AND(OR($C43="-",$C43="CET",$C43=""),OR(F40="-",F40="CET",F40="")),"-",IF(AND(NOT(F43="-"),NOT(F$5="-"),NOT(F$5="")),F43/F$5,"-"))</f>
        <v>-</v>
      </c>
      <c r="G44" s="63" t="str">
        <f t="shared" si="47"/>
        <v>-</v>
      </c>
      <c r="H44" s="63" t="str">
        <f t="shared" si="47"/>
        <v>-</v>
      </c>
      <c r="I44" s="63" t="str">
        <f t="shared" si="47"/>
        <v>-</v>
      </c>
      <c r="J44" s="63" t="str">
        <f t="shared" si="47"/>
        <v>-</v>
      </c>
      <c r="K44" s="168" t="str">
        <f t="shared" si="47"/>
        <v>-</v>
      </c>
      <c r="L44" s="168" t="str">
        <f t="shared" si="47"/>
        <v>-</v>
      </c>
      <c r="M44" s="168" t="str">
        <f t="shared" si="47"/>
        <v>-</v>
      </c>
      <c r="N44" s="63" t="str">
        <f t="shared" si="47"/>
        <v>-</v>
      </c>
      <c r="O44" s="750"/>
      <c r="P44" s="750"/>
      <c r="Q44" s="750"/>
      <c r="R44" s="754"/>
      <c r="S44" s="749"/>
      <c r="T44" s="750"/>
      <c r="U44" s="750"/>
      <c r="V44" s="754"/>
      <c r="W44" s="119"/>
      <c r="X44" s="119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BC44" s="155" t="str">
        <f t="shared" si="43"/>
        <v>-</v>
      </c>
      <c r="BD44" s="151" t="s">
        <v>85</v>
      </c>
      <c r="BE44" s="152" t="str">
        <f>F$4</f>
        <v>NMHC 
[g/km]</v>
      </c>
      <c r="BF44" s="152" t="str">
        <f t="shared" ref="BF44:BL44" si="48">G$4</f>
        <v>THC
[g/km]</v>
      </c>
      <c r="BG44" s="152" t="str">
        <f t="shared" si="48"/>
        <v>CO
[g/km]</v>
      </c>
      <c r="BH44" s="152" t="str">
        <f t="shared" si="48"/>
        <v>NOx
[g/km]</v>
      </c>
      <c r="BI44" s="152" t="str">
        <f t="shared" si="48"/>
        <v>PM
[mg/km]</v>
      </c>
      <c r="BJ44" s="152" t="str">
        <f t="shared" si="48"/>
        <v>PN
[#/km]</v>
      </c>
      <c r="BK44" s="152" t="str">
        <f t="shared" si="48"/>
        <v>Additional
component</v>
      </c>
      <c r="BL44" s="152" t="str">
        <f t="shared" si="48"/>
        <v>Additional
component 2</v>
      </c>
    </row>
    <row r="45" spans="1:73" ht="15" customHeight="1" outlineLevel="1" thickBot="1" x14ac:dyDescent="0.3">
      <c r="A45" s="39"/>
      <c r="B45" s="853"/>
      <c r="C45" s="856"/>
      <c r="D45" s="774"/>
      <c r="E45" s="62" t="s">
        <v>30</v>
      </c>
      <c r="F45" s="62" t="str">
        <f>IF(AND(OR(F41="-",F41=""),OR(F42="-",F42="")),"-",IF(AND(OR(F40="CET",F40="-",F40=""),OR($C43="CET",$C43="-",$C43="")),"-",IF($R$36="not listed","-",IF(AND(NOT(F$5="-"),NOT(F$5="")),IF(AND(AND(NOT(F41=0),NOT(F41="-"),NOT(F41="")),AND(NOT(F42="-"),NOT(F42=0),NOT(F42=""))),IF(AND((F41+F42)/2&lt;1*F$5*IF(OR(F40="CET",F40="-",F40=""),IF(OR($C43="CET",$C43="-",$C43=""),"-",$C43),F40),F41&lt;1.1*F$5*IF(OR(F40="CET",F40="-",F40=""),IF(OR($C43="CET",$C43="-",$C43=""),"-",$C43),F40),F42&lt;1.1*F$5*IF(OR(F40="CET",F40="-",F40=""),IF($C43="CET","-",$C43),F40)),"passed","refused"),IF(IF(OR(F41="-",F41=""),F42,F41)&lt;0.7*F$5*IF(OR(F40="CET",F40="-",F40=""),IF($C43="CET","-",$C43),F40),"passed",IF(IF(OR(F41="-",F41=""),F42,F41)&lt;1.1*IF(OR(F40="CET",F40="-",F40=""),IF($C43="CET","-",$C43),F40)*F$5,"failed","refused"))),"-"))))</f>
        <v>-</v>
      </c>
      <c r="G45" s="62" t="str">
        <f t="shared" ref="G45:N45" si="49">IF(AND(OR(G41="-",G41=""),OR(G42="-",G42="")),"-",IF(AND(OR(G40="CET",G40="-",G40=""),OR($C43="CET",$C43="-",$C43="")),"-",IF($R$8="not listed","-",IF(AND(NOT(G$5="-"),NOT(G$5="")),IF(AND(AND(NOT(G41=0),NOT(G41="-"),NOT(G41="")),AND(NOT(G42="-"),NOT(G42=0),NOT(G42=""))),IF(AND((G41+G42)/2&lt;1*G$5*IF(OR(G40="CET",G40="-",G40=""),IF(OR($C43="CET",$C43="-",$C43=""),"-",$C43),G40),G41&lt;1.1*G$5*IF(OR(G40="CET",G40="-",G40=""),IF(OR($C43="CET",$C43="-",$C43=""),"-",$C43),G40),G42&lt;1.1*G$5*IF(OR(G40="CET",G40="-",G40=""),IF($C43="CET","-",$C43),G40)),"passed","refused"),IF(IF(OR(G41="-",G41=""),G42,G41)&lt;0.7*G$5*IF(OR(G40="CET",G40="-",G40=""),IF($C43="CET","-",$C43),G40),"passed",IF(IF(OR(G41="-",G41=""),G42,G41)&lt;1.1*IF(OR(G40="CET",G40="-",G40=""),IF($C43="CET","-",$C43),G40)*G$5,"failed","refused"))),"-"))))</f>
        <v>-</v>
      </c>
      <c r="H45" s="62" t="str">
        <f t="shared" si="49"/>
        <v>-</v>
      </c>
      <c r="I45" s="62" t="str">
        <f t="shared" si="49"/>
        <v>-</v>
      </c>
      <c r="J45" s="62" t="str">
        <f t="shared" si="49"/>
        <v>-</v>
      </c>
      <c r="K45" s="169" t="str">
        <f t="shared" si="49"/>
        <v>-</v>
      </c>
      <c r="L45" s="169" t="str">
        <f t="shared" si="49"/>
        <v>-</v>
      </c>
      <c r="M45" s="169" t="str">
        <f t="shared" si="49"/>
        <v>-</v>
      </c>
      <c r="N45" s="62" t="str">
        <f t="shared" si="49"/>
        <v>-</v>
      </c>
      <c r="O45" s="750"/>
      <c r="P45" s="750"/>
      <c r="Q45" s="750"/>
      <c r="R45" s="754"/>
      <c r="S45" s="749"/>
      <c r="T45" s="750"/>
      <c r="U45" s="750"/>
      <c r="V45" s="754"/>
      <c r="W45" s="119"/>
      <c r="X45" s="119"/>
      <c r="Y45" s="743"/>
      <c r="Z45" s="743"/>
      <c r="AA45" s="743"/>
      <c r="AB45" s="743"/>
      <c r="AC45" s="743"/>
      <c r="AD45" s="743"/>
      <c r="AE45" s="743"/>
      <c r="AF45" s="743"/>
      <c r="AG45" s="743"/>
      <c r="AH45" s="743"/>
      <c r="BC45" s="155" t="str">
        <f t="shared" si="43"/>
        <v>-</v>
      </c>
      <c r="BD45" s="151" t="str">
        <f>$E$4</f>
        <v>Euro 6d</v>
      </c>
      <c r="BE45" s="153">
        <v>1</v>
      </c>
      <c r="BF45" s="153">
        <v>1</v>
      </c>
      <c r="BG45" s="153">
        <v>1</v>
      </c>
      <c r="BH45" s="153">
        <v>1</v>
      </c>
      <c r="BI45" s="153">
        <v>1</v>
      </c>
      <c r="BJ45" s="153">
        <v>1</v>
      </c>
      <c r="BK45" s="153">
        <v>1</v>
      </c>
      <c r="BL45" s="153">
        <v>1</v>
      </c>
    </row>
    <row r="46" spans="1:73" ht="15" customHeight="1" outlineLevel="1" x14ac:dyDescent="0.25">
      <c r="A46" s="39"/>
      <c r="B46" s="122"/>
      <c r="C46" s="123"/>
      <c r="D46" s="123"/>
      <c r="E46" s="123"/>
      <c r="F46" s="124"/>
      <c r="G46" s="124"/>
      <c r="H46" s="124"/>
      <c r="I46" s="124"/>
      <c r="J46" s="124"/>
      <c r="K46" s="180"/>
      <c r="L46" s="180"/>
      <c r="M46" s="180"/>
      <c r="N46" s="125"/>
      <c r="O46" s="750"/>
      <c r="P46" s="750"/>
      <c r="Q46" s="750"/>
      <c r="R46" s="754"/>
      <c r="S46" s="749"/>
      <c r="T46" s="750"/>
      <c r="U46" s="750"/>
      <c r="V46" s="754"/>
      <c r="W46" s="119"/>
      <c r="X46" s="119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BC46" s="155" t="str">
        <f t="shared" si="43"/>
        <v>-</v>
      </c>
      <c r="BD46" s="151" t="str">
        <f>"1st " &amp;  B40</f>
        <v>1st WLTC 14°C</v>
      </c>
      <c r="BE46" s="153" t="str">
        <f t="shared" ref="BE46:BL46" si="50">IF((OR($C43="-",$C43="CET",$C43="")),"-",IF(AND(OR(F41="-",F41=""),OR(F42="-",F42="")),"-",IF(NOT(OR(F41="-",F41="")),F41/F$5,F42/F$5)))</f>
        <v>-</v>
      </c>
      <c r="BF46" s="153" t="str">
        <f t="shared" si="50"/>
        <v>-</v>
      </c>
      <c r="BG46" s="153" t="str">
        <f t="shared" si="50"/>
        <v>-</v>
      </c>
      <c r="BH46" s="153" t="str">
        <f t="shared" si="50"/>
        <v>-</v>
      </c>
      <c r="BI46" s="153" t="str">
        <f t="shared" si="50"/>
        <v>-</v>
      </c>
      <c r="BJ46" s="153" t="str">
        <f t="shared" si="50"/>
        <v>-</v>
      </c>
      <c r="BK46" s="153" t="str">
        <f t="shared" si="50"/>
        <v>-</v>
      </c>
      <c r="BL46" s="153" t="str">
        <f t="shared" si="50"/>
        <v>-</v>
      </c>
    </row>
    <row r="47" spans="1:73" ht="15" customHeight="1" outlineLevel="1" x14ac:dyDescent="0.25">
      <c r="A47" s="39"/>
      <c r="B47" s="122"/>
      <c r="C47" s="73"/>
      <c r="D47" s="73"/>
      <c r="E47" s="126"/>
      <c r="F47" s="127"/>
      <c r="G47" s="127"/>
      <c r="H47" s="127"/>
      <c r="I47" s="127"/>
      <c r="J47" s="127"/>
      <c r="K47" s="181"/>
      <c r="L47" s="181"/>
      <c r="M47" s="181"/>
      <c r="N47" s="128"/>
      <c r="O47" s="750"/>
      <c r="P47" s="750"/>
      <c r="Q47" s="750"/>
      <c r="R47" s="754"/>
      <c r="S47" s="749"/>
      <c r="T47" s="750"/>
      <c r="U47" s="750"/>
      <c r="V47" s="754"/>
      <c r="W47" s="119"/>
      <c r="X47" s="119"/>
      <c r="Y47" s="743"/>
      <c r="Z47" s="743"/>
      <c r="AA47" s="743"/>
      <c r="AB47" s="743"/>
      <c r="AC47" s="743"/>
      <c r="AD47" s="743"/>
      <c r="AE47" s="743"/>
      <c r="AF47" s="743"/>
      <c r="AG47" s="743"/>
      <c r="AH47" s="743"/>
      <c r="BC47" s="155" t="str">
        <f t="shared" si="43"/>
        <v>-</v>
      </c>
      <c r="BD47" s="151"/>
      <c r="BE47" s="153"/>
      <c r="BF47" s="153"/>
      <c r="BG47" s="153"/>
      <c r="BH47" s="153"/>
      <c r="BI47" s="153"/>
      <c r="BJ47" s="153"/>
      <c r="BK47" s="153"/>
      <c r="BL47" s="153"/>
    </row>
    <row r="48" spans="1:73" ht="15" customHeight="1" outlineLevel="1" x14ac:dyDescent="0.25">
      <c r="A48" s="39"/>
      <c r="B48" s="122"/>
      <c r="C48" s="73"/>
      <c r="D48" s="73"/>
      <c r="E48" s="126"/>
      <c r="F48" s="127"/>
      <c r="G48" s="127"/>
      <c r="H48" s="127"/>
      <c r="I48" s="127"/>
      <c r="J48" s="127"/>
      <c r="K48" s="181"/>
      <c r="L48" s="181"/>
      <c r="M48" s="181"/>
      <c r="N48" s="128"/>
      <c r="O48" s="750"/>
      <c r="P48" s="750"/>
      <c r="Q48" s="750"/>
      <c r="R48" s="754"/>
      <c r="S48" s="749"/>
      <c r="T48" s="750"/>
      <c r="U48" s="750"/>
      <c r="V48" s="754"/>
      <c r="W48" s="119"/>
      <c r="X48" s="119"/>
      <c r="Y48" s="743"/>
      <c r="Z48" s="743"/>
      <c r="AA48" s="743"/>
      <c r="AB48" s="743"/>
      <c r="AC48" s="743"/>
      <c r="AD48" s="743"/>
      <c r="AE48" s="743"/>
      <c r="AF48" s="743"/>
      <c r="AG48" s="743"/>
      <c r="AH48" s="743"/>
      <c r="BC48" s="155" t="str">
        <f t="shared" si="43"/>
        <v>-</v>
      </c>
      <c r="BD48" s="151"/>
      <c r="BE48" s="153"/>
      <c r="BF48" s="153"/>
      <c r="BG48" s="153"/>
      <c r="BH48" s="153"/>
      <c r="BI48" s="153"/>
      <c r="BJ48" s="153"/>
      <c r="BK48" s="153"/>
      <c r="BL48" s="153"/>
    </row>
    <row r="49" spans="1:64" ht="15" customHeight="1" outlineLevel="1" x14ac:dyDescent="0.25">
      <c r="A49" s="40"/>
      <c r="B49" s="122"/>
      <c r="C49" s="129"/>
      <c r="D49" s="58"/>
      <c r="E49" s="73"/>
      <c r="F49" s="73"/>
      <c r="G49" s="73"/>
      <c r="H49" s="73"/>
      <c r="I49" s="73"/>
      <c r="J49" s="73"/>
      <c r="K49" s="177"/>
      <c r="L49" s="177"/>
      <c r="M49" s="177"/>
      <c r="N49" s="87"/>
      <c r="O49" s="750"/>
      <c r="P49" s="750"/>
      <c r="Q49" s="750"/>
      <c r="R49" s="754"/>
      <c r="S49" s="749"/>
      <c r="T49" s="750"/>
      <c r="U49" s="750"/>
      <c r="V49" s="754"/>
      <c r="W49" s="119"/>
      <c r="X49" s="119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BC49" s="155" t="str">
        <f t="shared" si="43"/>
        <v>-</v>
      </c>
      <c r="BD49" s="151"/>
      <c r="BE49" s="153"/>
      <c r="BF49" s="153"/>
      <c r="BG49" s="153"/>
      <c r="BH49" s="153"/>
      <c r="BI49" s="153"/>
      <c r="BJ49" s="153"/>
      <c r="BK49" s="153"/>
      <c r="BL49" s="153"/>
    </row>
    <row r="50" spans="1:64" ht="15" customHeight="1" outlineLevel="1" x14ac:dyDescent="0.25">
      <c r="A50" s="40"/>
      <c r="B50" s="122"/>
      <c r="C50" s="129"/>
      <c r="D50" s="58"/>
      <c r="E50" s="77"/>
      <c r="F50" s="85"/>
      <c r="G50" s="85"/>
      <c r="H50" s="85"/>
      <c r="I50" s="85"/>
      <c r="J50" s="85"/>
      <c r="K50" s="177"/>
      <c r="L50" s="177"/>
      <c r="M50" s="177"/>
      <c r="N50" s="84"/>
      <c r="O50" s="750"/>
      <c r="P50" s="750"/>
      <c r="Q50" s="750"/>
      <c r="R50" s="754"/>
      <c r="S50" s="749"/>
      <c r="T50" s="750"/>
      <c r="U50" s="750"/>
      <c r="V50" s="754"/>
      <c r="W50" s="119"/>
      <c r="X50" s="119"/>
      <c r="Y50" s="743"/>
      <c r="Z50" s="743"/>
      <c r="AA50" s="743"/>
      <c r="AB50" s="743"/>
      <c r="AC50" s="743"/>
      <c r="AD50" s="743"/>
      <c r="AE50" s="743"/>
      <c r="AF50" s="743"/>
      <c r="AG50" s="743"/>
      <c r="AH50" s="743"/>
      <c r="BC50" s="155" t="str">
        <f t="shared" si="43"/>
        <v>-</v>
      </c>
      <c r="BD50" s="151" t="str">
        <f>"0.7*IEF " &amp; (B40)</f>
        <v>0.7*IEF WLTC 14°C</v>
      </c>
      <c r="BE50" s="153" t="str">
        <f t="shared" ref="BE50:BL50" si="51">IF(AND(OR($C43="-",$C43="CET",$C43=""),OR(F40="-",F40="CET",F40="")),"-",0.7*IF(OR(F40="CET",F40="-",F40=""),IF(OR($C43="CET",$C43="-",$C43=""),"-",$C43),F40))</f>
        <v>-</v>
      </c>
      <c r="BF50" s="153" t="str">
        <f t="shared" si="51"/>
        <v>-</v>
      </c>
      <c r="BG50" s="153" t="str">
        <f t="shared" si="51"/>
        <v>-</v>
      </c>
      <c r="BH50" s="153" t="str">
        <f t="shared" si="51"/>
        <v>-</v>
      </c>
      <c r="BI50" s="153" t="str">
        <f t="shared" si="51"/>
        <v>-</v>
      </c>
      <c r="BJ50" s="153" t="str">
        <f t="shared" si="51"/>
        <v>-</v>
      </c>
      <c r="BK50" s="153" t="str">
        <f t="shared" si="51"/>
        <v>-</v>
      </c>
      <c r="BL50" s="153" t="str">
        <f t="shared" si="51"/>
        <v>-</v>
      </c>
    </row>
    <row r="51" spans="1:64" ht="15" customHeight="1" outlineLevel="1" x14ac:dyDescent="0.25">
      <c r="A51" s="40"/>
      <c r="B51" s="122"/>
      <c r="C51" s="129"/>
      <c r="D51" s="58"/>
      <c r="E51" s="77"/>
      <c r="F51" s="77"/>
      <c r="G51" s="77"/>
      <c r="H51" s="77"/>
      <c r="I51" s="77"/>
      <c r="J51" s="77"/>
      <c r="K51" s="177"/>
      <c r="L51" s="177"/>
      <c r="M51" s="177"/>
      <c r="N51" s="88"/>
      <c r="O51" s="750"/>
      <c r="P51" s="750"/>
      <c r="Q51" s="750"/>
      <c r="R51" s="754"/>
      <c r="S51" s="749"/>
      <c r="T51" s="750"/>
      <c r="U51" s="750"/>
      <c r="V51" s="754"/>
      <c r="W51" s="119"/>
      <c r="X51" s="119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BC51" s="155" t="str">
        <f t="shared" si="43"/>
        <v>-</v>
      </c>
      <c r="BD51" s="151"/>
      <c r="BE51" s="153"/>
      <c r="BF51" s="153"/>
      <c r="BG51" s="153"/>
      <c r="BH51" s="153"/>
      <c r="BI51" s="153"/>
      <c r="BJ51" s="153"/>
      <c r="BK51" s="153"/>
      <c r="BL51" s="153"/>
    </row>
    <row r="52" spans="1:64" ht="15" customHeight="1" outlineLevel="1" x14ac:dyDescent="0.25">
      <c r="A52" s="40"/>
      <c r="B52" s="112"/>
      <c r="C52" s="75"/>
      <c r="D52" s="116"/>
      <c r="E52" s="116"/>
      <c r="F52" s="56"/>
      <c r="G52" s="56"/>
      <c r="H52" s="56"/>
      <c r="I52" s="56"/>
      <c r="J52" s="56"/>
      <c r="K52" s="171"/>
      <c r="L52" s="171"/>
      <c r="M52" s="171"/>
      <c r="N52" s="55"/>
      <c r="O52" s="750"/>
      <c r="P52" s="750"/>
      <c r="Q52" s="750"/>
      <c r="R52" s="754"/>
      <c r="S52" s="749"/>
      <c r="T52" s="750"/>
      <c r="U52" s="750"/>
      <c r="V52" s="754"/>
      <c r="W52" s="119"/>
      <c r="X52" s="119"/>
      <c r="Y52" s="743"/>
      <c r="Z52" s="743"/>
      <c r="AA52" s="743"/>
      <c r="AB52" s="743"/>
      <c r="AC52" s="743"/>
      <c r="AD52" s="743"/>
      <c r="AE52" s="743"/>
      <c r="AF52" s="743"/>
      <c r="AG52" s="743"/>
      <c r="AH52" s="743"/>
      <c r="BC52" s="155" t="str">
        <f t="shared" si="43"/>
        <v>-</v>
      </c>
      <c r="BD52" s="151"/>
      <c r="BE52" s="153"/>
      <c r="BF52" s="153"/>
      <c r="BG52" s="153"/>
      <c r="BH52" s="153"/>
      <c r="BI52" s="153"/>
      <c r="BJ52" s="153"/>
      <c r="BK52" s="153"/>
      <c r="BL52" s="153"/>
    </row>
    <row r="53" spans="1:64" ht="15" customHeight="1" outlineLevel="1" x14ac:dyDescent="0.25">
      <c r="A53" s="40"/>
      <c r="B53" s="112"/>
      <c r="C53" s="75"/>
      <c r="D53" s="116"/>
      <c r="E53" s="116"/>
      <c r="F53" s="56"/>
      <c r="G53" s="56"/>
      <c r="H53" s="56"/>
      <c r="I53" s="56"/>
      <c r="J53" s="56"/>
      <c r="K53" s="171"/>
      <c r="L53" s="171"/>
      <c r="M53" s="171"/>
      <c r="N53" s="55"/>
      <c r="O53" s="750"/>
      <c r="P53" s="750"/>
      <c r="Q53" s="750"/>
      <c r="R53" s="754"/>
      <c r="S53" s="749"/>
      <c r="T53" s="750"/>
      <c r="U53" s="750"/>
      <c r="V53" s="754"/>
      <c r="W53" s="119"/>
      <c r="X53" s="119"/>
      <c r="Y53" s="743"/>
      <c r="Z53" s="743"/>
      <c r="AA53" s="743"/>
      <c r="AB53" s="743"/>
      <c r="AC53" s="743"/>
      <c r="AD53" s="743"/>
      <c r="AE53" s="743"/>
      <c r="AF53" s="743"/>
      <c r="AG53" s="743"/>
      <c r="AH53" s="743"/>
      <c r="BC53" s="155" t="str">
        <f t="shared" si="43"/>
        <v>-</v>
      </c>
      <c r="BD53" s="151"/>
      <c r="BE53" s="153"/>
      <c r="BF53" s="153"/>
      <c r="BG53" s="153"/>
      <c r="BH53" s="153"/>
      <c r="BI53" s="153"/>
      <c r="BJ53" s="153"/>
      <c r="BK53" s="153"/>
      <c r="BL53" s="153"/>
    </row>
    <row r="54" spans="1:64" ht="15" customHeight="1" outlineLevel="1" x14ac:dyDescent="0.25">
      <c r="A54" s="40"/>
      <c r="B54" s="112"/>
      <c r="C54" s="75"/>
      <c r="D54" s="116"/>
      <c r="E54" s="116"/>
      <c r="F54" s="116"/>
      <c r="G54" s="116"/>
      <c r="H54" s="116"/>
      <c r="I54" s="116"/>
      <c r="J54" s="116"/>
      <c r="K54" s="171"/>
      <c r="L54" s="171"/>
      <c r="M54" s="171"/>
      <c r="N54" s="59"/>
      <c r="O54" s="750"/>
      <c r="P54" s="750"/>
      <c r="Q54" s="750"/>
      <c r="R54" s="754"/>
      <c r="S54" s="749"/>
      <c r="T54" s="750"/>
      <c r="U54" s="750"/>
      <c r="V54" s="754"/>
      <c r="W54" s="119"/>
      <c r="X54" s="119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BC54" s="155" t="str">
        <f t="shared" si="43"/>
        <v>-</v>
      </c>
      <c r="BD54" s="151" t="str">
        <f>B40</f>
        <v>WLTC 14°C</v>
      </c>
      <c r="BE54" s="153" t="str">
        <f>F44</f>
        <v>-</v>
      </c>
      <c r="BF54" s="153" t="str">
        <f t="shared" ref="BF54:BL54" si="52">G44</f>
        <v>-</v>
      </c>
      <c r="BG54" s="153" t="str">
        <f t="shared" si="52"/>
        <v>-</v>
      </c>
      <c r="BH54" s="153" t="str">
        <f t="shared" si="52"/>
        <v>-</v>
      </c>
      <c r="BI54" s="153" t="str">
        <f t="shared" si="52"/>
        <v>-</v>
      </c>
      <c r="BJ54" s="153" t="str">
        <f t="shared" si="52"/>
        <v>-</v>
      </c>
      <c r="BK54" s="153" t="str">
        <f t="shared" si="52"/>
        <v>-</v>
      </c>
      <c r="BL54" s="153" t="str">
        <f t="shared" si="52"/>
        <v>-</v>
      </c>
    </row>
    <row r="55" spans="1:64" ht="15" customHeight="1" outlineLevel="1" x14ac:dyDescent="0.25">
      <c r="A55" s="40"/>
      <c r="B55" s="112"/>
      <c r="C55" s="75"/>
      <c r="D55" s="116"/>
      <c r="E55" s="116"/>
      <c r="F55" s="58"/>
      <c r="G55" s="58"/>
      <c r="H55" s="58"/>
      <c r="I55" s="58"/>
      <c r="J55" s="58"/>
      <c r="K55" s="171"/>
      <c r="L55" s="171"/>
      <c r="M55" s="171"/>
      <c r="N55" s="57"/>
      <c r="O55" s="750"/>
      <c r="P55" s="750"/>
      <c r="Q55" s="750"/>
      <c r="R55" s="754"/>
      <c r="S55" s="749"/>
      <c r="T55" s="750"/>
      <c r="U55" s="750"/>
      <c r="V55" s="754"/>
      <c r="W55" s="119"/>
      <c r="X55" s="119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BC55" s="155" t="str">
        <f t="shared" si="43"/>
        <v>-</v>
      </c>
      <c r="BD55" s="151"/>
      <c r="BE55" s="153"/>
      <c r="BF55" s="153"/>
      <c r="BG55" s="153"/>
      <c r="BH55" s="153"/>
      <c r="BI55" s="153"/>
      <c r="BJ55" s="153"/>
      <c r="BK55" s="153"/>
      <c r="BL55" s="153"/>
    </row>
    <row r="56" spans="1:64" ht="15" customHeight="1" outlineLevel="1" x14ac:dyDescent="0.25">
      <c r="A56" s="40"/>
      <c r="B56" s="112"/>
      <c r="C56" s="75"/>
      <c r="D56" s="116"/>
      <c r="E56" s="116"/>
      <c r="F56" s="58"/>
      <c r="G56" s="58"/>
      <c r="H56" s="58"/>
      <c r="I56" s="58"/>
      <c r="J56" s="58"/>
      <c r="K56" s="171"/>
      <c r="L56" s="171"/>
      <c r="M56" s="171"/>
      <c r="N56" s="57"/>
      <c r="O56" s="750"/>
      <c r="P56" s="750"/>
      <c r="Q56" s="750"/>
      <c r="R56" s="754"/>
      <c r="S56" s="749"/>
      <c r="T56" s="750"/>
      <c r="U56" s="750"/>
      <c r="V56" s="754"/>
      <c r="W56" s="119"/>
      <c r="X56" s="119"/>
      <c r="Y56" s="743"/>
      <c r="Z56" s="743"/>
      <c r="AA56" s="743"/>
      <c r="AB56" s="743"/>
      <c r="AC56" s="743"/>
      <c r="AD56" s="743"/>
      <c r="AE56" s="743"/>
      <c r="AF56" s="743"/>
      <c r="AG56" s="743"/>
      <c r="AH56" s="743"/>
      <c r="BC56" s="155" t="str">
        <f t="shared" si="43"/>
        <v>-</v>
      </c>
      <c r="BD56" s="151"/>
      <c r="BE56" s="153"/>
      <c r="BF56" s="153"/>
      <c r="BG56" s="153"/>
      <c r="BH56" s="153"/>
      <c r="BI56" s="153"/>
      <c r="BJ56" s="153"/>
      <c r="BK56" s="153"/>
      <c r="BL56" s="153"/>
    </row>
    <row r="57" spans="1:64" ht="15" customHeight="1" outlineLevel="1" x14ac:dyDescent="0.25">
      <c r="A57" s="40"/>
      <c r="B57" s="112"/>
      <c r="C57" s="75"/>
      <c r="D57" s="116"/>
      <c r="E57" s="116"/>
      <c r="F57" s="56"/>
      <c r="G57" s="56"/>
      <c r="H57" s="56"/>
      <c r="I57" s="56"/>
      <c r="J57" s="56"/>
      <c r="K57" s="171"/>
      <c r="L57" s="171"/>
      <c r="M57" s="171"/>
      <c r="N57" s="55"/>
      <c r="O57" s="750"/>
      <c r="P57" s="750"/>
      <c r="Q57" s="750"/>
      <c r="R57" s="754"/>
      <c r="S57" s="749"/>
      <c r="T57" s="750"/>
      <c r="U57" s="750"/>
      <c r="V57" s="754"/>
      <c r="W57" s="119"/>
      <c r="X57" s="119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BC57" s="155" t="str">
        <f t="shared" si="43"/>
        <v>-</v>
      </c>
      <c r="BD57" s="151" t="str">
        <f>"IEF " &amp;B40</f>
        <v>IEF WLTC 14°C</v>
      </c>
      <c r="BE57" s="153" t="str">
        <f t="shared" ref="BE57:BL57" si="53">IF(AND(OR($C43="-",$C43="CET",$C43=""),OR(F40="-",F40="CET",F40="")),"-",IF(OR(F40="CET",F40="-",F40=""),IF(OR($C43="CET",$C43="-",$C43=""),"-",$C43),F40))</f>
        <v>-</v>
      </c>
      <c r="BF57" s="153" t="str">
        <f t="shared" si="53"/>
        <v>-</v>
      </c>
      <c r="BG57" s="153" t="str">
        <f t="shared" si="53"/>
        <v>-</v>
      </c>
      <c r="BH57" s="153" t="str">
        <f t="shared" si="53"/>
        <v>-</v>
      </c>
      <c r="BI57" s="153" t="str">
        <f t="shared" si="53"/>
        <v>-</v>
      </c>
      <c r="BJ57" s="153" t="str">
        <f t="shared" si="53"/>
        <v>-</v>
      </c>
      <c r="BK57" s="153" t="str">
        <f t="shared" si="53"/>
        <v>-</v>
      </c>
      <c r="BL57" s="153" t="str">
        <f t="shared" si="53"/>
        <v>-</v>
      </c>
    </row>
    <row r="58" spans="1:64" ht="15" customHeight="1" outlineLevel="1" x14ac:dyDescent="0.25">
      <c r="A58" s="40"/>
      <c r="B58" s="112"/>
      <c r="C58" s="75"/>
      <c r="D58" s="116"/>
      <c r="E58" s="116"/>
      <c r="F58" s="56"/>
      <c r="G58" s="56"/>
      <c r="H58" s="56"/>
      <c r="I58" s="56"/>
      <c r="J58" s="56"/>
      <c r="K58" s="171"/>
      <c r="L58" s="171"/>
      <c r="M58" s="171"/>
      <c r="N58" s="55"/>
      <c r="O58" s="750"/>
      <c r="P58" s="750"/>
      <c r="Q58" s="750"/>
      <c r="R58" s="754"/>
      <c r="S58" s="749"/>
      <c r="T58" s="750"/>
      <c r="U58" s="750"/>
      <c r="V58" s="754"/>
      <c r="W58" s="119"/>
      <c r="X58" s="119"/>
      <c r="Y58" s="743"/>
      <c r="Z58" s="743"/>
      <c r="AA58" s="743"/>
      <c r="AB58" s="743"/>
      <c r="AC58" s="743"/>
      <c r="AD58" s="743"/>
      <c r="AE58" s="743"/>
      <c r="AF58" s="743"/>
      <c r="AG58" s="743"/>
      <c r="AH58" s="743"/>
      <c r="BC58" s="155" t="str">
        <f t="shared" si="43"/>
        <v>-</v>
      </c>
      <c r="BD58" s="151"/>
      <c r="BE58" s="153"/>
      <c r="BF58" s="153"/>
      <c r="BG58" s="153"/>
      <c r="BH58" s="153"/>
      <c r="BI58" s="153"/>
      <c r="BJ58" s="153"/>
      <c r="BK58" s="153"/>
      <c r="BL58" s="153"/>
    </row>
    <row r="59" spans="1:64" ht="15.75" outlineLevel="1" thickBot="1" x14ac:dyDescent="0.3">
      <c r="B59" s="113"/>
      <c r="C59" s="82"/>
      <c r="D59" s="117"/>
      <c r="E59" s="117"/>
      <c r="F59" s="117"/>
      <c r="G59" s="117"/>
      <c r="H59" s="117"/>
      <c r="I59" s="117"/>
      <c r="J59" s="117"/>
      <c r="K59" s="172"/>
      <c r="L59" s="172"/>
      <c r="M59" s="172"/>
      <c r="N59" s="54"/>
      <c r="O59" s="752"/>
      <c r="P59" s="752"/>
      <c r="Q59" s="752"/>
      <c r="R59" s="755"/>
      <c r="S59" s="751"/>
      <c r="T59" s="752"/>
      <c r="U59" s="752"/>
      <c r="V59" s="755"/>
      <c r="BC59" s="155" t="str">
        <f t="shared" si="43"/>
        <v>-</v>
      </c>
      <c r="BD59" s="156"/>
      <c r="BE59" s="156"/>
      <c r="BF59" s="156"/>
      <c r="BG59" s="156"/>
      <c r="BH59" s="156"/>
      <c r="BI59" s="156"/>
      <c r="BJ59" s="156"/>
      <c r="BK59" s="156"/>
      <c r="BL59" s="156"/>
    </row>
    <row r="60" spans="1:64" ht="15" customHeight="1" x14ac:dyDescent="0.25">
      <c r="A60" s="39"/>
      <c r="B60" s="60"/>
      <c r="C60" s="60"/>
      <c r="D60" s="60"/>
      <c r="E60" s="60"/>
      <c r="F60" s="60"/>
      <c r="G60" s="60"/>
      <c r="H60" s="60"/>
      <c r="I60" s="60"/>
      <c r="J60" s="60"/>
      <c r="K60" s="175"/>
      <c r="L60" s="175"/>
      <c r="M60" s="175"/>
      <c r="N60" s="60"/>
      <c r="O60" s="60"/>
      <c r="P60" s="60"/>
      <c r="Q60" s="60"/>
      <c r="R60" s="60"/>
      <c r="S60" s="60"/>
      <c r="T60" s="60"/>
      <c r="U60" s="60"/>
      <c r="V60" s="60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BC60" s="155" t="str">
        <f t="shared" si="43"/>
        <v>-</v>
      </c>
      <c r="BD60" s="156"/>
      <c r="BE60" s="156"/>
      <c r="BF60" s="156"/>
      <c r="BG60" s="156"/>
      <c r="BH60" s="156"/>
      <c r="BI60" s="156"/>
      <c r="BJ60" s="156"/>
      <c r="BK60" s="156"/>
      <c r="BL60" s="156"/>
    </row>
    <row r="61" spans="1:64" ht="15" customHeight="1" x14ac:dyDescent="0.25">
      <c r="A61" s="39"/>
      <c r="B61" s="60"/>
      <c r="C61" s="60"/>
      <c r="D61" s="60"/>
      <c r="E61" s="60"/>
      <c r="F61" s="60"/>
      <c r="G61" s="60"/>
      <c r="H61" s="60"/>
      <c r="I61" s="60"/>
      <c r="J61" s="60"/>
      <c r="K61" s="175"/>
      <c r="L61" s="175"/>
      <c r="M61" s="175"/>
      <c r="N61" s="60"/>
      <c r="O61" s="60"/>
      <c r="P61" s="60"/>
      <c r="Q61" s="60"/>
      <c r="R61" s="60"/>
      <c r="S61" s="60"/>
      <c r="T61" s="60"/>
      <c r="U61" s="60"/>
      <c r="V61" s="60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BC61" s="155" t="str">
        <f t="shared" si="43"/>
        <v>-</v>
      </c>
      <c r="BD61" s="156"/>
      <c r="BE61" s="156"/>
      <c r="BF61" s="156"/>
      <c r="BG61" s="156"/>
      <c r="BH61" s="156"/>
      <c r="BI61" s="156"/>
      <c r="BJ61" s="156"/>
      <c r="BK61" s="156"/>
      <c r="BL61" s="156"/>
    </row>
    <row r="62" spans="1:64" ht="15" customHeight="1" thickBot="1" x14ac:dyDescent="0.3">
      <c r="A62" s="39"/>
      <c r="B62" s="60"/>
      <c r="C62" s="60"/>
      <c r="D62" s="60"/>
      <c r="E62" s="60"/>
      <c r="F62" s="60"/>
      <c r="G62" s="60"/>
      <c r="H62" s="60"/>
      <c r="I62" s="60"/>
      <c r="J62" s="60"/>
      <c r="K62" s="175"/>
      <c r="L62" s="175"/>
      <c r="M62" s="175"/>
      <c r="N62" s="60"/>
      <c r="O62" s="60"/>
      <c r="P62" s="60"/>
      <c r="Q62" s="60"/>
      <c r="R62" s="60"/>
      <c r="S62" s="60"/>
      <c r="T62" s="60"/>
      <c r="U62" s="60"/>
      <c r="V62" s="60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BC62" s="155" t="str">
        <f t="shared" si="43"/>
        <v>-</v>
      </c>
    </row>
    <row r="63" spans="1:64" ht="24.95" customHeight="1" thickBot="1" x14ac:dyDescent="0.3">
      <c r="A63" s="39"/>
      <c r="B63" s="185">
        <v>3</v>
      </c>
      <c r="C63" s="757" t="s">
        <v>178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9"/>
      <c r="O63" s="49" t="s">
        <v>117</v>
      </c>
      <c r="P63" s="71" t="str">
        <f>IF(COUNTIF(F67:M96,"refused")&gt;0,"refused",IF(COUNTIF(F67:M96,"failed")&gt;0,"failed",IF(COUNTIF(F67:M96,"passed")&gt;0,"passed","-")))</f>
        <v>-</v>
      </c>
      <c r="Q63" s="70" t="s">
        <v>80</v>
      </c>
      <c r="R63" s="70" t="str">
        <f>IF(COUNT(F67:M68,F72:M73,F77:M78,F82:M83,F87:M88,F92:M93)&gt;0,"listed","not listed")</f>
        <v>not listed</v>
      </c>
      <c r="S63" s="118"/>
      <c r="T63" s="43"/>
      <c r="U63" s="43"/>
      <c r="V63" s="44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BC63" s="155" t="str">
        <f t="shared" si="13"/>
        <v>-</v>
      </c>
    </row>
    <row r="64" spans="1:64" ht="15" customHeight="1" outlineLevel="1" thickBot="1" x14ac:dyDescent="0.3">
      <c r="A64" s="39"/>
      <c r="B64" s="120"/>
      <c r="C64" s="121"/>
      <c r="D64" s="121"/>
      <c r="E64" s="121"/>
      <c r="F64" s="121"/>
      <c r="G64" s="121"/>
      <c r="H64" s="121"/>
      <c r="I64" s="121"/>
      <c r="J64" s="121"/>
      <c r="K64" s="162"/>
      <c r="L64" s="162"/>
      <c r="M64" s="162"/>
      <c r="N64" s="121"/>
      <c r="O64" s="121"/>
      <c r="P64" s="121"/>
      <c r="Q64" s="121"/>
      <c r="R64" s="121"/>
      <c r="S64" s="121"/>
      <c r="T64" s="45"/>
      <c r="U64" s="45"/>
      <c r="V64" s="46"/>
      <c r="W64" s="47"/>
      <c r="X64" s="47"/>
      <c r="Y64" s="756"/>
      <c r="Z64" s="756"/>
      <c r="AA64" s="756"/>
      <c r="AB64" s="756"/>
      <c r="AC64" s="756"/>
      <c r="AD64" s="756"/>
      <c r="AE64" s="756"/>
      <c r="AF64" s="756"/>
      <c r="AG64" s="756"/>
      <c r="AH64" s="756"/>
      <c r="BC64" s="155" t="str">
        <f t="shared" si="13"/>
        <v>-</v>
      </c>
    </row>
    <row r="65" spans="1:73" ht="15" customHeight="1" outlineLevel="1" thickBot="1" x14ac:dyDescent="0.3">
      <c r="A65" s="39"/>
      <c r="B65" s="744" t="s">
        <v>81</v>
      </c>
      <c r="C65" s="745"/>
      <c r="D65" s="745"/>
      <c r="E65" s="745"/>
      <c r="F65" s="745"/>
      <c r="G65" s="745"/>
      <c r="H65" s="745"/>
      <c r="I65" s="745"/>
      <c r="J65" s="745"/>
      <c r="K65" s="745"/>
      <c r="L65" s="745"/>
      <c r="M65" s="745"/>
      <c r="N65" s="746"/>
      <c r="O65" s="744" t="s">
        <v>82</v>
      </c>
      <c r="P65" s="745"/>
      <c r="Q65" s="745"/>
      <c r="R65" s="746"/>
      <c r="S65" s="744" t="s">
        <v>83</v>
      </c>
      <c r="T65" s="745"/>
      <c r="U65" s="745"/>
      <c r="V65" s="746"/>
      <c r="W65" s="119"/>
      <c r="X65" s="119"/>
      <c r="Y65" s="743"/>
      <c r="Z65" s="743"/>
      <c r="AA65" s="743"/>
      <c r="AB65" s="743"/>
      <c r="AC65" s="743"/>
      <c r="AD65" s="743"/>
      <c r="AE65" s="743"/>
      <c r="AF65" s="743"/>
      <c r="AG65" s="743"/>
      <c r="AH65" s="743"/>
      <c r="BC65" s="155" t="str">
        <f t="shared" si="13"/>
        <v>-</v>
      </c>
      <c r="BD65" s="151" t="s">
        <v>85</v>
      </c>
      <c r="BE65" s="152" t="str">
        <f>F$4</f>
        <v>NMHC 
[g/km]</v>
      </c>
      <c r="BF65" s="152" t="str">
        <f t="shared" ref="BF65:BL65" si="54">G$4</f>
        <v>THC
[g/km]</v>
      </c>
      <c r="BG65" s="152" t="str">
        <f t="shared" si="54"/>
        <v>CO
[g/km]</v>
      </c>
      <c r="BH65" s="152" t="str">
        <f t="shared" si="54"/>
        <v>NOx
[g/km]</v>
      </c>
      <c r="BI65" s="152" t="str">
        <f t="shared" si="54"/>
        <v>PM
[mg/km]</v>
      </c>
      <c r="BJ65" s="152" t="str">
        <f t="shared" si="54"/>
        <v>PN
[#/km]</v>
      </c>
      <c r="BK65" s="152" t="str">
        <f t="shared" si="54"/>
        <v>Additional
component</v>
      </c>
      <c r="BL65" s="152" t="str">
        <f t="shared" si="54"/>
        <v>Additional
component 2</v>
      </c>
    </row>
    <row r="66" spans="1:73" ht="35.1" customHeight="1" outlineLevel="1" thickBot="1" x14ac:dyDescent="0.3">
      <c r="A66" s="39"/>
      <c r="B66" s="767" t="s">
        <v>84</v>
      </c>
      <c r="C66" s="768"/>
      <c r="D66" s="768"/>
      <c r="E66" s="769"/>
      <c r="F66" s="69" t="str">
        <f>F$4</f>
        <v>NMHC 
[g/km]</v>
      </c>
      <c r="G66" s="69" t="str">
        <f t="shared" ref="G66:N66" si="55">G$4</f>
        <v>THC
[g/km]</v>
      </c>
      <c r="H66" s="69" t="str">
        <f t="shared" si="55"/>
        <v>CO
[g/km]</v>
      </c>
      <c r="I66" s="69" t="str">
        <f t="shared" si="55"/>
        <v>NOx
[g/km]</v>
      </c>
      <c r="J66" s="69" t="str">
        <f t="shared" si="55"/>
        <v>PM
[mg/km]</v>
      </c>
      <c r="K66" s="69" t="str">
        <f t="shared" si="55"/>
        <v>PN
[#/km]</v>
      </c>
      <c r="L66" s="366" t="str">
        <f t="shared" si="55"/>
        <v>Additional
component</v>
      </c>
      <c r="M66" s="366" t="str">
        <f t="shared" si="55"/>
        <v>Additional
component 2</v>
      </c>
      <c r="N66" s="69" t="str">
        <f t="shared" si="55"/>
        <v>CO2
[g/km]</v>
      </c>
      <c r="O66" s="747"/>
      <c r="P66" s="748"/>
      <c r="Q66" s="748"/>
      <c r="R66" s="748"/>
      <c r="S66" s="747"/>
      <c r="T66" s="748"/>
      <c r="U66" s="748"/>
      <c r="V66" s="753"/>
      <c r="W66" s="119"/>
      <c r="X66" s="119"/>
      <c r="Y66" s="743"/>
      <c r="Z66" s="743"/>
      <c r="AA66" s="743"/>
      <c r="AB66" s="743"/>
      <c r="AC66" s="743"/>
      <c r="AD66" s="743"/>
      <c r="AE66" s="743"/>
      <c r="AF66" s="743"/>
      <c r="AG66" s="743"/>
      <c r="AH66" s="743"/>
      <c r="BC66" s="155" t="str">
        <f t="shared" si="13"/>
        <v>-</v>
      </c>
      <c r="BD66" s="151" t="str">
        <f>$E$4</f>
        <v>Euro 6d</v>
      </c>
      <c r="BE66" s="153">
        <v>1</v>
      </c>
      <c r="BF66" s="153">
        <v>1</v>
      </c>
      <c r="BG66" s="153">
        <v>1</v>
      </c>
      <c r="BH66" s="153">
        <v>1</v>
      </c>
      <c r="BI66" s="153">
        <v>1</v>
      </c>
      <c r="BJ66" s="153">
        <v>1</v>
      </c>
      <c r="BK66" s="153">
        <v>1</v>
      </c>
      <c r="BL66" s="153">
        <v>1</v>
      </c>
    </row>
    <row r="67" spans="1:73" ht="15" customHeight="1" outlineLevel="1" x14ac:dyDescent="0.25">
      <c r="A67" s="39"/>
      <c r="B67" s="805" t="s">
        <v>125</v>
      </c>
      <c r="C67" s="770" t="s">
        <v>114</v>
      </c>
      <c r="D67" s="770" t="s">
        <v>113</v>
      </c>
      <c r="E67" s="106" t="s">
        <v>94</v>
      </c>
      <c r="F67" s="98" t="s">
        <v>5</v>
      </c>
      <c r="G67" s="98" t="s">
        <v>5</v>
      </c>
      <c r="H67" s="98" t="s">
        <v>5</v>
      </c>
      <c r="I67" s="98" t="s">
        <v>5</v>
      </c>
      <c r="J67" s="98" t="s">
        <v>5</v>
      </c>
      <c r="K67" s="165" t="s">
        <v>5</v>
      </c>
      <c r="L67" s="165" t="s">
        <v>5</v>
      </c>
      <c r="M67" s="165" t="s">
        <v>5</v>
      </c>
      <c r="N67" s="98" t="s">
        <v>5</v>
      </c>
      <c r="O67" s="749"/>
      <c r="P67" s="750"/>
      <c r="Q67" s="750"/>
      <c r="R67" s="750"/>
      <c r="S67" s="749"/>
      <c r="T67" s="750"/>
      <c r="U67" s="750"/>
      <c r="V67" s="754"/>
      <c r="W67" s="119"/>
      <c r="X67" s="119"/>
      <c r="Y67" s="743"/>
      <c r="Z67" s="743"/>
      <c r="AA67" s="743"/>
      <c r="AB67" s="743"/>
      <c r="AC67" s="743"/>
      <c r="AD67" s="743"/>
      <c r="AE67" s="743"/>
      <c r="AF67" s="743"/>
      <c r="AG67" s="743"/>
      <c r="AH67" s="743"/>
      <c r="BC67" s="155" t="str">
        <f t="shared" si="13"/>
        <v>-</v>
      </c>
      <c r="BD67" s="151" t="str">
        <f>"1st " &amp;  B67</f>
        <v>1st Drive Mode 1</v>
      </c>
      <c r="BE67" s="153" t="str">
        <f t="shared" ref="BE67:BK67" si="56">IF((OR($C69="-",$C69="CET",$C69="")),"-",IF(AND(OR(F67="-",F67=""),OR(F68="-",F68="")),"-",IF(NOT(OR(F67="-",F67="")),F67/F$5,F68/F$5)))</f>
        <v>-</v>
      </c>
      <c r="BF67" s="153" t="str">
        <f t="shared" si="56"/>
        <v>-</v>
      </c>
      <c r="BG67" s="153" t="str">
        <f t="shared" si="56"/>
        <v>-</v>
      </c>
      <c r="BH67" s="153" t="str">
        <f t="shared" si="56"/>
        <v>-</v>
      </c>
      <c r="BI67" s="153" t="str">
        <f t="shared" si="56"/>
        <v>-</v>
      </c>
      <c r="BJ67" s="153" t="str">
        <f t="shared" si="56"/>
        <v>-</v>
      </c>
      <c r="BK67" s="153" t="str">
        <f t="shared" si="56"/>
        <v>-</v>
      </c>
      <c r="BL67" s="153" t="str">
        <f t="shared" ref="BL67" si="57">IF((OR($C69="-",$C69="CET",$C69="")),"-",IF(AND(OR(N67="-",N67=""),OR(N68="-",N68="")),"-",IF(NOT(OR(N67="-",N67="")),N67/N$5,N68/N$5)))</f>
        <v>-</v>
      </c>
    </row>
    <row r="68" spans="1:73" s="50" customFormat="1" ht="15" customHeight="1" outlineLevel="1" thickBot="1" x14ac:dyDescent="0.3">
      <c r="A68" s="53"/>
      <c r="B68" s="776"/>
      <c r="C68" s="741"/>
      <c r="D68" s="742"/>
      <c r="E68" s="104" t="s">
        <v>95</v>
      </c>
      <c r="F68" s="97" t="s">
        <v>5</v>
      </c>
      <c r="G68" s="97" t="s">
        <v>5</v>
      </c>
      <c r="H68" s="97" t="s">
        <v>5</v>
      </c>
      <c r="I68" s="97" t="s">
        <v>5</v>
      </c>
      <c r="J68" s="97" t="s">
        <v>5</v>
      </c>
      <c r="K68" s="166" t="s">
        <v>5</v>
      </c>
      <c r="L68" s="166" t="s">
        <v>5</v>
      </c>
      <c r="M68" s="166" t="s">
        <v>5</v>
      </c>
      <c r="N68" s="97" t="s">
        <v>5</v>
      </c>
      <c r="O68" s="749"/>
      <c r="P68" s="750"/>
      <c r="Q68" s="750"/>
      <c r="R68" s="750"/>
      <c r="S68" s="749"/>
      <c r="T68" s="750"/>
      <c r="U68" s="750"/>
      <c r="V68" s="754"/>
      <c r="W68" s="51"/>
      <c r="X68" s="51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BC68" s="155" t="str">
        <f t="shared" si="13"/>
        <v>-</v>
      </c>
      <c r="BD68" s="151" t="str">
        <f>"1st " &amp; B72</f>
        <v>1st Drive Mode 2</v>
      </c>
      <c r="BE68" s="153" t="str">
        <f t="shared" ref="BE68:BK68" si="58">IF((OR($C74="-",$C74="CET",$C74="")),"-",IF(AND(OR(F72="-",F72=""),OR(F73="-",F73="")),"-",IF(NOT(OR(F72="-",F72="")),F72/F$5,F73/F$5)))</f>
        <v>-</v>
      </c>
      <c r="BF68" s="153" t="str">
        <f t="shared" si="58"/>
        <v>-</v>
      </c>
      <c r="BG68" s="153" t="str">
        <f t="shared" si="58"/>
        <v>-</v>
      </c>
      <c r="BH68" s="153" t="str">
        <f t="shared" si="58"/>
        <v>-</v>
      </c>
      <c r="BI68" s="153" t="str">
        <f t="shared" si="58"/>
        <v>-</v>
      </c>
      <c r="BJ68" s="153" t="str">
        <f t="shared" si="58"/>
        <v>-</v>
      </c>
      <c r="BK68" s="153" t="str">
        <f t="shared" si="58"/>
        <v>-</v>
      </c>
      <c r="BL68" s="153" t="str">
        <f t="shared" ref="BL68" si="59">IF((OR($C74="-",$C74="CET",$C74="")),"-",IF(AND(OR(N72="-",N72=""),OR(N73="-",N73="")),"-",IF(NOT(OR(N72="-",N72="")),N72/N$5,N73/N$5)))</f>
        <v>-</v>
      </c>
      <c r="BM68" s="150"/>
      <c r="BN68" s="150"/>
      <c r="BO68" s="150"/>
      <c r="BP68" s="150"/>
      <c r="BQ68" s="150"/>
      <c r="BR68" s="150"/>
      <c r="BS68" s="150"/>
      <c r="BT68" s="150"/>
      <c r="BU68" s="150"/>
    </row>
    <row r="69" spans="1:73" ht="15" customHeight="1" outlineLevel="1" thickBot="1" x14ac:dyDescent="0.3">
      <c r="A69" s="39"/>
      <c r="B69" s="776"/>
      <c r="C69" s="764">
        <v>1</v>
      </c>
      <c r="D69" s="772" t="str">
        <f>IF(AND(F70="-",G70="-",H70="-",I70="-",J70="-",K70="-",K70="-",L70="-"),"-",MAX(F70,G70,H70,I70,J70,K70,L70,M70))</f>
        <v>-</v>
      </c>
      <c r="E69" s="66" t="s">
        <v>177</v>
      </c>
      <c r="F69" s="65" t="str">
        <f t="shared" ref="F69:N69" si="60">IF(OR(F68="-",F68=""),IF(OR(F67="-",F67=""),"-",F67),IF(OR(F67="-",F67=""),F68,(F67+F68)/2))</f>
        <v>-</v>
      </c>
      <c r="G69" s="65" t="str">
        <f t="shared" si="60"/>
        <v>-</v>
      </c>
      <c r="H69" s="65" t="str">
        <f t="shared" si="60"/>
        <v>-</v>
      </c>
      <c r="I69" s="65" t="str">
        <f t="shared" si="60"/>
        <v>-</v>
      </c>
      <c r="J69" s="65" t="str">
        <f t="shared" si="60"/>
        <v>-</v>
      </c>
      <c r="K69" s="167" t="str">
        <f t="shared" si="60"/>
        <v>-</v>
      </c>
      <c r="L69" s="167" t="str">
        <f t="shared" ref="L69:M69" si="61">IF(OR(L68="-",L68=""),IF(OR(L67="-",L67=""),"-",L67),IF(OR(L67="-",L67=""),L68,(L67+L68)/2))</f>
        <v>-</v>
      </c>
      <c r="M69" s="167" t="str">
        <f t="shared" si="61"/>
        <v>-</v>
      </c>
      <c r="N69" s="65" t="str">
        <f t="shared" si="60"/>
        <v>-</v>
      </c>
      <c r="O69" s="749"/>
      <c r="P69" s="750"/>
      <c r="Q69" s="750"/>
      <c r="R69" s="750"/>
      <c r="S69" s="749"/>
      <c r="T69" s="750"/>
      <c r="U69" s="750"/>
      <c r="V69" s="754"/>
      <c r="W69" s="119"/>
      <c r="X69" s="119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BC69" s="155" t="str">
        <f t="shared" si="13"/>
        <v>-</v>
      </c>
      <c r="BD69" s="151" t="str">
        <f>"1st " &amp; B77</f>
        <v>1st Drive Mode 3</v>
      </c>
      <c r="BE69" s="153" t="str">
        <f t="shared" ref="BE69:BK69" si="62">IF((OR($C79="-",$C79="CET",$C79="")),"-",IF(AND(OR(F77="-",F77=""),OR(F78="-",F78="")),"-",IF(NOT(OR(F77="-",F77="")),F77/F$5,F78/F$5)))</f>
        <v>-</v>
      </c>
      <c r="BF69" s="153" t="str">
        <f t="shared" si="62"/>
        <v>-</v>
      </c>
      <c r="BG69" s="153" t="str">
        <f t="shared" si="62"/>
        <v>-</v>
      </c>
      <c r="BH69" s="153" t="str">
        <f t="shared" si="62"/>
        <v>-</v>
      </c>
      <c r="BI69" s="153" t="str">
        <f t="shared" si="62"/>
        <v>-</v>
      </c>
      <c r="BJ69" s="153" t="str">
        <f t="shared" si="62"/>
        <v>-</v>
      </c>
      <c r="BK69" s="153" t="str">
        <f t="shared" si="62"/>
        <v>-</v>
      </c>
      <c r="BL69" s="153" t="str">
        <f t="shared" ref="BL69" si="63">IF((OR($C79="-",$C79="CET",$C79="")),"-",IF(AND(OR(N77="-",N77=""),OR(N78="-",N78="")),"-",IF(NOT(OR(N77="-",N77="")),N77/N$5,N78/N$5)))</f>
        <v>-</v>
      </c>
    </row>
    <row r="70" spans="1:73" ht="15" customHeight="1" outlineLevel="1" thickBot="1" x14ac:dyDescent="0.3">
      <c r="A70" s="39"/>
      <c r="B70" s="776"/>
      <c r="C70" s="765"/>
      <c r="D70" s="773"/>
      <c r="E70" s="64" t="s">
        <v>97</v>
      </c>
      <c r="F70" s="63" t="str">
        <f t="shared" ref="F70:N70" si="64">IF(OR($C69="-",$C69="CET",$C69=""),"-",IF(AND(NOT(F69="-"),NOT(F$5="-"),NOT(F$5="")),F69/F$5,"-"))</f>
        <v>-</v>
      </c>
      <c r="G70" s="63" t="str">
        <f t="shared" si="64"/>
        <v>-</v>
      </c>
      <c r="H70" s="63" t="str">
        <f t="shared" si="64"/>
        <v>-</v>
      </c>
      <c r="I70" s="63" t="str">
        <f t="shared" si="64"/>
        <v>-</v>
      </c>
      <c r="J70" s="63" t="str">
        <f t="shared" si="64"/>
        <v>-</v>
      </c>
      <c r="K70" s="168" t="str">
        <f t="shared" si="64"/>
        <v>-</v>
      </c>
      <c r="L70" s="168" t="str">
        <f t="shared" ref="L70:M70" si="65">IF(OR($C69="-",$C69="CET",$C69=""),"-",IF(AND(NOT(L69="-"),NOT(L$5="-"),NOT(L$5="")),L69/L$5,"-"))</f>
        <v>-</v>
      </c>
      <c r="M70" s="168" t="str">
        <f t="shared" si="65"/>
        <v>-</v>
      </c>
      <c r="N70" s="63" t="str">
        <f t="shared" si="64"/>
        <v>-</v>
      </c>
      <c r="O70" s="749"/>
      <c r="P70" s="750"/>
      <c r="Q70" s="750"/>
      <c r="R70" s="750"/>
      <c r="S70" s="749"/>
      <c r="T70" s="750"/>
      <c r="U70" s="750"/>
      <c r="V70" s="754"/>
      <c r="W70" s="119"/>
      <c r="X70" s="119"/>
      <c r="Y70" s="743"/>
      <c r="Z70" s="743"/>
      <c r="AA70" s="743"/>
      <c r="AB70" s="743"/>
      <c r="AC70" s="743"/>
      <c r="AD70" s="743"/>
      <c r="AE70" s="743"/>
      <c r="AF70" s="743"/>
      <c r="AG70" s="743"/>
      <c r="AH70" s="743"/>
      <c r="BC70" s="155" t="str">
        <f t="shared" si="13"/>
        <v>-</v>
      </c>
      <c r="BD70" s="151" t="str">
        <f>"1st " &amp; B82</f>
        <v>1st Drive Mode 4</v>
      </c>
      <c r="BE70" s="153" t="str">
        <f t="shared" ref="BE70:BK70" si="66">IF((OR($C84="-",$C84="CET",$C84="")),"-",IF(AND(OR(F82="-",F82=""),OR(F83="-",F83="")),"-",IF(NOT(OR(F82="-",F82="")),F82/F$5,F83/F$5)))</f>
        <v>-</v>
      </c>
      <c r="BF70" s="153" t="str">
        <f t="shared" si="66"/>
        <v>-</v>
      </c>
      <c r="BG70" s="153" t="str">
        <f t="shared" si="66"/>
        <v>-</v>
      </c>
      <c r="BH70" s="153" t="str">
        <f t="shared" si="66"/>
        <v>-</v>
      </c>
      <c r="BI70" s="153" t="str">
        <f t="shared" si="66"/>
        <v>-</v>
      </c>
      <c r="BJ70" s="153" t="str">
        <f t="shared" si="66"/>
        <v>-</v>
      </c>
      <c r="BK70" s="153" t="str">
        <f t="shared" si="66"/>
        <v>-</v>
      </c>
      <c r="BL70" s="153" t="str">
        <f t="shared" ref="BL70" si="67">IF((OR($C84="-",$C84="CET",$C84="")),"-",IF(AND(OR(N82="-",N82=""),OR(N83="-",N83="")),"-",IF(NOT(OR(N82="-",N82="")),N82/N$5,N83/N$5)))</f>
        <v>-</v>
      </c>
    </row>
    <row r="71" spans="1:73" ht="15" customHeight="1" outlineLevel="1" thickBot="1" x14ac:dyDescent="0.3">
      <c r="A71" s="39"/>
      <c r="B71" s="777"/>
      <c r="C71" s="771"/>
      <c r="D71" s="774"/>
      <c r="E71" s="68" t="s">
        <v>30</v>
      </c>
      <c r="F71" s="62" t="str">
        <f t="shared" ref="F71:K71" si="68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62" t="str">
        <f t="shared" si="68"/>
        <v>-</v>
      </c>
      <c r="H71" s="62" t="str">
        <f t="shared" si="68"/>
        <v>-</v>
      </c>
      <c r="I71" s="62" t="str">
        <f t="shared" si="68"/>
        <v>-</v>
      </c>
      <c r="J71" s="62" t="str">
        <f t="shared" si="68"/>
        <v>-</v>
      </c>
      <c r="K71" s="169" t="str">
        <f t="shared" si="68"/>
        <v>-</v>
      </c>
      <c r="L71" s="169" t="str">
        <f t="shared" ref="L71:M71" si="69">IF(AND(OR(L67="-",L67=""),OR(L68="-",L68="")),"-",IF(OR($C69="-",$C69="",$C69="CET"),"-",IF($R$63="not listed","-",IF(NOT(L$5="-"),IF(AND(AND(NOT(L67=0),NOT(L67="-"),NOT(L67="")),AND(NOT(L68="-"),NOT(L68=0),NOT(L68=""))),IF(AND((L67+L68)/2&lt;1*L$5*IF(OR($C69="CET",$C69="-",$C69=""),"-",$C69),L67&lt;1.1*L$5*IF(OR($C69="CET",$C69="-",$C69=""),"-",$C69),L68&lt;1.1*L$5*IF(OR($C69="CET",$C69="-",$C69=""),"-",$C69)),"passed","refused"),IF(IF(OR(L67="-",L67=""),L68,L67)&lt;0.7*L$5*IF(OR($C69="CET",$C69="-",$C69=""),"-",$C69),"passed",IF(IF(OR(L67="-",L67=""),L68,L67)&lt;1.1*IF(OR($C69="CET",$C69="-",$C69=""),"-",$C69)*L$5,"failed","refused"))),"-"))))</f>
        <v>-</v>
      </c>
      <c r="M71" s="169" t="str">
        <f t="shared" si="69"/>
        <v>-</v>
      </c>
      <c r="N71" s="62" t="str">
        <f>IF(AND(OR(N67="-",N67=""),OR(N68="-",N68="")),"-",IF(OR($C69="-",$C69="",$C69="CET"),"-",IF($R$63="not listed","-",IF(NOT(N$5="-"),IF(AND(AND(NOT(N67=0),NOT(N67="-"),NOT(N67="")),AND(NOT(N68="-"),NOT(N68=0),NOT(N68=""))),IF(AND((N67+N68)/2&lt;1*N$5*IF(OR($C69="CET",$C69="-",$C69=""),"-",$C69),N67&lt;1.1*N$5*IF(OR($C69="CET",$C69="-",$C69=""),"-",$C69),N68&lt;1.1*N$5*IF(OR($C69="CET",$C69="-",$C69=""),"-",$C69)),"passed","refused"),IF(IF(OR(N67="-",N67=""),N68,N67)&lt;0.7*N$5*IF(OR($C69="CET",$C69="-",$C69=""),"-",$C69),"passed",IF(IF(OR(N67="-",N67=""),N68,N67)&lt;1.1*IF(OR($C69="CET",$C69="-",$C69=""),"-",$C69)*N$5,"failed","refused"))),"-"))))</f>
        <v>-</v>
      </c>
      <c r="O71" s="749"/>
      <c r="P71" s="750"/>
      <c r="Q71" s="750"/>
      <c r="R71" s="750"/>
      <c r="S71" s="749"/>
      <c r="T71" s="750"/>
      <c r="U71" s="750"/>
      <c r="V71" s="754"/>
      <c r="W71" s="119"/>
      <c r="X71" s="119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BC71" s="155" t="str">
        <f t="shared" si="13"/>
        <v>-</v>
      </c>
      <c r="BD71" s="151" t="str">
        <f>"1st " &amp; B87</f>
        <v>1st Drive Mode 5</v>
      </c>
      <c r="BE71" s="153" t="str">
        <f t="shared" ref="BE71:BK71" si="70">IF((OR($C89="-",$C89="CET",$C89="")),"-",IF(AND(OR(F87="-",F87=""),OR(F88="-",F88="")),"-",IF(NOT(OR(F87="-",F87="")),F87/F$5,F88/F$5)))</f>
        <v>-</v>
      </c>
      <c r="BF71" s="153" t="str">
        <f t="shared" si="70"/>
        <v>-</v>
      </c>
      <c r="BG71" s="153" t="str">
        <f t="shared" si="70"/>
        <v>-</v>
      </c>
      <c r="BH71" s="153" t="str">
        <f t="shared" si="70"/>
        <v>-</v>
      </c>
      <c r="BI71" s="153" t="str">
        <f t="shared" si="70"/>
        <v>-</v>
      </c>
      <c r="BJ71" s="153" t="str">
        <f t="shared" si="70"/>
        <v>-</v>
      </c>
      <c r="BK71" s="153" t="str">
        <f t="shared" si="70"/>
        <v>-</v>
      </c>
      <c r="BL71" s="153" t="str">
        <f t="shared" ref="BL71" si="71">IF((OR($C89="-",$C89="CET",$C89="")),"-",IF(AND(OR(N87="-",N87=""),OR(N88="-",N88="")),"-",IF(NOT(OR(N87="-",N87="")),N87/N$5,N88/N$5)))</f>
        <v>-</v>
      </c>
    </row>
    <row r="72" spans="1:73" ht="15" customHeight="1" outlineLevel="1" x14ac:dyDescent="0.25">
      <c r="A72" s="39"/>
      <c r="B72" s="775" t="s">
        <v>124</v>
      </c>
      <c r="C72" s="770" t="s">
        <v>114</v>
      </c>
      <c r="D72" s="770" t="s">
        <v>113</v>
      </c>
      <c r="E72" s="106" t="s">
        <v>94</v>
      </c>
      <c r="F72" s="98" t="s">
        <v>5</v>
      </c>
      <c r="G72" s="98" t="s">
        <v>5</v>
      </c>
      <c r="H72" s="98" t="s">
        <v>5</v>
      </c>
      <c r="I72" s="98" t="s">
        <v>5</v>
      </c>
      <c r="J72" s="98" t="s">
        <v>5</v>
      </c>
      <c r="K72" s="165" t="s">
        <v>5</v>
      </c>
      <c r="L72" s="165" t="s">
        <v>5</v>
      </c>
      <c r="M72" s="165" t="s">
        <v>5</v>
      </c>
      <c r="N72" s="98" t="s">
        <v>5</v>
      </c>
      <c r="O72" s="749"/>
      <c r="P72" s="750"/>
      <c r="Q72" s="750"/>
      <c r="R72" s="750"/>
      <c r="S72" s="749"/>
      <c r="T72" s="750"/>
      <c r="U72" s="750"/>
      <c r="V72" s="754"/>
      <c r="W72" s="119"/>
      <c r="X72" s="119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BC72" s="155" t="str">
        <f t="shared" si="13"/>
        <v>-</v>
      </c>
      <c r="BD72" s="151" t="str">
        <f>"1st " &amp; B92</f>
        <v>1st Drive Mode 6</v>
      </c>
      <c r="BE72" s="153" t="str">
        <f t="shared" ref="BE72:BK72" si="72">IF((OR($C94="-",$C94="CET",$C94="")),"-",IF(AND(OR(F92="-",F92=""),OR(F93="-",F93="")),"-",IF(NOT(OR(F92="-",F92="")),F92/F$5,F93/F$5)))</f>
        <v>-</v>
      </c>
      <c r="BF72" s="153" t="str">
        <f t="shared" si="72"/>
        <v>-</v>
      </c>
      <c r="BG72" s="153" t="str">
        <f t="shared" si="72"/>
        <v>-</v>
      </c>
      <c r="BH72" s="153" t="str">
        <f t="shared" si="72"/>
        <v>-</v>
      </c>
      <c r="BI72" s="153" t="str">
        <f t="shared" si="72"/>
        <v>-</v>
      </c>
      <c r="BJ72" s="153" t="str">
        <f t="shared" si="72"/>
        <v>-</v>
      </c>
      <c r="BK72" s="153" t="str">
        <f t="shared" si="72"/>
        <v>-</v>
      </c>
      <c r="BL72" s="153" t="str">
        <f t="shared" ref="BL72" si="73">IF((OR($C94="-",$C94="CET",$C94="")),"-",IF(AND(OR(N92="-",N92=""),OR(N93="-",N93="")),"-",IF(NOT(OR(N92="-",N92="")),N92/N$5,N93/N$5)))</f>
        <v>-</v>
      </c>
    </row>
    <row r="73" spans="1:73" s="50" customFormat="1" ht="15" customHeight="1" outlineLevel="1" thickBot="1" x14ac:dyDescent="0.3">
      <c r="A73" s="53"/>
      <c r="B73" s="776"/>
      <c r="C73" s="741"/>
      <c r="D73" s="742"/>
      <c r="E73" s="104" t="s">
        <v>95</v>
      </c>
      <c r="F73" s="97" t="s">
        <v>5</v>
      </c>
      <c r="G73" s="97" t="s">
        <v>5</v>
      </c>
      <c r="H73" s="97" t="s">
        <v>5</v>
      </c>
      <c r="I73" s="97" t="s">
        <v>5</v>
      </c>
      <c r="J73" s="97" t="s">
        <v>5</v>
      </c>
      <c r="K73" s="166" t="s">
        <v>5</v>
      </c>
      <c r="L73" s="166" t="s">
        <v>5</v>
      </c>
      <c r="M73" s="166" t="s">
        <v>5</v>
      </c>
      <c r="N73" s="97" t="s">
        <v>5</v>
      </c>
      <c r="O73" s="749"/>
      <c r="P73" s="750"/>
      <c r="Q73" s="750"/>
      <c r="R73" s="750"/>
      <c r="S73" s="749"/>
      <c r="T73" s="750"/>
      <c r="U73" s="750"/>
      <c r="V73" s="754"/>
      <c r="W73" s="51"/>
      <c r="X73" s="51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BC73" s="155" t="str">
        <f t="shared" si="13"/>
        <v>-</v>
      </c>
      <c r="BD73" s="151" t="str">
        <f>"0.7*IEF " &amp; (B67)</f>
        <v>0.7*IEF Drive Mode 1</v>
      </c>
      <c r="BE73" s="153">
        <f>IF(OR($C69="-",$C69="CET",$C69=""),"-",0.7*$C69)</f>
        <v>0.7</v>
      </c>
      <c r="BF73" s="153">
        <f t="shared" ref="BF73:BL73" si="74">IF(OR($C69="-",$C69="CET",$C69=""),"-",0.7*$C69)</f>
        <v>0.7</v>
      </c>
      <c r="BG73" s="153">
        <f t="shared" si="74"/>
        <v>0.7</v>
      </c>
      <c r="BH73" s="153">
        <f t="shared" si="74"/>
        <v>0.7</v>
      </c>
      <c r="BI73" s="153">
        <f t="shared" si="74"/>
        <v>0.7</v>
      </c>
      <c r="BJ73" s="153">
        <f t="shared" si="74"/>
        <v>0.7</v>
      </c>
      <c r="BK73" s="153">
        <f t="shared" ref="BK73" si="75">IF(OR($C69="-",$C69="CET",$C69=""),"-",0.7*$C69)</f>
        <v>0.7</v>
      </c>
      <c r="BL73" s="153">
        <f t="shared" si="74"/>
        <v>0.7</v>
      </c>
      <c r="BM73" s="150"/>
      <c r="BN73" s="150"/>
      <c r="BO73" s="150"/>
      <c r="BP73" s="150"/>
      <c r="BQ73" s="150"/>
      <c r="BR73" s="150"/>
      <c r="BS73" s="150"/>
      <c r="BT73" s="150"/>
      <c r="BU73" s="150"/>
    </row>
    <row r="74" spans="1:73" ht="15" customHeight="1" outlineLevel="1" thickBot="1" x14ac:dyDescent="0.3">
      <c r="A74" s="39"/>
      <c r="B74" s="776"/>
      <c r="C74" s="764">
        <v>1</v>
      </c>
      <c r="D74" s="772" t="str">
        <f>IF(AND(F75="-",G75="-",H75="-",I75="-",J75="-",K75="-",K75="-",L75="-"),"-",MAX(F75,G75,H75,I75,J75,K75,L75,M75))</f>
        <v>-</v>
      </c>
      <c r="E74" s="66" t="s">
        <v>177</v>
      </c>
      <c r="F74" s="65" t="str">
        <f t="shared" ref="F74:N74" si="76">IF(OR(F73="-",F73=""),IF(OR(F72="-",F72=""),"-",F72),IF(OR(F72="-",F72=""),F73,(F72+F73)/2))</f>
        <v>-</v>
      </c>
      <c r="G74" s="65" t="str">
        <f t="shared" si="76"/>
        <v>-</v>
      </c>
      <c r="H74" s="65" t="str">
        <f t="shared" si="76"/>
        <v>-</v>
      </c>
      <c r="I74" s="65" t="str">
        <f t="shared" si="76"/>
        <v>-</v>
      </c>
      <c r="J74" s="65" t="str">
        <f t="shared" si="76"/>
        <v>-</v>
      </c>
      <c r="K74" s="167" t="str">
        <f t="shared" si="76"/>
        <v>-</v>
      </c>
      <c r="L74" s="167" t="str">
        <f t="shared" ref="L74:M74" si="77">IF(OR(L73="-",L73=""),IF(OR(L72="-",L72=""),"-",L72),IF(OR(L72="-",L72=""),L73,(L72+L73)/2))</f>
        <v>-</v>
      </c>
      <c r="M74" s="167" t="str">
        <f t="shared" si="77"/>
        <v>-</v>
      </c>
      <c r="N74" s="65" t="str">
        <f t="shared" si="76"/>
        <v>-</v>
      </c>
      <c r="O74" s="749"/>
      <c r="P74" s="750"/>
      <c r="Q74" s="750"/>
      <c r="R74" s="750"/>
      <c r="S74" s="749"/>
      <c r="T74" s="750"/>
      <c r="U74" s="750"/>
      <c r="V74" s="754"/>
      <c r="W74" s="119"/>
      <c r="X74" s="119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BC74" s="155" t="str">
        <f t="shared" si="13"/>
        <v>-</v>
      </c>
      <c r="BD74" s="151" t="str">
        <f>"0.7*IEF " &amp; B72</f>
        <v>0.7*IEF Drive Mode 2</v>
      </c>
      <c r="BE74" s="153">
        <f>IF(OR($C74="-",$C74="CET",$C74=""),"-",0.7*$C74)</f>
        <v>0.7</v>
      </c>
      <c r="BF74" s="153">
        <f t="shared" ref="BF74:BL74" si="78">IF(OR($C74="-",$C74="CET",$C74=""),"-",0.7*$C74)</f>
        <v>0.7</v>
      </c>
      <c r="BG74" s="153">
        <f t="shared" si="78"/>
        <v>0.7</v>
      </c>
      <c r="BH74" s="153">
        <f t="shared" si="78"/>
        <v>0.7</v>
      </c>
      <c r="BI74" s="153">
        <f t="shared" si="78"/>
        <v>0.7</v>
      </c>
      <c r="BJ74" s="153">
        <f t="shared" si="78"/>
        <v>0.7</v>
      </c>
      <c r="BK74" s="153">
        <f t="shared" si="78"/>
        <v>0.7</v>
      </c>
      <c r="BL74" s="153">
        <f t="shared" si="78"/>
        <v>0.7</v>
      </c>
    </row>
    <row r="75" spans="1:73" ht="15" customHeight="1" outlineLevel="1" thickBot="1" x14ac:dyDescent="0.3">
      <c r="A75" s="39"/>
      <c r="B75" s="776"/>
      <c r="C75" s="765"/>
      <c r="D75" s="773"/>
      <c r="E75" s="64" t="s">
        <v>97</v>
      </c>
      <c r="F75" s="63" t="str">
        <f t="shared" ref="F75:N75" si="79">IF(OR($C74="-",$C74="CET",$C74=""),"-",IF(AND(NOT(F74="-"),NOT(F$5="-"),NOT(F$5="")),F74/F$5,"-"))</f>
        <v>-</v>
      </c>
      <c r="G75" s="63" t="str">
        <f t="shared" si="79"/>
        <v>-</v>
      </c>
      <c r="H75" s="63" t="str">
        <f t="shared" si="79"/>
        <v>-</v>
      </c>
      <c r="I75" s="63" t="str">
        <f t="shared" si="79"/>
        <v>-</v>
      </c>
      <c r="J75" s="63" t="str">
        <f t="shared" si="79"/>
        <v>-</v>
      </c>
      <c r="K75" s="168" t="str">
        <f t="shared" si="79"/>
        <v>-</v>
      </c>
      <c r="L75" s="168" t="str">
        <f t="shared" ref="L75:M75" si="80">IF(OR($C74="-",$C74="CET",$C74=""),"-",IF(AND(NOT(L74="-"),NOT(L$5="-"),NOT(L$5="")),L74/L$5,"-"))</f>
        <v>-</v>
      </c>
      <c r="M75" s="168" t="str">
        <f t="shared" si="80"/>
        <v>-</v>
      </c>
      <c r="N75" s="63" t="str">
        <f t="shared" si="79"/>
        <v>-</v>
      </c>
      <c r="O75" s="749"/>
      <c r="P75" s="750"/>
      <c r="Q75" s="750"/>
      <c r="R75" s="750"/>
      <c r="S75" s="749"/>
      <c r="T75" s="750"/>
      <c r="U75" s="750"/>
      <c r="V75" s="754"/>
      <c r="W75" s="119"/>
      <c r="X75" s="119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BC75" s="155" t="str">
        <f t="shared" si="13"/>
        <v>-</v>
      </c>
      <c r="BD75" s="151" t="str">
        <f>"0.7*IEF " &amp; B77</f>
        <v>0.7*IEF Drive Mode 3</v>
      </c>
      <c r="BE75" s="153">
        <f>IF(OR($C79="-",$C79="CET",$C79=""),"-",0.7*$C79)</f>
        <v>0.7</v>
      </c>
      <c r="BF75" s="153">
        <f t="shared" ref="BF75:BL75" si="81">IF(OR($C79="-",$C79="CET",$C79=""),"-",0.7*$C79)</f>
        <v>0.7</v>
      </c>
      <c r="BG75" s="153">
        <f t="shared" si="81"/>
        <v>0.7</v>
      </c>
      <c r="BH75" s="153">
        <f t="shared" si="81"/>
        <v>0.7</v>
      </c>
      <c r="BI75" s="153">
        <f t="shared" si="81"/>
        <v>0.7</v>
      </c>
      <c r="BJ75" s="153">
        <f t="shared" si="81"/>
        <v>0.7</v>
      </c>
      <c r="BK75" s="153">
        <f t="shared" ref="BK75" si="82">IF(OR($C79="-",$C79="CET",$C79=""),"-",0.7*$C79)</f>
        <v>0.7</v>
      </c>
      <c r="BL75" s="153">
        <f t="shared" si="81"/>
        <v>0.7</v>
      </c>
    </row>
    <row r="76" spans="1:73" ht="15" customHeight="1" outlineLevel="1" thickBot="1" x14ac:dyDescent="0.3">
      <c r="A76" s="40"/>
      <c r="B76" s="777"/>
      <c r="C76" s="771"/>
      <c r="D76" s="774"/>
      <c r="E76" s="62" t="s">
        <v>30</v>
      </c>
      <c r="F76" s="62" t="str">
        <f t="shared" ref="F76:K76" si="83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62" t="str">
        <f t="shared" si="83"/>
        <v>-</v>
      </c>
      <c r="H76" s="62" t="str">
        <f t="shared" si="83"/>
        <v>-</v>
      </c>
      <c r="I76" s="62" t="str">
        <f t="shared" si="83"/>
        <v>-</v>
      </c>
      <c r="J76" s="62" t="str">
        <f t="shared" si="83"/>
        <v>-</v>
      </c>
      <c r="K76" s="169" t="str">
        <f t="shared" si="83"/>
        <v>-</v>
      </c>
      <c r="L76" s="169" t="str">
        <f t="shared" ref="L76:M76" si="84">IF(AND(OR(L72="-",L72=""),OR(L73="-",L73="")),"-",IF(OR($C74="-",$C74="",$C74="CET"),"-",IF($R$63="not listed","-",IF(NOT(L$5="-"),IF(AND(AND(NOT(L72=0),NOT(L72="-"),NOT(L72="")),AND(NOT(L73="-"),NOT(L73=0),NOT(L73=""))),IF(AND((L72+L73)/2&lt;1*L$5*IF(OR($C74="CET",$C74="-",$C74=""),"-",$C74),L72&lt;1.1*L$5*IF(OR($C74="CET",$C74="-",$C74=""),"-",$C74),L73&lt;1.1*L$5*IF(OR($C74="CET",$C74="-",$C74=""),"-",$C74)),"passed","refused"),IF(IF(OR(L72="-",L72=""),L73,L72)&lt;0.7*L$5*IF(OR($C74="CET",$C74="-",$C74=""),"-",$C74),"passed",IF(IF(OR(L72="-",L72=""),L73,L72)&lt;1.1*IF(OR($C74="CET",$C74="-",$C74=""),"-",$C74)*L$5,"failed","refused"))),"-"))))</f>
        <v>-</v>
      </c>
      <c r="M76" s="169" t="str">
        <f t="shared" si="84"/>
        <v>-</v>
      </c>
      <c r="N76" s="62" t="str">
        <f>IF(AND(OR(N72="-",N72=""),OR(N73="-",N73="")),"-",IF(OR($C74="-",$C74="",$C74="CET"),"-",IF($R$63="not listed","-",IF(NOT(N$5="-"),IF(AND(AND(NOT(N72=0),NOT(N72="-"),NOT(N72="")),AND(NOT(N73="-"),NOT(N73=0),NOT(N73=""))),IF(AND((N72+N73)/2&lt;1*N$5*IF(OR($C74="CET",$C74="-",$C74=""),"-",$C74),N72&lt;1.1*N$5*IF(OR($C74="CET",$C74="-",$C74=""),"-",$C74),N73&lt;1.1*N$5*IF(OR($C74="CET",$C74="-",$C74=""),"-",$C74)),"passed","refused"),IF(IF(OR(N72="-",N72=""),N73,N72)&lt;0.7*N$5*IF(OR($C74="CET",$C74="-",$C74=""),"-",$C74),"passed",IF(IF(OR(N72="-",N72=""),N73,N72)&lt;1.1*IF(OR($C74="CET",$C74="-",$C74=""),"-",$C74)*N$5,"failed","refused"))),"-"))))</f>
        <v>-</v>
      </c>
      <c r="O76" s="749"/>
      <c r="P76" s="750"/>
      <c r="Q76" s="750"/>
      <c r="R76" s="750"/>
      <c r="S76" s="749"/>
      <c r="T76" s="750"/>
      <c r="U76" s="750"/>
      <c r="V76" s="754"/>
      <c r="W76" s="119"/>
      <c r="X76" s="119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BC76" s="155" t="str">
        <f t="shared" si="13"/>
        <v>-</v>
      </c>
      <c r="BD76" s="151" t="str">
        <f>"0.7*IEF " &amp; B82</f>
        <v>0.7*IEF Drive Mode 4</v>
      </c>
      <c r="BE76" s="153">
        <f>IF(OR($C84="-",$C84="CET",$C84=""),"-",0.7*$C84)</f>
        <v>0.7</v>
      </c>
      <c r="BF76" s="153">
        <f t="shared" ref="BF76:BL76" si="85">IF(OR($C84="-",$C84="CET",$C84=""),"-",0.7*$C84)</f>
        <v>0.7</v>
      </c>
      <c r="BG76" s="153">
        <f t="shared" si="85"/>
        <v>0.7</v>
      </c>
      <c r="BH76" s="153">
        <f t="shared" si="85"/>
        <v>0.7</v>
      </c>
      <c r="BI76" s="153">
        <f t="shared" si="85"/>
        <v>0.7</v>
      </c>
      <c r="BJ76" s="153">
        <f t="shared" si="85"/>
        <v>0.7</v>
      </c>
      <c r="BK76" s="153">
        <f t="shared" ref="BK76" si="86">IF(OR($C84="-",$C84="CET",$C84=""),"-",0.7*$C84)</f>
        <v>0.7</v>
      </c>
      <c r="BL76" s="153">
        <f t="shared" si="85"/>
        <v>0.7</v>
      </c>
    </row>
    <row r="77" spans="1:73" ht="15" customHeight="1" outlineLevel="1" x14ac:dyDescent="0.25">
      <c r="A77" s="40"/>
      <c r="B77" s="775" t="s">
        <v>123</v>
      </c>
      <c r="C77" s="770" t="s">
        <v>114</v>
      </c>
      <c r="D77" s="770" t="s">
        <v>113</v>
      </c>
      <c r="E77" s="106" t="s">
        <v>94</v>
      </c>
      <c r="F77" s="98" t="s">
        <v>5</v>
      </c>
      <c r="G77" s="98" t="s">
        <v>5</v>
      </c>
      <c r="H77" s="98" t="s">
        <v>5</v>
      </c>
      <c r="I77" s="98" t="s">
        <v>5</v>
      </c>
      <c r="J77" s="98" t="s">
        <v>5</v>
      </c>
      <c r="K77" s="165" t="s">
        <v>5</v>
      </c>
      <c r="L77" s="165" t="s">
        <v>5</v>
      </c>
      <c r="M77" s="165" t="s">
        <v>5</v>
      </c>
      <c r="N77" s="98" t="s">
        <v>5</v>
      </c>
      <c r="O77" s="749"/>
      <c r="P77" s="750"/>
      <c r="Q77" s="750"/>
      <c r="R77" s="750"/>
      <c r="S77" s="749"/>
      <c r="T77" s="750"/>
      <c r="U77" s="750"/>
      <c r="V77" s="754"/>
      <c r="W77" s="119"/>
      <c r="X77" s="119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BC77" s="155" t="str">
        <f t="shared" si="13"/>
        <v>-</v>
      </c>
      <c r="BD77" s="151" t="str">
        <f>"0.7*IEF " &amp; B87</f>
        <v>0.7*IEF Drive Mode 5</v>
      </c>
      <c r="BE77" s="153">
        <f>IF(OR($C89="-",$C89="CET",$C89=""),"-",0.7*$C89)</f>
        <v>0.7</v>
      </c>
      <c r="BF77" s="153">
        <f t="shared" ref="BF77:BL77" si="87">IF(OR($C89="-",$C89="CET",$C89=""),"-",0.7*$C89)</f>
        <v>0.7</v>
      </c>
      <c r="BG77" s="153">
        <f t="shared" si="87"/>
        <v>0.7</v>
      </c>
      <c r="BH77" s="153">
        <f t="shared" si="87"/>
        <v>0.7</v>
      </c>
      <c r="BI77" s="153">
        <f t="shared" si="87"/>
        <v>0.7</v>
      </c>
      <c r="BJ77" s="153">
        <f t="shared" si="87"/>
        <v>0.7</v>
      </c>
      <c r="BK77" s="153">
        <f t="shared" ref="BK77" si="88">IF(OR($C89="-",$C89="CET",$C89=""),"-",0.7*$C89)</f>
        <v>0.7</v>
      </c>
      <c r="BL77" s="153">
        <f t="shared" si="87"/>
        <v>0.7</v>
      </c>
    </row>
    <row r="78" spans="1:73" s="50" customFormat="1" ht="15" customHeight="1" outlineLevel="1" thickBot="1" x14ac:dyDescent="0.3">
      <c r="A78" s="52"/>
      <c r="B78" s="776"/>
      <c r="C78" s="741"/>
      <c r="D78" s="742"/>
      <c r="E78" s="104" t="s">
        <v>95</v>
      </c>
      <c r="F78" s="97" t="s">
        <v>5</v>
      </c>
      <c r="G78" s="97" t="s">
        <v>5</v>
      </c>
      <c r="H78" s="97" t="s">
        <v>5</v>
      </c>
      <c r="I78" s="97" t="s">
        <v>5</v>
      </c>
      <c r="J78" s="97" t="s">
        <v>5</v>
      </c>
      <c r="K78" s="166" t="s">
        <v>5</v>
      </c>
      <c r="L78" s="166" t="s">
        <v>5</v>
      </c>
      <c r="M78" s="166" t="s">
        <v>5</v>
      </c>
      <c r="N78" s="97" t="s">
        <v>5</v>
      </c>
      <c r="O78" s="749"/>
      <c r="P78" s="750"/>
      <c r="Q78" s="750"/>
      <c r="R78" s="750"/>
      <c r="S78" s="749"/>
      <c r="T78" s="750"/>
      <c r="U78" s="750"/>
      <c r="V78" s="754"/>
      <c r="W78" s="51"/>
      <c r="X78" s="51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BC78" s="155" t="str">
        <f t="shared" si="13"/>
        <v>-</v>
      </c>
      <c r="BD78" s="151" t="str">
        <f>"0.7*IEF " &amp; B92</f>
        <v>0.7*IEF Drive Mode 6</v>
      </c>
      <c r="BE78" s="153">
        <f>IF(OR($C94="-",$C94="CET",$C94=""),"-",0.7*$C94)</f>
        <v>0.7</v>
      </c>
      <c r="BF78" s="153">
        <f t="shared" ref="BF78:BL78" si="89">IF(OR($C94="-",$C94="CET",$C94=""),"-",0.7*$C94)</f>
        <v>0.7</v>
      </c>
      <c r="BG78" s="153">
        <f t="shared" si="89"/>
        <v>0.7</v>
      </c>
      <c r="BH78" s="153">
        <f t="shared" si="89"/>
        <v>0.7</v>
      </c>
      <c r="BI78" s="153">
        <f t="shared" si="89"/>
        <v>0.7</v>
      </c>
      <c r="BJ78" s="153">
        <f t="shared" si="89"/>
        <v>0.7</v>
      </c>
      <c r="BK78" s="153">
        <f t="shared" ref="BK78" si="90">IF(OR($C94="-",$C94="CET",$C94=""),"-",0.7*$C94)</f>
        <v>0.7</v>
      </c>
      <c r="BL78" s="153">
        <f t="shared" si="89"/>
        <v>0.7</v>
      </c>
      <c r="BM78" s="150"/>
      <c r="BN78" s="150"/>
      <c r="BO78" s="150"/>
      <c r="BP78" s="150"/>
      <c r="BQ78" s="150"/>
      <c r="BR78" s="150"/>
      <c r="BS78" s="150"/>
      <c r="BT78" s="150"/>
      <c r="BU78" s="150"/>
    </row>
    <row r="79" spans="1:73" ht="15" customHeight="1" outlineLevel="1" thickBot="1" x14ac:dyDescent="0.3">
      <c r="A79" s="40"/>
      <c r="B79" s="776"/>
      <c r="C79" s="764">
        <v>1</v>
      </c>
      <c r="D79" s="772" t="str">
        <f>IF(AND(F80="-",G80="-",H80="-",I80="-",J80="-",K80="-",K80="-",L80="-"),"-",MAX(F80,G80,H80,I80,J80,K80,L80,M80))</f>
        <v>-</v>
      </c>
      <c r="E79" s="66" t="s">
        <v>177</v>
      </c>
      <c r="F79" s="65" t="str">
        <f t="shared" ref="F79:N79" si="91">IF(OR(F78="-",F78=""),IF(OR(F77="-",F77=""),"-",F77),IF(OR(F77="-",F77=""),F78,(F77+F78)/2))</f>
        <v>-</v>
      </c>
      <c r="G79" s="65" t="str">
        <f t="shared" si="91"/>
        <v>-</v>
      </c>
      <c r="H79" s="65" t="str">
        <f t="shared" si="91"/>
        <v>-</v>
      </c>
      <c r="I79" s="65" t="str">
        <f t="shared" si="91"/>
        <v>-</v>
      </c>
      <c r="J79" s="65" t="str">
        <f t="shared" si="91"/>
        <v>-</v>
      </c>
      <c r="K79" s="167" t="str">
        <f t="shared" si="91"/>
        <v>-</v>
      </c>
      <c r="L79" s="167" t="str">
        <f t="shared" ref="L79:M79" si="92">IF(OR(L78="-",L78=""),IF(OR(L77="-",L77=""),"-",L77),IF(OR(L77="-",L77=""),L78,(L77+L78)/2))</f>
        <v>-</v>
      </c>
      <c r="M79" s="167" t="str">
        <f t="shared" si="92"/>
        <v>-</v>
      </c>
      <c r="N79" s="65" t="str">
        <f t="shared" si="91"/>
        <v>-</v>
      </c>
      <c r="O79" s="749"/>
      <c r="P79" s="750"/>
      <c r="Q79" s="750"/>
      <c r="R79" s="750"/>
      <c r="S79" s="749"/>
      <c r="T79" s="750"/>
      <c r="U79" s="750"/>
      <c r="V79" s="754"/>
      <c r="W79" s="119"/>
      <c r="X79" s="119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BC79" s="155" t="str">
        <f t="shared" si="13"/>
        <v>-</v>
      </c>
      <c r="BD79" s="151" t="str">
        <f>$B67</f>
        <v>Drive Mode 1</v>
      </c>
      <c r="BE79" s="153" t="str">
        <f t="shared" ref="BE79:BK79" si="93">F70</f>
        <v>-</v>
      </c>
      <c r="BF79" s="153" t="str">
        <f t="shared" si="93"/>
        <v>-</v>
      </c>
      <c r="BG79" s="153" t="str">
        <f t="shared" si="93"/>
        <v>-</v>
      </c>
      <c r="BH79" s="153" t="str">
        <f t="shared" si="93"/>
        <v>-</v>
      </c>
      <c r="BI79" s="153" t="str">
        <f t="shared" si="93"/>
        <v>-</v>
      </c>
      <c r="BJ79" s="153" t="str">
        <f t="shared" si="93"/>
        <v>-</v>
      </c>
      <c r="BK79" s="153" t="str">
        <f t="shared" si="93"/>
        <v>-</v>
      </c>
      <c r="BL79" s="153" t="str">
        <f t="shared" ref="BL79" si="94">N70</f>
        <v>-</v>
      </c>
    </row>
    <row r="80" spans="1:73" ht="15" customHeight="1" outlineLevel="1" thickBot="1" x14ac:dyDescent="0.3">
      <c r="A80" s="40"/>
      <c r="B80" s="776"/>
      <c r="C80" s="765"/>
      <c r="D80" s="773"/>
      <c r="E80" s="64" t="s">
        <v>97</v>
      </c>
      <c r="F80" s="63" t="str">
        <f t="shared" ref="F80:N80" si="95">IF(OR($C79="-",$C79="CET",$C79=""),"-",IF(AND(NOT(F79="-"),NOT(F$5="-"),NOT(F$5="")),F79/F$5,"-"))</f>
        <v>-</v>
      </c>
      <c r="G80" s="63" t="str">
        <f t="shared" si="95"/>
        <v>-</v>
      </c>
      <c r="H80" s="63" t="str">
        <f t="shared" si="95"/>
        <v>-</v>
      </c>
      <c r="I80" s="63" t="str">
        <f t="shared" si="95"/>
        <v>-</v>
      </c>
      <c r="J80" s="63" t="str">
        <f t="shared" si="95"/>
        <v>-</v>
      </c>
      <c r="K80" s="168" t="str">
        <f t="shared" si="95"/>
        <v>-</v>
      </c>
      <c r="L80" s="168" t="str">
        <f t="shared" ref="L80:M80" si="96">IF(OR($C79="-",$C79="CET",$C79=""),"-",IF(AND(NOT(L79="-"),NOT(L$5="-"),NOT(L$5="")),L79/L$5,"-"))</f>
        <v>-</v>
      </c>
      <c r="M80" s="168" t="str">
        <f t="shared" si="96"/>
        <v>-</v>
      </c>
      <c r="N80" s="63" t="str">
        <f t="shared" si="95"/>
        <v>-</v>
      </c>
      <c r="O80" s="749"/>
      <c r="P80" s="750"/>
      <c r="Q80" s="750"/>
      <c r="R80" s="750"/>
      <c r="S80" s="749"/>
      <c r="T80" s="750"/>
      <c r="U80" s="750"/>
      <c r="V80" s="754"/>
      <c r="W80" s="119"/>
      <c r="X80" s="119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BC80" s="155" t="str">
        <f t="shared" si="13"/>
        <v>-</v>
      </c>
      <c r="BD80" s="151" t="str">
        <f>$B72</f>
        <v>Drive Mode 2</v>
      </c>
      <c r="BE80" s="153" t="str">
        <f t="shared" ref="BE80:BK80" si="97">F75</f>
        <v>-</v>
      </c>
      <c r="BF80" s="153" t="str">
        <f t="shared" si="97"/>
        <v>-</v>
      </c>
      <c r="BG80" s="153" t="str">
        <f t="shared" si="97"/>
        <v>-</v>
      </c>
      <c r="BH80" s="153" t="str">
        <f t="shared" si="97"/>
        <v>-</v>
      </c>
      <c r="BI80" s="153" t="str">
        <f t="shared" si="97"/>
        <v>-</v>
      </c>
      <c r="BJ80" s="153" t="str">
        <f t="shared" si="97"/>
        <v>-</v>
      </c>
      <c r="BK80" s="153" t="str">
        <f t="shared" si="97"/>
        <v>-</v>
      </c>
      <c r="BL80" s="153" t="str">
        <f t="shared" ref="BL80" si="98">N75</f>
        <v>-</v>
      </c>
    </row>
    <row r="81" spans="1:73" ht="15" customHeight="1" outlineLevel="1" thickBot="1" x14ac:dyDescent="0.3">
      <c r="A81" s="40"/>
      <c r="B81" s="777"/>
      <c r="C81" s="771"/>
      <c r="D81" s="774"/>
      <c r="E81" s="62" t="s">
        <v>30</v>
      </c>
      <c r="F81" s="62" t="str">
        <f t="shared" ref="F81:K81" si="99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62" t="str">
        <f t="shared" si="99"/>
        <v>-</v>
      </c>
      <c r="H81" s="62" t="str">
        <f t="shared" si="99"/>
        <v>-</v>
      </c>
      <c r="I81" s="62" t="str">
        <f t="shared" si="99"/>
        <v>-</v>
      </c>
      <c r="J81" s="62" t="str">
        <f t="shared" si="99"/>
        <v>-</v>
      </c>
      <c r="K81" s="169" t="str">
        <f t="shared" si="99"/>
        <v>-</v>
      </c>
      <c r="L81" s="169" t="str">
        <f t="shared" ref="L81:M81" si="100">IF(AND(OR(L77="-",L77=""),OR(L78="-",L78="")),"-",IF(OR($C79="-",$C79="",$C79="CET"),"-",IF($R$63="not listed","-",IF(NOT(L$5="-"),IF(AND(AND(NOT(L77=0),NOT(L77="-"),NOT(L77="")),AND(NOT(L78="-"),NOT(L78=0),NOT(L78=""))),IF(AND((L77+L78)/2&lt;1*L$5*IF(OR($C79="CET",$C79="-",$C79=""),"-",$C79),L77&lt;1.1*L$5*IF(OR($C79="CET",$C79="-",$C79=""),"-",$C79),L78&lt;1.1*L$5*IF(OR($C79="CET",$C79="-",$C79=""),"-",$C79)),"passed","refused"),IF(IF(OR(L77="-",L77=""),L78,L77)&lt;0.7*L$5*IF(OR($C79="CET",$C79="-",$C79=""),"-",$C79),"passed",IF(IF(OR(L77="-",L77=""),L78,L77)&lt;1.1*IF(OR($C79="CET",$C79="-",$C79=""),"-",$C79)*L$5,"failed","refused"))),"-"))))</f>
        <v>-</v>
      </c>
      <c r="M81" s="169" t="str">
        <f t="shared" si="100"/>
        <v>-</v>
      </c>
      <c r="N81" s="62" t="str">
        <f>IF(AND(OR(N77="-",N77=""),OR(N78="-",N78="")),"-",IF(OR($C79="-",$C79="",$C79="CET"),"-",IF($R$63="not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749"/>
      <c r="P81" s="750"/>
      <c r="Q81" s="750"/>
      <c r="R81" s="750"/>
      <c r="S81" s="749"/>
      <c r="T81" s="750"/>
      <c r="U81" s="750"/>
      <c r="V81" s="754"/>
      <c r="W81" s="119"/>
      <c r="X81" s="119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BC81" s="155" t="str">
        <f t="shared" si="13"/>
        <v>-</v>
      </c>
      <c r="BD81" s="151" t="str">
        <f>$B77</f>
        <v>Drive Mode 3</v>
      </c>
      <c r="BE81" s="153" t="str">
        <f t="shared" ref="BE81:BK81" si="101">F80</f>
        <v>-</v>
      </c>
      <c r="BF81" s="153" t="str">
        <f t="shared" si="101"/>
        <v>-</v>
      </c>
      <c r="BG81" s="153" t="str">
        <f t="shared" si="101"/>
        <v>-</v>
      </c>
      <c r="BH81" s="153" t="str">
        <f t="shared" si="101"/>
        <v>-</v>
      </c>
      <c r="BI81" s="153" t="str">
        <f t="shared" si="101"/>
        <v>-</v>
      </c>
      <c r="BJ81" s="153" t="str">
        <f t="shared" si="101"/>
        <v>-</v>
      </c>
      <c r="BK81" s="153" t="str">
        <f t="shared" si="101"/>
        <v>-</v>
      </c>
      <c r="BL81" s="153" t="str">
        <f t="shared" ref="BL81" si="102">N80</f>
        <v>-</v>
      </c>
    </row>
    <row r="82" spans="1:73" ht="15" customHeight="1" outlineLevel="1" x14ac:dyDescent="0.25">
      <c r="A82" s="40"/>
      <c r="B82" s="775" t="s">
        <v>122</v>
      </c>
      <c r="C82" s="770" t="s">
        <v>114</v>
      </c>
      <c r="D82" s="770" t="s">
        <v>113</v>
      </c>
      <c r="E82" s="106" t="s">
        <v>94</v>
      </c>
      <c r="F82" s="98" t="s">
        <v>5</v>
      </c>
      <c r="G82" s="98" t="s">
        <v>5</v>
      </c>
      <c r="H82" s="98" t="s">
        <v>5</v>
      </c>
      <c r="I82" s="98" t="s">
        <v>5</v>
      </c>
      <c r="J82" s="98" t="s">
        <v>5</v>
      </c>
      <c r="K82" s="165" t="s">
        <v>5</v>
      </c>
      <c r="L82" s="165" t="s">
        <v>5</v>
      </c>
      <c r="M82" s="165" t="s">
        <v>5</v>
      </c>
      <c r="N82" s="98" t="s">
        <v>5</v>
      </c>
      <c r="O82" s="749"/>
      <c r="P82" s="750"/>
      <c r="Q82" s="750"/>
      <c r="R82" s="750"/>
      <c r="S82" s="749"/>
      <c r="T82" s="750"/>
      <c r="U82" s="750"/>
      <c r="V82" s="754"/>
      <c r="W82" s="119"/>
      <c r="X82" s="119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BC82" s="155" t="str">
        <f t="shared" si="13"/>
        <v>-</v>
      </c>
      <c r="BD82" s="151" t="str">
        <f>$B82</f>
        <v>Drive Mode 4</v>
      </c>
      <c r="BE82" s="153" t="str">
        <f t="shared" ref="BE82:BK82" si="103">F85</f>
        <v>-</v>
      </c>
      <c r="BF82" s="153" t="str">
        <f t="shared" si="103"/>
        <v>-</v>
      </c>
      <c r="BG82" s="153" t="str">
        <f t="shared" si="103"/>
        <v>-</v>
      </c>
      <c r="BH82" s="153" t="str">
        <f t="shared" si="103"/>
        <v>-</v>
      </c>
      <c r="BI82" s="153" t="str">
        <f t="shared" si="103"/>
        <v>-</v>
      </c>
      <c r="BJ82" s="153" t="str">
        <f t="shared" si="103"/>
        <v>-</v>
      </c>
      <c r="BK82" s="153" t="str">
        <f t="shared" si="103"/>
        <v>-</v>
      </c>
      <c r="BL82" s="153" t="str">
        <f t="shared" ref="BL82" si="104">N85</f>
        <v>-</v>
      </c>
    </row>
    <row r="83" spans="1:73" s="50" customFormat="1" ht="15" customHeight="1" outlineLevel="1" thickBot="1" x14ac:dyDescent="0.3">
      <c r="A83" s="52"/>
      <c r="B83" s="776"/>
      <c r="C83" s="741"/>
      <c r="D83" s="742"/>
      <c r="E83" s="104" t="s">
        <v>95</v>
      </c>
      <c r="F83" s="97" t="s">
        <v>5</v>
      </c>
      <c r="G83" s="97" t="s">
        <v>5</v>
      </c>
      <c r="H83" s="97" t="s">
        <v>5</v>
      </c>
      <c r="I83" s="97" t="s">
        <v>5</v>
      </c>
      <c r="J83" s="97" t="s">
        <v>5</v>
      </c>
      <c r="K83" s="166" t="s">
        <v>5</v>
      </c>
      <c r="L83" s="166" t="s">
        <v>5</v>
      </c>
      <c r="M83" s="166" t="s">
        <v>5</v>
      </c>
      <c r="N83" s="97" t="s">
        <v>5</v>
      </c>
      <c r="O83" s="749"/>
      <c r="P83" s="750"/>
      <c r="Q83" s="750"/>
      <c r="R83" s="750"/>
      <c r="S83" s="749"/>
      <c r="T83" s="750"/>
      <c r="U83" s="750"/>
      <c r="V83" s="754"/>
      <c r="W83" s="51"/>
      <c r="X83" s="51"/>
      <c r="Y83" s="743"/>
      <c r="Z83" s="743"/>
      <c r="AA83" s="743"/>
      <c r="AB83" s="743"/>
      <c r="AC83" s="743"/>
      <c r="AD83" s="743"/>
      <c r="AE83" s="743"/>
      <c r="AF83" s="743"/>
      <c r="AG83" s="743"/>
      <c r="AH83" s="743"/>
      <c r="BC83" s="155" t="str">
        <f t="shared" si="13"/>
        <v>-</v>
      </c>
      <c r="BD83" s="151" t="str">
        <f>$B87</f>
        <v>Drive Mode 5</v>
      </c>
      <c r="BE83" s="153" t="str">
        <f t="shared" ref="BE83:BK83" si="105">F90</f>
        <v>-</v>
      </c>
      <c r="BF83" s="153" t="str">
        <f t="shared" si="105"/>
        <v>-</v>
      </c>
      <c r="BG83" s="153" t="str">
        <f t="shared" si="105"/>
        <v>-</v>
      </c>
      <c r="BH83" s="153" t="str">
        <f t="shared" si="105"/>
        <v>-</v>
      </c>
      <c r="BI83" s="153" t="str">
        <f t="shared" si="105"/>
        <v>-</v>
      </c>
      <c r="BJ83" s="153" t="str">
        <f t="shared" si="105"/>
        <v>-</v>
      </c>
      <c r="BK83" s="153" t="str">
        <f t="shared" si="105"/>
        <v>-</v>
      </c>
      <c r="BL83" s="153" t="str">
        <f t="shared" ref="BL83" si="106">N90</f>
        <v>-</v>
      </c>
      <c r="BM83" s="150"/>
      <c r="BN83" s="150"/>
      <c r="BO83" s="150"/>
      <c r="BP83" s="150"/>
      <c r="BQ83" s="150"/>
      <c r="BR83" s="150"/>
      <c r="BS83" s="150"/>
      <c r="BT83" s="150"/>
      <c r="BU83" s="150"/>
    </row>
    <row r="84" spans="1:73" ht="15" customHeight="1" outlineLevel="1" thickBot="1" x14ac:dyDescent="0.3">
      <c r="A84" s="40"/>
      <c r="B84" s="776"/>
      <c r="C84" s="764">
        <v>1</v>
      </c>
      <c r="D84" s="772" t="str">
        <f>IF(AND(F85="-",G85="-",H85="-",I85="-",J85="-",K85="-",K85="-",L85="-"),"-",MAX(F85,G85,H85,I85,J85,K85,L85,M85))</f>
        <v>-</v>
      </c>
      <c r="E84" s="66" t="s">
        <v>177</v>
      </c>
      <c r="F84" s="65" t="str">
        <f t="shared" ref="F84:N84" si="107">IF(OR(F83="-",F83=""),IF(OR(F82="-",F82=""),"-",F82),IF(OR(F82="-",F82=""),F83,(F82+F83)/2))</f>
        <v>-</v>
      </c>
      <c r="G84" s="65" t="str">
        <f t="shared" si="107"/>
        <v>-</v>
      </c>
      <c r="H84" s="65" t="str">
        <f t="shared" si="107"/>
        <v>-</v>
      </c>
      <c r="I84" s="65" t="str">
        <f t="shared" si="107"/>
        <v>-</v>
      </c>
      <c r="J84" s="65" t="str">
        <f t="shared" si="107"/>
        <v>-</v>
      </c>
      <c r="K84" s="167" t="str">
        <f t="shared" si="107"/>
        <v>-</v>
      </c>
      <c r="L84" s="167" t="str">
        <f t="shared" ref="L84:M84" si="108">IF(OR(L83="-",L83=""),IF(OR(L82="-",L82=""),"-",L82),IF(OR(L82="-",L82=""),L83,(L82+L83)/2))</f>
        <v>-</v>
      </c>
      <c r="M84" s="167" t="str">
        <f t="shared" si="108"/>
        <v>-</v>
      </c>
      <c r="N84" s="65" t="str">
        <f t="shared" si="107"/>
        <v>-</v>
      </c>
      <c r="O84" s="749"/>
      <c r="P84" s="750"/>
      <c r="Q84" s="750"/>
      <c r="R84" s="750"/>
      <c r="S84" s="749"/>
      <c r="T84" s="750"/>
      <c r="U84" s="750"/>
      <c r="V84" s="754"/>
      <c r="W84" s="119"/>
      <c r="X84" s="119"/>
      <c r="Y84" s="743"/>
      <c r="Z84" s="743"/>
      <c r="AA84" s="743"/>
      <c r="AB84" s="743"/>
      <c r="AC84" s="743"/>
      <c r="AD84" s="743"/>
      <c r="AE84" s="743"/>
      <c r="AF84" s="743"/>
      <c r="AG84" s="743"/>
      <c r="AH84" s="743"/>
      <c r="BC84" s="155" t="str">
        <f t="shared" si="13"/>
        <v>-</v>
      </c>
      <c r="BD84" s="151" t="str">
        <f>$B92</f>
        <v>Drive Mode 6</v>
      </c>
      <c r="BE84" s="153" t="str">
        <f t="shared" ref="BE84:BK84" si="109">F95</f>
        <v>-</v>
      </c>
      <c r="BF84" s="153" t="str">
        <f t="shared" si="109"/>
        <v>-</v>
      </c>
      <c r="BG84" s="153" t="str">
        <f t="shared" si="109"/>
        <v>-</v>
      </c>
      <c r="BH84" s="153" t="str">
        <f t="shared" si="109"/>
        <v>-</v>
      </c>
      <c r="BI84" s="153" t="str">
        <f t="shared" si="109"/>
        <v>-</v>
      </c>
      <c r="BJ84" s="153" t="str">
        <f t="shared" si="109"/>
        <v>-</v>
      </c>
      <c r="BK84" s="153" t="str">
        <f t="shared" si="109"/>
        <v>-</v>
      </c>
      <c r="BL84" s="153" t="str">
        <f t="shared" ref="BL84" si="110">N95</f>
        <v>-</v>
      </c>
    </row>
    <row r="85" spans="1:73" ht="15" customHeight="1" outlineLevel="1" thickBot="1" x14ac:dyDescent="0.3">
      <c r="A85" s="40"/>
      <c r="B85" s="776"/>
      <c r="C85" s="765"/>
      <c r="D85" s="773"/>
      <c r="E85" s="64" t="s">
        <v>97</v>
      </c>
      <c r="F85" s="63" t="str">
        <f t="shared" ref="F85:N85" si="111">IF(OR($C84="-",$C84="CET",$C84=""),"-",IF(AND(NOT(F84="-"),NOT(F$5="-"),NOT(F$5="")),F84/F$5,"-"))</f>
        <v>-</v>
      </c>
      <c r="G85" s="63" t="str">
        <f t="shared" si="111"/>
        <v>-</v>
      </c>
      <c r="H85" s="63" t="str">
        <f t="shared" si="111"/>
        <v>-</v>
      </c>
      <c r="I85" s="63" t="str">
        <f t="shared" si="111"/>
        <v>-</v>
      </c>
      <c r="J85" s="63" t="str">
        <f t="shared" si="111"/>
        <v>-</v>
      </c>
      <c r="K85" s="168" t="str">
        <f t="shared" si="111"/>
        <v>-</v>
      </c>
      <c r="L85" s="168" t="str">
        <f t="shared" ref="L85:M85" si="112">IF(OR($C84="-",$C84="CET",$C84=""),"-",IF(AND(NOT(L84="-"),NOT(L$5="-"),NOT(L$5="")),L84/L$5,"-"))</f>
        <v>-</v>
      </c>
      <c r="M85" s="168" t="str">
        <f t="shared" si="112"/>
        <v>-</v>
      </c>
      <c r="N85" s="63" t="str">
        <f t="shared" si="111"/>
        <v>-</v>
      </c>
      <c r="O85" s="749"/>
      <c r="P85" s="750"/>
      <c r="Q85" s="750"/>
      <c r="R85" s="750"/>
      <c r="S85" s="749"/>
      <c r="T85" s="750"/>
      <c r="U85" s="750"/>
      <c r="V85" s="754"/>
      <c r="W85" s="119"/>
      <c r="X85" s="119"/>
      <c r="Y85" s="743"/>
      <c r="Z85" s="743"/>
      <c r="AA85" s="743"/>
      <c r="AB85" s="743"/>
      <c r="AC85" s="743"/>
      <c r="AD85" s="743"/>
      <c r="AE85" s="743"/>
      <c r="AF85" s="743"/>
      <c r="AG85" s="743"/>
      <c r="AH85" s="743"/>
      <c r="BC85" s="155" t="str">
        <f t="shared" si="13"/>
        <v>-</v>
      </c>
      <c r="BD85" s="151" t="str">
        <f>"IEF " &amp;B67</f>
        <v>IEF Drive Mode 1</v>
      </c>
      <c r="BE85" s="153">
        <f>IF(OR($C69="CET",$C69="-",$C69=""),"-",$C69)</f>
        <v>1</v>
      </c>
      <c r="BF85" s="153">
        <f t="shared" ref="BF85:BL85" si="113">IF(OR($C69="CET",$C69="-",$C69=""),"-",$C69)</f>
        <v>1</v>
      </c>
      <c r="BG85" s="153">
        <f t="shared" si="113"/>
        <v>1</v>
      </c>
      <c r="BH85" s="153">
        <f t="shared" si="113"/>
        <v>1</v>
      </c>
      <c r="BI85" s="153">
        <f t="shared" si="113"/>
        <v>1</v>
      </c>
      <c r="BJ85" s="153">
        <f t="shared" si="113"/>
        <v>1</v>
      </c>
      <c r="BK85" s="153">
        <f t="shared" ref="BK85" si="114">IF(OR($C69="CET",$C69="-",$C69=""),"-",$C69)</f>
        <v>1</v>
      </c>
      <c r="BL85" s="153">
        <f t="shared" si="113"/>
        <v>1</v>
      </c>
    </row>
    <row r="86" spans="1:73" ht="15" customHeight="1" outlineLevel="1" thickBot="1" x14ac:dyDescent="0.3">
      <c r="A86" s="40"/>
      <c r="B86" s="777"/>
      <c r="C86" s="771"/>
      <c r="D86" s="774"/>
      <c r="E86" s="62" t="s">
        <v>30</v>
      </c>
      <c r="F86" s="62" t="str">
        <f t="shared" ref="F86:K86" si="115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62" t="str">
        <f t="shared" si="115"/>
        <v>-</v>
      </c>
      <c r="H86" s="62" t="str">
        <f t="shared" si="115"/>
        <v>-</v>
      </c>
      <c r="I86" s="62" t="str">
        <f t="shared" si="115"/>
        <v>-</v>
      </c>
      <c r="J86" s="62" t="str">
        <f t="shared" si="115"/>
        <v>-</v>
      </c>
      <c r="K86" s="169" t="str">
        <f t="shared" si="115"/>
        <v>-</v>
      </c>
      <c r="L86" s="169" t="str">
        <f t="shared" ref="L86:M86" si="116">IF(AND(OR(L82="-",L82=""),OR(L83="-",L83="")),"-",IF(OR($C84="-",$C84="",$C84="CET"),"-",IF($R$63="not listed","-",IF(NOT(L$5="-"),IF(AND(AND(NOT(L82=0),NOT(L82="-"),NOT(L82="")),AND(NOT(L83="-"),NOT(L83=0),NOT(L83=""))),IF(AND((L82+L83)/2&lt;1*L$5*IF(OR($C84="CET",$C84="-",$C84=""),"-",$C84),L82&lt;1.1*L$5*IF(OR($C84="CET",$C84="-",$C84=""),"-",$C84),L83&lt;1.1*L$5*IF(OR($C84="CET",$C84="-",$C84=""),"-",$C84)),"passed","refused"),IF(IF(OR(L82="-",L82=""),L83,L82)&lt;0.7*L$5*IF(OR($C84="CET",$C84="-",$C84=""),"-",$C84),"passed",IF(IF(OR(L82="-",L82=""),L83,L82)&lt;1.1*IF(OR($C84="CET",$C84="-",$C84=""),"-",$C84)*L$5,"failed","refused"))),"-"))))</f>
        <v>-</v>
      </c>
      <c r="M86" s="169" t="str">
        <f t="shared" si="116"/>
        <v>-</v>
      </c>
      <c r="N86" s="62" t="str">
        <f>IF(AND(OR(N82="-",N82=""),OR(N83="-",N83="")),"-",IF(OR($C84="-",$C84="",$C84="CET"),"-",IF($R$63="not listed","-",IF(NOT(N$5="-"),IF(AND(AND(NOT(N82=0),NOT(N82="-"),NOT(N82="")),AND(NOT(N83="-"),NOT(N83=0),NOT(N83=""))),IF(AND((N82+N83)/2&lt;1*N$5*IF(OR($C84="CET",$C84="-",$C84=""),"-",$C84),N82&lt;1.1*N$5*IF(OR($C84="CET",$C84="-",$C84=""),"-",$C84),N83&lt;1.1*N$5*IF(OR($C84="CET",$C84="-",$C84=""),"-",$C84)),"passed","refused"),IF(IF(OR(N82="-",N82=""),N83,N82)&lt;0.7*N$5*IF(OR($C84="CET",$C84="-",$C84=""),"-",$C84),"passed",IF(IF(OR(N82="-",N82=""),N83,N82)&lt;1.1*IF(OR($C84="CET",$C84="-",$C84=""),"-",$C84)*N$5,"failed","refused"))),"-"))))</f>
        <v>-</v>
      </c>
      <c r="O86" s="749"/>
      <c r="P86" s="750"/>
      <c r="Q86" s="750"/>
      <c r="R86" s="750"/>
      <c r="S86" s="749"/>
      <c r="T86" s="750"/>
      <c r="U86" s="750"/>
      <c r="V86" s="754"/>
      <c r="W86" s="119"/>
      <c r="X86" s="119"/>
      <c r="Y86" s="743"/>
      <c r="Z86" s="743"/>
      <c r="AA86" s="743"/>
      <c r="AB86" s="743"/>
      <c r="AC86" s="743"/>
      <c r="AD86" s="743"/>
      <c r="AE86" s="743"/>
      <c r="AF86" s="743"/>
      <c r="AG86" s="743"/>
      <c r="AH86" s="743"/>
      <c r="BC86" s="155" t="str">
        <f t="shared" si="13"/>
        <v>-</v>
      </c>
      <c r="BD86" s="151" t="str">
        <f>"IEF " &amp; B72</f>
        <v>IEF Drive Mode 2</v>
      </c>
      <c r="BE86" s="153">
        <f>IF(OR($C74="CET",$C74="-",$C74=""),"-",$C74)</f>
        <v>1</v>
      </c>
      <c r="BF86" s="153">
        <f t="shared" ref="BF86:BL86" si="117">IF(OR($C74="CET",$C74="-",$C74=""),"-",$C74)</f>
        <v>1</v>
      </c>
      <c r="BG86" s="153">
        <f t="shared" si="117"/>
        <v>1</v>
      </c>
      <c r="BH86" s="153">
        <f t="shared" si="117"/>
        <v>1</v>
      </c>
      <c r="BI86" s="153">
        <f t="shared" si="117"/>
        <v>1</v>
      </c>
      <c r="BJ86" s="153">
        <f t="shared" si="117"/>
        <v>1</v>
      </c>
      <c r="BK86" s="153">
        <f t="shared" ref="BK86" si="118">IF(OR($C74="CET",$C74="-",$C74=""),"-",$C74)</f>
        <v>1</v>
      </c>
      <c r="BL86" s="153">
        <f t="shared" si="117"/>
        <v>1</v>
      </c>
    </row>
    <row r="87" spans="1:73" ht="15" customHeight="1" outlineLevel="1" x14ac:dyDescent="0.25">
      <c r="A87" s="40"/>
      <c r="B87" s="775" t="s">
        <v>121</v>
      </c>
      <c r="C87" s="770" t="s">
        <v>114</v>
      </c>
      <c r="D87" s="770" t="s">
        <v>113</v>
      </c>
      <c r="E87" s="106" t="s">
        <v>94</v>
      </c>
      <c r="F87" s="98" t="s">
        <v>5</v>
      </c>
      <c r="G87" s="98" t="s">
        <v>5</v>
      </c>
      <c r="H87" s="98" t="s">
        <v>5</v>
      </c>
      <c r="I87" s="98" t="s">
        <v>5</v>
      </c>
      <c r="J87" s="98" t="s">
        <v>5</v>
      </c>
      <c r="K87" s="165" t="s">
        <v>5</v>
      </c>
      <c r="L87" s="165" t="s">
        <v>5</v>
      </c>
      <c r="M87" s="165" t="s">
        <v>5</v>
      </c>
      <c r="N87" s="98" t="s">
        <v>5</v>
      </c>
      <c r="O87" s="749"/>
      <c r="P87" s="750"/>
      <c r="Q87" s="750"/>
      <c r="R87" s="750"/>
      <c r="S87" s="749"/>
      <c r="T87" s="750"/>
      <c r="U87" s="750"/>
      <c r="V87" s="754"/>
      <c r="W87" s="119"/>
      <c r="X87" s="119"/>
      <c r="Y87" s="743"/>
      <c r="Z87" s="743"/>
      <c r="AA87" s="743"/>
      <c r="AB87" s="743"/>
      <c r="AC87" s="743"/>
      <c r="AD87" s="743"/>
      <c r="AE87" s="743"/>
      <c r="AF87" s="743"/>
      <c r="AG87" s="743"/>
      <c r="AH87" s="743"/>
      <c r="BC87" s="155" t="str">
        <f t="shared" si="13"/>
        <v>-</v>
      </c>
      <c r="BD87" s="151" t="str">
        <f>"IEF " &amp; B77</f>
        <v>IEF Drive Mode 3</v>
      </c>
      <c r="BE87" s="153">
        <f>IF(OR($C79="CET",$C79="-",$C79=""),"-",$C79)</f>
        <v>1</v>
      </c>
      <c r="BF87" s="153">
        <f t="shared" ref="BF87:BL87" si="119">IF(OR($C79="CET",$C79="-",$C79=""),"-",$C79)</f>
        <v>1</v>
      </c>
      <c r="BG87" s="153">
        <f t="shared" si="119"/>
        <v>1</v>
      </c>
      <c r="BH87" s="153">
        <f t="shared" si="119"/>
        <v>1</v>
      </c>
      <c r="BI87" s="153">
        <f t="shared" si="119"/>
        <v>1</v>
      </c>
      <c r="BJ87" s="153">
        <f t="shared" si="119"/>
        <v>1</v>
      </c>
      <c r="BK87" s="153">
        <f t="shared" ref="BK87" si="120">IF(OR($C79="CET",$C79="-",$C79=""),"-",$C79)</f>
        <v>1</v>
      </c>
      <c r="BL87" s="153">
        <f t="shared" si="119"/>
        <v>1</v>
      </c>
    </row>
    <row r="88" spans="1:73" s="50" customFormat="1" ht="15" customHeight="1" outlineLevel="1" thickBot="1" x14ac:dyDescent="0.3">
      <c r="A88" s="52"/>
      <c r="B88" s="776"/>
      <c r="C88" s="741"/>
      <c r="D88" s="742"/>
      <c r="E88" s="104" t="s">
        <v>95</v>
      </c>
      <c r="F88" s="97" t="s">
        <v>5</v>
      </c>
      <c r="G88" s="97" t="s">
        <v>5</v>
      </c>
      <c r="H88" s="97" t="s">
        <v>5</v>
      </c>
      <c r="I88" s="97" t="s">
        <v>5</v>
      </c>
      <c r="J88" s="97" t="s">
        <v>5</v>
      </c>
      <c r="K88" s="166" t="s">
        <v>5</v>
      </c>
      <c r="L88" s="166" t="s">
        <v>5</v>
      </c>
      <c r="M88" s="166" t="s">
        <v>5</v>
      </c>
      <c r="N88" s="97" t="s">
        <v>5</v>
      </c>
      <c r="O88" s="749"/>
      <c r="P88" s="750"/>
      <c r="Q88" s="750"/>
      <c r="R88" s="750"/>
      <c r="S88" s="749"/>
      <c r="T88" s="750"/>
      <c r="U88" s="750"/>
      <c r="V88" s="754"/>
      <c r="W88" s="51"/>
      <c r="X88" s="51"/>
      <c r="Y88" s="743"/>
      <c r="Z88" s="743"/>
      <c r="AA88" s="743"/>
      <c r="AB88" s="743"/>
      <c r="AC88" s="743"/>
      <c r="AD88" s="743"/>
      <c r="AE88" s="743"/>
      <c r="AF88" s="743"/>
      <c r="AG88" s="743"/>
      <c r="AH88" s="743"/>
      <c r="BC88" s="155" t="str">
        <f t="shared" si="13"/>
        <v>-</v>
      </c>
      <c r="BD88" s="151" t="str">
        <f>"IEF " &amp; B82</f>
        <v>IEF Drive Mode 4</v>
      </c>
      <c r="BE88" s="153">
        <f>IF(OR($C84="CET",$C84="-",$C84=""),"-",$C84)</f>
        <v>1</v>
      </c>
      <c r="BF88" s="153">
        <f t="shared" ref="BF88:BL88" si="121">IF(OR($C84="CET",$C84="-",$C84=""),"-",$C84)</f>
        <v>1</v>
      </c>
      <c r="BG88" s="153">
        <f t="shared" si="121"/>
        <v>1</v>
      </c>
      <c r="BH88" s="153">
        <f t="shared" si="121"/>
        <v>1</v>
      </c>
      <c r="BI88" s="153">
        <f t="shared" si="121"/>
        <v>1</v>
      </c>
      <c r="BJ88" s="153">
        <f t="shared" si="121"/>
        <v>1</v>
      </c>
      <c r="BK88" s="153">
        <f t="shared" ref="BK88" si="122">IF(OR($C84="CET",$C84="-",$C84=""),"-",$C84)</f>
        <v>1</v>
      </c>
      <c r="BL88" s="153">
        <f t="shared" si="121"/>
        <v>1</v>
      </c>
      <c r="BM88" s="150"/>
      <c r="BN88" s="150"/>
      <c r="BO88" s="150"/>
      <c r="BP88" s="150"/>
      <c r="BQ88" s="150"/>
      <c r="BR88" s="150"/>
      <c r="BS88" s="150"/>
      <c r="BT88" s="150"/>
      <c r="BU88" s="150"/>
    </row>
    <row r="89" spans="1:73" ht="15" customHeight="1" outlineLevel="1" thickBot="1" x14ac:dyDescent="0.3">
      <c r="A89" s="40"/>
      <c r="B89" s="776"/>
      <c r="C89" s="764">
        <v>1</v>
      </c>
      <c r="D89" s="772" t="str">
        <f>IF(AND(F90="-",G90="-",H90="-",I90="-",J90="-",K90="-",K90="-",L90="-"),"-",MAX(F90,G90,H90,I90,J90,K90,L90,M90))</f>
        <v>-</v>
      </c>
      <c r="E89" s="66" t="s">
        <v>177</v>
      </c>
      <c r="F89" s="65" t="str">
        <f t="shared" ref="F89:N89" si="123">IF(OR(F88="-",F88=""),IF(OR(F87="-",F87=""),"-",F87),IF(OR(F87="-",F87=""),F88,(F87+F88)/2))</f>
        <v>-</v>
      </c>
      <c r="G89" s="65" t="str">
        <f t="shared" si="123"/>
        <v>-</v>
      </c>
      <c r="H89" s="65" t="str">
        <f t="shared" si="123"/>
        <v>-</v>
      </c>
      <c r="I89" s="65" t="str">
        <f t="shared" si="123"/>
        <v>-</v>
      </c>
      <c r="J89" s="65" t="str">
        <f t="shared" si="123"/>
        <v>-</v>
      </c>
      <c r="K89" s="167" t="str">
        <f t="shared" si="123"/>
        <v>-</v>
      </c>
      <c r="L89" s="167" t="str">
        <f t="shared" ref="L89:M89" si="124">IF(OR(L88="-",L88=""),IF(OR(L87="-",L87=""),"-",L87),IF(OR(L87="-",L87=""),L88,(L87+L88)/2))</f>
        <v>-</v>
      </c>
      <c r="M89" s="167" t="str">
        <f t="shared" si="124"/>
        <v>-</v>
      </c>
      <c r="N89" s="65" t="str">
        <f t="shared" si="123"/>
        <v>-</v>
      </c>
      <c r="O89" s="749"/>
      <c r="P89" s="750"/>
      <c r="Q89" s="750"/>
      <c r="R89" s="750"/>
      <c r="S89" s="749"/>
      <c r="T89" s="750"/>
      <c r="U89" s="750"/>
      <c r="V89" s="754"/>
      <c r="W89" s="119"/>
      <c r="X89" s="119"/>
      <c r="Y89" s="743"/>
      <c r="Z89" s="743"/>
      <c r="AA89" s="743"/>
      <c r="AB89" s="743"/>
      <c r="AC89" s="743"/>
      <c r="AD89" s="743"/>
      <c r="AE89" s="743"/>
      <c r="AF89" s="743"/>
      <c r="AG89" s="743"/>
      <c r="AH89" s="743"/>
      <c r="BC89" s="155" t="str">
        <f t="shared" si="13"/>
        <v>-</v>
      </c>
      <c r="BD89" s="151" t="str">
        <f>"IEF " &amp; B87</f>
        <v>IEF Drive Mode 5</v>
      </c>
      <c r="BE89" s="153">
        <f>IF(OR($C89="CET",$C89="-",$C89=""),"-",$C89)</f>
        <v>1</v>
      </c>
      <c r="BF89" s="153">
        <f t="shared" ref="BF89:BL89" si="125">IF(OR($C89="CET",$C89="-",$C89=""),"-",$C89)</f>
        <v>1</v>
      </c>
      <c r="BG89" s="153">
        <f t="shared" si="125"/>
        <v>1</v>
      </c>
      <c r="BH89" s="153">
        <f t="shared" si="125"/>
        <v>1</v>
      </c>
      <c r="BI89" s="153">
        <f t="shared" si="125"/>
        <v>1</v>
      </c>
      <c r="BJ89" s="153">
        <f t="shared" si="125"/>
        <v>1</v>
      </c>
      <c r="BK89" s="153">
        <f t="shared" si="125"/>
        <v>1</v>
      </c>
      <c r="BL89" s="153">
        <f t="shared" si="125"/>
        <v>1</v>
      </c>
    </row>
    <row r="90" spans="1:73" ht="15" customHeight="1" outlineLevel="1" thickBot="1" x14ac:dyDescent="0.3">
      <c r="A90" s="40"/>
      <c r="B90" s="776"/>
      <c r="C90" s="765"/>
      <c r="D90" s="773"/>
      <c r="E90" s="64" t="s">
        <v>97</v>
      </c>
      <c r="F90" s="63" t="str">
        <f t="shared" ref="F90:N90" si="126">IF(OR($C89="-",$C89="CET",$C89=""),"-",IF(AND(NOT(F89="-"),NOT(F$5="-"),NOT(F$5="")),F89/F$5,"-"))</f>
        <v>-</v>
      </c>
      <c r="G90" s="63" t="str">
        <f t="shared" si="126"/>
        <v>-</v>
      </c>
      <c r="H90" s="63" t="str">
        <f t="shared" si="126"/>
        <v>-</v>
      </c>
      <c r="I90" s="63" t="str">
        <f t="shared" si="126"/>
        <v>-</v>
      </c>
      <c r="J90" s="63" t="str">
        <f t="shared" si="126"/>
        <v>-</v>
      </c>
      <c r="K90" s="168" t="str">
        <f t="shared" si="126"/>
        <v>-</v>
      </c>
      <c r="L90" s="168" t="str">
        <f t="shared" ref="L90:M90" si="127">IF(OR($C89="-",$C89="CET",$C89=""),"-",IF(AND(NOT(L89="-"),NOT(L$5="-"),NOT(L$5="")),L89/L$5,"-"))</f>
        <v>-</v>
      </c>
      <c r="M90" s="168" t="str">
        <f t="shared" si="127"/>
        <v>-</v>
      </c>
      <c r="N90" s="63" t="str">
        <f t="shared" si="126"/>
        <v>-</v>
      </c>
      <c r="O90" s="749"/>
      <c r="P90" s="750"/>
      <c r="Q90" s="750"/>
      <c r="R90" s="750"/>
      <c r="S90" s="749"/>
      <c r="T90" s="750"/>
      <c r="U90" s="750"/>
      <c r="V90" s="754"/>
      <c r="W90" s="119"/>
      <c r="X90" s="119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BC90" s="155" t="str">
        <f t="shared" si="13"/>
        <v>-</v>
      </c>
      <c r="BD90" s="151" t="str">
        <f>"IEF " &amp; B92</f>
        <v>IEF Drive Mode 6</v>
      </c>
      <c r="BE90" s="153">
        <f>IF(OR($C94="CET",$C94="-",$C94=""),"-",$C94)</f>
        <v>1</v>
      </c>
      <c r="BF90" s="153">
        <f t="shared" ref="BF90:BL90" si="128">IF(OR($C94="CET",$C94="-",$C94=""),"-",$C94)</f>
        <v>1</v>
      </c>
      <c r="BG90" s="153">
        <f t="shared" si="128"/>
        <v>1</v>
      </c>
      <c r="BH90" s="153">
        <f t="shared" si="128"/>
        <v>1</v>
      </c>
      <c r="BI90" s="153">
        <f t="shared" si="128"/>
        <v>1</v>
      </c>
      <c r="BJ90" s="153">
        <f t="shared" si="128"/>
        <v>1</v>
      </c>
      <c r="BK90" s="153">
        <f t="shared" ref="BK90" si="129">IF(OR($C94="CET",$C94="-",$C94=""),"-",$C94)</f>
        <v>1</v>
      </c>
      <c r="BL90" s="153">
        <f t="shared" si="128"/>
        <v>1</v>
      </c>
    </row>
    <row r="91" spans="1:73" ht="15" customHeight="1" outlineLevel="1" thickBot="1" x14ac:dyDescent="0.3">
      <c r="A91" s="40"/>
      <c r="B91" s="777"/>
      <c r="C91" s="771"/>
      <c r="D91" s="774"/>
      <c r="E91" s="62" t="s">
        <v>30</v>
      </c>
      <c r="F91" s="62" t="str">
        <f t="shared" ref="F91:K91" si="130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62" t="str">
        <f t="shared" si="130"/>
        <v>-</v>
      </c>
      <c r="H91" s="62" t="str">
        <f t="shared" si="130"/>
        <v>-</v>
      </c>
      <c r="I91" s="62" t="str">
        <f t="shared" si="130"/>
        <v>-</v>
      </c>
      <c r="J91" s="62" t="str">
        <f t="shared" si="130"/>
        <v>-</v>
      </c>
      <c r="K91" s="169" t="str">
        <f t="shared" si="130"/>
        <v>-</v>
      </c>
      <c r="L91" s="169" t="str">
        <f t="shared" ref="L91:M91" si="131">IF(AND(OR(L87="-",L87=""),OR(L88="-",L88="")),"-",IF(OR($C89="-",$C89="",$C89="CET"),"-",IF($R$63="not listed","-",IF(NOT(L$5="-"),IF(AND(AND(NOT(L87=0),NOT(L87="-"),NOT(L87="")),AND(NOT(L88="-"),NOT(L88=0),NOT(L88=""))),IF(AND((L87+L88)/2&lt;1*L$5*IF(OR($C89="CET",$C89="-",$C89=""),"-",$C89),L87&lt;1.1*L$5*IF(OR($C89="CET",$C89="-",$C89=""),"-",$C89),L88&lt;1.1*L$5*IF(OR($C89="CET",$C89="-",$C89=""),"-",$C89)),"passed","refused"),IF(IF(OR(L87="-",L87=""),L88,L87)&lt;0.7*L$5*IF(OR($C89="CET",$C89="-",$C89=""),"-",$C89),"passed",IF(IF(OR(L87="-",L87=""),L88,L87)&lt;1.1*IF(OR($C89="CET",$C89="-",$C89=""),"-",$C89)*L$5,"failed","refused"))),"-"))))</f>
        <v>-</v>
      </c>
      <c r="M91" s="169" t="str">
        <f t="shared" si="131"/>
        <v>-</v>
      </c>
      <c r="N91" s="62" t="str">
        <f>IF(AND(OR(N87="-",N87=""),OR(N88="-",N88="")),"-",IF(OR($C89="-",$C89="",$C89="CET"),"-",IF($R$63="not listed","-",IF(NOT(N$5="-"),IF(AND(AND(NOT(N87=0),NOT(N87="-"),NOT(N87="")),AND(NOT(N88="-"),NOT(N88=0),NOT(N88=""))),IF(AND((N87+N88)/2&lt;1*N$5*IF(OR($C89="CET",$C89="-",$C89=""),"-",$C89),N87&lt;1.1*N$5*IF(OR($C89="CET",$C89="-",$C89=""),"-",$C89),N88&lt;1.1*N$5*IF(OR($C89="CET",$C89="-",$C89=""),"-",$C89)),"passed","refused"),IF(IF(OR(N87="-",N87=""),N88,N87)&lt;0.7*N$5*IF(OR($C89="CET",$C89="-",$C89=""),"-",$C89),"passed",IF(IF(OR(N87="-",N87=""),N88,N87)&lt;1.1*IF(OR($C89="CET",$C89="-",$C89=""),"-",$C89)*N$5,"failed","refused"))),"-"))))</f>
        <v>-</v>
      </c>
      <c r="O91" s="749"/>
      <c r="P91" s="750"/>
      <c r="Q91" s="750"/>
      <c r="R91" s="750"/>
      <c r="S91" s="749"/>
      <c r="T91" s="750"/>
      <c r="U91" s="750"/>
      <c r="V91" s="754"/>
      <c r="W91" s="119"/>
      <c r="X91" s="119"/>
      <c r="Y91" s="743"/>
      <c r="Z91" s="743"/>
      <c r="AA91" s="743"/>
      <c r="AB91" s="743"/>
      <c r="AC91" s="743"/>
      <c r="AD91" s="743"/>
      <c r="AE91" s="743"/>
      <c r="AF91" s="743"/>
      <c r="AG91" s="743"/>
      <c r="AH91" s="743"/>
      <c r="BC91" s="155" t="str">
        <f t="shared" si="13"/>
        <v>-</v>
      </c>
    </row>
    <row r="92" spans="1:73" ht="15" customHeight="1" outlineLevel="1" x14ac:dyDescent="0.25">
      <c r="A92" s="40"/>
      <c r="B92" s="775" t="s">
        <v>120</v>
      </c>
      <c r="C92" s="814" t="s">
        <v>114</v>
      </c>
      <c r="D92" s="770" t="s">
        <v>113</v>
      </c>
      <c r="E92" s="106" t="s">
        <v>94</v>
      </c>
      <c r="F92" s="98" t="s">
        <v>5</v>
      </c>
      <c r="G92" s="98" t="s">
        <v>5</v>
      </c>
      <c r="H92" s="98" t="s">
        <v>5</v>
      </c>
      <c r="I92" s="98" t="s">
        <v>5</v>
      </c>
      <c r="J92" s="98" t="s">
        <v>5</v>
      </c>
      <c r="K92" s="165" t="s">
        <v>5</v>
      </c>
      <c r="L92" s="165" t="s">
        <v>5</v>
      </c>
      <c r="M92" s="165" t="s">
        <v>5</v>
      </c>
      <c r="N92" s="98" t="s">
        <v>5</v>
      </c>
      <c r="O92" s="749"/>
      <c r="P92" s="750"/>
      <c r="Q92" s="750"/>
      <c r="R92" s="750"/>
      <c r="S92" s="749"/>
      <c r="T92" s="750"/>
      <c r="U92" s="750"/>
      <c r="V92" s="754"/>
      <c r="W92" s="119"/>
      <c r="X92" s="119"/>
      <c r="Y92" s="743"/>
      <c r="Z92" s="743"/>
      <c r="AA92" s="743"/>
      <c r="AB92" s="743"/>
      <c r="AC92" s="743"/>
      <c r="AD92" s="743"/>
      <c r="AE92" s="743"/>
      <c r="AF92" s="743"/>
      <c r="AG92" s="743"/>
      <c r="AH92" s="743"/>
      <c r="BC92" s="155" t="str">
        <f t="shared" si="13"/>
        <v>-</v>
      </c>
      <c r="BD92" s="156"/>
      <c r="BE92" s="156"/>
      <c r="BF92" s="156"/>
      <c r="BG92" s="156"/>
      <c r="BH92" s="156"/>
      <c r="BI92" s="156"/>
      <c r="BJ92" s="156"/>
      <c r="BK92" s="156"/>
      <c r="BL92" s="156"/>
    </row>
    <row r="93" spans="1:73" s="50" customFormat="1" ht="15" customHeight="1" outlineLevel="1" thickBot="1" x14ac:dyDescent="0.3">
      <c r="A93" s="52"/>
      <c r="B93" s="776"/>
      <c r="C93" s="815"/>
      <c r="D93" s="742"/>
      <c r="E93" s="104" t="s">
        <v>95</v>
      </c>
      <c r="F93" s="97" t="s">
        <v>5</v>
      </c>
      <c r="G93" s="97" t="s">
        <v>5</v>
      </c>
      <c r="H93" s="97" t="s">
        <v>5</v>
      </c>
      <c r="I93" s="97" t="s">
        <v>5</v>
      </c>
      <c r="J93" s="97" t="s">
        <v>5</v>
      </c>
      <c r="K93" s="166" t="s">
        <v>5</v>
      </c>
      <c r="L93" s="166" t="s">
        <v>5</v>
      </c>
      <c r="M93" s="166" t="s">
        <v>5</v>
      </c>
      <c r="N93" s="97" t="s">
        <v>5</v>
      </c>
      <c r="O93" s="749"/>
      <c r="P93" s="750"/>
      <c r="Q93" s="750"/>
      <c r="R93" s="750"/>
      <c r="S93" s="749"/>
      <c r="T93" s="750"/>
      <c r="U93" s="750"/>
      <c r="V93" s="754"/>
      <c r="W93" s="51"/>
      <c r="X93" s="51"/>
      <c r="Y93" s="743"/>
      <c r="Z93" s="743"/>
      <c r="AA93" s="743"/>
      <c r="AB93" s="743"/>
      <c r="AC93" s="743"/>
      <c r="AD93" s="743"/>
      <c r="AE93" s="743"/>
      <c r="AF93" s="743"/>
      <c r="AG93" s="743"/>
      <c r="AH93" s="743"/>
      <c r="BC93" s="155" t="str">
        <f t="shared" si="13"/>
        <v>-</v>
      </c>
      <c r="BD93" s="156"/>
      <c r="BE93" s="156"/>
      <c r="BF93" s="156"/>
      <c r="BG93" s="156"/>
      <c r="BH93" s="156"/>
      <c r="BI93" s="156"/>
      <c r="BJ93" s="156"/>
      <c r="BK93" s="156"/>
      <c r="BL93" s="156"/>
      <c r="BM93" s="150"/>
      <c r="BN93" s="150"/>
      <c r="BO93" s="150"/>
      <c r="BP93" s="150"/>
      <c r="BQ93" s="150"/>
      <c r="BR93" s="150"/>
      <c r="BS93" s="150"/>
      <c r="BT93" s="150"/>
      <c r="BU93" s="150"/>
    </row>
    <row r="94" spans="1:73" ht="15" customHeight="1" outlineLevel="1" thickBot="1" x14ac:dyDescent="0.3">
      <c r="A94" s="40"/>
      <c r="B94" s="776"/>
      <c r="C94" s="808">
        <v>1</v>
      </c>
      <c r="D94" s="772" t="str">
        <f>IF(AND(F95="-",G95="-",H95="-",I95="-",J95="-",K95="-",K95="-",L95="-"),"-",MAX(F95,G95,H95,I95,J95,K95,L95,M95))</f>
        <v>-</v>
      </c>
      <c r="E94" s="66" t="s">
        <v>177</v>
      </c>
      <c r="F94" s="65" t="str">
        <f t="shared" ref="F94:N94" si="132">IF(OR(F93="-",F93=""),IF(OR(F92="-",F92=""),"-",F92),IF(OR(F92="-",F92=""),F93,(F92+F93)/2))</f>
        <v>-</v>
      </c>
      <c r="G94" s="65" t="str">
        <f t="shared" si="132"/>
        <v>-</v>
      </c>
      <c r="H94" s="65" t="str">
        <f t="shared" si="132"/>
        <v>-</v>
      </c>
      <c r="I94" s="65" t="str">
        <f t="shared" si="132"/>
        <v>-</v>
      </c>
      <c r="J94" s="65" t="str">
        <f t="shared" si="132"/>
        <v>-</v>
      </c>
      <c r="K94" s="167" t="str">
        <f t="shared" si="132"/>
        <v>-</v>
      </c>
      <c r="L94" s="167" t="str">
        <f t="shared" ref="L94:M94" si="133">IF(OR(L93="-",L93=""),IF(OR(L92="-",L92=""),"-",L92),IF(OR(L92="-",L92=""),L93,(L92+L93)/2))</f>
        <v>-</v>
      </c>
      <c r="M94" s="167" t="str">
        <f t="shared" si="133"/>
        <v>-</v>
      </c>
      <c r="N94" s="65" t="str">
        <f t="shared" si="132"/>
        <v>-</v>
      </c>
      <c r="O94" s="749"/>
      <c r="P94" s="750"/>
      <c r="Q94" s="750"/>
      <c r="R94" s="750"/>
      <c r="S94" s="749"/>
      <c r="T94" s="750"/>
      <c r="U94" s="750"/>
      <c r="V94" s="754"/>
      <c r="W94" s="119"/>
      <c r="X94" s="119"/>
      <c r="Y94" s="743"/>
      <c r="Z94" s="743"/>
      <c r="AA94" s="743"/>
      <c r="AB94" s="743"/>
      <c r="AC94" s="743"/>
      <c r="AD94" s="743"/>
      <c r="AE94" s="743"/>
      <c r="AF94" s="743"/>
      <c r="AG94" s="743"/>
      <c r="AH94" s="743"/>
      <c r="BC94" s="155" t="str">
        <f t="shared" si="13"/>
        <v>-</v>
      </c>
      <c r="BD94" s="157"/>
      <c r="BE94" s="157"/>
      <c r="BF94" s="157"/>
      <c r="BG94" s="157"/>
      <c r="BH94" s="157"/>
      <c r="BI94" s="157"/>
      <c r="BJ94" s="157"/>
      <c r="BK94" s="157"/>
      <c r="BL94" s="157"/>
    </row>
    <row r="95" spans="1:73" ht="15" customHeight="1" outlineLevel="1" thickBot="1" x14ac:dyDescent="0.3">
      <c r="A95" s="40"/>
      <c r="B95" s="776"/>
      <c r="C95" s="809"/>
      <c r="D95" s="773"/>
      <c r="E95" s="64" t="s">
        <v>97</v>
      </c>
      <c r="F95" s="63" t="str">
        <f t="shared" ref="F95:N95" si="134">IF(OR($C94="-",$C94="CET",$C94=""),"-",IF(AND(NOT(F94="-"),NOT(F$5="-"),NOT(F$5="")),F94/F$5,"-"))</f>
        <v>-</v>
      </c>
      <c r="G95" s="63" t="str">
        <f t="shared" si="134"/>
        <v>-</v>
      </c>
      <c r="H95" s="63" t="str">
        <f t="shared" si="134"/>
        <v>-</v>
      </c>
      <c r="I95" s="63" t="str">
        <f t="shared" si="134"/>
        <v>-</v>
      </c>
      <c r="J95" s="63" t="str">
        <f t="shared" si="134"/>
        <v>-</v>
      </c>
      <c r="K95" s="168" t="str">
        <f t="shared" si="134"/>
        <v>-</v>
      </c>
      <c r="L95" s="168" t="str">
        <f t="shared" ref="L95:M95" si="135">IF(OR($C94="-",$C94="CET",$C94=""),"-",IF(AND(NOT(L94="-"),NOT(L$5="-"),NOT(L$5="")),L94/L$5,"-"))</f>
        <v>-</v>
      </c>
      <c r="M95" s="168" t="str">
        <f t="shared" si="135"/>
        <v>-</v>
      </c>
      <c r="N95" s="63" t="str">
        <f t="shared" si="134"/>
        <v>-</v>
      </c>
      <c r="O95" s="749"/>
      <c r="P95" s="750"/>
      <c r="Q95" s="750"/>
      <c r="R95" s="750"/>
      <c r="S95" s="749"/>
      <c r="T95" s="750"/>
      <c r="U95" s="750"/>
      <c r="V95" s="754"/>
      <c r="W95" s="119"/>
      <c r="X95" s="119"/>
      <c r="Y95" s="743"/>
      <c r="Z95" s="743"/>
      <c r="AA95" s="743"/>
      <c r="AB95" s="743"/>
      <c r="AC95" s="743"/>
      <c r="AD95" s="743"/>
      <c r="AE95" s="743"/>
      <c r="AF95" s="743"/>
      <c r="AG95" s="743"/>
      <c r="AH95" s="743"/>
      <c r="BC95" s="155" t="str">
        <f t="shared" si="13"/>
        <v>-</v>
      </c>
      <c r="BD95" s="157"/>
      <c r="BE95" s="157"/>
      <c r="BF95" s="157"/>
      <c r="BG95" s="157"/>
      <c r="BH95" s="157"/>
      <c r="BI95" s="157"/>
      <c r="BJ95" s="157"/>
      <c r="BK95" s="157"/>
      <c r="BL95" s="157"/>
    </row>
    <row r="96" spans="1:73" ht="15.75" outlineLevel="1" thickBot="1" x14ac:dyDescent="0.3">
      <c r="B96" s="777"/>
      <c r="C96" s="810"/>
      <c r="D96" s="774"/>
      <c r="E96" s="62" t="s">
        <v>30</v>
      </c>
      <c r="F96" s="62" t="str">
        <f t="shared" ref="F96:K96" si="136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62" t="str">
        <f t="shared" si="136"/>
        <v>-</v>
      </c>
      <c r="H96" s="62" t="str">
        <f t="shared" si="136"/>
        <v>-</v>
      </c>
      <c r="I96" s="62" t="str">
        <f t="shared" si="136"/>
        <v>-</v>
      </c>
      <c r="J96" s="62" t="str">
        <f t="shared" si="136"/>
        <v>-</v>
      </c>
      <c r="K96" s="169" t="str">
        <f t="shared" si="136"/>
        <v>-</v>
      </c>
      <c r="L96" s="169" t="str">
        <f t="shared" ref="L96:M96" si="137">IF(AND(OR(L92="-",L92=""),OR(L93="-",L93="")),"-",IF(OR($C94="-",$C94="",$C94="CET"),"-",IF($R$63="not listed","-",IF(NOT(L$5="-"),IF(AND(AND(NOT(L92=0),NOT(L92="-"),NOT(L92="")),AND(NOT(L93="-"),NOT(L93=0),NOT(L93=""))),IF(AND((L92+L93)/2&lt;1*L$5*IF(OR($C94="CET",$C94="-",$C94=""),"-",$C94),L92&lt;1.1*L$5*IF(OR($C94="CET",$C94="-",$C94=""),"-",$C94),L93&lt;1.1*L$5*IF(OR($C94="CET",$C94="-",$C94=""),"-",$C94)),"passed","refused"),IF(IF(OR(L92="-",L92=""),L93,L92)&lt;0.7*L$5*IF(OR($C94="CET",$C94="-",$C94=""),"-",$C94),"passed",IF(IF(OR(L92="-",L92=""),L93,L92)&lt;1.1*IF(OR($C94="CET",$C94="-",$C94=""),"-",$C94)*L$5,"failed","refused"))),"-"))))</f>
        <v>-</v>
      </c>
      <c r="M96" s="169" t="str">
        <f t="shared" si="137"/>
        <v>-</v>
      </c>
      <c r="N96" s="62" t="str">
        <f>IF(AND(OR(N92="-",N92=""),OR(N93="-",N93="")),"-",IF(OR($C94="-",$C94="",$C94="CET"),"-",IF($R$63="not listed","-",IF(NOT(N$5="-"),IF(AND(AND(NOT(N92=0),NOT(N92="-"),NOT(N92="")),AND(NOT(N93="-"),NOT(N93=0),NOT(N93=""))),IF(AND((N92+N93)/2&lt;1*N$5*IF(OR($C94="CET",$C94="-",$C94=""),"-",$C94),N92&lt;1.1*N$5*IF(OR($C94="CET",$C94="-",$C94=""),"-",$C94),N93&lt;1.1*N$5*IF(OR($C94="CET",$C94="-",$C94=""),"-",$C94)),"passed","refused"),IF(IF(OR(N92="-",N92=""),N93,N92)&lt;0.7*N$5*IF(OR($C94="CET",$C94="-",$C94=""),"-",$C94),"passed",IF(IF(OR(N92="-",N92=""),N93,N92)&lt;1.1*IF(OR($C94="CET",$C94="-",$C94=""),"-",$C94)*N$5,"failed","refused"))),"-"))))</f>
        <v>-</v>
      </c>
      <c r="O96" s="751"/>
      <c r="P96" s="752"/>
      <c r="Q96" s="752"/>
      <c r="R96" s="752"/>
      <c r="S96" s="751"/>
      <c r="T96" s="752"/>
      <c r="U96" s="752"/>
      <c r="V96" s="755"/>
      <c r="BC96" s="155" t="str">
        <f t="shared" si="13"/>
        <v>-</v>
      </c>
      <c r="BD96" s="157"/>
      <c r="BE96" s="157"/>
      <c r="BF96" s="157"/>
      <c r="BG96" s="157"/>
      <c r="BH96" s="157"/>
      <c r="BI96" s="157"/>
      <c r="BJ96" s="157"/>
      <c r="BK96" s="157"/>
      <c r="BL96" s="157"/>
    </row>
    <row r="97" spans="1:75" ht="15" customHeight="1" x14ac:dyDescent="0.25">
      <c r="BC97" s="155" t="str">
        <f t="shared" si="13"/>
        <v>-</v>
      </c>
      <c r="BD97" s="156"/>
      <c r="BE97" s="156"/>
      <c r="BF97" s="156"/>
      <c r="BG97" s="156"/>
      <c r="BH97" s="156"/>
      <c r="BI97" s="156"/>
      <c r="BJ97" s="156"/>
      <c r="BK97" s="156"/>
      <c r="BL97" s="156"/>
    </row>
    <row r="98" spans="1:75" ht="15" customHeight="1" x14ac:dyDescent="0.25">
      <c r="BC98" s="155" t="str">
        <f t="shared" si="13"/>
        <v>-</v>
      </c>
      <c r="BD98" s="156"/>
      <c r="BE98" s="156"/>
      <c r="BF98" s="156"/>
      <c r="BG98" s="156"/>
      <c r="BH98" s="156"/>
      <c r="BI98" s="156"/>
      <c r="BJ98" s="156"/>
      <c r="BK98" s="156"/>
      <c r="BL98" s="156"/>
    </row>
    <row r="99" spans="1:75" ht="15" customHeight="1" thickBot="1" x14ac:dyDescent="0.3">
      <c r="A99" s="39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BC99" s="155" t="str">
        <f t="shared" si="13"/>
        <v>-</v>
      </c>
      <c r="BD99" s="156"/>
      <c r="BE99" s="156"/>
      <c r="BF99" s="156"/>
      <c r="BG99" s="156"/>
      <c r="BH99" s="156"/>
      <c r="BI99" s="156"/>
      <c r="BJ99" s="156"/>
      <c r="BK99" s="156"/>
      <c r="BL99" s="156"/>
    </row>
    <row r="100" spans="1:75" ht="24.95" customHeight="1" thickBot="1" x14ac:dyDescent="0.3">
      <c r="A100" s="39"/>
      <c r="B100" s="185">
        <v>4</v>
      </c>
      <c r="C100" s="757" t="s">
        <v>103</v>
      </c>
      <c r="D100" s="758"/>
      <c r="E100" s="758"/>
      <c r="F100" s="758"/>
      <c r="G100" s="758"/>
      <c r="H100" s="758"/>
      <c r="I100" s="758"/>
      <c r="J100" s="758"/>
      <c r="K100" s="758"/>
      <c r="L100" s="758"/>
      <c r="M100" s="758"/>
      <c r="N100" s="759"/>
      <c r="O100" s="49" t="s">
        <v>117</v>
      </c>
      <c r="P100" s="71" t="str">
        <f>IF(COUNTIF(F105:M109,"refused")&gt;0,"refused",IF(COUNTIF(F105:M109,"failed")&gt;0,"failed",IF(COUNTIF(F105:M109,"passed")&gt;0,"passed","-")))</f>
        <v>-</v>
      </c>
      <c r="Q100" s="70" t="s">
        <v>80</v>
      </c>
      <c r="R100" s="70" t="str">
        <f>IF(COUNT(F105:M106)&gt;0,"listed","not listed")</f>
        <v>not listed</v>
      </c>
      <c r="S100" s="118"/>
      <c r="T100" s="43"/>
      <c r="U100" s="43"/>
      <c r="V100" s="44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BC100" s="155" t="str">
        <f t="shared" ref="BC100:BC127" si="138">IF(COUNTIF(F100:M100,"refused")&gt;0,"refused",IF(COUNTIF(F100:M100,"failed")&gt;0,"failed",IF(COUNTIF(F100:M100,"passed")&gt;0,"passed","-")))</f>
        <v>-</v>
      </c>
    </row>
    <row r="101" spans="1:75" ht="15" customHeight="1" outlineLevel="1" thickBot="1" x14ac:dyDescent="0.3">
      <c r="A101" s="39"/>
      <c r="B101" s="120"/>
      <c r="C101" s="121"/>
      <c r="D101" s="121"/>
      <c r="E101" s="121"/>
      <c r="F101" s="121"/>
      <c r="G101" s="121"/>
      <c r="H101" s="121"/>
      <c r="I101" s="121"/>
      <c r="J101" s="121"/>
      <c r="K101" s="162"/>
      <c r="L101" s="162"/>
      <c r="M101" s="162"/>
      <c r="N101" s="121"/>
      <c r="O101" s="121"/>
      <c r="P101" s="121"/>
      <c r="Q101" s="121"/>
      <c r="R101" s="121"/>
      <c r="S101" s="121"/>
      <c r="T101" s="45"/>
      <c r="U101" s="45"/>
      <c r="V101" s="46"/>
      <c r="W101" s="47"/>
      <c r="X101" s="47"/>
      <c r="Y101" s="756"/>
      <c r="Z101" s="756"/>
      <c r="AA101" s="756"/>
      <c r="AB101" s="756"/>
      <c r="AC101" s="756"/>
      <c r="AD101" s="756"/>
      <c r="AE101" s="756"/>
      <c r="AF101" s="756"/>
      <c r="AG101" s="756"/>
      <c r="AH101" s="756"/>
      <c r="BC101" s="155" t="str">
        <f t="shared" si="138"/>
        <v>-</v>
      </c>
    </row>
    <row r="102" spans="1:75" ht="15" customHeight="1" outlineLevel="1" thickBot="1" x14ac:dyDescent="0.3">
      <c r="A102" s="39"/>
      <c r="B102" s="744" t="s">
        <v>81</v>
      </c>
      <c r="C102" s="745"/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6"/>
      <c r="O102" s="744" t="s">
        <v>82</v>
      </c>
      <c r="P102" s="745"/>
      <c r="Q102" s="745"/>
      <c r="R102" s="746"/>
      <c r="S102" s="744" t="s">
        <v>83</v>
      </c>
      <c r="T102" s="745"/>
      <c r="U102" s="745"/>
      <c r="V102" s="746"/>
      <c r="W102" s="119"/>
      <c r="X102" s="119"/>
      <c r="Y102" s="743"/>
      <c r="Z102" s="743"/>
      <c r="AA102" s="743"/>
      <c r="AB102" s="743"/>
      <c r="AC102" s="743"/>
      <c r="AD102" s="743"/>
      <c r="AE102" s="743"/>
      <c r="AF102" s="743"/>
      <c r="AG102" s="743"/>
      <c r="AH102" s="743"/>
      <c r="BC102" s="155" t="str">
        <f t="shared" si="138"/>
        <v>-</v>
      </c>
    </row>
    <row r="103" spans="1:75" ht="35.1" customHeight="1" outlineLevel="1" thickBot="1" x14ac:dyDescent="0.3">
      <c r="A103" s="39"/>
      <c r="B103" s="767" t="s">
        <v>84</v>
      </c>
      <c r="C103" s="768"/>
      <c r="D103" s="768"/>
      <c r="E103" s="769"/>
      <c r="F103" s="69" t="str">
        <f>F$4</f>
        <v>NMHC 
[g/km]</v>
      </c>
      <c r="G103" s="69" t="str">
        <f t="shared" ref="G103:N103" si="139">G$4</f>
        <v>THC
[g/km]</v>
      </c>
      <c r="H103" s="69" t="str">
        <f t="shared" si="139"/>
        <v>CO
[g/km]</v>
      </c>
      <c r="I103" s="69" t="str">
        <f t="shared" si="139"/>
        <v>NOx
[g/km]</v>
      </c>
      <c r="J103" s="69" t="str">
        <f t="shared" si="139"/>
        <v>PM
[mg/km]</v>
      </c>
      <c r="K103" s="69" t="str">
        <f t="shared" si="139"/>
        <v>PN
[#/km]</v>
      </c>
      <c r="L103" s="366" t="str">
        <f t="shared" si="139"/>
        <v>Additional
component</v>
      </c>
      <c r="M103" s="366" t="str">
        <f t="shared" si="139"/>
        <v>Additional
component 2</v>
      </c>
      <c r="N103" s="69" t="str">
        <f t="shared" si="139"/>
        <v>CO2
[g/km]</v>
      </c>
      <c r="O103" s="747"/>
      <c r="P103" s="748"/>
      <c r="Q103" s="748"/>
      <c r="R103" s="753"/>
      <c r="S103" s="747"/>
      <c r="T103" s="748"/>
      <c r="U103" s="748"/>
      <c r="V103" s="753"/>
      <c r="W103" s="119"/>
      <c r="X103" s="119"/>
      <c r="Y103" s="743"/>
      <c r="Z103" s="743"/>
      <c r="AA103" s="743"/>
      <c r="AB103" s="743"/>
      <c r="AC103" s="743"/>
      <c r="AD103" s="743"/>
      <c r="AE103" s="743"/>
      <c r="AF103" s="743"/>
      <c r="AG103" s="743"/>
      <c r="AH103" s="743"/>
      <c r="BC103" s="155" t="str">
        <f t="shared" si="138"/>
        <v>-</v>
      </c>
    </row>
    <row r="104" spans="1:75" ht="15" customHeight="1" outlineLevel="1" thickBot="1" x14ac:dyDescent="0.3">
      <c r="A104" s="39"/>
      <c r="B104" s="806" t="s">
        <v>103</v>
      </c>
      <c r="C104" s="115" t="s">
        <v>64</v>
      </c>
      <c r="D104" s="767" t="s">
        <v>119</v>
      </c>
      <c r="E104" s="769"/>
      <c r="F104" s="107" t="s">
        <v>64</v>
      </c>
      <c r="G104" s="107" t="s">
        <v>64</v>
      </c>
      <c r="H104" s="107" t="s">
        <v>64</v>
      </c>
      <c r="I104" s="107" t="s">
        <v>64</v>
      </c>
      <c r="J104" s="107" t="s">
        <v>64</v>
      </c>
      <c r="K104" s="164" t="s">
        <v>64</v>
      </c>
      <c r="L104" s="164" t="s">
        <v>64</v>
      </c>
      <c r="M104" s="164" t="s">
        <v>64</v>
      </c>
      <c r="N104" s="107" t="s">
        <v>64</v>
      </c>
      <c r="O104" s="749"/>
      <c r="P104" s="750"/>
      <c r="Q104" s="750"/>
      <c r="R104" s="754"/>
      <c r="S104" s="749"/>
      <c r="T104" s="750"/>
      <c r="U104" s="750"/>
      <c r="V104" s="754"/>
      <c r="W104" s="119"/>
      <c r="X104" s="119"/>
      <c r="Y104" s="743"/>
      <c r="Z104" s="743"/>
      <c r="AA104" s="743"/>
      <c r="AB104" s="743"/>
      <c r="AC104" s="743"/>
      <c r="AD104" s="743"/>
      <c r="AE104" s="743"/>
      <c r="AF104" s="743"/>
      <c r="AG104" s="743"/>
      <c r="AH104" s="743"/>
      <c r="BC104" s="155" t="str">
        <f t="shared" si="138"/>
        <v>-</v>
      </c>
    </row>
    <row r="105" spans="1:75" s="50" customFormat="1" ht="15" customHeight="1" outlineLevel="1" x14ac:dyDescent="0.25">
      <c r="A105" s="53"/>
      <c r="B105" s="807"/>
      <c r="C105" s="770" t="s">
        <v>114</v>
      </c>
      <c r="D105" s="770" t="s">
        <v>113</v>
      </c>
      <c r="E105" s="106" t="s">
        <v>94</v>
      </c>
      <c r="F105" s="105" t="s">
        <v>5</v>
      </c>
      <c r="G105" s="105" t="s">
        <v>5</v>
      </c>
      <c r="H105" s="105" t="s">
        <v>5</v>
      </c>
      <c r="I105" s="105" t="s">
        <v>5</v>
      </c>
      <c r="J105" s="105" t="s">
        <v>5</v>
      </c>
      <c r="K105" s="173" t="s">
        <v>5</v>
      </c>
      <c r="L105" s="173" t="s">
        <v>5</v>
      </c>
      <c r="M105" s="173" t="s">
        <v>5</v>
      </c>
      <c r="N105" s="105" t="s">
        <v>5</v>
      </c>
      <c r="O105" s="749"/>
      <c r="P105" s="750"/>
      <c r="Q105" s="750"/>
      <c r="R105" s="754"/>
      <c r="S105" s="749"/>
      <c r="T105" s="750"/>
      <c r="U105" s="750"/>
      <c r="V105" s="754"/>
      <c r="W105" s="51"/>
      <c r="X105" s="51"/>
      <c r="Y105" s="743"/>
      <c r="Z105" s="743"/>
      <c r="AA105" s="743"/>
      <c r="AB105" s="743"/>
      <c r="AC105" s="743"/>
      <c r="AD105" s="743"/>
      <c r="AE105" s="743"/>
      <c r="AF105" s="743"/>
      <c r="AG105" s="743"/>
      <c r="AH105" s="743"/>
      <c r="BC105" s="155" t="str">
        <f t="shared" si="138"/>
        <v>-</v>
      </c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  <c r="BS105" s="150"/>
      <c r="BT105" s="150"/>
      <c r="BU105" s="150"/>
    </row>
    <row r="106" spans="1:75" ht="15" customHeight="1" outlineLevel="1" thickBot="1" x14ac:dyDescent="0.3">
      <c r="A106" s="39"/>
      <c r="B106" s="807"/>
      <c r="C106" s="742"/>
      <c r="D106" s="742"/>
      <c r="E106" s="104" t="s">
        <v>95</v>
      </c>
      <c r="F106" s="103" t="s">
        <v>5</v>
      </c>
      <c r="G106" s="103" t="s">
        <v>5</v>
      </c>
      <c r="H106" s="103" t="s">
        <v>5</v>
      </c>
      <c r="I106" s="103" t="s">
        <v>5</v>
      </c>
      <c r="J106" s="103" t="s">
        <v>5</v>
      </c>
      <c r="K106" s="174" t="s">
        <v>5</v>
      </c>
      <c r="L106" s="174" t="s">
        <v>5</v>
      </c>
      <c r="M106" s="174" t="s">
        <v>5</v>
      </c>
      <c r="N106" s="103" t="s">
        <v>5</v>
      </c>
      <c r="O106" s="749"/>
      <c r="P106" s="750"/>
      <c r="Q106" s="750"/>
      <c r="R106" s="754"/>
      <c r="S106" s="749"/>
      <c r="T106" s="750"/>
      <c r="U106" s="750"/>
      <c r="V106" s="754"/>
      <c r="W106" s="119"/>
      <c r="X106" s="119"/>
      <c r="Y106" s="743"/>
      <c r="Z106" s="743"/>
      <c r="AA106" s="743"/>
      <c r="AB106" s="743"/>
      <c r="AC106" s="743"/>
      <c r="AD106" s="743"/>
      <c r="AE106" s="743"/>
      <c r="AF106" s="743"/>
      <c r="AG106" s="743"/>
      <c r="AH106" s="743"/>
      <c r="BC106" s="155" t="str">
        <f t="shared" si="138"/>
        <v>-</v>
      </c>
    </row>
    <row r="107" spans="1:75" ht="15" customHeight="1" outlineLevel="1" thickBot="1" x14ac:dyDescent="0.3">
      <c r="A107" s="39"/>
      <c r="B107" s="807"/>
      <c r="C107" s="854">
        <v>1</v>
      </c>
      <c r="D107" s="772" t="str">
        <f>IF(AND(F108="-",G108="-",H108="-",I108="-",J108="-",K108="-",K108="-",L108="-"),"-",MAX(F108,G108,H108,I108,J108,K108,L108,M108))</f>
        <v>-</v>
      </c>
      <c r="E107" s="66" t="s">
        <v>177</v>
      </c>
      <c r="F107" s="65" t="str">
        <f t="shared" ref="F107:N107" si="140">IF(OR(F106="-",F106=""),IF(OR(F105="-",F105=""),"-",F105),IF(OR(F105="-",F105=""),F106,(F105+F106)/2))</f>
        <v>-</v>
      </c>
      <c r="G107" s="65" t="str">
        <f t="shared" si="140"/>
        <v>-</v>
      </c>
      <c r="H107" s="65" t="str">
        <f t="shared" si="140"/>
        <v>-</v>
      </c>
      <c r="I107" s="65" t="str">
        <f t="shared" si="140"/>
        <v>-</v>
      </c>
      <c r="J107" s="65" t="str">
        <f t="shared" si="140"/>
        <v>-</v>
      </c>
      <c r="K107" s="167" t="str">
        <f t="shared" si="140"/>
        <v>-</v>
      </c>
      <c r="L107" s="167" t="str">
        <f t="shared" ref="L107:M107" si="141">IF(OR(L106="-",L106=""),IF(OR(L105="-",L105=""),"-",L105),IF(OR(L105="-",L105=""),L106,(L105+L106)/2))</f>
        <v>-</v>
      </c>
      <c r="M107" s="167" t="str">
        <f t="shared" si="141"/>
        <v>-</v>
      </c>
      <c r="N107" s="65" t="str">
        <f t="shared" si="140"/>
        <v>-</v>
      </c>
      <c r="O107" s="749"/>
      <c r="P107" s="750"/>
      <c r="Q107" s="750"/>
      <c r="R107" s="754"/>
      <c r="S107" s="749"/>
      <c r="T107" s="750"/>
      <c r="U107" s="750"/>
      <c r="V107" s="754"/>
      <c r="W107" s="119"/>
      <c r="X107" s="119"/>
      <c r="Y107" s="743"/>
      <c r="Z107" s="743"/>
      <c r="AA107" s="743"/>
      <c r="AB107" s="743"/>
      <c r="AC107" s="743"/>
      <c r="AD107" s="743"/>
      <c r="AE107" s="743"/>
      <c r="AF107" s="743"/>
      <c r="AG107" s="743"/>
      <c r="AH107" s="743"/>
      <c r="BC107" s="155" t="str">
        <f t="shared" si="138"/>
        <v>-</v>
      </c>
    </row>
    <row r="108" spans="1:75" ht="15" customHeight="1" outlineLevel="1" thickBot="1" x14ac:dyDescent="0.3">
      <c r="A108" s="39"/>
      <c r="B108" s="807"/>
      <c r="C108" s="855"/>
      <c r="D108" s="773"/>
      <c r="E108" s="64" t="s">
        <v>97</v>
      </c>
      <c r="F108" s="63" t="str">
        <f>IF(AND(OR($C107="-",$C107="CET",$C107=""),OR(F104="-",F104="CET",F104="")),"-",IF(AND(NOT(F107="-"),NOT(F$6="-"),NOT(F$6="")),F107/F$6,"-"))</f>
        <v>-</v>
      </c>
      <c r="G108" s="63" t="str">
        <f t="shared" ref="G108:N108" si="142">IF(AND(OR($C107="-",$C107="CET",$C107=""),OR(G104="-",G104="CET",G104="")),"-",IF(AND(NOT(G107="-"),NOT(G$6="-"),NOT(G$6="")),G107/G$6,"-"))</f>
        <v>-</v>
      </c>
      <c r="H108" s="63" t="str">
        <f t="shared" si="142"/>
        <v>-</v>
      </c>
      <c r="I108" s="63" t="str">
        <f t="shared" si="142"/>
        <v>-</v>
      </c>
      <c r="J108" s="63" t="str">
        <f t="shared" si="142"/>
        <v>-</v>
      </c>
      <c r="K108" s="168" t="str">
        <f t="shared" si="142"/>
        <v>-</v>
      </c>
      <c r="L108" s="168" t="str">
        <f t="shared" ref="L108:M108" si="143">IF(AND(OR($C107="-",$C107="CET",$C107=""),OR(L104="-",L104="CET",L104="")),"-",IF(AND(NOT(L107="-"),NOT(L$6="-"),NOT(L$6="")),L107/L$6,"-"))</f>
        <v>-</v>
      </c>
      <c r="M108" s="168" t="str">
        <f t="shared" si="143"/>
        <v>-</v>
      </c>
      <c r="N108" s="63" t="str">
        <f t="shared" si="142"/>
        <v>-</v>
      </c>
      <c r="O108" s="749"/>
      <c r="P108" s="750"/>
      <c r="Q108" s="750"/>
      <c r="R108" s="754"/>
      <c r="S108" s="749"/>
      <c r="T108" s="750"/>
      <c r="U108" s="750"/>
      <c r="V108" s="754"/>
      <c r="W108" s="119"/>
      <c r="X108" s="119"/>
      <c r="Y108" s="743"/>
      <c r="Z108" s="743"/>
      <c r="AA108" s="743"/>
      <c r="AB108" s="743"/>
      <c r="AC108" s="743"/>
      <c r="AD108" s="743"/>
      <c r="AE108" s="743"/>
      <c r="AF108" s="743"/>
      <c r="AG108" s="743"/>
      <c r="AH108" s="743"/>
      <c r="BC108" s="155" t="str">
        <f t="shared" si="138"/>
        <v>-</v>
      </c>
      <c r="BM108" s="151" t="s">
        <v>85</v>
      </c>
      <c r="BN108" s="152" t="str">
        <f>F$4</f>
        <v>NMHC 
[g/km]</v>
      </c>
      <c r="BO108" s="152" t="str">
        <f t="shared" ref="BO108:BS108" si="144">G$4</f>
        <v>THC
[g/km]</v>
      </c>
      <c r="BP108" s="152" t="str">
        <f t="shared" si="144"/>
        <v>CO
[g/km]</v>
      </c>
      <c r="BQ108" s="152" t="str">
        <f t="shared" si="144"/>
        <v>NOx
[g/km]</v>
      </c>
      <c r="BR108" s="152" t="str">
        <f t="shared" si="144"/>
        <v>PM
[mg/km]</v>
      </c>
      <c r="BS108" s="152" t="str">
        <f t="shared" si="144"/>
        <v>PN
[#/km]</v>
      </c>
      <c r="BT108" s="152" t="str">
        <f t="shared" ref="BT108" si="145">L$4</f>
        <v>Additional
component</v>
      </c>
      <c r="BU108" s="152" t="str">
        <f t="shared" ref="BU108" si="146">M$4</f>
        <v>Additional
component 2</v>
      </c>
      <c r="BV108" s="152"/>
      <c r="BW108" s="152"/>
    </row>
    <row r="109" spans="1:75" ht="15" customHeight="1" outlineLevel="1" thickBot="1" x14ac:dyDescent="0.3">
      <c r="A109" s="39"/>
      <c r="B109" s="853"/>
      <c r="C109" s="856"/>
      <c r="D109" s="774"/>
      <c r="E109" s="62" t="s">
        <v>30</v>
      </c>
      <c r="F109" s="62" t="str">
        <f t="shared" ref="F109:N109" si="147">IF(AND(OR(F105="-",F105=""),OR(F106="-",F106="")),"-",IF(AND(OR(F104="CET",F104="-",F104=""),OR($C107="CET",$C107="-",$C107="")),"-",IF($R$100="not listed","-",IF(AND(NOT(F$6="-"),NOT(F$6="")),IF(AND(AND(NOT(F105=0),NOT(F105="-"),NOT(F105="")),AND(NOT(F106="-"),NOT(F106=0),NOT(F106=""))),IF(AND((F105+F106)/2&lt;1*F$6*IF(OR(F104="CET",F104="-",F104=""),IF(OR($C107="CET",$C107="-",$C107=""),"-",$C107),F104),F105&lt;1.1*F$6*IF(OR(F104="CET",F104="-",F104=""),IF(OR($C107="CET",$C107="-",$C107=""),"-",$C107),F104),F106&lt;1.1*F$6*IF(OR(F104="CET",F104="-",F104=""),IF($C107="CET","-",$C107),F104)),"passed","refused"),IF(IF(OR(F105="-",F105=""),F106,F105)&lt;0.7*F$6*IF(OR(F104="CET",F104="-",F104=""),IF($C107="CET","-",$C107),F104),"passed",IF(IF(OR(F105="-",F105=""),F106,F105)&lt;1.1*IF(OR(F104="CET",F104="-",F104=""),IF($C107="CET","-",$C107),F104)*F$6,"failed","refused"))),"-"))))</f>
        <v>-</v>
      </c>
      <c r="G109" s="62" t="str">
        <f t="shared" si="147"/>
        <v>-</v>
      </c>
      <c r="H109" s="62" t="str">
        <f t="shared" si="147"/>
        <v>-</v>
      </c>
      <c r="I109" s="62" t="str">
        <f t="shared" si="147"/>
        <v>-</v>
      </c>
      <c r="J109" s="62" t="str">
        <f t="shared" si="147"/>
        <v>-</v>
      </c>
      <c r="K109" s="62" t="str">
        <f t="shared" si="147"/>
        <v>-</v>
      </c>
      <c r="L109" s="62" t="str">
        <f t="shared" si="147"/>
        <v>-</v>
      </c>
      <c r="M109" s="62" t="str">
        <f t="shared" si="147"/>
        <v>-</v>
      </c>
      <c r="N109" s="62" t="str">
        <f t="shared" si="147"/>
        <v>-</v>
      </c>
      <c r="O109" s="749"/>
      <c r="P109" s="750"/>
      <c r="Q109" s="750"/>
      <c r="R109" s="754"/>
      <c r="S109" s="749"/>
      <c r="T109" s="750"/>
      <c r="U109" s="750"/>
      <c r="V109" s="754"/>
      <c r="W109" s="119"/>
      <c r="X109" s="119"/>
      <c r="Y109" s="743"/>
      <c r="Z109" s="743"/>
      <c r="AA109" s="743"/>
      <c r="AB109" s="743"/>
      <c r="AC109" s="743"/>
      <c r="AD109" s="743"/>
      <c r="AE109" s="743"/>
      <c r="AF109" s="743"/>
      <c r="AG109" s="743"/>
      <c r="AH109" s="743"/>
      <c r="BC109" s="155" t="str">
        <f t="shared" si="138"/>
        <v>-</v>
      </c>
      <c r="BM109" s="151" t="str">
        <f>$E$4</f>
        <v>Euro 6d</v>
      </c>
      <c r="BN109" s="153">
        <v>1</v>
      </c>
      <c r="BO109" s="153">
        <v>1</v>
      </c>
      <c r="BP109" s="153">
        <v>1</v>
      </c>
      <c r="BQ109" s="153">
        <v>1</v>
      </c>
      <c r="BR109" s="153">
        <v>1</v>
      </c>
      <c r="BS109" s="153">
        <v>1</v>
      </c>
      <c r="BT109" s="153">
        <v>1</v>
      </c>
      <c r="BU109" s="153">
        <v>1</v>
      </c>
    </row>
    <row r="110" spans="1:75" ht="15" customHeight="1" outlineLevel="1" x14ac:dyDescent="0.25">
      <c r="A110" s="39"/>
      <c r="B110" s="762"/>
      <c r="C110" s="763"/>
      <c r="D110" s="116"/>
      <c r="E110" s="116"/>
      <c r="F110" s="58"/>
      <c r="G110" s="58"/>
      <c r="H110" s="58"/>
      <c r="I110" s="58"/>
      <c r="J110" s="58"/>
      <c r="K110" s="171"/>
      <c r="L110" s="171"/>
      <c r="M110" s="171"/>
      <c r="N110" s="57"/>
      <c r="O110" s="749"/>
      <c r="P110" s="750"/>
      <c r="Q110" s="750"/>
      <c r="R110" s="754"/>
      <c r="S110" s="749"/>
      <c r="T110" s="750"/>
      <c r="U110" s="750"/>
      <c r="V110" s="754"/>
      <c r="W110" s="119"/>
      <c r="X110" s="119"/>
      <c r="Y110" s="743"/>
      <c r="Z110" s="743"/>
      <c r="AA110" s="743"/>
      <c r="AB110" s="743"/>
      <c r="AC110" s="743"/>
      <c r="AD110" s="743"/>
      <c r="AE110" s="743"/>
      <c r="AF110" s="743"/>
      <c r="AG110" s="743"/>
      <c r="AH110" s="743"/>
      <c r="BC110" s="155" t="str">
        <f t="shared" si="138"/>
        <v>-</v>
      </c>
      <c r="BM110" s="151" t="str">
        <f>"1st " &amp;  B104</f>
        <v>1st ECE -7°C</v>
      </c>
      <c r="BN110" s="153" t="str">
        <f t="shared" ref="BN110:BS110" si="148">IF(AND((OR($C107="-",$C107="CET",$C107="")),OR(F104="CET",F104="-",F104="")),"-",IF(AND(OR(F105="-",F105=""),OR(F106="-",F106="")),"-",IF(NOT(OR(F105="-",F105="")),F105/F$6,F106/F$6)))</f>
        <v>-</v>
      </c>
      <c r="BO110" s="153" t="str">
        <f t="shared" si="148"/>
        <v>-</v>
      </c>
      <c r="BP110" s="153" t="str">
        <f t="shared" si="148"/>
        <v>-</v>
      </c>
      <c r="BQ110" s="153" t="str">
        <f t="shared" si="148"/>
        <v>-</v>
      </c>
      <c r="BR110" s="153" t="str">
        <f t="shared" si="148"/>
        <v>-</v>
      </c>
      <c r="BS110" s="153" t="str">
        <f t="shared" si="148"/>
        <v>-</v>
      </c>
      <c r="BT110" s="153" t="str">
        <f t="shared" ref="BT110:BU110" si="149">IF(AND((OR($C107="-",$C107="CET",$C107="")),OR(L104="CET",L104="-",L104="")),"-",IF(AND(OR(L105="-",L105=""),OR(L106="-",L106="")),"-",IF(NOT(OR(L105="-",L105="")),L105/L$6,L106/L$6)))</f>
        <v>-</v>
      </c>
      <c r="BU110" s="153" t="str">
        <f t="shared" si="149"/>
        <v>-</v>
      </c>
    </row>
    <row r="111" spans="1:75" ht="15" customHeight="1" outlineLevel="1" x14ac:dyDescent="0.25">
      <c r="A111" s="39"/>
      <c r="B111" s="761"/>
      <c r="C111" s="760"/>
      <c r="D111" s="116"/>
      <c r="E111" s="116"/>
      <c r="F111" s="58"/>
      <c r="G111" s="58"/>
      <c r="H111" s="58"/>
      <c r="I111" s="58"/>
      <c r="J111" s="58"/>
      <c r="K111" s="171"/>
      <c r="L111" s="171"/>
      <c r="M111" s="171"/>
      <c r="N111" s="57"/>
      <c r="O111" s="749"/>
      <c r="P111" s="750"/>
      <c r="Q111" s="750"/>
      <c r="R111" s="754"/>
      <c r="S111" s="749"/>
      <c r="T111" s="750"/>
      <c r="U111" s="750"/>
      <c r="V111" s="754"/>
      <c r="W111" s="119"/>
      <c r="X111" s="119"/>
      <c r="Y111" s="743"/>
      <c r="Z111" s="743"/>
      <c r="AA111" s="743"/>
      <c r="AB111" s="743"/>
      <c r="AC111" s="743"/>
      <c r="AD111" s="743"/>
      <c r="AE111" s="743"/>
      <c r="AF111" s="743"/>
      <c r="AG111" s="743"/>
      <c r="AH111" s="743"/>
      <c r="BC111" s="155" t="str">
        <f t="shared" si="138"/>
        <v>-</v>
      </c>
      <c r="BM111" s="151"/>
      <c r="BN111" s="153"/>
      <c r="BO111" s="153"/>
      <c r="BP111" s="153"/>
      <c r="BQ111" s="153"/>
      <c r="BR111" s="153"/>
      <c r="BS111" s="153"/>
      <c r="BT111" s="153"/>
      <c r="BU111" s="153"/>
    </row>
    <row r="112" spans="1:75" ht="15" customHeight="1" outlineLevel="1" x14ac:dyDescent="0.25">
      <c r="A112" s="39"/>
      <c r="B112" s="761"/>
      <c r="C112" s="760"/>
      <c r="D112" s="116"/>
      <c r="E112" s="116"/>
      <c r="F112" s="56"/>
      <c r="G112" s="56"/>
      <c r="H112" s="56"/>
      <c r="I112" s="56"/>
      <c r="J112" s="56"/>
      <c r="K112" s="171"/>
      <c r="L112" s="171"/>
      <c r="M112" s="171"/>
      <c r="N112" s="55"/>
      <c r="O112" s="749"/>
      <c r="P112" s="750"/>
      <c r="Q112" s="750"/>
      <c r="R112" s="754"/>
      <c r="S112" s="749"/>
      <c r="T112" s="750"/>
      <c r="U112" s="750"/>
      <c r="V112" s="754"/>
      <c r="W112" s="119"/>
      <c r="X112" s="119"/>
      <c r="Y112" s="743"/>
      <c r="Z112" s="743"/>
      <c r="AA112" s="743"/>
      <c r="AB112" s="743"/>
      <c r="AC112" s="743"/>
      <c r="AD112" s="743"/>
      <c r="AE112" s="743"/>
      <c r="AF112" s="743"/>
      <c r="AG112" s="743"/>
      <c r="AH112" s="743"/>
      <c r="BC112" s="155" t="str">
        <f t="shared" si="138"/>
        <v>-</v>
      </c>
      <c r="BM112" s="151"/>
      <c r="BN112" s="153"/>
      <c r="BO112" s="153"/>
      <c r="BP112" s="153"/>
      <c r="BQ112" s="153"/>
      <c r="BR112" s="153"/>
      <c r="BS112" s="153"/>
      <c r="BT112" s="153"/>
      <c r="BU112" s="153"/>
    </row>
    <row r="113" spans="1:73" ht="15" customHeight="1" outlineLevel="1" x14ac:dyDescent="0.25">
      <c r="A113" s="40"/>
      <c r="B113" s="761"/>
      <c r="C113" s="760"/>
      <c r="D113" s="116"/>
      <c r="E113" s="116"/>
      <c r="F113" s="56"/>
      <c r="G113" s="56"/>
      <c r="H113" s="56"/>
      <c r="I113" s="56"/>
      <c r="J113" s="56"/>
      <c r="K113" s="171"/>
      <c r="L113" s="171"/>
      <c r="M113" s="171"/>
      <c r="N113" s="55"/>
      <c r="O113" s="749"/>
      <c r="P113" s="750"/>
      <c r="Q113" s="750"/>
      <c r="R113" s="754"/>
      <c r="S113" s="749"/>
      <c r="T113" s="750"/>
      <c r="U113" s="750"/>
      <c r="V113" s="754"/>
      <c r="W113" s="119"/>
      <c r="X113" s="119"/>
      <c r="Y113" s="743"/>
      <c r="Z113" s="743"/>
      <c r="AA113" s="743"/>
      <c r="AB113" s="743"/>
      <c r="AC113" s="743"/>
      <c r="AD113" s="743"/>
      <c r="AE113" s="743"/>
      <c r="AF113" s="743"/>
      <c r="AG113" s="743"/>
      <c r="AH113" s="743"/>
      <c r="BC113" s="155" t="str">
        <f t="shared" si="138"/>
        <v>-</v>
      </c>
      <c r="BM113" s="151"/>
      <c r="BN113" s="153"/>
      <c r="BO113" s="153"/>
      <c r="BP113" s="153"/>
      <c r="BQ113" s="153"/>
      <c r="BR113" s="153"/>
      <c r="BS113" s="153"/>
      <c r="BT113" s="153"/>
      <c r="BU113" s="153"/>
    </row>
    <row r="114" spans="1:73" ht="15" customHeight="1" outlineLevel="1" x14ac:dyDescent="0.25">
      <c r="A114" s="40"/>
      <c r="B114" s="761"/>
      <c r="C114" s="760"/>
      <c r="D114" s="116"/>
      <c r="E114" s="116"/>
      <c r="F114" s="116"/>
      <c r="G114" s="116"/>
      <c r="H114" s="116"/>
      <c r="I114" s="116"/>
      <c r="J114" s="116"/>
      <c r="K114" s="171"/>
      <c r="L114" s="171"/>
      <c r="M114" s="171"/>
      <c r="N114" s="59"/>
      <c r="O114" s="749"/>
      <c r="P114" s="750"/>
      <c r="Q114" s="750"/>
      <c r="R114" s="754"/>
      <c r="S114" s="749"/>
      <c r="T114" s="750"/>
      <c r="U114" s="750"/>
      <c r="V114" s="754"/>
      <c r="W114" s="119"/>
      <c r="X114" s="119"/>
      <c r="Y114" s="743"/>
      <c r="Z114" s="743"/>
      <c r="AA114" s="743"/>
      <c r="AB114" s="743"/>
      <c r="AC114" s="743"/>
      <c r="AD114" s="743"/>
      <c r="AE114" s="743"/>
      <c r="AF114" s="743"/>
      <c r="AG114" s="743"/>
      <c r="AH114" s="743"/>
      <c r="BC114" s="155" t="str">
        <f t="shared" si="138"/>
        <v>-</v>
      </c>
      <c r="BM114" s="151" t="str">
        <f>"0.7*IEF " &amp; (B104)</f>
        <v>0.7*IEF ECE -7°C</v>
      </c>
      <c r="BN114" s="153">
        <f t="shared" ref="BN114:BS114" si="150">IF(AND(OR($C107="-",$C107="CET",$C107=""),OR(F104="-",F104="CET",F104="")),"-",0.7*IF(OR(F104="CET",F104="-",F104=""),IF(OR($C107="CET",$C107="-",$C107=""),"-",$C107),F104))</f>
        <v>0.7</v>
      </c>
      <c r="BO114" s="153">
        <f t="shared" si="150"/>
        <v>0.7</v>
      </c>
      <c r="BP114" s="153">
        <f t="shared" si="150"/>
        <v>0.7</v>
      </c>
      <c r="BQ114" s="153">
        <f t="shared" si="150"/>
        <v>0.7</v>
      </c>
      <c r="BR114" s="153">
        <f t="shared" si="150"/>
        <v>0.7</v>
      </c>
      <c r="BS114" s="153">
        <f t="shared" si="150"/>
        <v>0.7</v>
      </c>
      <c r="BT114" s="153">
        <f t="shared" ref="BT114:BU114" si="151">IF(AND(OR($C107="-",$C107="CET",$C107=""),OR(L104="-",L104="CET",L104="")),"-",0.7*IF(OR(L104="CET",L104="-",L104=""),IF(OR($C107="CET",$C107="-",$C107=""),"-",$C107),L104))</f>
        <v>0.7</v>
      </c>
      <c r="BU114" s="153">
        <f t="shared" si="151"/>
        <v>0.7</v>
      </c>
    </row>
    <row r="115" spans="1:73" ht="15" customHeight="1" outlineLevel="1" x14ac:dyDescent="0.25">
      <c r="A115" s="40"/>
      <c r="B115" s="761"/>
      <c r="C115" s="760"/>
      <c r="D115" s="116"/>
      <c r="E115" s="116"/>
      <c r="F115" s="58"/>
      <c r="G115" s="58"/>
      <c r="H115" s="58"/>
      <c r="I115" s="58"/>
      <c r="J115" s="58"/>
      <c r="K115" s="171"/>
      <c r="L115" s="171"/>
      <c r="M115" s="171"/>
      <c r="N115" s="57"/>
      <c r="O115" s="749"/>
      <c r="P115" s="750"/>
      <c r="Q115" s="750"/>
      <c r="R115" s="754"/>
      <c r="S115" s="749"/>
      <c r="T115" s="750"/>
      <c r="U115" s="750"/>
      <c r="V115" s="754"/>
      <c r="W115" s="119"/>
      <c r="X115" s="119"/>
      <c r="Y115" s="743"/>
      <c r="Z115" s="743"/>
      <c r="AA115" s="743"/>
      <c r="AB115" s="743"/>
      <c r="AC115" s="743"/>
      <c r="AD115" s="743"/>
      <c r="AE115" s="743"/>
      <c r="AF115" s="743"/>
      <c r="AG115" s="743"/>
      <c r="AH115" s="743"/>
      <c r="BC115" s="155" t="str">
        <f t="shared" si="138"/>
        <v>-</v>
      </c>
      <c r="BM115" s="151"/>
      <c r="BN115" s="153"/>
      <c r="BO115" s="153"/>
      <c r="BP115" s="153"/>
      <c r="BQ115" s="153"/>
      <c r="BR115" s="153"/>
      <c r="BS115" s="153"/>
      <c r="BT115" s="153"/>
      <c r="BU115" s="153"/>
    </row>
    <row r="116" spans="1:73" ht="15" customHeight="1" outlineLevel="1" x14ac:dyDescent="0.25">
      <c r="A116" s="40"/>
      <c r="B116" s="761"/>
      <c r="C116" s="760"/>
      <c r="D116" s="116"/>
      <c r="E116" s="116"/>
      <c r="F116" s="58"/>
      <c r="G116" s="58"/>
      <c r="H116" s="58"/>
      <c r="I116" s="58"/>
      <c r="J116" s="58"/>
      <c r="K116" s="171"/>
      <c r="L116" s="171"/>
      <c r="M116" s="171"/>
      <c r="N116" s="57"/>
      <c r="O116" s="749"/>
      <c r="P116" s="750"/>
      <c r="Q116" s="750"/>
      <c r="R116" s="754"/>
      <c r="S116" s="749"/>
      <c r="T116" s="750"/>
      <c r="U116" s="750"/>
      <c r="V116" s="754"/>
      <c r="W116" s="119"/>
      <c r="X116" s="119"/>
      <c r="Y116" s="743"/>
      <c r="Z116" s="743"/>
      <c r="AA116" s="743"/>
      <c r="AB116" s="743"/>
      <c r="AC116" s="743"/>
      <c r="AD116" s="743"/>
      <c r="AE116" s="743"/>
      <c r="AF116" s="743"/>
      <c r="AG116" s="743"/>
      <c r="AH116" s="743"/>
      <c r="BC116" s="155" t="str">
        <f t="shared" si="138"/>
        <v>-</v>
      </c>
      <c r="BM116" s="151"/>
      <c r="BN116" s="153"/>
      <c r="BO116" s="153"/>
      <c r="BP116" s="153"/>
      <c r="BQ116" s="153"/>
      <c r="BR116" s="153"/>
      <c r="BS116" s="153"/>
      <c r="BT116" s="153"/>
      <c r="BU116" s="153"/>
    </row>
    <row r="117" spans="1:73" ht="15" customHeight="1" outlineLevel="1" x14ac:dyDescent="0.25">
      <c r="A117" s="40"/>
      <c r="B117" s="761"/>
      <c r="C117" s="760"/>
      <c r="D117" s="116"/>
      <c r="E117" s="116"/>
      <c r="F117" s="56"/>
      <c r="G117" s="56"/>
      <c r="H117" s="56"/>
      <c r="I117" s="56"/>
      <c r="J117" s="56"/>
      <c r="K117" s="171"/>
      <c r="L117" s="171"/>
      <c r="M117" s="171"/>
      <c r="N117" s="55"/>
      <c r="O117" s="749"/>
      <c r="P117" s="750"/>
      <c r="Q117" s="750"/>
      <c r="R117" s="754"/>
      <c r="S117" s="749"/>
      <c r="T117" s="750"/>
      <c r="U117" s="750"/>
      <c r="V117" s="754"/>
      <c r="W117" s="119"/>
      <c r="X117" s="119"/>
      <c r="Y117" s="743"/>
      <c r="Z117" s="743"/>
      <c r="AA117" s="743"/>
      <c r="AB117" s="743"/>
      <c r="AC117" s="743"/>
      <c r="AD117" s="743"/>
      <c r="AE117" s="743"/>
      <c r="AF117" s="743"/>
      <c r="AG117" s="743"/>
      <c r="AH117" s="743"/>
      <c r="BC117" s="155" t="str">
        <f t="shared" si="138"/>
        <v>-</v>
      </c>
      <c r="BM117" s="151"/>
      <c r="BN117" s="153"/>
      <c r="BO117" s="153"/>
      <c r="BP117" s="153"/>
      <c r="BQ117" s="153"/>
      <c r="BR117" s="153"/>
      <c r="BS117" s="153"/>
      <c r="BT117" s="153"/>
      <c r="BU117" s="153"/>
    </row>
    <row r="118" spans="1:73" ht="15" customHeight="1" outlineLevel="1" x14ac:dyDescent="0.25">
      <c r="A118" s="40"/>
      <c r="B118" s="761"/>
      <c r="C118" s="760"/>
      <c r="D118" s="116"/>
      <c r="E118" s="116"/>
      <c r="F118" s="56"/>
      <c r="G118" s="56"/>
      <c r="H118" s="56"/>
      <c r="I118" s="56"/>
      <c r="J118" s="56"/>
      <c r="K118" s="171"/>
      <c r="L118" s="171"/>
      <c r="M118" s="171"/>
      <c r="N118" s="55"/>
      <c r="O118" s="749"/>
      <c r="P118" s="750"/>
      <c r="Q118" s="750"/>
      <c r="R118" s="754"/>
      <c r="S118" s="749"/>
      <c r="T118" s="750"/>
      <c r="U118" s="750"/>
      <c r="V118" s="754"/>
      <c r="W118" s="119"/>
      <c r="X118" s="119"/>
      <c r="Y118" s="743"/>
      <c r="Z118" s="743"/>
      <c r="AA118" s="743"/>
      <c r="AB118" s="743"/>
      <c r="AC118" s="743"/>
      <c r="AD118" s="743"/>
      <c r="AE118" s="743"/>
      <c r="AF118" s="743"/>
      <c r="AG118" s="743"/>
      <c r="AH118" s="743"/>
      <c r="BC118" s="155" t="str">
        <f t="shared" si="138"/>
        <v>-</v>
      </c>
      <c r="BM118" s="151" t="str">
        <f>B104</f>
        <v>ECE -7°C</v>
      </c>
      <c r="BN118" s="153" t="str">
        <f t="shared" ref="BN118:BS118" si="152">F108</f>
        <v>-</v>
      </c>
      <c r="BO118" s="153" t="str">
        <f t="shared" si="152"/>
        <v>-</v>
      </c>
      <c r="BP118" s="153" t="str">
        <f t="shared" si="152"/>
        <v>-</v>
      </c>
      <c r="BQ118" s="153" t="str">
        <f t="shared" si="152"/>
        <v>-</v>
      </c>
      <c r="BR118" s="153" t="str">
        <f t="shared" si="152"/>
        <v>-</v>
      </c>
      <c r="BS118" s="153" t="str">
        <f t="shared" si="152"/>
        <v>-</v>
      </c>
      <c r="BT118" s="153" t="str">
        <f t="shared" ref="BT118:BU118" si="153">L108</f>
        <v>-</v>
      </c>
      <c r="BU118" s="153" t="str">
        <f t="shared" si="153"/>
        <v>-</v>
      </c>
    </row>
    <row r="119" spans="1:73" ht="15" customHeight="1" outlineLevel="1" x14ac:dyDescent="0.25">
      <c r="A119" s="40"/>
      <c r="B119" s="761"/>
      <c r="C119" s="760"/>
      <c r="D119" s="116"/>
      <c r="E119" s="116"/>
      <c r="F119" s="116"/>
      <c r="G119" s="116"/>
      <c r="H119" s="116"/>
      <c r="I119" s="116"/>
      <c r="J119" s="116"/>
      <c r="K119" s="171"/>
      <c r="L119" s="171"/>
      <c r="M119" s="171"/>
      <c r="N119" s="59"/>
      <c r="O119" s="749"/>
      <c r="P119" s="750"/>
      <c r="Q119" s="750"/>
      <c r="R119" s="754"/>
      <c r="S119" s="749"/>
      <c r="T119" s="750"/>
      <c r="U119" s="750"/>
      <c r="V119" s="754"/>
      <c r="W119" s="119"/>
      <c r="X119" s="119"/>
      <c r="Y119" s="743"/>
      <c r="Z119" s="743"/>
      <c r="AA119" s="743"/>
      <c r="AB119" s="743"/>
      <c r="AC119" s="743"/>
      <c r="AD119" s="743"/>
      <c r="AE119" s="743"/>
      <c r="AF119" s="743"/>
      <c r="AG119" s="743"/>
      <c r="AH119" s="743"/>
      <c r="BC119" s="155" t="str">
        <f t="shared" si="138"/>
        <v>-</v>
      </c>
      <c r="BM119" s="151"/>
      <c r="BN119" s="153"/>
      <c r="BO119" s="153"/>
      <c r="BP119" s="153"/>
      <c r="BQ119" s="153"/>
      <c r="BR119" s="153"/>
      <c r="BS119" s="153"/>
      <c r="BT119" s="153"/>
      <c r="BU119" s="153"/>
    </row>
    <row r="120" spans="1:73" ht="15" customHeight="1" outlineLevel="1" x14ac:dyDescent="0.25">
      <c r="A120" s="40"/>
      <c r="B120" s="761"/>
      <c r="C120" s="760"/>
      <c r="D120" s="116"/>
      <c r="E120" s="116"/>
      <c r="F120" s="58"/>
      <c r="G120" s="58"/>
      <c r="H120" s="58"/>
      <c r="I120" s="58"/>
      <c r="J120" s="58"/>
      <c r="K120" s="171"/>
      <c r="L120" s="171"/>
      <c r="M120" s="171"/>
      <c r="N120" s="57"/>
      <c r="O120" s="749"/>
      <c r="P120" s="750"/>
      <c r="Q120" s="750"/>
      <c r="R120" s="754"/>
      <c r="S120" s="749"/>
      <c r="T120" s="750"/>
      <c r="U120" s="750"/>
      <c r="V120" s="754"/>
      <c r="W120" s="119"/>
      <c r="X120" s="119"/>
      <c r="Y120" s="743"/>
      <c r="Z120" s="743"/>
      <c r="AA120" s="743"/>
      <c r="AB120" s="743"/>
      <c r="AC120" s="743"/>
      <c r="AD120" s="743"/>
      <c r="AE120" s="743"/>
      <c r="AF120" s="743"/>
      <c r="AG120" s="743"/>
      <c r="AH120" s="743"/>
      <c r="BC120" s="155" t="str">
        <f t="shared" si="138"/>
        <v>-</v>
      </c>
      <c r="BM120" s="151"/>
      <c r="BN120" s="153"/>
      <c r="BO120" s="153"/>
      <c r="BP120" s="153"/>
      <c r="BQ120" s="153"/>
      <c r="BR120" s="153"/>
      <c r="BS120" s="153"/>
      <c r="BT120" s="153"/>
      <c r="BU120" s="153"/>
    </row>
    <row r="121" spans="1:73" ht="15" customHeight="1" outlineLevel="1" x14ac:dyDescent="0.25">
      <c r="A121" s="40"/>
      <c r="B121" s="761"/>
      <c r="C121" s="760"/>
      <c r="D121" s="116"/>
      <c r="E121" s="116"/>
      <c r="F121" s="58"/>
      <c r="G121" s="58"/>
      <c r="H121" s="58"/>
      <c r="I121" s="58"/>
      <c r="J121" s="58"/>
      <c r="K121" s="171"/>
      <c r="L121" s="171"/>
      <c r="M121" s="171"/>
      <c r="N121" s="57"/>
      <c r="O121" s="749"/>
      <c r="P121" s="750"/>
      <c r="Q121" s="750"/>
      <c r="R121" s="754"/>
      <c r="S121" s="749"/>
      <c r="T121" s="750"/>
      <c r="U121" s="750"/>
      <c r="V121" s="754"/>
      <c r="W121" s="119"/>
      <c r="X121" s="119"/>
      <c r="Y121" s="743"/>
      <c r="Z121" s="743"/>
      <c r="AA121" s="743"/>
      <c r="AB121" s="743"/>
      <c r="AC121" s="743"/>
      <c r="AD121" s="743"/>
      <c r="AE121" s="743"/>
      <c r="AF121" s="743"/>
      <c r="AG121" s="743"/>
      <c r="AH121" s="743"/>
      <c r="BC121" s="155" t="str">
        <f t="shared" si="138"/>
        <v>-</v>
      </c>
      <c r="BM121" s="151"/>
      <c r="BN121" s="153"/>
      <c r="BO121" s="153"/>
      <c r="BP121" s="153"/>
      <c r="BQ121" s="153"/>
      <c r="BR121" s="153"/>
      <c r="BS121" s="153"/>
      <c r="BT121" s="153"/>
      <c r="BU121" s="153"/>
    </row>
    <row r="122" spans="1:73" ht="15" customHeight="1" outlineLevel="1" x14ac:dyDescent="0.25">
      <c r="A122" s="40"/>
      <c r="B122" s="761"/>
      <c r="C122" s="760"/>
      <c r="D122" s="116"/>
      <c r="E122" s="116"/>
      <c r="F122" s="56"/>
      <c r="G122" s="56"/>
      <c r="H122" s="56"/>
      <c r="I122" s="56"/>
      <c r="J122" s="56"/>
      <c r="K122" s="171"/>
      <c r="L122" s="171"/>
      <c r="M122" s="171"/>
      <c r="N122" s="55"/>
      <c r="O122" s="749"/>
      <c r="P122" s="750"/>
      <c r="Q122" s="750"/>
      <c r="R122" s="754"/>
      <c r="S122" s="749"/>
      <c r="T122" s="750"/>
      <c r="U122" s="750"/>
      <c r="V122" s="754"/>
      <c r="W122" s="119"/>
      <c r="X122" s="119"/>
      <c r="Y122" s="743"/>
      <c r="Z122" s="743"/>
      <c r="AA122" s="743"/>
      <c r="AB122" s="743"/>
      <c r="AC122" s="743"/>
      <c r="AD122" s="743"/>
      <c r="AE122" s="743"/>
      <c r="AF122" s="743"/>
      <c r="AG122" s="743"/>
      <c r="AH122" s="743"/>
      <c r="BC122" s="155" t="str">
        <f t="shared" si="138"/>
        <v>-</v>
      </c>
      <c r="BM122" s="151" t="str">
        <f>"IEF " &amp;B104</f>
        <v>IEF ECE -7°C</v>
      </c>
      <c r="BN122" s="153">
        <f t="shared" ref="BN122:BS122" si="154">IF(AND(OR($C107="-",$C107="CET",$C107=""),OR(F104="-",F104="CET",F104="")),"-",IF(OR(F104="CET",F104="-",F104=""),IF(OR($C107="CET",$C107="-",$C107=""),"-",$C107),F104))</f>
        <v>1</v>
      </c>
      <c r="BO122" s="153">
        <f t="shared" si="154"/>
        <v>1</v>
      </c>
      <c r="BP122" s="153">
        <f t="shared" si="154"/>
        <v>1</v>
      </c>
      <c r="BQ122" s="153">
        <f t="shared" si="154"/>
        <v>1</v>
      </c>
      <c r="BR122" s="153">
        <f t="shared" si="154"/>
        <v>1</v>
      </c>
      <c r="BS122" s="153">
        <f t="shared" si="154"/>
        <v>1</v>
      </c>
      <c r="BT122" s="153">
        <f t="shared" ref="BT122:BU122" si="155">IF(AND(OR($C107="-",$C107="CET",$C107=""),OR(L104="-",L104="CET",L104="")),"-",IF(OR(L104="CET",L104="-",L104=""),IF(OR($C107="CET",$C107="-",$C107=""),"-",$C107),L104))</f>
        <v>1</v>
      </c>
      <c r="BU122" s="153">
        <f t="shared" si="155"/>
        <v>1</v>
      </c>
    </row>
    <row r="123" spans="1:73" outlineLevel="1" x14ac:dyDescent="0.25">
      <c r="B123" s="761"/>
      <c r="C123" s="760"/>
      <c r="D123" s="116"/>
      <c r="E123" s="116"/>
      <c r="F123" s="56"/>
      <c r="G123" s="56"/>
      <c r="H123" s="56"/>
      <c r="I123" s="56"/>
      <c r="J123" s="56"/>
      <c r="K123" s="171"/>
      <c r="L123" s="171"/>
      <c r="M123" s="171"/>
      <c r="N123" s="55"/>
      <c r="O123" s="749"/>
      <c r="P123" s="750"/>
      <c r="Q123" s="750"/>
      <c r="R123" s="754"/>
      <c r="S123" s="749"/>
      <c r="T123" s="750"/>
      <c r="U123" s="750"/>
      <c r="V123" s="754"/>
      <c r="BC123" s="155" t="str">
        <f t="shared" si="138"/>
        <v>-</v>
      </c>
      <c r="BD123" s="156"/>
      <c r="BE123" s="156"/>
      <c r="BF123" s="156"/>
      <c r="BG123" s="156"/>
      <c r="BH123" s="156"/>
      <c r="BI123" s="156"/>
      <c r="BJ123" s="156"/>
      <c r="BK123" s="156"/>
      <c r="BL123" s="156"/>
    </row>
    <row r="124" spans="1:73" ht="15.75" outlineLevel="1" thickBot="1" x14ac:dyDescent="0.3">
      <c r="B124" s="796"/>
      <c r="C124" s="778"/>
      <c r="D124" s="117"/>
      <c r="E124" s="117"/>
      <c r="F124" s="117"/>
      <c r="G124" s="117"/>
      <c r="H124" s="117"/>
      <c r="I124" s="117"/>
      <c r="J124" s="117"/>
      <c r="K124" s="172"/>
      <c r="L124" s="172"/>
      <c r="M124" s="172"/>
      <c r="N124" s="54"/>
      <c r="O124" s="751"/>
      <c r="P124" s="752"/>
      <c r="Q124" s="752"/>
      <c r="R124" s="755"/>
      <c r="S124" s="751"/>
      <c r="T124" s="752"/>
      <c r="U124" s="752"/>
      <c r="V124" s="755"/>
      <c r="BC124" s="155" t="str">
        <f t="shared" si="138"/>
        <v>-</v>
      </c>
      <c r="BD124" s="156"/>
      <c r="BE124" s="156"/>
      <c r="BF124" s="156"/>
      <c r="BG124" s="156"/>
      <c r="BH124" s="156"/>
      <c r="BI124" s="156"/>
      <c r="BJ124" s="156"/>
      <c r="BK124" s="156"/>
      <c r="BL124" s="156"/>
    </row>
    <row r="125" spans="1:73" ht="15" customHeight="1" x14ac:dyDescent="0.25">
      <c r="A125" s="39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BC125" s="155" t="str">
        <f t="shared" si="138"/>
        <v>-</v>
      </c>
      <c r="BD125" s="156"/>
      <c r="BE125" s="156"/>
      <c r="BF125" s="156"/>
      <c r="BG125" s="156"/>
      <c r="BH125" s="156"/>
      <c r="BI125" s="156"/>
      <c r="BJ125" s="156"/>
      <c r="BK125" s="156"/>
      <c r="BL125" s="156"/>
    </row>
    <row r="126" spans="1:73" ht="15" customHeight="1" x14ac:dyDescent="0.25">
      <c r="A126" s="39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BC126" s="155" t="str">
        <f t="shared" si="138"/>
        <v>-</v>
      </c>
      <c r="BD126" s="156"/>
      <c r="BE126" s="156"/>
      <c r="BF126" s="156"/>
      <c r="BG126" s="156"/>
      <c r="BH126" s="156"/>
      <c r="BI126" s="156"/>
      <c r="BJ126" s="156"/>
      <c r="BK126" s="156"/>
      <c r="BL126" s="156"/>
    </row>
    <row r="127" spans="1:73" ht="15" customHeight="1" thickBot="1" x14ac:dyDescent="0.3">
      <c r="A127" s="39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BC127" s="155" t="str">
        <f t="shared" si="138"/>
        <v>-</v>
      </c>
    </row>
    <row r="128" spans="1:73" ht="24.95" customHeight="1" thickBot="1" x14ac:dyDescent="0.3">
      <c r="A128" s="39"/>
      <c r="B128" s="185">
        <v>5</v>
      </c>
      <c r="C128" s="757" t="s">
        <v>342</v>
      </c>
      <c r="D128" s="758"/>
      <c r="E128" s="758"/>
      <c r="F128" s="758"/>
      <c r="G128" s="758"/>
      <c r="H128" s="758"/>
      <c r="I128" s="758"/>
      <c r="J128" s="758"/>
      <c r="K128" s="758"/>
      <c r="L128" s="758"/>
      <c r="M128" s="758"/>
      <c r="N128" s="759"/>
      <c r="O128" s="49" t="s">
        <v>79</v>
      </c>
      <c r="P128" s="71" t="str">
        <f>IF(COUNTIF(F132:M155,"refused")&gt;0,"refused",IF(COUNTIF(F132:M155,"failed")&gt;0,"failed",IF(COUNTIF(F132:M155,"passed")&gt;0,"passed","-")))</f>
        <v>-</v>
      </c>
      <c r="Q128" s="70" t="s">
        <v>80</v>
      </c>
      <c r="R128" s="70" t="str">
        <f>IF(COUNT(F133:M134,F139:M140,F145:M146,F151:M152,)&gt;0,"listed","not listed")</f>
        <v>listed</v>
      </c>
      <c r="S128" s="118"/>
      <c r="T128" s="43"/>
      <c r="U128" s="43"/>
      <c r="V128" s="44"/>
      <c r="W128" s="47"/>
      <c r="X128" s="47"/>
      <c r="Y128" s="756"/>
      <c r="Z128" s="756"/>
      <c r="AA128" s="756"/>
      <c r="AB128" s="756"/>
      <c r="AC128" s="756"/>
      <c r="AD128" s="756"/>
      <c r="AE128" s="756"/>
      <c r="AF128" s="756"/>
      <c r="AG128" s="756"/>
      <c r="AH128" s="756"/>
      <c r="BC128" s="155" t="str">
        <f t="shared" ref="BC128:BC155" si="156">IF(COUNTIF(F128:M128,"refused")&gt;0,"refused",IF(COUNTIF(F128:M128,"failed")&gt;0,"failed",IF(COUNTIF(F128:M128,"passed")&gt;0,"passed","-")))</f>
        <v>-</v>
      </c>
    </row>
    <row r="129" spans="1:73" ht="15" customHeight="1" outlineLevel="1" thickBot="1" x14ac:dyDescent="0.3">
      <c r="A129" s="39"/>
      <c r="B129" s="120"/>
      <c r="C129" s="121"/>
      <c r="D129" s="121"/>
      <c r="E129" s="121"/>
      <c r="F129" s="121"/>
      <c r="G129" s="121"/>
      <c r="H129" s="121"/>
      <c r="I129" s="121"/>
      <c r="J129" s="121"/>
      <c r="K129" s="162"/>
      <c r="L129" s="162"/>
      <c r="M129" s="162"/>
      <c r="N129" s="121"/>
      <c r="O129" s="121"/>
      <c r="P129" s="121"/>
      <c r="Q129" s="121"/>
      <c r="R129" s="121"/>
      <c r="S129" s="121"/>
      <c r="T129" s="45"/>
      <c r="U129" s="45"/>
      <c r="V129" s="46"/>
      <c r="W129" s="119"/>
      <c r="X129" s="119"/>
      <c r="Y129" s="743"/>
      <c r="Z129" s="743"/>
      <c r="AA129" s="743"/>
      <c r="AB129" s="743"/>
      <c r="AC129" s="743"/>
      <c r="AD129" s="743"/>
      <c r="AE129" s="743"/>
      <c r="AF129" s="743"/>
      <c r="AG129" s="743"/>
      <c r="AH129" s="743"/>
      <c r="BC129" s="155" t="str">
        <f t="shared" si="156"/>
        <v>-</v>
      </c>
      <c r="BD129" s="151" t="s">
        <v>85</v>
      </c>
      <c r="BE129" s="152" t="str">
        <f>F$4</f>
        <v>NMHC 
[g/km]</v>
      </c>
      <c r="BF129" s="152" t="str">
        <f t="shared" ref="BF129" si="157">G$4</f>
        <v>THC
[g/km]</v>
      </c>
      <c r="BG129" s="152" t="str">
        <f t="shared" ref="BG129" si="158">H$4</f>
        <v>CO
[g/km]</v>
      </c>
      <c r="BH129" s="152" t="str">
        <f t="shared" ref="BH129" si="159">I$4</f>
        <v>NOx
[g/km]</v>
      </c>
      <c r="BI129" s="152" t="str">
        <f t="shared" ref="BI129" si="160">J$4</f>
        <v>PM
[mg/km]</v>
      </c>
      <c r="BJ129" s="152" t="str">
        <f t="shared" ref="BJ129" si="161">K$4</f>
        <v>PN
[#/km]</v>
      </c>
      <c r="BK129" s="152" t="str">
        <f t="shared" ref="BK129" si="162">L$4</f>
        <v>Additional
component</v>
      </c>
      <c r="BL129" s="152" t="str">
        <f t="shared" ref="BL129" si="163">M$4</f>
        <v>Additional
component 2</v>
      </c>
    </row>
    <row r="130" spans="1:73" ht="15" customHeight="1" outlineLevel="1" thickBot="1" x14ac:dyDescent="0.3">
      <c r="A130" s="39"/>
      <c r="B130" s="744" t="s">
        <v>81</v>
      </c>
      <c r="C130" s="745"/>
      <c r="D130" s="745"/>
      <c r="E130" s="745"/>
      <c r="F130" s="745"/>
      <c r="G130" s="745"/>
      <c r="H130" s="745"/>
      <c r="I130" s="745"/>
      <c r="J130" s="745"/>
      <c r="K130" s="745"/>
      <c r="L130" s="745"/>
      <c r="M130" s="745"/>
      <c r="N130" s="746"/>
      <c r="O130" s="744" t="s">
        <v>82</v>
      </c>
      <c r="P130" s="745"/>
      <c r="Q130" s="745"/>
      <c r="R130" s="746"/>
      <c r="S130" s="744" t="s">
        <v>83</v>
      </c>
      <c r="T130" s="745"/>
      <c r="U130" s="745"/>
      <c r="V130" s="746"/>
      <c r="W130" s="119"/>
      <c r="X130" s="119"/>
      <c r="Y130" s="743"/>
      <c r="Z130" s="743"/>
      <c r="AA130" s="743"/>
      <c r="AB130" s="743"/>
      <c r="AC130" s="743"/>
      <c r="AD130" s="743"/>
      <c r="AE130" s="743"/>
      <c r="AF130" s="743"/>
      <c r="AG130" s="743"/>
      <c r="AH130" s="743"/>
      <c r="BC130" s="155" t="str">
        <f t="shared" si="156"/>
        <v>-</v>
      </c>
      <c r="BD130" s="151" t="str">
        <f>$E$4</f>
        <v>Euro 6d</v>
      </c>
      <c r="BE130" s="153">
        <v>1</v>
      </c>
      <c r="BF130" s="153">
        <v>1</v>
      </c>
      <c r="BG130" s="153">
        <v>1</v>
      </c>
      <c r="BH130" s="153">
        <v>1</v>
      </c>
      <c r="BI130" s="153">
        <v>1</v>
      </c>
      <c r="BJ130" s="153">
        <v>1</v>
      </c>
      <c r="BK130" s="153">
        <v>1</v>
      </c>
      <c r="BL130" s="153">
        <v>1</v>
      </c>
    </row>
    <row r="131" spans="1:73" ht="35.1" customHeight="1" outlineLevel="1" collapsed="1" thickBot="1" x14ac:dyDescent="0.3">
      <c r="A131" s="39"/>
      <c r="B131" s="767" t="s">
        <v>84</v>
      </c>
      <c r="C131" s="768"/>
      <c r="D131" s="768"/>
      <c r="E131" s="769"/>
      <c r="F131" s="69" t="str">
        <f>F$4</f>
        <v>NMHC 
[g/km]</v>
      </c>
      <c r="G131" s="69" t="str">
        <f t="shared" ref="G131:N131" si="164">G$4</f>
        <v>THC
[g/km]</v>
      </c>
      <c r="H131" s="69" t="str">
        <f t="shared" si="164"/>
        <v>CO
[g/km]</v>
      </c>
      <c r="I131" s="69" t="str">
        <f t="shared" si="164"/>
        <v>NOx
[g/km]</v>
      </c>
      <c r="J131" s="69" t="str">
        <f t="shared" si="164"/>
        <v>PM
[mg/km]</v>
      </c>
      <c r="K131" s="69" t="str">
        <f t="shared" si="164"/>
        <v>PN
[#/km]</v>
      </c>
      <c r="L131" s="366" t="str">
        <f t="shared" si="164"/>
        <v>Additional
component</v>
      </c>
      <c r="M131" s="366" t="str">
        <f t="shared" si="164"/>
        <v>Additional
component 2</v>
      </c>
      <c r="N131" s="69" t="str">
        <f t="shared" si="164"/>
        <v>CO2
[g/km]</v>
      </c>
      <c r="O131" s="881"/>
      <c r="P131" s="882"/>
      <c r="Q131" s="882"/>
      <c r="R131" s="883"/>
      <c r="S131" s="747"/>
      <c r="T131" s="748"/>
      <c r="U131" s="748"/>
      <c r="V131" s="753"/>
      <c r="W131" s="119"/>
      <c r="X131" s="119"/>
      <c r="Y131" s="743"/>
      <c r="Z131" s="743"/>
      <c r="AA131" s="743"/>
      <c r="AB131" s="743"/>
      <c r="AC131" s="743"/>
      <c r="AD131" s="743"/>
      <c r="AE131" s="743"/>
      <c r="AF131" s="743"/>
      <c r="AG131" s="743"/>
      <c r="AH131" s="743"/>
      <c r="BC131" s="155" t="str">
        <f t="shared" si="156"/>
        <v>-</v>
      </c>
      <c r="BD131" s="151" t="str">
        <f>"1st " &amp;  B132</f>
        <v>1st aggressive @ minimum moderate temperature limit</v>
      </c>
      <c r="BE131" s="153" t="str">
        <f>IF(AND(OR($C135="-",$C135="CET",$C135=""),OR(F132="-",F132="CET",F132="")),"-",IF(AND(OR(F133="-",F133=""),OR(F134="-",F134="")),"-",IF(NOT(OR(F133="-",F133="")),F133/F$5,F134/F$5)))</f>
        <v>-</v>
      </c>
      <c r="BF131" s="153" t="str">
        <f t="shared" ref="BF131:BL131" si="165">IF(AND(OR($C135="-",$C135="CET",$C135=""),OR(G132="-",G132="CET",G132="")),"-",IF(AND(OR(G133="-",G133=""),OR(G134="-",G134="")),"-",IF(NOT(OR(G133="-",G133="")),G133/G$5,G134/G$5)))</f>
        <v>-</v>
      </c>
      <c r="BG131" s="153" t="str">
        <f t="shared" si="165"/>
        <v>-</v>
      </c>
      <c r="BH131" s="153" t="str">
        <f t="shared" si="165"/>
        <v>-</v>
      </c>
      <c r="BI131" s="153" t="str">
        <f t="shared" si="165"/>
        <v>-</v>
      </c>
      <c r="BJ131" s="153" t="str">
        <f t="shared" si="165"/>
        <v>-</v>
      </c>
      <c r="BK131" s="153" t="str">
        <f t="shared" si="165"/>
        <v>-</v>
      </c>
      <c r="BL131" s="153" t="str">
        <f t="shared" si="165"/>
        <v>-</v>
      </c>
    </row>
    <row r="132" spans="1:73" s="50" customFormat="1" ht="15" customHeight="1" outlineLevel="1" thickBot="1" x14ac:dyDescent="0.3">
      <c r="A132" s="53"/>
      <c r="B132" s="872" t="s">
        <v>343</v>
      </c>
      <c r="C132" s="115" t="s">
        <v>64</v>
      </c>
      <c r="D132" s="767" t="s">
        <v>119</v>
      </c>
      <c r="E132" s="769"/>
      <c r="F132" s="107" t="s">
        <v>64</v>
      </c>
      <c r="G132" s="107" t="s">
        <v>64</v>
      </c>
      <c r="H132" s="107" t="s">
        <v>64</v>
      </c>
      <c r="I132" s="107" t="s">
        <v>64</v>
      </c>
      <c r="J132" s="107" t="s">
        <v>64</v>
      </c>
      <c r="K132" s="164" t="s">
        <v>64</v>
      </c>
      <c r="L132" s="164" t="s">
        <v>64</v>
      </c>
      <c r="M132" s="164" t="s">
        <v>64</v>
      </c>
      <c r="N132" s="107" t="s">
        <v>64</v>
      </c>
      <c r="O132" s="884"/>
      <c r="P132" s="885"/>
      <c r="Q132" s="885"/>
      <c r="R132" s="886"/>
      <c r="S132" s="749"/>
      <c r="T132" s="750"/>
      <c r="U132" s="750"/>
      <c r="V132" s="754"/>
      <c r="W132" s="51"/>
      <c r="X132" s="51"/>
      <c r="Y132" s="743"/>
      <c r="Z132" s="743"/>
      <c r="AA132" s="743"/>
      <c r="AB132" s="743"/>
      <c r="AC132" s="743"/>
      <c r="AD132" s="743"/>
      <c r="AE132" s="743"/>
      <c r="AF132" s="743"/>
      <c r="AG132" s="743"/>
      <c r="AH132" s="743"/>
      <c r="BC132" s="155" t="str">
        <f t="shared" si="156"/>
        <v>-</v>
      </c>
      <c r="BD132" s="151" t="str">
        <f>"1st " &amp; B138</f>
        <v>1st aggressive @ maximum moderate temperature limitt</v>
      </c>
      <c r="BE132" s="153" t="str">
        <f>IF(AND(OR($C141="-",$C141="CET",$C141=""),OR(F138="-",F138="CET",F138="")),"-",IF(AND(OR(F139="-",F139=""),OR(F140="-",F140="")),"-",IF(NOT(OR(F139="-",F139="")),F139/F$5,F140/F$5)))</f>
        <v>-</v>
      </c>
      <c r="BF132" s="153" t="str">
        <f t="shared" ref="BF132:BL132" si="166">IF(AND(OR($C141="-",$C141="CET",$C141=""),OR(G138="-",G138="CET",G138="")),"-",IF(AND(OR(G139="-",G139=""),OR(G140="-",G140="")),"-",IF(NOT(OR(G139="-",G139="")),G139/G$5,G140/G$5)))</f>
        <v>-</v>
      </c>
      <c r="BG132" s="153" t="str">
        <f t="shared" si="166"/>
        <v>-</v>
      </c>
      <c r="BH132" s="153" t="str">
        <f t="shared" si="166"/>
        <v>-</v>
      </c>
      <c r="BI132" s="153" t="str">
        <f t="shared" si="166"/>
        <v>-</v>
      </c>
      <c r="BJ132" s="153" t="str">
        <f t="shared" si="166"/>
        <v>-</v>
      </c>
      <c r="BK132" s="153" t="str">
        <f t="shared" si="166"/>
        <v>-</v>
      </c>
      <c r="BL132" s="153" t="str">
        <f t="shared" si="166"/>
        <v>-</v>
      </c>
      <c r="BM132" s="150"/>
      <c r="BN132" s="150"/>
      <c r="BO132" s="150"/>
      <c r="BP132" s="150"/>
      <c r="BQ132" s="150"/>
      <c r="BR132" s="150"/>
      <c r="BS132" s="150"/>
      <c r="BT132" s="150"/>
      <c r="BU132" s="150"/>
    </row>
    <row r="133" spans="1:73" ht="15" customHeight="1" outlineLevel="1" x14ac:dyDescent="0.25">
      <c r="A133" s="39"/>
      <c r="B133" s="873"/>
      <c r="C133" s="770" t="s">
        <v>114</v>
      </c>
      <c r="D133" s="770" t="s">
        <v>113</v>
      </c>
      <c r="E133" s="106" t="s">
        <v>94</v>
      </c>
      <c r="F133" s="105" t="s">
        <v>5</v>
      </c>
      <c r="G133" s="105" t="s">
        <v>5</v>
      </c>
      <c r="H133" s="105" t="s">
        <v>5</v>
      </c>
      <c r="I133" s="105" t="s">
        <v>5</v>
      </c>
      <c r="J133" s="105" t="s">
        <v>5</v>
      </c>
      <c r="K133" s="173" t="s">
        <v>5</v>
      </c>
      <c r="L133" s="173" t="s">
        <v>5</v>
      </c>
      <c r="M133" s="173" t="s">
        <v>5</v>
      </c>
      <c r="N133" s="105" t="s">
        <v>5</v>
      </c>
      <c r="O133" s="884"/>
      <c r="P133" s="885"/>
      <c r="Q133" s="885"/>
      <c r="R133" s="886"/>
      <c r="S133" s="749"/>
      <c r="T133" s="750"/>
      <c r="U133" s="750"/>
      <c r="V133" s="754"/>
      <c r="W133" s="119"/>
      <c r="X133" s="119"/>
      <c r="Y133" s="743"/>
      <c r="Z133" s="743"/>
      <c r="AA133" s="743"/>
      <c r="AB133" s="743"/>
      <c r="AC133" s="743"/>
      <c r="AD133" s="743"/>
      <c r="AE133" s="743"/>
      <c r="AF133" s="743"/>
      <c r="AG133" s="743"/>
      <c r="AH133" s="743"/>
      <c r="BC133" s="155" t="str">
        <f t="shared" si="156"/>
        <v>-</v>
      </c>
      <c r="BD133" s="151" t="str">
        <f>"1st " &amp; B144</f>
        <v>1st aggressive @ maximum moderate temperature limit and extended altitude</v>
      </c>
      <c r="BE133" s="153" t="str">
        <f>IF(AND(OR($C147="-",$C147="CET",$C147=""),OR(F144="-",F144="CET",F144="")),"-",IF(AND(OR(F145="-",F145=""),OR(F146="-",F146="")),"-",IF(NOT(OR(F145="-",F145="")),F145/F$5,F146/F$5)))</f>
        <v>-</v>
      </c>
      <c r="BF133" s="153" t="str">
        <f t="shared" ref="BF133:BL133" si="167">IF(AND(OR($C147="-",$C147="CET",$C147=""),OR(G144="-",G144="CET",G144="")),"-",IF(AND(OR(G145="-",G145=""),OR(G146="-",G146="")),"-",IF(NOT(OR(G145="-",G145="")),G145/G$5,G146/G$5)))</f>
        <v>-</v>
      </c>
      <c r="BG133" s="153" t="str">
        <f t="shared" si="167"/>
        <v>-</v>
      </c>
      <c r="BH133" s="153" t="str">
        <f t="shared" si="167"/>
        <v>-</v>
      </c>
      <c r="BI133" s="153" t="str">
        <f t="shared" si="167"/>
        <v>-</v>
      </c>
      <c r="BJ133" s="153" t="str">
        <f t="shared" si="167"/>
        <v>-</v>
      </c>
      <c r="BK133" s="153" t="str">
        <f t="shared" si="167"/>
        <v>-</v>
      </c>
      <c r="BL133" s="153" t="str">
        <f t="shared" si="167"/>
        <v>-</v>
      </c>
    </row>
    <row r="134" spans="1:73" ht="15" customHeight="1" outlineLevel="1" thickBot="1" x14ac:dyDescent="0.3">
      <c r="A134" s="39"/>
      <c r="B134" s="873"/>
      <c r="C134" s="742"/>
      <c r="D134" s="742"/>
      <c r="E134" s="104" t="s">
        <v>95</v>
      </c>
      <c r="F134" s="103" t="s">
        <v>5</v>
      </c>
      <c r="G134" s="103" t="s">
        <v>5</v>
      </c>
      <c r="H134" s="103" t="s">
        <v>5</v>
      </c>
      <c r="I134" s="103" t="s">
        <v>5</v>
      </c>
      <c r="J134" s="103" t="s">
        <v>5</v>
      </c>
      <c r="K134" s="174" t="s">
        <v>5</v>
      </c>
      <c r="L134" s="174" t="s">
        <v>5</v>
      </c>
      <c r="M134" s="174" t="s">
        <v>5</v>
      </c>
      <c r="N134" s="103" t="s">
        <v>5</v>
      </c>
      <c r="O134" s="884"/>
      <c r="P134" s="885"/>
      <c r="Q134" s="885"/>
      <c r="R134" s="886"/>
      <c r="S134" s="749"/>
      <c r="T134" s="750"/>
      <c r="U134" s="750"/>
      <c r="V134" s="754"/>
      <c r="W134" s="119"/>
      <c r="X134" s="119"/>
      <c r="Y134" s="743"/>
      <c r="Z134" s="743"/>
      <c r="AA134" s="743"/>
      <c r="AB134" s="743"/>
      <c r="AC134" s="743"/>
      <c r="AD134" s="743"/>
      <c r="AE134" s="743"/>
      <c r="AF134" s="743"/>
      <c r="AG134" s="743"/>
      <c r="AH134" s="743"/>
      <c r="BC134" s="155" t="str">
        <f t="shared" si="156"/>
        <v>-</v>
      </c>
      <c r="BD134" s="151" t="str">
        <f>"1st " &amp; B150</f>
        <v xml:space="preserve">1st </v>
      </c>
      <c r="BE134" s="153" t="str">
        <f>IF(AND(OR($C153="-",$C153="CET",$C153=""),OR(F150="-",F150="CET",F150="")),"-",IF(AND(OR(F151="-",F151=""),OR(F152="-",F152="")),"-",IF(NOT(OR(F151="-",F151="")),F151/F$5,F152/F$5)))</f>
        <v>-</v>
      </c>
      <c r="BF134" s="153" t="str">
        <f t="shared" ref="BF134:BL134" si="168">IF(AND(OR($C153="-",$C153="CET",$C153=""),OR(G150="-",G150="CET",G150="")),"-",IF(AND(OR(G151="-",G151=""),OR(G152="-",G152="")),"-",IF(NOT(OR(G151="-",G151="")),G151/G$5,G152/G$5)))</f>
        <v>-</v>
      </c>
      <c r="BG134" s="153" t="str">
        <f t="shared" si="168"/>
        <v>-</v>
      </c>
      <c r="BH134" s="153" t="str">
        <f t="shared" si="168"/>
        <v>-</v>
      </c>
      <c r="BI134" s="153" t="str">
        <f t="shared" si="168"/>
        <v>-</v>
      </c>
      <c r="BJ134" s="153" t="str">
        <f t="shared" si="168"/>
        <v>-</v>
      </c>
      <c r="BK134" s="153" t="str">
        <f t="shared" si="168"/>
        <v>-</v>
      </c>
      <c r="BL134" s="153" t="str">
        <f t="shared" si="168"/>
        <v>-</v>
      </c>
    </row>
    <row r="135" spans="1:73" ht="15" customHeight="1" outlineLevel="1" thickBot="1" x14ac:dyDescent="0.3">
      <c r="A135" s="39"/>
      <c r="B135" s="873"/>
      <c r="C135" s="854" t="s">
        <v>64</v>
      </c>
      <c r="D135" s="772" t="str">
        <f>IF(AND(F136="-",G136="-",H136="-",I136="-",J136="-",K136="-",K136="-",L136="-"),"-",MAX(F136,G136,H136,I136,J136,K136,L136,M136))</f>
        <v>-</v>
      </c>
      <c r="E135" s="66" t="s">
        <v>177</v>
      </c>
      <c r="F135" s="65" t="str">
        <f>IF(OR(F134="-",F134=""),IF(OR(F133="-",F133=""),"-",F133),IF(OR(F133="-",F133=""),F134,(F133+F134)/2))</f>
        <v>-</v>
      </c>
      <c r="G135" s="65" t="str">
        <f t="shared" ref="G135:N135" si="169">IF(OR(G134="-",G134=""),IF(OR(G133="-",G133=""),"-",G133),IF(OR(G133="-",G133=""),G134,(G133+G134)/2))</f>
        <v>-</v>
      </c>
      <c r="H135" s="65" t="str">
        <f t="shared" si="169"/>
        <v>-</v>
      </c>
      <c r="I135" s="65" t="str">
        <f t="shared" si="169"/>
        <v>-</v>
      </c>
      <c r="J135" s="65" t="str">
        <f t="shared" si="169"/>
        <v>-</v>
      </c>
      <c r="K135" s="167" t="str">
        <f t="shared" si="169"/>
        <v>-</v>
      </c>
      <c r="L135" s="167" t="str">
        <f t="shared" ref="L135:M135" si="170">IF(OR(L134="-",L134=""),IF(OR(L133="-",L133=""),"-",L133),IF(OR(L133="-",L133=""),L134,(L133+L134)/2))</f>
        <v>-</v>
      </c>
      <c r="M135" s="167" t="str">
        <f t="shared" si="170"/>
        <v>-</v>
      </c>
      <c r="N135" s="65" t="str">
        <f t="shared" si="169"/>
        <v>-</v>
      </c>
      <c r="O135" s="884"/>
      <c r="P135" s="885"/>
      <c r="Q135" s="885"/>
      <c r="R135" s="886"/>
      <c r="S135" s="749"/>
      <c r="T135" s="750"/>
      <c r="U135" s="750"/>
      <c r="V135" s="754"/>
      <c r="W135" s="119"/>
      <c r="X135" s="119"/>
      <c r="Y135" s="743"/>
      <c r="Z135" s="743"/>
      <c r="AA135" s="743"/>
      <c r="AB135" s="743"/>
      <c r="AC135" s="743"/>
      <c r="AD135" s="743"/>
      <c r="AE135" s="743"/>
      <c r="AF135" s="743"/>
      <c r="AG135" s="743"/>
      <c r="AH135" s="743"/>
      <c r="BC135" s="155" t="str">
        <f t="shared" si="156"/>
        <v>-</v>
      </c>
      <c r="BD135" s="151"/>
      <c r="BE135" s="153"/>
      <c r="BF135" s="153"/>
      <c r="BG135" s="153"/>
      <c r="BH135" s="153"/>
      <c r="BI135" s="153"/>
      <c r="BJ135" s="153"/>
      <c r="BK135" s="153"/>
      <c r="BL135" s="153"/>
    </row>
    <row r="136" spans="1:73" ht="15" customHeight="1" outlineLevel="1" thickBot="1" x14ac:dyDescent="0.3">
      <c r="A136" s="39"/>
      <c r="B136" s="873"/>
      <c r="C136" s="855"/>
      <c r="D136" s="773"/>
      <c r="E136" s="64" t="s">
        <v>97</v>
      </c>
      <c r="F136" s="63" t="str">
        <f>IF(AND(OR($C135="-",$C135="CET",$C135=""),OR(F132="-",F132="CET",F132="")),"-",IF(AND(NOT(F135="-"),NOT(F$5="-"),NOT(F$5="")),F135/F$5,"-"))</f>
        <v>-</v>
      </c>
      <c r="G136" s="63" t="str">
        <f t="shared" ref="G136:N136" si="171">IF(AND(OR($C135="-",$C135="CET",$C135=""),OR(G132="-",G132="CET",G132="")),"-",IF(AND(NOT(G135="-"),NOT(G$5="-"),NOT(G$5="")),G135/G$5,"-"))</f>
        <v>-</v>
      </c>
      <c r="H136" s="63" t="str">
        <f t="shared" si="171"/>
        <v>-</v>
      </c>
      <c r="I136" s="63" t="str">
        <f t="shared" si="171"/>
        <v>-</v>
      </c>
      <c r="J136" s="63" t="str">
        <f t="shared" si="171"/>
        <v>-</v>
      </c>
      <c r="K136" s="168" t="str">
        <f t="shared" si="171"/>
        <v>-</v>
      </c>
      <c r="L136" s="168" t="str">
        <f t="shared" ref="L136:M136" si="172">IF(AND(OR($C135="-",$C135="CET",$C135=""),OR(L132="-",L132="CET",L132="")),"-",IF(AND(NOT(L135="-"),NOT(L$5="-"),NOT(L$5="")),L135/L$5,"-"))</f>
        <v>-</v>
      </c>
      <c r="M136" s="168" t="str">
        <f t="shared" si="172"/>
        <v>-</v>
      </c>
      <c r="N136" s="63" t="str">
        <f t="shared" si="171"/>
        <v>-</v>
      </c>
      <c r="O136" s="884"/>
      <c r="P136" s="885"/>
      <c r="Q136" s="885"/>
      <c r="R136" s="886"/>
      <c r="S136" s="749"/>
      <c r="T136" s="750"/>
      <c r="U136" s="750"/>
      <c r="V136" s="754"/>
      <c r="W136" s="119"/>
      <c r="X136" s="119"/>
      <c r="Y136" s="743"/>
      <c r="Z136" s="743"/>
      <c r="AA136" s="743"/>
      <c r="AB136" s="743"/>
      <c r="AC136" s="743"/>
      <c r="AD136" s="743"/>
      <c r="AE136" s="743"/>
      <c r="AF136" s="743"/>
      <c r="AG136" s="743"/>
      <c r="AH136" s="743"/>
      <c r="BC136" s="155" t="str">
        <f t="shared" si="156"/>
        <v>-</v>
      </c>
      <c r="BD136" s="151"/>
      <c r="BE136" s="153"/>
      <c r="BF136" s="153"/>
      <c r="BG136" s="153"/>
      <c r="BH136" s="153"/>
      <c r="BI136" s="153"/>
      <c r="BJ136" s="153"/>
      <c r="BK136" s="153"/>
      <c r="BL136" s="153"/>
    </row>
    <row r="137" spans="1:73" s="50" customFormat="1" ht="15" customHeight="1" outlineLevel="1" thickBot="1" x14ac:dyDescent="0.3">
      <c r="A137" s="53"/>
      <c r="B137" s="874"/>
      <c r="C137" s="856"/>
      <c r="D137" s="774"/>
      <c r="E137" s="62" t="s">
        <v>30</v>
      </c>
      <c r="F137" s="62" t="str">
        <f t="shared" ref="F137:N137" si="173">IF(AND(OR(F133="-",F133=""),OR(F134="-",F134="")),"-",IF(AND(OR(F132="CET",F132="-",F132=""),OR($C135="CET",$C135="-",$C135="")),"-",IF($R$128="not listed","-",IF(AND(NOT(F$5="-"),NOT(F$5="")),IF(AND(AND(NOT(F133=0),NOT(F133="-"),NOT(F133="")),AND(NOT(F134="-"),NOT(F134=0),NOT(F134=""))),IF(AND((F133+F134)/2&lt;1*F$5*IF(OR(F132="CET",F132="-",F132=""),IF(OR($C135="CET",$C135="-",$C135=""),"-",$C135),F132),F133&lt;1.1*F$5*IF(OR(F132="CET",F132="-",F132=""),IF(OR($C135="CET",$C135="-",$C135=""),"-",$C135),F132),F134&lt;1.1*F$5*IF(OR(F132="CET",F132="-",F132=""),IF($C135="CET","-",$C135),F132)),"passed","refused"),IF(IF(OR(F133="-",F133=""),F134,F133)&lt;0.7*F$5*IF(OR(F132="CET",F132="-",F132=""),IF($C135="CET","-",$C135),F132),"passed",IF(IF(OR(F133="-",F133=""),F134,F133)&lt;1.1*IF(OR(F132="CET",F132="-",F132=""),IF($C135="CET","-",$C135),F132)*F$5,"failed","refused"))),"-"))))</f>
        <v>-</v>
      </c>
      <c r="G137" s="62" t="str">
        <f t="shared" si="173"/>
        <v>-</v>
      </c>
      <c r="H137" s="62" t="str">
        <f t="shared" si="173"/>
        <v>-</v>
      </c>
      <c r="I137" s="62" t="str">
        <f t="shared" si="173"/>
        <v>-</v>
      </c>
      <c r="J137" s="62" t="str">
        <f t="shared" si="173"/>
        <v>-</v>
      </c>
      <c r="K137" s="169" t="str">
        <f t="shared" si="173"/>
        <v>-</v>
      </c>
      <c r="L137" s="169" t="str">
        <f t="shared" si="173"/>
        <v>-</v>
      </c>
      <c r="M137" s="169" t="str">
        <f t="shared" si="173"/>
        <v>-</v>
      </c>
      <c r="N137" s="62" t="str">
        <f t="shared" si="173"/>
        <v>-</v>
      </c>
      <c r="O137" s="884"/>
      <c r="P137" s="885"/>
      <c r="Q137" s="885"/>
      <c r="R137" s="886"/>
      <c r="S137" s="749"/>
      <c r="T137" s="750"/>
      <c r="U137" s="750"/>
      <c r="V137" s="754"/>
      <c r="W137" s="51"/>
      <c r="X137" s="51"/>
      <c r="Y137" s="743"/>
      <c r="Z137" s="743"/>
      <c r="AA137" s="743"/>
      <c r="AB137" s="743"/>
      <c r="AC137" s="743"/>
      <c r="AD137" s="743"/>
      <c r="AE137" s="743"/>
      <c r="AF137" s="743"/>
      <c r="AG137" s="743"/>
      <c r="AH137" s="743"/>
      <c r="BC137" s="155" t="str">
        <f t="shared" si="156"/>
        <v>-</v>
      </c>
      <c r="BD137" s="151" t="str">
        <f>"0.7*IEF " &amp; (B132)</f>
        <v>0.7*IEF aggressive @ minimum moderate temperature limit</v>
      </c>
      <c r="BE137" s="153" t="str">
        <f>IF(AND(OR($C135="-",$C135="CET",$C135=""),OR(F132="-",F132="CET",F132="")),"-",0.7*IF(OR(F132="CET",F132="-",F132=""),IF(OR($C135="CET",$C135="-",$C135=""),"-",$C135),F132))</f>
        <v>-</v>
      </c>
      <c r="BF137" s="153" t="str">
        <f t="shared" ref="BF137:BL137" si="174">IF(AND(OR($C135="-",$C135="CET",$C135=""),OR(G132="-",G132="CET",G132="")),"-",0.7*IF(OR(G132="CET",G132="-",G132=""),IF(OR($C135="CET",$C135="-",$C135=""),"-",$C135),G132))</f>
        <v>-</v>
      </c>
      <c r="BG137" s="153" t="str">
        <f t="shared" si="174"/>
        <v>-</v>
      </c>
      <c r="BH137" s="153" t="str">
        <f t="shared" si="174"/>
        <v>-</v>
      </c>
      <c r="BI137" s="153" t="str">
        <f t="shared" si="174"/>
        <v>-</v>
      </c>
      <c r="BJ137" s="153" t="str">
        <f t="shared" si="174"/>
        <v>-</v>
      </c>
      <c r="BK137" s="153" t="str">
        <f t="shared" si="174"/>
        <v>-</v>
      </c>
      <c r="BL137" s="153" t="str">
        <f t="shared" si="174"/>
        <v>-</v>
      </c>
      <c r="BM137" s="150"/>
      <c r="BN137" s="150"/>
      <c r="BO137" s="150"/>
      <c r="BP137" s="150"/>
      <c r="BQ137" s="150"/>
      <c r="BR137" s="150"/>
      <c r="BS137" s="150"/>
      <c r="BT137" s="150"/>
      <c r="BU137" s="150"/>
    </row>
    <row r="138" spans="1:73" ht="15" customHeight="1" outlineLevel="1" thickBot="1" x14ac:dyDescent="0.3">
      <c r="A138" s="39"/>
      <c r="B138" s="872" t="s">
        <v>344</v>
      </c>
      <c r="C138" s="115" t="s">
        <v>64</v>
      </c>
      <c r="D138" s="767" t="s">
        <v>119</v>
      </c>
      <c r="E138" s="769"/>
      <c r="F138" s="107" t="s">
        <v>64</v>
      </c>
      <c r="G138" s="107" t="s">
        <v>64</v>
      </c>
      <c r="H138" s="107" t="s">
        <v>64</v>
      </c>
      <c r="I138" s="107" t="s">
        <v>64</v>
      </c>
      <c r="J138" s="107" t="s">
        <v>64</v>
      </c>
      <c r="K138" s="164" t="s">
        <v>64</v>
      </c>
      <c r="L138" s="164" t="s">
        <v>64</v>
      </c>
      <c r="M138" s="164" t="s">
        <v>64</v>
      </c>
      <c r="N138" s="107" t="s">
        <v>64</v>
      </c>
      <c r="O138" s="884"/>
      <c r="P138" s="885"/>
      <c r="Q138" s="885"/>
      <c r="R138" s="886"/>
      <c r="S138" s="749"/>
      <c r="T138" s="750"/>
      <c r="U138" s="750"/>
      <c r="V138" s="754"/>
      <c r="W138" s="119"/>
      <c r="X138" s="119"/>
      <c r="Y138" s="743"/>
      <c r="Z138" s="743"/>
      <c r="AA138" s="743"/>
      <c r="AB138" s="743"/>
      <c r="AC138" s="743"/>
      <c r="AD138" s="743"/>
      <c r="AE138" s="743"/>
      <c r="AF138" s="743"/>
      <c r="AG138" s="743"/>
      <c r="AH138" s="743"/>
      <c r="BC138" s="155" t="str">
        <f t="shared" si="156"/>
        <v>-</v>
      </c>
      <c r="BD138" s="151" t="str">
        <f>"0.7*IEF " &amp; B138</f>
        <v>0.7*IEF aggressive @ maximum moderate temperature limitt</v>
      </c>
      <c r="BE138" s="153" t="str">
        <f>IF(AND(OR($C141="-",$C141="CET",$C141=""),OR(F138="-",F138="CET",F138="")),"-",0.7*IF(OR(F138="CET",F138="-",F138=""),IF(OR($C141="CET",$C141="-",$C141=""),"-",$C141),F138))</f>
        <v>-</v>
      </c>
      <c r="BF138" s="153" t="str">
        <f t="shared" ref="BF138:BL138" si="175">IF(AND(OR($C141="-",$C141="CET",$C141=""),OR(G138="-",G138="CET",G138="")),"-",0.7*IF(OR(G138="CET",G138="-",G138=""),IF(OR($C141="CET",$C141="-",$C141=""),"-",$C141),G138))</f>
        <v>-</v>
      </c>
      <c r="BG138" s="153" t="str">
        <f t="shared" si="175"/>
        <v>-</v>
      </c>
      <c r="BH138" s="153" t="str">
        <f t="shared" si="175"/>
        <v>-</v>
      </c>
      <c r="BI138" s="153" t="str">
        <f t="shared" si="175"/>
        <v>-</v>
      </c>
      <c r="BJ138" s="153" t="str">
        <f t="shared" si="175"/>
        <v>-</v>
      </c>
      <c r="BK138" s="153" t="str">
        <f t="shared" si="175"/>
        <v>-</v>
      </c>
      <c r="BL138" s="153" t="str">
        <f t="shared" si="175"/>
        <v>-</v>
      </c>
    </row>
    <row r="139" spans="1:73" ht="15" customHeight="1" outlineLevel="1" x14ac:dyDescent="0.25">
      <c r="A139" s="39"/>
      <c r="B139" s="873"/>
      <c r="C139" s="770" t="s">
        <v>114</v>
      </c>
      <c r="D139" s="770" t="s">
        <v>113</v>
      </c>
      <c r="E139" s="106" t="s">
        <v>94</v>
      </c>
      <c r="F139" s="105" t="s">
        <v>5</v>
      </c>
      <c r="G139" s="105" t="s">
        <v>5</v>
      </c>
      <c r="H139" s="105" t="s">
        <v>5</v>
      </c>
      <c r="I139" s="105" t="s">
        <v>5</v>
      </c>
      <c r="J139" s="105" t="s">
        <v>5</v>
      </c>
      <c r="K139" s="173" t="s">
        <v>5</v>
      </c>
      <c r="L139" s="173" t="s">
        <v>5</v>
      </c>
      <c r="M139" s="173" t="s">
        <v>5</v>
      </c>
      <c r="N139" s="105" t="s">
        <v>5</v>
      </c>
      <c r="O139" s="884"/>
      <c r="P139" s="885"/>
      <c r="Q139" s="885"/>
      <c r="R139" s="886"/>
      <c r="S139" s="749"/>
      <c r="T139" s="750"/>
      <c r="U139" s="750"/>
      <c r="V139" s="754"/>
      <c r="W139" s="119"/>
      <c r="X139" s="119"/>
      <c r="Y139" s="743"/>
      <c r="Z139" s="743"/>
      <c r="AA139" s="743"/>
      <c r="AB139" s="743"/>
      <c r="AC139" s="743"/>
      <c r="AD139" s="743"/>
      <c r="AE139" s="743"/>
      <c r="AF139" s="743"/>
      <c r="AG139" s="743"/>
      <c r="AH139" s="743"/>
      <c r="BC139" s="155" t="str">
        <f t="shared" si="156"/>
        <v>-</v>
      </c>
      <c r="BD139" s="151" t="str">
        <f>"0.7*IEF " &amp; B144</f>
        <v>0.7*IEF aggressive @ maximum moderate temperature limit and extended altitude</v>
      </c>
      <c r="BE139" s="153" t="str">
        <f>IF(AND(OR($C147="-",$C147="CET",$C147=""),OR(F144="-",F144="CET",F144="")),"-",0.7*IF(OR(F144="CET",F144="-",F144=""),IF(OR($C147="CET",$C147="-",$C147=""),"-",$C147),F144))</f>
        <v>-</v>
      </c>
      <c r="BF139" s="153" t="str">
        <f t="shared" ref="BF139:BL139" si="176">IF(AND(OR($C147="-",$C147="CET",$C147=""),OR(G144="-",G144="CET",G144="")),"-",0.7*IF(OR(G144="CET",G144="-",G144=""),IF(OR($C147="CET",$C147="-",$C147=""),"-",$C147),G144))</f>
        <v>-</v>
      </c>
      <c r="BG139" s="153" t="str">
        <f t="shared" si="176"/>
        <v>-</v>
      </c>
      <c r="BH139" s="153" t="str">
        <f t="shared" si="176"/>
        <v>-</v>
      </c>
      <c r="BI139" s="153" t="str">
        <f t="shared" si="176"/>
        <v>-</v>
      </c>
      <c r="BJ139" s="153" t="str">
        <f t="shared" si="176"/>
        <v>-</v>
      </c>
      <c r="BK139" s="153" t="str">
        <f t="shared" si="176"/>
        <v>-</v>
      </c>
      <c r="BL139" s="153" t="str">
        <f t="shared" si="176"/>
        <v>-</v>
      </c>
    </row>
    <row r="140" spans="1:73" ht="15" customHeight="1" outlineLevel="1" thickBot="1" x14ac:dyDescent="0.3">
      <c r="A140" s="40"/>
      <c r="B140" s="873"/>
      <c r="C140" s="742"/>
      <c r="D140" s="742"/>
      <c r="E140" s="104" t="s">
        <v>95</v>
      </c>
      <c r="F140" s="103" t="s">
        <v>5</v>
      </c>
      <c r="G140" s="103" t="s">
        <v>5</v>
      </c>
      <c r="H140" s="103" t="s">
        <v>5</v>
      </c>
      <c r="I140" s="103" t="s">
        <v>5</v>
      </c>
      <c r="J140" s="103" t="s">
        <v>5</v>
      </c>
      <c r="K140" s="174" t="s">
        <v>5</v>
      </c>
      <c r="L140" s="174" t="s">
        <v>5</v>
      </c>
      <c r="M140" s="174" t="s">
        <v>5</v>
      </c>
      <c r="N140" s="103" t="s">
        <v>5</v>
      </c>
      <c r="O140" s="884"/>
      <c r="P140" s="885"/>
      <c r="Q140" s="885"/>
      <c r="R140" s="886"/>
      <c r="S140" s="749"/>
      <c r="T140" s="750"/>
      <c r="U140" s="750"/>
      <c r="V140" s="754"/>
      <c r="W140" s="119"/>
      <c r="X140" s="119"/>
      <c r="Y140" s="743"/>
      <c r="Z140" s="743"/>
      <c r="AA140" s="743"/>
      <c r="AB140" s="743"/>
      <c r="AC140" s="743"/>
      <c r="AD140" s="743"/>
      <c r="AE140" s="743"/>
      <c r="AF140" s="743"/>
      <c r="AG140" s="743"/>
      <c r="AH140" s="743"/>
      <c r="BC140" s="155" t="str">
        <f t="shared" si="156"/>
        <v>-</v>
      </c>
      <c r="BD140" s="151" t="str">
        <f>"0.7*IEF " &amp; B150</f>
        <v xml:space="preserve">0.7*IEF </v>
      </c>
      <c r="BE140" s="153" t="str">
        <f>IF(AND(OR($C153="-",$C153="CET",$C153=""),OR(F150="-",F150="CET",F150="")),"-",0.7*IF(OR(F150="CET",F150="-",F150=""),IF(OR($C153="CET",$C153="-",$C153=""),"-",$C153),F150))</f>
        <v>-</v>
      </c>
      <c r="BF140" s="153" t="str">
        <f t="shared" ref="BF140:BL140" si="177">IF(AND(OR($C153="-",$C153="CET",$C153=""),OR(G150="-",G150="CET",G150="")),"-",0.7*IF(OR(G150="CET",G150="-",G150=""),IF(OR($C153="CET",$C153="-",$C153=""),"-",$C153),G150))</f>
        <v>-</v>
      </c>
      <c r="BG140" s="153" t="str">
        <f t="shared" si="177"/>
        <v>-</v>
      </c>
      <c r="BH140" s="153" t="str">
        <f t="shared" si="177"/>
        <v>-</v>
      </c>
      <c r="BI140" s="153" t="str">
        <f t="shared" si="177"/>
        <v>-</v>
      </c>
      <c r="BJ140" s="153" t="str">
        <f t="shared" si="177"/>
        <v>-</v>
      </c>
      <c r="BK140" s="153" t="str">
        <f t="shared" si="177"/>
        <v>-</v>
      </c>
      <c r="BL140" s="153" t="str">
        <f t="shared" si="177"/>
        <v>-</v>
      </c>
    </row>
    <row r="141" spans="1:73" ht="15" customHeight="1" outlineLevel="1" thickBot="1" x14ac:dyDescent="0.3">
      <c r="A141" s="40"/>
      <c r="B141" s="873"/>
      <c r="C141" s="854" t="s">
        <v>64</v>
      </c>
      <c r="D141" s="772" t="str">
        <f>IF(AND(F142="-",G142="-",H142="-",I142="-",J142="-",K142="-",K142="-",L142="-"),"-",MAX(F142,G142,H142,I142,J142,K142,L142,M142))</f>
        <v>-</v>
      </c>
      <c r="E141" s="66" t="s">
        <v>177</v>
      </c>
      <c r="F141" s="65" t="str">
        <f>IF(OR(F140="-",F140=""),IF(OR(F139="-",F139=""),"-",F139),IF(OR(F139="-",F139=""),F140,(F139+F140)/2))</f>
        <v>-</v>
      </c>
      <c r="G141" s="65" t="str">
        <f t="shared" ref="G141:N141" si="178">IF(OR(G140="-",G140=""),IF(OR(G139="-",G139=""),"-",G139),IF(OR(G139="-",G139=""),G140,(G139+G140)/2))</f>
        <v>-</v>
      </c>
      <c r="H141" s="65" t="str">
        <f t="shared" si="178"/>
        <v>-</v>
      </c>
      <c r="I141" s="65" t="str">
        <f t="shared" si="178"/>
        <v>-</v>
      </c>
      <c r="J141" s="65" t="str">
        <f t="shared" si="178"/>
        <v>-</v>
      </c>
      <c r="K141" s="167" t="str">
        <f t="shared" si="178"/>
        <v>-</v>
      </c>
      <c r="L141" s="167" t="str">
        <f t="shared" ref="L141:M141" si="179">IF(OR(L140="-",L140=""),IF(OR(L139="-",L139=""),"-",L139),IF(OR(L139="-",L139=""),L140,(L139+L140)/2))</f>
        <v>-</v>
      </c>
      <c r="M141" s="167" t="str">
        <f t="shared" si="179"/>
        <v>-</v>
      </c>
      <c r="N141" s="65" t="str">
        <f t="shared" si="178"/>
        <v>-</v>
      </c>
      <c r="O141" s="884"/>
      <c r="P141" s="885"/>
      <c r="Q141" s="885"/>
      <c r="R141" s="886"/>
      <c r="S141" s="749"/>
      <c r="T141" s="750"/>
      <c r="U141" s="750"/>
      <c r="V141" s="754"/>
      <c r="W141" s="119"/>
      <c r="X141" s="119"/>
      <c r="Y141" s="743"/>
      <c r="Z141" s="743"/>
      <c r="AA141" s="743"/>
      <c r="AB141" s="743"/>
      <c r="AC141" s="743"/>
      <c r="AD141" s="743"/>
      <c r="AE141" s="743"/>
      <c r="AF141" s="743"/>
      <c r="AG141" s="743"/>
      <c r="AH141" s="743"/>
      <c r="BC141" s="155" t="str">
        <f t="shared" si="156"/>
        <v>-</v>
      </c>
      <c r="BD141" s="151"/>
      <c r="BE141" s="153"/>
      <c r="BF141" s="153"/>
      <c r="BG141" s="153"/>
      <c r="BH141" s="153"/>
      <c r="BI141" s="153"/>
      <c r="BJ141" s="153"/>
      <c r="BK141" s="153"/>
      <c r="BL141" s="153"/>
    </row>
    <row r="142" spans="1:73" s="50" customFormat="1" ht="15" customHeight="1" outlineLevel="1" thickBot="1" x14ac:dyDescent="0.3">
      <c r="A142" s="52"/>
      <c r="B142" s="873"/>
      <c r="C142" s="855"/>
      <c r="D142" s="773"/>
      <c r="E142" s="64" t="s">
        <v>97</v>
      </c>
      <c r="F142" s="63" t="str">
        <f>IF(AND(OR($C141="-",$C141="CET",$C141=""),OR(F138="-",F138="CET",F138="")),"-",IF(AND(NOT(F141="-"),NOT(F$5="-"),NOT(F$5="")),F141/F$5,"-"))</f>
        <v>-</v>
      </c>
      <c r="G142" s="63" t="str">
        <f t="shared" ref="G142:N142" si="180">IF(AND(OR($C141="-",$C141="CET",$C141=""),OR(G138="-",G138="CET",G138="")),"-",IF(AND(NOT(G141="-"),NOT(G$5="-"),NOT(G$5="")),G141/G$5,"-"))</f>
        <v>-</v>
      </c>
      <c r="H142" s="63" t="str">
        <f t="shared" si="180"/>
        <v>-</v>
      </c>
      <c r="I142" s="63" t="str">
        <f t="shared" si="180"/>
        <v>-</v>
      </c>
      <c r="J142" s="63" t="str">
        <f t="shared" si="180"/>
        <v>-</v>
      </c>
      <c r="K142" s="168" t="str">
        <f t="shared" si="180"/>
        <v>-</v>
      </c>
      <c r="L142" s="168" t="str">
        <f t="shared" ref="L142:M142" si="181">IF(AND(OR($C141="-",$C141="CET",$C141=""),OR(L138="-",L138="CET",L138="")),"-",IF(AND(NOT(L141="-"),NOT(L$5="-"),NOT(L$5="")),L141/L$5,"-"))</f>
        <v>-</v>
      </c>
      <c r="M142" s="168" t="str">
        <f t="shared" si="181"/>
        <v>-</v>
      </c>
      <c r="N142" s="63" t="str">
        <f t="shared" si="180"/>
        <v>-</v>
      </c>
      <c r="O142" s="884"/>
      <c r="P142" s="885"/>
      <c r="Q142" s="885"/>
      <c r="R142" s="886"/>
      <c r="S142" s="749"/>
      <c r="T142" s="750"/>
      <c r="U142" s="750"/>
      <c r="V142" s="754"/>
      <c r="W142" s="51"/>
      <c r="X142" s="51"/>
      <c r="Y142" s="743"/>
      <c r="Z142" s="743"/>
      <c r="AA142" s="743"/>
      <c r="AB142" s="743"/>
      <c r="AC142" s="743"/>
      <c r="AD142" s="743"/>
      <c r="AE142" s="743"/>
      <c r="AF142" s="743"/>
      <c r="AG142" s="743"/>
      <c r="AH142" s="743"/>
      <c r="BC142" s="155" t="str">
        <f t="shared" si="156"/>
        <v>-</v>
      </c>
      <c r="BD142" s="151"/>
      <c r="BE142" s="153"/>
      <c r="BF142" s="153"/>
      <c r="BG142" s="153"/>
      <c r="BH142" s="153"/>
      <c r="BI142" s="153"/>
      <c r="BJ142" s="153"/>
      <c r="BK142" s="153"/>
      <c r="BL142" s="153"/>
      <c r="BM142" s="150"/>
      <c r="BN142" s="150"/>
      <c r="BO142" s="150"/>
      <c r="BP142" s="150"/>
      <c r="BQ142" s="150"/>
      <c r="BR142" s="150"/>
      <c r="BS142" s="150"/>
      <c r="BT142" s="150"/>
      <c r="BU142" s="150"/>
    </row>
    <row r="143" spans="1:73" ht="15" customHeight="1" outlineLevel="1" thickBot="1" x14ac:dyDescent="0.3">
      <c r="A143" s="40"/>
      <c r="B143" s="874"/>
      <c r="C143" s="856"/>
      <c r="D143" s="774"/>
      <c r="E143" s="62" t="s">
        <v>30</v>
      </c>
      <c r="F143" s="62" t="str">
        <f t="shared" ref="F143:N143" si="182">IF(AND(OR(F139="-",F139=""),OR(F140="-",F140="")),"-",IF(AND(OR(F138="CET",F138="-",F138=""),OR($C141="CET",$C141="-",$C141="")),"-",IF($R$128="not listed","-",IF(AND(NOT(F$5="-"),NOT(F$5="")),IF(AND(AND(NOT(F139=0),NOT(F139="-"),NOT(F139="")),AND(NOT(F140="-"),NOT(F140=0),NOT(F140=""))),IF(AND((F139+F140)/2&lt;1*F$5*IF(OR(F138="CET",F138="-",F138=""),IF(OR($C141="CET",$C141="-",$C141=""),"-",$C141),F138),F139&lt;1.1*F$5*IF(OR(F138="CET",F138="-",F138=""),IF(OR($C141="CET",$C141="-",$C141=""),"-",$C141),F138),F140&lt;1.1*F$5*IF(OR(F138="CET",F138="-",F138=""),IF($C141="CET","-",$C141),F138)),"passed","refused"),IF(IF(OR(F139="-",F139=""),F140,F139)&lt;0.7*F$5*IF(OR(F138="CET",F138="-",F138=""),IF($C141="CET","-",$C141),F138),"passed",IF(IF(OR(F139="-",F139=""),F140,F139)&lt;1.1*IF(OR(F138="CET",F138="-",F138=""),IF($C141="CET","-",$C141),F138)*F$5,"failed","refused"))),"-"))))</f>
        <v>-</v>
      </c>
      <c r="G143" s="62" t="str">
        <f t="shared" si="182"/>
        <v>-</v>
      </c>
      <c r="H143" s="62" t="str">
        <f t="shared" si="182"/>
        <v>-</v>
      </c>
      <c r="I143" s="62" t="str">
        <f t="shared" si="182"/>
        <v>-</v>
      </c>
      <c r="J143" s="62" t="str">
        <f t="shared" si="182"/>
        <v>-</v>
      </c>
      <c r="K143" s="169" t="str">
        <f t="shared" si="182"/>
        <v>-</v>
      </c>
      <c r="L143" s="169" t="str">
        <f t="shared" si="182"/>
        <v>-</v>
      </c>
      <c r="M143" s="169" t="str">
        <f t="shared" si="182"/>
        <v>-</v>
      </c>
      <c r="N143" s="62" t="str">
        <f t="shared" si="182"/>
        <v>-</v>
      </c>
      <c r="O143" s="884"/>
      <c r="P143" s="885"/>
      <c r="Q143" s="885"/>
      <c r="R143" s="886"/>
      <c r="S143" s="749"/>
      <c r="T143" s="750"/>
      <c r="U143" s="750"/>
      <c r="V143" s="754"/>
      <c r="W143" s="119"/>
      <c r="X143" s="119"/>
      <c r="Y143" s="743"/>
      <c r="Z143" s="743"/>
      <c r="AA143" s="743"/>
      <c r="AB143" s="743"/>
      <c r="AC143" s="743"/>
      <c r="AD143" s="743"/>
      <c r="AE143" s="743"/>
      <c r="AF143" s="743"/>
      <c r="AG143" s="743"/>
      <c r="AH143" s="743"/>
      <c r="BC143" s="155" t="str">
        <f t="shared" si="156"/>
        <v>-</v>
      </c>
      <c r="BD143" s="151" t="str">
        <f>$B132</f>
        <v>aggressive @ minimum moderate temperature limit</v>
      </c>
      <c r="BE143" s="153" t="str">
        <f>F136</f>
        <v>-</v>
      </c>
      <c r="BF143" s="153" t="str">
        <f t="shared" ref="BF143:BL143" si="183">G136</f>
        <v>-</v>
      </c>
      <c r="BG143" s="153" t="str">
        <f t="shared" si="183"/>
        <v>-</v>
      </c>
      <c r="BH143" s="153" t="str">
        <f t="shared" si="183"/>
        <v>-</v>
      </c>
      <c r="BI143" s="153" t="str">
        <f t="shared" si="183"/>
        <v>-</v>
      </c>
      <c r="BJ143" s="153" t="str">
        <f t="shared" si="183"/>
        <v>-</v>
      </c>
      <c r="BK143" s="153" t="str">
        <f t="shared" si="183"/>
        <v>-</v>
      </c>
      <c r="BL143" s="153" t="str">
        <f t="shared" si="183"/>
        <v>-</v>
      </c>
    </row>
    <row r="144" spans="1:73" ht="15" customHeight="1" outlineLevel="1" thickBot="1" x14ac:dyDescent="0.3">
      <c r="A144" s="40"/>
      <c r="B144" s="872" t="s">
        <v>345</v>
      </c>
      <c r="C144" s="115" t="s">
        <v>64</v>
      </c>
      <c r="D144" s="767" t="s">
        <v>119</v>
      </c>
      <c r="E144" s="769"/>
      <c r="F144" s="107" t="s">
        <v>64</v>
      </c>
      <c r="G144" s="107" t="s">
        <v>64</v>
      </c>
      <c r="H144" s="107" t="s">
        <v>64</v>
      </c>
      <c r="I144" s="107" t="s">
        <v>64</v>
      </c>
      <c r="J144" s="107" t="s">
        <v>64</v>
      </c>
      <c r="K144" s="164" t="s">
        <v>64</v>
      </c>
      <c r="L144" s="164" t="s">
        <v>64</v>
      </c>
      <c r="M144" s="164" t="s">
        <v>64</v>
      </c>
      <c r="N144" s="107" t="s">
        <v>64</v>
      </c>
      <c r="O144" s="884"/>
      <c r="P144" s="885"/>
      <c r="Q144" s="885"/>
      <c r="R144" s="886"/>
      <c r="S144" s="749"/>
      <c r="T144" s="750"/>
      <c r="U144" s="750"/>
      <c r="V144" s="754"/>
      <c r="W144" s="119"/>
      <c r="X144" s="119"/>
      <c r="Y144" s="743"/>
      <c r="Z144" s="743"/>
      <c r="AA144" s="743"/>
      <c r="AB144" s="743"/>
      <c r="AC144" s="743"/>
      <c r="AD144" s="743"/>
      <c r="AE144" s="743"/>
      <c r="AF144" s="743"/>
      <c r="AG144" s="743"/>
      <c r="AH144" s="743"/>
      <c r="BC144" s="155" t="str">
        <f t="shared" si="156"/>
        <v>-</v>
      </c>
      <c r="BD144" s="151" t="str">
        <f>$B138</f>
        <v>aggressive @ maximum moderate temperature limitt</v>
      </c>
      <c r="BE144" s="153" t="str">
        <f>F142</f>
        <v>-</v>
      </c>
      <c r="BF144" s="153" t="str">
        <f t="shared" ref="BF144:BL144" si="184">G142</f>
        <v>-</v>
      </c>
      <c r="BG144" s="153" t="str">
        <f t="shared" si="184"/>
        <v>-</v>
      </c>
      <c r="BH144" s="153" t="str">
        <f t="shared" si="184"/>
        <v>-</v>
      </c>
      <c r="BI144" s="153" t="str">
        <f t="shared" si="184"/>
        <v>-</v>
      </c>
      <c r="BJ144" s="153" t="str">
        <f t="shared" si="184"/>
        <v>-</v>
      </c>
      <c r="BK144" s="153" t="str">
        <f t="shared" si="184"/>
        <v>-</v>
      </c>
      <c r="BL144" s="153" t="str">
        <f t="shared" si="184"/>
        <v>-</v>
      </c>
    </row>
    <row r="145" spans="1:73" ht="15" customHeight="1" outlineLevel="1" x14ac:dyDescent="0.25">
      <c r="A145" s="40"/>
      <c r="B145" s="873"/>
      <c r="C145" s="770" t="s">
        <v>114</v>
      </c>
      <c r="D145" s="770" t="s">
        <v>113</v>
      </c>
      <c r="E145" s="106" t="s">
        <v>94</v>
      </c>
      <c r="F145" s="105" t="s">
        <v>5</v>
      </c>
      <c r="G145" s="105" t="s">
        <v>5</v>
      </c>
      <c r="H145" s="105" t="s">
        <v>5</v>
      </c>
      <c r="I145" s="105" t="s">
        <v>5</v>
      </c>
      <c r="J145" s="105" t="s">
        <v>5</v>
      </c>
      <c r="K145" s="173" t="s">
        <v>5</v>
      </c>
      <c r="L145" s="173" t="s">
        <v>5</v>
      </c>
      <c r="M145" s="173" t="s">
        <v>5</v>
      </c>
      <c r="N145" s="105" t="s">
        <v>5</v>
      </c>
      <c r="O145" s="884"/>
      <c r="P145" s="885"/>
      <c r="Q145" s="885"/>
      <c r="R145" s="886"/>
      <c r="S145" s="749"/>
      <c r="T145" s="750"/>
      <c r="U145" s="750"/>
      <c r="V145" s="754"/>
      <c r="W145" s="119"/>
      <c r="X145" s="119"/>
      <c r="Y145" s="743"/>
      <c r="Z145" s="743"/>
      <c r="AA145" s="743"/>
      <c r="AB145" s="743"/>
      <c r="AC145" s="743"/>
      <c r="AD145" s="743"/>
      <c r="AE145" s="743"/>
      <c r="AF145" s="743"/>
      <c r="AG145" s="743"/>
      <c r="AH145" s="743"/>
      <c r="BC145" s="155" t="str">
        <f t="shared" si="156"/>
        <v>-</v>
      </c>
      <c r="BD145" s="151" t="str">
        <f>$B144</f>
        <v>aggressive @ maximum moderate temperature limit and extended altitude</v>
      </c>
      <c r="BE145" s="153" t="str">
        <f>F148</f>
        <v>-</v>
      </c>
      <c r="BF145" s="153" t="str">
        <f t="shared" ref="BF145:BL145" si="185">G148</f>
        <v>-</v>
      </c>
      <c r="BG145" s="153" t="str">
        <f t="shared" si="185"/>
        <v>-</v>
      </c>
      <c r="BH145" s="153" t="str">
        <f t="shared" si="185"/>
        <v>-</v>
      </c>
      <c r="BI145" s="153" t="str">
        <f t="shared" si="185"/>
        <v>-</v>
      </c>
      <c r="BJ145" s="153" t="str">
        <f t="shared" si="185"/>
        <v>-</v>
      </c>
      <c r="BK145" s="153" t="str">
        <f t="shared" si="185"/>
        <v>-</v>
      </c>
      <c r="BL145" s="153" t="str">
        <f t="shared" si="185"/>
        <v>-</v>
      </c>
    </row>
    <row r="146" spans="1:73" ht="15" customHeight="1" outlineLevel="1" thickBot="1" x14ac:dyDescent="0.3">
      <c r="A146" s="40"/>
      <c r="B146" s="873"/>
      <c r="C146" s="742"/>
      <c r="D146" s="742"/>
      <c r="E146" s="104" t="s">
        <v>95</v>
      </c>
      <c r="F146" s="103" t="s">
        <v>5</v>
      </c>
      <c r="G146" s="103" t="s">
        <v>5</v>
      </c>
      <c r="H146" s="103" t="s">
        <v>5</v>
      </c>
      <c r="I146" s="103" t="s">
        <v>5</v>
      </c>
      <c r="J146" s="103" t="s">
        <v>5</v>
      </c>
      <c r="K146" s="174" t="s">
        <v>5</v>
      </c>
      <c r="L146" s="174" t="s">
        <v>5</v>
      </c>
      <c r="M146" s="174" t="s">
        <v>5</v>
      </c>
      <c r="N146" s="103" t="s">
        <v>5</v>
      </c>
      <c r="O146" s="884"/>
      <c r="P146" s="885"/>
      <c r="Q146" s="885"/>
      <c r="R146" s="886"/>
      <c r="S146" s="749"/>
      <c r="T146" s="750"/>
      <c r="U146" s="750"/>
      <c r="V146" s="754"/>
      <c r="W146" s="119"/>
      <c r="X146" s="119"/>
      <c r="Y146" s="743"/>
      <c r="Z146" s="743"/>
      <c r="AA146" s="743"/>
      <c r="AB146" s="743"/>
      <c r="AC146" s="743"/>
      <c r="AD146" s="743"/>
      <c r="AE146" s="743"/>
      <c r="AF146" s="743"/>
      <c r="AG146" s="743"/>
      <c r="AH146" s="743"/>
      <c r="BC146" s="155" t="str">
        <f t="shared" si="156"/>
        <v>-</v>
      </c>
      <c r="BD146" s="151">
        <f>$B150</f>
        <v>0</v>
      </c>
      <c r="BE146" s="153">
        <f>F154</f>
        <v>0</v>
      </c>
      <c r="BF146" s="153">
        <f t="shared" ref="BF146:BL146" si="186">G154</f>
        <v>0</v>
      </c>
      <c r="BG146" s="153">
        <f t="shared" si="186"/>
        <v>0</v>
      </c>
      <c r="BH146" s="153">
        <f t="shared" si="186"/>
        <v>0</v>
      </c>
      <c r="BI146" s="153">
        <f t="shared" si="186"/>
        <v>0</v>
      </c>
      <c r="BJ146" s="153">
        <f t="shared" si="186"/>
        <v>0</v>
      </c>
      <c r="BK146" s="153">
        <f t="shared" si="186"/>
        <v>0</v>
      </c>
      <c r="BL146" s="153">
        <f t="shared" si="186"/>
        <v>0</v>
      </c>
    </row>
    <row r="147" spans="1:73" s="50" customFormat="1" ht="15" customHeight="1" outlineLevel="1" thickBot="1" x14ac:dyDescent="0.3">
      <c r="A147" s="52"/>
      <c r="B147" s="873"/>
      <c r="C147" s="879" t="s">
        <v>64</v>
      </c>
      <c r="D147" s="772" t="str">
        <f>IF(AND(F148="-",G148="-",H148="-",I148="-",J148="-",K148="-",K148="-",L148="-"),"-",MAX(F148,G148,H148,I148,J148,K148,L148,M148))</f>
        <v>-</v>
      </c>
      <c r="E147" s="66" t="s">
        <v>177</v>
      </c>
      <c r="F147" s="65" t="str">
        <f>IF(OR(F146="-",F146=""),IF(OR(F145="-",F145=""),"-",F145),IF(OR(F145="-",F145=""),F146,(F145+F146)/2))</f>
        <v>-</v>
      </c>
      <c r="G147" s="65" t="str">
        <f t="shared" ref="G147:N147" si="187">IF(OR(G146="-",G146=""),IF(OR(G145="-",G145=""),"-",G145),IF(OR(G145="-",G145=""),G146,(G145+G146)/2))</f>
        <v>-</v>
      </c>
      <c r="H147" s="65" t="str">
        <f t="shared" si="187"/>
        <v>-</v>
      </c>
      <c r="I147" s="65" t="str">
        <f t="shared" si="187"/>
        <v>-</v>
      </c>
      <c r="J147" s="65" t="str">
        <f t="shared" si="187"/>
        <v>-</v>
      </c>
      <c r="K147" s="167" t="str">
        <f t="shared" si="187"/>
        <v>-</v>
      </c>
      <c r="L147" s="167" t="str">
        <f t="shared" ref="L147:M147" si="188">IF(OR(L146="-",L146=""),IF(OR(L145="-",L145=""),"-",L145),IF(OR(L145="-",L145=""),L146,(L145+L146)/2))</f>
        <v>-</v>
      </c>
      <c r="M147" s="167" t="str">
        <f t="shared" si="188"/>
        <v>-</v>
      </c>
      <c r="N147" s="65" t="str">
        <f t="shared" si="187"/>
        <v>-</v>
      </c>
      <c r="O147" s="884"/>
      <c r="P147" s="885"/>
      <c r="Q147" s="885"/>
      <c r="R147" s="886"/>
      <c r="S147" s="749"/>
      <c r="T147" s="750"/>
      <c r="U147" s="750"/>
      <c r="V147" s="754"/>
      <c r="W147" s="51"/>
      <c r="X147" s="51"/>
      <c r="Y147" s="743"/>
      <c r="Z147" s="743"/>
      <c r="AA147" s="743"/>
      <c r="AB147" s="743"/>
      <c r="AC147" s="743"/>
      <c r="AD147" s="743"/>
      <c r="AE147" s="743"/>
      <c r="AF147" s="743"/>
      <c r="AG147" s="743"/>
      <c r="AH147" s="743"/>
      <c r="BC147" s="155" t="str">
        <f t="shared" si="156"/>
        <v>-</v>
      </c>
      <c r="BD147" s="151"/>
      <c r="BE147" s="153"/>
      <c r="BF147" s="153"/>
      <c r="BG147" s="153"/>
      <c r="BH147" s="153"/>
      <c r="BI147" s="153"/>
      <c r="BJ147" s="153"/>
      <c r="BK147" s="153"/>
      <c r="BL147" s="153"/>
      <c r="BM147" s="150"/>
      <c r="BN147" s="150"/>
      <c r="BO147" s="150"/>
      <c r="BP147" s="150"/>
      <c r="BQ147" s="150"/>
      <c r="BR147" s="150"/>
      <c r="BS147" s="150"/>
      <c r="BT147" s="150"/>
      <c r="BU147" s="150"/>
    </row>
    <row r="148" spans="1:73" ht="15" customHeight="1" outlineLevel="1" thickBot="1" x14ac:dyDescent="0.3">
      <c r="A148" s="40"/>
      <c r="B148" s="873"/>
      <c r="C148" s="880"/>
      <c r="D148" s="773"/>
      <c r="E148" s="64" t="s">
        <v>97</v>
      </c>
      <c r="F148" s="63" t="str">
        <f>IF(AND(OR($C147="-",$C147="CET",$C147=""),OR(F144="-",F144="CET",F144="")),"-",IF(AND(NOT(F147="-"),NOT(F$5="-"),NOT(F$5="")),F147/F$5,"-"))</f>
        <v>-</v>
      </c>
      <c r="G148" s="63" t="str">
        <f t="shared" ref="G148:N148" si="189">IF(AND(OR($C147="-",$C147="CET",$C147=""),OR(G144="-",G144="CET",G144="")),"-",IF(AND(NOT(G147="-"),NOT(G$5="-"),NOT(G$5="")),G147/G$5,"-"))</f>
        <v>-</v>
      </c>
      <c r="H148" s="63" t="str">
        <f t="shared" si="189"/>
        <v>-</v>
      </c>
      <c r="I148" s="63" t="str">
        <f t="shared" si="189"/>
        <v>-</v>
      </c>
      <c r="J148" s="63" t="str">
        <f t="shared" si="189"/>
        <v>-</v>
      </c>
      <c r="K148" s="168" t="str">
        <f t="shared" si="189"/>
        <v>-</v>
      </c>
      <c r="L148" s="168" t="str">
        <f t="shared" ref="L148:M148" si="190">IF(AND(OR($C147="-",$C147="CET",$C147=""),OR(L144="-",L144="CET",L144="")),"-",IF(AND(NOT(L147="-"),NOT(L$5="-"),NOT(L$5="")),L147/L$5,"-"))</f>
        <v>-</v>
      </c>
      <c r="M148" s="168" t="str">
        <f t="shared" si="190"/>
        <v>-</v>
      </c>
      <c r="N148" s="63" t="str">
        <f t="shared" si="189"/>
        <v>-</v>
      </c>
      <c r="O148" s="884"/>
      <c r="P148" s="885"/>
      <c r="Q148" s="885"/>
      <c r="R148" s="886"/>
      <c r="S148" s="749"/>
      <c r="T148" s="750"/>
      <c r="U148" s="750"/>
      <c r="V148" s="754"/>
      <c r="W148" s="119"/>
      <c r="X148" s="119"/>
      <c r="Y148" s="743"/>
      <c r="Z148" s="743"/>
      <c r="AA148" s="743"/>
      <c r="AB148" s="743"/>
      <c r="AC148" s="743"/>
      <c r="AD148" s="743"/>
      <c r="AE148" s="743"/>
      <c r="AF148" s="743"/>
      <c r="AG148" s="743"/>
      <c r="AH148" s="743"/>
      <c r="BC148" s="155" t="str">
        <f t="shared" si="156"/>
        <v>-</v>
      </c>
      <c r="BD148" s="151"/>
      <c r="BE148" s="153"/>
      <c r="BF148" s="153"/>
      <c r="BG148" s="153"/>
      <c r="BH148" s="153"/>
      <c r="BI148" s="153"/>
      <c r="BJ148" s="153"/>
      <c r="BK148" s="153"/>
      <c r="BL148" s="153"/>
    </row>
    <row r="149" spans="1:73" ht="15" customHeight="1" outlineLevel="1" thickBot="1" x14ac:dyDescent="0.3">
      <c r="A149" s="40"/>
      <c r="B149" s="873"/>
      <c r="C149" s="880"/>
      <c r="D149" s="773"/>
      <c r="E149" s="68" t="s">
        <v>30</v>
      </c>
      <c r="F149" s="68" t="str">
        <f t="shared" ref="F149:N149" si="191">IF(AND(OR(F145="-",F145=""),OR(F146="-",F146="")),"-",IF(AND(OR(F144="CET",F144="-",F144=""),OR($C147="CET",$C147="-",$C147="")),"-",IF($R$128="not listed","-",IF(AND(NOT(F$5="-"),NOT(F$5="")),IF(AND(AND(NOT(F145=0),NOT(F145="-"),NOT(F145="")),AND(NOT(F146="-"),NOT(F146=0),NOT(F146=""))),IF(AND((F145+F146)/2&lt;1*F$5*IF(OR(F144="CET",F144="-",F144=""),IF(OR($C147="CET",$C147="-",$C147=""),"-",$C147),F144),F145&lt;1.1*F$5*IF(OR(F144="CET",F144="-",F144=""),IF(OR($C147="CET",$C147="-",$C147=""),"-",$C147),F144),F146&lt;1.1*F$5*IF(OR(F144="CET",F144="-",F144=""),IF($C147="CET","-",$C147),F144)),"passed","refused"),IF(IF(OR(F145="-",F145=""),F146,F145)&lt;0.7*F$5*IF(OR(F144="CET",F144="-",F144=""),IF($C147="CET","-",$C147),F144),"passed",IF(IF(OR(F145="-",F145=""),F146,F145)&lt;1.1*IF(OR(F144="CET",F144="-",F144=""),IF($C147="CET","-",$C147),F144)*F$5,"failed","refused"))),"-"))))</f>
        <v>-</v>
      </c>
      <c r="G149" s="68" t="str">
        <f t="shared" si="191"/>
        <v>-</v>
      </c>
      <c r="H149" s="68" t="str">
        <f t="shared" si="191"/>
        <v>-</v>
      </c>
      <c r="I149" s="68" t="str">
        <f t="shared" si="191"/>
        <v>-</v>
      </c>
      <c r="J149" s="68" t="str">
        <f t="shared" si="191"/>
        <v>-</v>
      </c>
      <c r="K149" s="341" t="str">
        <f t="shared" si="191"/>
        <v>-</v>
      </c>
      <c r="L149" s="341" t="str">
        <f t="shared" si="191"/>
        <v>-</v>
      </c>
      <c r="M149" s="341" t="str">
        <f t="shared" si="191"/>
        <v>-</v>
      </c>
      <c r="N149" s="68" t="str">
        <f t="shared" si="191"/>
        <v>-</v>
      </c>
      <c r="O149" s="884"/>
      <c r="P149" s="885"/>
      <c r="Q149" s="885"/>
      <c r="R149" s="886"/>
      <c r="S149" s="749"/>
      <c r="T149" s="750"/>
      <c r="U149" s="750"/>
      <c r="V149" s="754"/>
      <c r="W149" s="119"/>
      <c r="X149" s="119"/>
      <c r="Y149" s="743"/>
      <c r="Z149" s="743"/>
      <c r="AA149" s="743"/>
      <c r="AB149" s="743"/>
      <c r="AC149" s="743"/>
      <c r="AD149" s="743"/>
      <c r="AE149" s="743"/>
      <c r="AF149" s="743"/>
      <c r="AG149" s="743"/>
      <c r="AH149" s="743"/>
      <c r="BC149" s="155" t="str">
        <f t="shared" si="156"/>
        <v>-</v>
      </c>
      <c r="BD149" s="151" t="str">
        <f>"IEF " &amp;B132</f>
        <v>IEF aggressive @ minimum moderate temperature limit</v>
      </c>
      <c r="BE149" s="153" t="str">
        <f>IF(AND(OR($C135="-",$C135="CET",$C135=""),OR(F132="-",F132="CET",F132="")),"-",IF(OR(F132="CET",F132="-",F132=""),IF(OR($C135="CET",$C135="-",$C135=""),"-",$C135),F132))</f>
        <v>-</v>
      </c>
      <c r="BF149" s="153" t="str">
        <f t="shared" ref="BF149:BL149" si="192">IF(AND(OR($C135="-",$C135="CET",$C135=""),OR(G132="-",G132="CET",G132="")),"-",IF(OR(G132="CET",G132="-",G132=""),IF(OR($C135="CET",$C135="-",$C135=""),"-",$C135),G132))</f>
        <v>-</v>
      </c>
      <c r="BG149" s="153" t="str">
        <f t="shared" si="192"/>
        <v>-</v>
      </c>
      <c r="BH149" s="153" t="str">
        <f t="shared" si="192"/>
        <v>-</v>
      </c>
      <c r="BI149" s="153" t="str">
        <f t="shared" si="192"/>
        <v>-</v>
      </c>
      <c r="BJ149" s="153" t="str">
        <f t="shared" si="192"/>
        <v>-</v>
      </c>
      <c r="BK149" s="153" t="str">
        <f t="shared" si="192"/>
        <v>-</v>
      </c>
      <c r="BL149" s="153" t="str">
        <f t="shared" si="192"/>
        <v>-</v>
      </c>
    </row>
    <row r="150" spans="1:73" ht="15" customHeight="1" outlineLevel="1" x14ac:dyDescent="0.25">
      <c r="A150" s="40"/>
      <c r="B150" s="889"/>
      <c r="C150" s="561"/>
      <c r="D150" s="892"/>
      <c r="E150" s="892"/>
      <c r="F150" s="562"/>
      <c r="G150" s="562"/>
      <c r="H150" s="562"/>
      <c r="I150" s="562"/>
      <c r="J150" s="562"/>
      <c r="K150" s="563"/>
      <c r="L150" s="563"/>
      <c r="M150" s="563"/>
      <c r="N150" s="564"/>
      <c r="O150" s="885"/>
      <c r="P150" s="885"/>
      <c r="Q150" s="885"/>
      <c r="R150" s="886"/>
      <c r="S150" s="749"/>
      <c r="T150" s="750"/>
      <c r="U150" s="750"/>
      <c r="V150" s="754"/>
      <c r="W150" s="119"/>
      <c r="X150" s="119"/>
      <c r="Y150" s="743"/>
      <c r="Z150" s="743"/>
      <c r="AA150" s="743"/>
      <c r="AB150" s="743"/>
      <c r="AC150" s="743"/>
      <c r="AD150" s="743"/>
      <c r="AE150" s="743"/>
      <c r="AF150" s="743"/>
      <c r="AG150" s="743"/>
      <c r="AH150" s="743"/>
      <c r="BC150" s="155" t="str">
        <f t="shared" si="156"/>
        <v>-</v>
      </c>
      <c r="BD150" s="151" t="str">
        <f>"IEF " &amp; B138</f>
        <v>IEF aggressive @ maximum moderate temperature limitt</v>
      </c>
      <c r="BE150" s="153" t="str">
        <f>IF(AND(OR($C141="-",$C141="CET",$C141=""),OR(F138="-",F138="CET",F138="")),"-",IF(OR(F138="CET",F138="-",F138=""),IF(OR($C141="CET",$C141="-",$C141=""),"-",$C141),F138))</f>
        <v>-</v>
      </c>
      <c r="BF150" s="153" t="str">
        <f t="shared" ref="BF150:BL150" si="193">IF(AND(OR($C141="-",$C141="CET",$C141=""),OR(G138="-",G138="CET",G138="")),"-",IF(OR(G138="CET",G138="-",G138=""),IF(OR($C141="CET",$C141="-",$C141=""),"-",$C141),G138))</f>
        <v>-</v>
      </c>
      <c r="BG150" s="153" t="str">
        <f t="shared" si="193"/>
        <v>-</v>
      </c>
      <c r="BH150" s="153" t="str">
        <f t="shared" si="193"/>
        <v>-</v>
      </c>
      <c r="BI150" s="153" t="str">
        <f t="shared" si="193"/>
        <v>-</v>
      </c>
      <c r="BJ150" s="153" t="str">
        <f t="shared" si="193"/>
        <v>-</v>
      </c>
      <c r="BK150" s="153" t="str">
        <f t="shared" si="193"/>
        <v>-</v>
      </c>
      <c r="BL150" s="153" t="str">
        <f t="shared" si="193"/>
        <v>-</v>
      </c>
    </row>
    <row r="151" spans="1:73" ht="15" customHeight="1" outlineLevel="1" x14ac:dyDescent="0.25">
      <c r="A151" s="40"/>
      <c r="B151" s="890"/>
      <c r="C151" s="893"/>
      <c r="D151" s="893"/>
      <c r="E151" s="554"/>
      <c r="F151" s="555"/>
      <c r="G151" s="555"/>
      <c r="H151" s="555"/>
      <c r="I151" s="555"/>
      <c r="J151" s="555"/>
      <c r="K151" s="556"/>
      <c r="L151" s="556"/>
      <c r="M151" s="556"/>
      <c r="N151" s="565"/>
      <c r="O151" s="885"/>
      <c r="P151" s="885"/>
      <c r="Q151" s="885"/>
      <c r="R151" s="886"/>
      <c r="S151" s="749"/>
      <c r="T151" s="750"/>
      <c r="U151" s="750"/>
      <c r="V151" s="754"/>
      <c r="W151" s="119"/>
      <c r="X151" s="119"/>
      <c r="Y151" s="743"/>
      <c r="Z151" s="743"/>
      <c r="AA151" s="743"/>
      <c r="AB151" s="743"/>
      <c r="AC151" s="743"/>
      <c r="AD151" s="743"/>
      <c r="AE151" s="743"/>
      <c r="AF151" s="743"/>
      <c r="AG151" s="743"/>
      <c r="AH151" s="743"/>
      <c r="BC151" s="155" t="str">
        <f t="shared" si="156"/>
        <v>-</v>
      </c>
      <c r="BD151" s="151" t="str">
        <f>"IEF " &amp; B144</f>
        <v>IEF aggressive @ maximum moderate temperature limit and extended altitude</v>
      </c>
      <c r="BE151" s="153" t="str">
        <f>IF(AND(OR($C147="-",$C147="CET",$C147=""),OR(F144="-",F144="CET",F144="")),"-",IF(OR(F144="CET",F144="-",F144=""),IF(OR($C147="CET",$C147="-",$C147=""),"-",$C147),F144))</f>
        <v>-</v>
      </c>
      <c r="BF151" s="153" t="str">
        <f t="shared" ref="BF151:BL151" si="194">IF(AND(OR($C147="-",$C147="CET",$C147=""),OR(G144="-",G144="CET",G144="")),"-",IF(OR(G144="CET",G144="-",G144=""),IF(OR($C147="CET",$C147="-",$C147=""),"-",$C147),G144))</f>
        <v>-</v>
      </c>
      <c r="BG151" s="153" t="str">
        <f t="shared" si="194"/>
        <v>-</v>
      </c>
      <c r="BH151" s="153" t="str">
        <f t="shared" si="194"/>
        <v>-</v>
      </c>
      <c r="BI151" s="153" t="str">
        <f t="shared" si="194"/>
        <v>-</v>
      </c>
      <c r="BJ151" s="153" t="str">
        <f t="shared" si="194"/>
        <v>-</v>
      </c>
      <c r="BK151" s="153" t="str">
        <f t="shared" si="194"/>
        <v>-</v>
      </c>
      <c r="BL151" s="153" t="str">
        <f t="shared" si="194"/>
        <v>-</v>
      </c>
    </row>
    <row r="152" spans="1:73" s="50" customFormat="1" ht="15" customHeight="1" outlineLevel="1" x14ac:dyDescent="0.25">
      <c r="A152" s="52"/>
      <c r="B152" s="890"/>
      <c r="C152" s="893"/>
      <c r="D152" s="893"/>
      <c r="E152" s="554"/>
      <c r="F152" s="555"/>
      <c r="G152" s="555"/>
      <c r="H152" s="555"/>
      <c r="I152" s="555"/>
      <c r="J152" s="555"/>
      <c r="K152" s="556"/>
      <c r="L152" s="556"/>
      <c r="M152" s="556"/>
      <c r="N152" s="565"/>
      <c r="O152" s="885"/>
      <c r="P152" s="885"/>
      <c r="Q152" s="885"/>
      <c r="R152" s="886"/>
      <c r="S152" s="749"/>
      <c r="T152" s="750"/>
      <c r="U152" s="750"/>
      <c r="V152" s="754"/>
      <c r="W152" s="51"/>
      <c r="X152" s="51"/>
      <c r="Y152" s="743"/>
      <c r="Z152" s="743"/>
      <c r="AA152" s="743"/>
      <c r="AB152" s="743"/>
      <c r="AC152" s="743"/>
      <c r="AD152" s="743"/>
      <c r="AE152" s="743"/>
      <c r="AF152" s="743"/>
      <c r="AG152" s="743"/>
      <c r="AH152" s="743"/>
      <c r="BC152" s="155" t="str">
        <f t="shared" si="156"/>
        <v>-</v>
      </c>
      <c r="BD152" s="151" t="str">
        <f>"IEF " &amp; B150</f>
        <v xml:space="preserve">IEF </v>
      </c>
      <c r="BE152" s="153" t="str">
        <f>IF(AND(OR($C153="-",$C153="CET",$C153=""),OR(F150="-",F150="CET",F150="")),"-",IF(OR(F150="CET",F150="-",F150=""),IF(OR($C153="CET",$C153="-",$C153=""),"-",$C153),F150))</f>
        <v>-</v>
      </c>
      <c r="BF152" s="153" t="str">
        <f t="shared" ref="BF152:BL152" si="195">IF(AND(OR($C153="-",$C153="CET",$C153=""),OR(G150="-",G150="CET",G150="")),"-",IF(OR(G150="CET",G150="-",G150=""),IF(OR($C153="CET",$C153="-",$C153=""),"-",$C153),G150))</f>
        <v>-</v>
      </c>
      <c r="BG152" s="153" t="str">
        <f t="shared" si="195"/>
        <v>-</v>
      </c>
      <c r="BH152" s="153" t="str">
        <f t="shared" si="195"/>
        <v>-</v>
      </c>
      <c r="BI152" s="153" t="str">
        <f t="shared" si="195"/>
        <v>-</v>
      </c>
      <c r="BJ152" s="153" t="str">
        <f t="shared" si="195"/>
        <v>-</v>
      </c>
      <c r="BK152" s="153" t="str">
        <f t="shared" si="195"/>
        <v>-</v>
      </c>
      <c r="BL152" s="153" t="str">
        <f t="shared" si="195"/>
        <v>-</v>
      </c>
      <c r="BM152" s="150"/>
      <c r="BN152" s="150"/>
      <c r="BO152" s="150"/>
      <c r="BP152" s="150"/>
      <c r="BQ152" s="150"/>
      <c r="BR152" s="150"/>
      <c r="BS152" s="150"/>
      <c r="BT152" s="150"/>
      <c r="BU152" s="150"/>
    </row>
    <row r="153" spans="1:73" ht="15" customHeight="1" outlineLevel="1" x14ac:dyDescent="0.25">
      <c r="A153" s="40"/>
      <c r="B153" s="890"/>
      <c r="C153" s="875"/>
      <c r="D153" s="877"/>
      <c r="E153" s="557"/>
      <c r="F153" s="557"/>
      <c r="G153" s="557"/>
      <c r="H153" s="557"/>
      <c r="I153" s="557"/>
      <c r="J153" s="557"/>
      <c r="K153" s="558"/>
      <c r="L153" s="558"/>
      <c r="M153" s="558"/>
      <c r="N153" s="566"/>
      <c r="O153" s="885"/>
      <c r="P153" s="885"/>
      <c r="Q153" s="885"/>
      <c r="R153" s="886"/>
      <c r="S153" s="749"/>
      <c r="T153" s="750"/>
      <c r="U153" s="750"/>
      <c r="V153" s="754"/>
      <c r="W153" s="119"/>
      <c r="X153" s="119"/>
      <c r="Y153" s="743"/>
      <c r="Z153" s="743"/>
      <c r="AA153" s="743"/>
      <c r="AB153" s="743"/>
      <c r="AC153" s="743"/>
      <c r="AD153" s="743"/>
      <c r="AE153" s="743"/>
      <c r="AF153" s="743"/>
      <c r="AG153" s="743"/>
      <c r="AH153" s="743"/>
      <c r="BC153" s="155" t="str">
        <f t="shared" si="156"/>
        <v>-</v>
      </c>
      <c r="BD153" s="151"/>
      <c r="BE153" s="153"/>
      <c r="BF153" s="153"/>
      <c r="BG153" s="153"/>
      <c r="BH153" s="153"/>
      <c r="BI153" s="153"/>
      <c r="BJ153" s="153"/>
      <c r="BK153" s="153"/>
      <c r="BL153" s="153"/>
    </row>
    <row r="154" spans="1:73" ht="15" customHeight="1" outlineLevel="1" x14ac:dyDescent="0.25">
      <c r="A154" s="40"/>
      <c r="B154" s="890"/>
      <c r="C154" s="875"/>
      <c r="D154" s="877"/>
      <c r="E154" s="559"/>
      <c r="F154" s="560"/>
      <c r="G154" s="560"/>
      <c r="H154" s="560"/>
      <c r="I154" s="560"/>
      <c r="J154" s="560"/>
      <c r="K154" s="558"/>
      <c r="L154" s="558"/>
      <c r="M154" s="558"/>
      <c r="N154" s="567"/>
      <c r="O154" s="885"/>
      <c r="P154" s="885"/>
      <c r="Q154" s="885"/>
      <c r="R154" s="886"/>
      <c r="S154" s="749"/>
      <c r="T154" s="750"/>
      <c r="U154" s="750"/>
      <c r="V154" s="754"/>
      <c r="W154" s="119"/>
      <c r="X154" s="119"/>
      <c r="Y154" s="743"/>
      <c r="Z154" s="743"/>
      <c r="AA154" s="743"/>
      <c r="AB154" s="743"/>
      <c r="AC154" s="743"/>
      <c r="AD154" s="743"/>
      <c r="AE154" s="743"/>
      <c r="AF154" s="743"/>
      <c r="AG154" s="743"/>
      <c r="AH154" s="743"/>
      <c r="BC154" s="155" t="str">
        <f t="shared" si="156"/>
        <v>-</v>
      </c>
      <c r="BD154" s="151"/>
      <c r="BE154" s="153"/>
      <c r="BF154" s="153"/>
      <c r="BG154" s="153"/>
      <c r="BH154" s="153"/>
      <c r="BI154" s="153"/>
      <c r="BJ154" s="153"/>
      <c r="BK154" s="153"/>
      <c r="BL154" s="153"/>
    </row>
    <row r="155" spans="1:73" ht="15" customHeight="1" outlineLevel="1" thickBot="1" x14ac:dyDescent="0.3">
      <c r="A155" s="40"/>
      <c r="B155" s="891"/>
      <c r="C155" s="876"/>
      <c r="D155" s="878"/>
      <c r="E155" s="568"/>
      <c r="F155" s="568"/>
      <c r="G155" s="568"/>
      <c r="H155" s="568"/>
      <c r="I155" s="568"/>
      <c r="J155" s="568"/>
      <c r="K155" s="569"/>
      <c r="L155" s="569"/>
      <c r="M155" s="569"/>
      <c r="N155" s="570"/>
      <c r="O155" s="887"/>
      <c r="P155" s="887"/>
      <c r="Q155" s="887"/>
      <c r="R155" s="888"/>
      <c r="S155" s="751"/>
      <c r="T155" s="752"/>
      <c r="U155" s="752"/>
      <c r="V155" s="755"/>
      <c r="W155" s="119"/>
      <c r="X155" s="119"/>
      <c r="Y155" s="743"/>
      <c r="Z155" s="743"/>
      <c r="AA155" s="743"/>
      <c r="AB155" s="743"/>
      <c r="AC155" s="743"/>
      <c r="AD155" s="743"/>
      <c r="AE155" s="743"/>
      <c r="AF155" s="743"/>
      <c r="AG155" s="743"/>
      <c r="AH155" s="743"/>
      <c r="BC155" s="155" t="str">
        <f t="shared" si="156"/>
        <v>-</v>
      </c>
    </row>
    <row r="156" spans="1:73" x14ac:dyDescent="0.25">
      <c r="BC156" s="155" t="str">
        <f t="shared" ref="BC156:BC223" si="196">IF(COUNTIF(F156:M156,"refused")&gt;0,"refused",IF(COUNTIF(F156:M156,"failed")&gt;0,"failed",IF(COUNTIF(F156:M156,"passed")&gt;0,"passed","-")))</f>
        <v>-</v>
      </c>
    </row>
    <row r="157" spans="1:73" x14ac:dyDescent="0.25">
      <c r="BC157" s="155" t="str">
        <f t="shared" si="196"/>
        <v>-</v>
      </c>
    </row>
    <row r="158" spans="1:73" ht="15.75" thickBot="1" x14ac:dyDescent="0.3">
      <c r="BC158" s="155" t="str">
        <f t="shared" si="196"/>
        <v>-</v>
      </c>
    </row>
    <row r="159" spans="1:73" ht="24.95" customHeight="1" thickBot="1" x14ac:dyDescent="0.3">
      <c r="A159" s="39"/>
      <c r="B159" s="185">
        <v>6</v>
      </c>
      <c r="C159" s="757" t="s">
        <v>109</v>
      </c>
      <c r="D159" s="758"/>
      <c r="E159" s="758"/>
      <c r="F159" s="758"/>
      <c r="G159" s="758"/>
      <c r="H159" s="758"/>
      <c r="I159" s="758"/>
      <c r="J159" s="758"/>
      <c r="K159" s="758"/>
      <c r="L159" s="758"/>
      <c r="M159" s="758"/>
      <c r="N159" s="759"/>
      <c r="O159" s="49" t="s">
        <v>117</v>
      </c>
      <c r="P159" s="71" t="str">
        <f>IF(COUNTIF(F163:M167,"refused")&gt;0,"refused",IF(COUNTIF(F163:M167,"failed")&gt;0,"failed",IF(COUNTIF(F163:M167,"passed")&gt;0,"passed","-")))</f>
        <v>-</v>
      </c>
      <c r="Q159" s="70" t="s">
        <v>80</v>
      </c>
      <c r="R159" s="70" t="str">
        <f>IF(AND(OR(F164="-",F164=""),OR(G163="-",G163=""),OR(G164="-",G164=""),OR(H163="-",H163=""),OR(H164="-",H164=""),OR(I163="-",I163=""),OR(I164="-",I164=""),OR(J163="-",J163=""),OR(J164="-",J164=""),OR(K163="-",K163=""),OR(K164="-",K164=""),OR(N163="-",N163=""),OR(N164="-",N164=""),OR(F163="-",F163="")),"not listed","listed")</f>
        <v>not listed</v>
      </c>
      <c r="S159" s="118"/>
      <c r="T159" s="43"/>
      <c r="U159" s="43"/>
      <c r="V159" s="44"/>
      <c r="W159" s="47"/>
      <c r="X159" s="47"/>
      <c r="Y159" s="756"/>
      <c r="Z159" s="756"/>
      <c r="AA159" s="756"/>
      <c r="AB159" s="756"/>
      <c r="AC159" s="756"/>
      <c r="AD159" s="756"/>
      <c r="AE159" s="756"/>
      <c r="AF159" s="756"/>
      <c r="AG159" s="756"/>
      <c r="AH159" s="756"/>
      <c r="BC159" s="155" t="str">
        <f t="shared" ref="BC159:BC185" si="197">IF(COUNTIF(F159:M159,"refused")&gt;0,"refused",IF(COUNTIF(F159:M159,"failed")&gt;0,"failed",IF(COUNTIF(F159:M159,"passed")&gt;0,"passed","-")))</f>
        <v>-</v>
      </c>
    </row>
    <row r="160" spans="1:73" ht="15" customHeight="1" outlineLevel="1" thickBot="1" x14ac:dyDescent="0.3">
      <c r="A160" s="39"/>
      <c r="B160" s="120"/>
      <c r="C160" s="121"/>
      <c r="D160" s="121"/>
      <c r="E160" s="121"/>
      <c r="F160" s="121"/>
      <c r="G160" s="121"/>
      <c r="H160" s="121"/>
      <c r="I160" s="121"/>
      <c r="J160" s="121"/>
      <c r="K160" s="162"/>
      <c r="L160" s="162"/>
      <c r="M160" s="162"/>
      <c r="N160" s="121"/>
      <c r="O160" s="121"/>
      <c r="P160" s="121"/>
      <c r="Q160" s="121"/>
      <c r="R160" s="121"/>
      <c r="S160" s="121"/>
      <c r="T160" s="45"/>
      <c r="U160" s="45"/>
      <c r="V160" s="46"/>
      <c r="W160" s="119"/>
      <c r="X160" s="119"/>
      <c r="Y160" s="743"/>
      <c r="Z160" s="743"/>
      <c r="AA160" s="743"/>
      <c r="AB160" s="743"/>
      <c r="AC160" s="743"/>
      <c r="AD160" s="743"/>
      <c r="AE160" s="743"/>
      <c r="AF160" s="743"/>
      <c r="AG160" s="743"/>
      <c r="AH160" s="743"/>
      <c r="BC160" s="155" t="str">
        <f t="shared" si="197"/>
        <v>-</v>
      </c>
    </row>
    <row r="161" spans="1:73" ht="15" customHeight="1" outlineLevel="1" thickBot="1" x14ac:dyDescent="0.3">
      <c r="A161" s="39"/>
      <c r="B161" s="744" t="s">
        <v>81</v>
      </c>
      <c r="C161" s="745"/>
      <c r="D161" s="745"/>
      <c r="E161" s="745"/>
      <c r="F161" s="745"/>
      <c r="G161" s="745"/>
      <c r="H161" s="745"/>
      <c r="I161" s="745"/>
      <c r="J161" s="745"/>
      <c r="K161" s="745"/>
      <c r="L161" s="745"/>
      <c r="M161" s="745"/>
      <c r="N161" s="746"/>
      <c r="O161" s="744" t="s">
        <v>82</v>
      </c>
      <c r="P161" s="745"/>
      <c r="Q161" s="745"/>
      <c r="R161" s="746"/>
      <c r="S161" s="744" t="s">
        <v>83</v>
      </c>
      <c r="T161" s="745"/>
      <c r="U161" s="745"/>
      <c r="V161" s="746"/>
      <c r="W161" s="119"/>
      <c r="X161" s="119"/>
      <c r="Y161" s="743"/>
      <c r="Z161" s="743"/>
      <c r="AA161" s="743"/>
      <c r="AB161" s="743"/>
      <c r="AC161" s="743"/>
      <c r="AD161" s="743"/>
      <c r="AE161" s="743"/>
      <c r="AF161" s="743"/>
      <c r="AG161" s="743"/>
      <c r="AH161" s="743"/>
      <c r="BC161" s="155" t="str">
        <f t="shared" si="197"/>
        <v>-</v>
      </c>
    </row>
    <row r="162" spans="1:73" ht="35.1" customHeight="1" outlineLevel="1" thickBot="1" x14ac:dyDescent="0.3">
      <c r="A162" s="39"/>
      <c r="B162" s="767" t="s">
        <v>84</v>
      </c>
      <c r="C162" s="768"/>
      <c r="D162" s="768"/>
      <c r="E162" s="769"/>
      <c r="F162" s="69" t="str">
        <f>F$4</f>
        <v>NMHC 
[g/km]</v>
      </c>
      <c r="G162" s="69" t="str">
        <f t="shared" ref="G162:N162" si="198">G$4</f>
        <v>THC
[g/km]</v>
      </c>
      <c r="H162" s="69" t="str">
        <f t="shared" si="198"/>
        <v>CO
[g/km]</v>
      </c>
      <c r="I162" s="69" t="str">
        <f t="shared" si="198"/>
        <v>NOx
[g/km]</v>
      </c>
      <c r="J162" s="69" t="str">
        <f t="shared" si="198"/>
        <v>PM
[mg/km]</v>
      </c>
      <c r="K162" s="69" t="str">
        <f t="shared" si="198"/>
        <v>PN
[#/km]</v>
      </c>
      <c r="L162" s="366" t="str">
        <f t="shared" si="198"/>
        <v>Additional
component</v>
      </c>
      <c r="M162" s="366" t="str">
        <f t="shared" si="198"/>
        <v>Additional
component 2</v>
      </c>
      <c r="N162" s="69" t="str">
        <f t="shared" si="198"/>
        <v>CO2
[g/km]</v>
      </c>
      <c r="O162" s="747"/>
      <c r="P162" s="748"/>
      <c r="Q162" s="748"/>
      <c r="R162" s="753"/>
      <c r="S162" s="747"/>
      <c r="T162" s="748"/>
      <c r="U162" s="748"/>
      <c r="V162" s="753"/>
      <c r="W162" s="119"/>
      <c r="X162" s="119"/>
      <c r="Y162" s="743"/>
      <c r="Z162" s="743"/>
      <c r="AA162" s="743"/>
      <c r="AB162" s="743"/>
      <c r="AC162" s="743"/>
      <c r="AD162" s="743"/>
      <c r="AE162" s="743"/>
      <c r="AF162" s="743"/>
      <c r="AG162" s="743"/>
      <c r="AH162" s="743"/>
      <c r="BC162" s="155" t="str">
        <f t="shared" si="197"/>
        <v>-</v>
      </c>
    </row>
    <row r="163" spans="1:73" s="50" customFormat="1" ht="15" customHeight="1" outlineLevel="1" x14ac:dyDescent="0.25">
      <c r="A163" s="53"/>
      <c r="B163" s="797" t="s">
        <v>108</v>
      </c>
      <c r="C163" s="770" t="s">
        <v>114</v>
      </c>
      <c r="D163" s="770" t="s">
        <v>113</v>
      </c>
      <c r="E163" s="106" t="s">
        <v>94</v>
      </c>
      <c r="F163" s="105" t="s">
        <v>5</v>
      </c>
      <c r="G163" s="105" t="s">
        <v>5</v>
      </c>
      <c r="H163" s="105" t="s">
        <v>5</v>
      </c>
      <c r="I163" s="105" t="s">
        <v>5</v>
      </c>
      <c r="J163" s="105" t="s">
        <v>5</v>
      </c>
      <c r="K163" s="173" t="s">
        <v>5</v>
      </c>
      <c r="L163" s="173" t="s">
        <v>5</v>
      </c>
      <c r="M163" s="173" t="s">
        <v>5</v>
      </c>
      <c r="N163" s="105" t="s">
        <v>5</v>
      </c>
      <c r="O163" s="749"/>
      <c r="P163" s="750"/>
      <c r="Q163" s="750"/>
      <c r="R163" s="754"/>
      <c r="S163" s="749"/>
      <c r="T163" s="750"/>
      <c r="U163" s="750"/>
      <c r="V163" s="754"/>
      <c r="W163" s="51"/>
      <c r="X163" s="51"/>
      <c r="Y163" s="743"/>
      <c r="Z163" s="743"/>
      <c r="AA163" s="743"/>
      <c r="AB163" s="743"/>
      <c r="AC163" s="743"/>
      <c r="AD163" s="743"/>
      <c r="AE163" s="743"/>
      <c r="AF163" s="743"/>
      <c r="AG163" s="743"/>
      <c r="AH163" s="743"/>
      <c r="BC163" s="155" t="str">
        <f t="shared" si="197"/>
        <v>-</v>
      </c>
      <c r="BD163" s="150"/>
      <c r="BE163" s="150"/>
      <c r="BF163" s="150"/>
      <c r="BG163" s="150"/>
      <c r="BH163" s="150"/>
      <c r="BI163" s="150"/>
      <c r="BJ163" s="150"/>
      <c r="BK163" s="150"/>
      <c r="BL163" s="150"/>
      <c r="BM163" s="150"/>
      <c r="BN163" s="150"/>
      <c r="BO163" s="150"/>
      <c r="BP163" s="150"/>
      <c r="BQ163" s="150"/>
      <c r="BR163" s="150"/>
      <c r="BS163" s="150"/>
      <c r="BT163" s="150"/>
      <c r="BU163" s="150"/>
    </row>
    <row r="164" spans="1:73" ht="15" customHeight="1" outlineLevel="1" thickBot="1" x14ac:dyDescent="0.3">
      <c r="A164" s="39"/>
      <c r="B164" s="798"/>
      <c r="C164" s="741"/>
      <c r="D164" s="742"/>
      <c r="E164" s="104" t="s">
        <v>95</v>
      </c>
      <c r="F164" s="103" t="s">
        <v>5</v>
      </c>
      <c r="G164" s="103" t="s">
        <v>5</v>
      </c>
      <c r="H164" s="103" t="s">
        <v>5</v>
      </c>
      <c r="I164" s="103" t="s">
        <v>5</v>
      </c>
      <c r="J164" s="103" t="s">
        <v>5</v>
      </c>
      <c r="K164" s="174" t="s">
        <v>5</v>
      </c>
      <c r="L164" s="174" t="s">
        <v>5</v>
      </c>
      <c r="M164" s="174" t="s">
        <v>5</v>
      </c>
      <c r="N164" s="103" t="s">
        <v>5</v>
      </c>
      <c r="O164" s="749"/>
      <c r="P164" s="750"/>
      <c r="Q164" s="750"/>
      <c r="R164" s="754"/>
      <c r="S164" s="749"/>
      <c r="T164" s="750"/>
      <c r="U164" s="750"/>
      <c r="V164" s="754"/>
      <c r="W164" s="119"/>
      <c r="X164" s="119"/>
      <c r="Y164" s="743"/>
      <c r="Z164" s="743"/>
      <c r="AA164" s="743"/>
      <c r="AB164" s="743"/>
      <c r="AC164" s="743"/>
      <c r="AD164" s="743"/>
      <c r="AE164" s="743"/>
      <c r="AF164" s="743"/>
      <c r="AG164" s="743"/>
      <c r="AH164" s="743"/>
      <c r="BC164" s="155" t="str">
        <f t="shared" si="197"/>
        <v>-</v>
      </c>
    </row>
    <row r="165" spans="1:73" ht="15" customHeight="1" outlineLevel="1" thickBot="1" x14ac:dyDescent="0.3">
      <c r="A165" s="39"/>
      <c r="B165" s="798"/>
      <c r="C165" s="764" t="s">
        <v>5</v>
      </c>
      <c r="D165" s="772" t="str">
        <f>IF(AND(F166="-",G166="-",H166="-",I166="-",J166="-",K166="-",K166="-",L166="-"),"-",MAX(F166,G166,H166,I166,J166,K166,L166,M166))</f>
        <v>-</v>
      </c>
      <c r="E165" s="66" t="s">
        <v>177</v>
      </c>
      <c r="F165" s="65" t="str">
        <f>IF(OR(F164="-",F164=""),IF(OR(F163="-",F163=""),"-",F163),IF(OR(F163="-",F163=""),F164,(F163+F164)/2))</f>
        <v>-</v>
      </c>
      <c r="G165" s="65" t="str">
        <f t="shared" ref="G165:N165" si="199">IF(OR(G164="-",G164=""),IF(OR(G163="-",G163=""),"-",G163),IF(OR(G163="-",G163=""),G164,(G163+G164)/2))</f>
        <v>-</v>
      </c>
      <c r="H165" s="65" t="str">
        <f t="shared" si="199"/>
        <v>-</v>
      </c>
      <c r="I165" s="65" t="str">
        <f t="shared" si="199"/>
        <v>-</v>
      </c>
      <c r="J165" s="65" t="str">
        <f t="shared" si="199"/>
        <v>-</v>
      </c>
      <c r="K165" s="167" t="str">
        <f t="shared" si="199"/>
        <v>-</v>
      </c>
      <c r="L165" s="167" t="str">
        <f t="shared" ref="L165:M165" si="200">IF(OR(L164="-",L164=""),IF(OR(L163="-",L163=""),"-",L163),IF(OR(L163="-",L163=""),L164,(L163+L164)/2))</f>
        <v>-</v>
      </c>
      <c r="M165" s="167" t="str">
        <f t="shared" si="200"/>
        <v>-</v>
      </c>
      <c r="N165" s="65" t="str">
        <f t="shared" si="199"/>
        <v>-</v>
      </c>
      <c r="O165" s="749"/>
      <c r="P165" s="750"/>
      <c r="Q165" s="750"/>
      <c r="R165" s="754"/>
      <c r="S165" s="749"/>
      <c r="T165" s="750"/>
      <c r="U165" s="750"/>
      <c r="V165" s="754"/>
      <c r="W165" s="119"/>
      <c r="X165" s="119"/>
      <c r="Y165" s="743"/>
      <c r="Z165" s="743"/>
      <c r="AA165" s="743"/>
      <c r="AB165" s="743"/>
      <c r="AC165" s="743"/>
      <c r="AD165" s="743"/>
      <c r="AE165" s="743"/>
      <c r="AF165" s="743"/>
      <c r="AG165" s="743"/>
      <c r="AH165" s="743"/>
      <c r="BC165" s="155" t="str">
        <f t="shared" si="197"/>
        <v>-</v>
      </c>
    </row>
    <row r="166" spans="1:73" ht="15" customHeight="1" outlineLevel="1" thickBot="1" x14ac:dyDescent="0.3">
      <c r="A166" s="39"/>
      <c r="B166" s="798"/>
      <c r="C166" s="765"/>
      <c r="D166" s="773"/>
      <c r="E166" s="64" t="s">
        <v>97</v>
      </c>
      <c r="F166" s="63" t="str">
        <f t="shared" ref="F166:N166" si="201">IF(OR($C165="-",$C165="CET",$C165=""),"-",IF(AND(NOT(F165="-"),NOT(F$5="-"),NOT(F$5="")),F165/F$5,"-"))</f>
        <v>-</v>
      </c>
      <c r="G166" s="63" t="str">
        <f t="shared" si="201"/>
        <v>-</v>
      </c>
      <c r="H166" s="63" t="str">
        <f t="shared" si="201"/>
        <v>-</v>
      </c>
      <c r="I166" s="63" t="str">
        <f t="shared" si="201"/>
        <v>-</v>
      </c>
      <c r="J166" s="63" t="str">
        <f t="shared" si="201"/>
        <v>-</v>
      </c>
      <c r="K166" s="168" t="str">
        <f t="shared" si="201"/>
        <v>-</v>
      </c>
      <c r="L166" s="168" t="str">
        <f t="shared" si="201"/>
        <v>-</v>
      </c>
      <c r="M166" s="168" t="str">
        <f t="shared" si="201"/>
        <v>-</v>
      </c>
      <c r="N166" s="63" t="str">
        <f t="shared" si="201"/>
        <v>-</v>
      </c>
      <c r="O166" s="749"/>
      <c r="P166" s="750"/>
      <c r="Q166" s="750"/>
      <c r="R166" s="754"/>
      <c r="S166" s="749"/>
      <c r="T166" s="750"/>
      <c r="U166" s="750"/>
      <c r="V166" s="754"/>
      <c r="W166" s="119"/>
      <c r="X166" s="119"/>
      <c r="Y166" s="743"/>
      <c r="Z166" s="743"/>
      <c r="AA166" s="743"/>
      <c r="AB166" s="743"/>
      <c r="AC166" s="743"/>
      <c r="AD166" s="743"/>
      <c r="AE166" s="743"/>
      <c r="AF166" s="743"/>
      <c r="AG166" s="743"/>
      <c r="AH166" s="743"/>
      <c r="BC166" s="155" t="str">
        <f t="shared" si="197"/>
        <v>-</v>
      </c>
      <c r="BD166" s="151" t="s">
        <v>85</v>
      </c>
      <c r="BE166" s="152" t="str">
        <f>F$4</f>
        <v>NMHC 
[g/km]</v>
      </c>
      <c r="BF166" s="152" t="str">
        <f t="shared" ref="BF166" si="202">G$4</f>
        <v>THC
[g/km]</v>
      </c>
      <c r="BG166" s="152" t="str">
        <f t="shared" ref="BG166" si="203">H$4</f>
        <v>CO
[g/km]</v>
      </c>
      <c r="BH166" s="152" t="str">
        <f t="shared" ref="BH166" si="204">I$4</f>
        <v>NOx
[g/km]</v>
      </c>
      <c r="BI166" s="152" t="str">
        <f t="shared" ref="BI166" si="205">J$4</f>
        <v>PM
[mg/km]</v>
      </c>
      <c r="BJ166" s="152" t="str">
        <f t="shared" ref="BJ166" si="206">K$4</f>
        <v>PN
[#/km]</v>
      </c>
      <c r="BK166" s="152" t="str">
        <f t="shared" ref="BK166" si="207">L$4</f>
        <v>Additional
component</v>
      </c>
      <c r="BL166" s="152" t="str">
        <f t="shared" ref="BL166" si="208">M$4</f>
        <v>Additional
component 2</v>
      </c>
    </row>
    <row r="167" spans="1:73" ht="15" customHeight="1" outlineLevel="1" thickBot="1" x14ac:dyDescent="0.3">
      <c r="A167" s="39"/>
      <c r="B167" s="799"/>
      <c r="C167" s="771"/>
      <c r="D167" s="774"/>
      <c r="E167" s="62" t="s">
        <v>30</v>
      </c>
      <c r="F167" s="62" t="str">
        <f t="shared" ref="F167:N167" si="209">IF(AND(OR(F163="-",F163=""),OR(F164="-",F164="")),"-",IF(OR($C165="-",$C165="",$C165="CET"),"-",IF($R$159="not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62" t="str">
        <f t="shared" si="209"/>
        <v>-</v>
      </c>
      <c r="H167" s="62" t="str">
        <f t="shared" si="209"/>
        <v>-</v>
      </c>
      <c r="I167" s="62" t="str">
        <f t="shared" si="209"/>
        <v>-</v>
      </c>
      <c r="J167" s="62" t="str">
        <f t="shared" si="209"/>
        <v>-</v>
      </c>
      <c r="K167" s="169" t="str">
        <f t="shared" si="209"/>
        <v>-</v>
      </c>
      <c r="L167" s="169" t="str">
        <f t="shared" si="209"/>
        <v>-</v>
      </c>
      <c r="M167" s="169" t="str">
        <f t="shared" si="209"/>
        <v>-</v>
      </c>
      <c r="N167" s="62" t="str">
        <f t="shared" si="209"/>
        <v>-</v>
      </c>
      <c r="O167" s="749"/>
      <c r="P167" s="750"/>
      <c r="Q167" s="750"/>
      <c r="R167" s="754"/>
      <c r="S167" s="749"/>
      <c r="T167" s="750"/>
      <c r="U167" s="750"/>
      <c r="V167" s="754"/>
      <c r="W167" s="119"/>
      <c r="X167" s="119"/>
      <c r="Y167" s="743"/>
      <c r="Z167" s="743"/>
      <c r="AA167" s="743"/>
      <c r="AB167" s="743"/>
      <c r="AC167" s="743"/>
      <c r="AD167" s="743"/>
      <c r="AE167" s="743"/>
      <c r="AF167" s="743"/>
      <c r="AG167" s="743"/>
      <c r="AH167" s="743"/>
      <c r="BC167" s="155" t="str">
        <f t="shared" si="197"/>
        <v>-</v>
      </c>
      <c r="BD167" s="151" t="str">
        <f>$E$4</f>
        <v>Euro 6d</v>
      </c>
      <c r="BE167" s="153">
        <v>1</v>
      </c>
      <c r="BF167" s="153">
        <v>1</v>
      </c>
      <c r="BG167" s="153">
        <v>1</v>
      </c>
      <c r="BH167" s="153">
        <v>1</v>
      </c>
      <c r="BI167" s="153">
        <v>1</v>
      </c>
      <c r="BJ167" s="153">
        <v>1</v>
      </c>
      <c r="BK167" s="153">
        <v>1</v>
      </c>
      <c r="BL167" s="153">
        <v>1</v>
      </c>
    </row>
    <row r="168" spans="1:73" ht="15" customHeight="1" outlineLevel="1" x14ac:dyDescent="0.25">
      <c r="A168" s="39"/>
      <c r="B168" s="761"/>
      <c r="C168" s="760"/>
      <c r="D168" s="116"/>
      <c r="E168" s="116"/>
      <c r="F168" s="58"/>
      <c r="G168" s="58"/>
      <c r="H168" s="58"/>
      <c r="I168" s="58"/>
      <c r="J168" s="58"/>
      <c r="K168" s="171"/>
      <c r="L168" s="171"/>
      <c r="M168" s="171"/>
      <c r="N168" s="57"/>
      <c r="O168" s="749"/>
      <c r="P168" s="750"/>
      <c r="Q168" s="750"/>
      <c r="R168" s="754"/>
      <c r="S168" s="749"/>
      <c r="T168" s="750"/>
      <c r="U168" s="750"/>
      <c r="V168" s="754"/>
      <c r="W168" s="119"/>
      <c r="X168" s="119"/>
      <c r="Y168" s="743"/>
      <c r="Z168" s="743"/>
      <c r="AA168" s="743"/>
      <c r="AB168" s="743"/>
      <c r="AC168" s="743"/>
      <c r="AD168" s="743"/>
      <c r="AE168" s="743"/>
      <c r="AF168" s="743"/>
      <c r="AG168" s="743"/>
      <c r="AH168" s="743"/>
      <c r="BC168" s="155" t="str">
        <f t="shared" si="197"/>
        <v>-</v>
      </c>
      <c r="BD168" s="151" t="str">
        <f>"1st " &amp;  B163</f>
        <v>1st s.s.e.t.</v>
      </c>
      <c r="BE168" s="153" t="str">
        <f t="shared" ref="BE168:BL168" si="210">IF((OR($C165="-",$C165="CET",$C165="")),"-",IF(AND(OR(F163="-",F163=""),OR(F164="-",F164="")),"-",IF(NOT(OR(F163="-",F163="")),F163/F$5,F164/F$5)))</f>
        <v>-</v>
      </c>
      <c r="BF168" s="153" t="str">
        <f t="shared" si="210"/>
        <v>-</v>
      </c>
      <c r="BG168" s="153" t="str">
        <f t="shared" si="210"/>
        <v>-</v>
      </c>
      <c r="BH168" s="153" t="str">
        <f t="shared" si="210"/>
        <v>-</v>
      </c>
      <c r="BI168" s="153" t="str">
        <f t="shared" si="210"/>
        <v>-</v>
      </c>
      <c r="BJ168" s="153" t="str">
        <f t="shared" si="210"/>
        <v>-</v>
      </c>
      <c r="BK168" s="153" t="str">
        <f t="shared" si="210"/>
        <v>-</v>
      </c>
      <c r="BL168" s="153" t="str">
        <f t="shared" si="210"/>
        <v>-</v>
      </c>
    </row>
    <row r="169" spans="1:73" ht="15" customHeight="1" outlineLevel="1" x14ac:dyDescent="0.25">
      <c r="A169" s="39"/>
      <c r="B169" s="761"/>
      <c r="C169" s="760"/>
      <c r="D169" s="116"/>
      <c r="E169" s="116"/>
      <c r="F169" s="58"/>
      <c r="G169" s="58"/>
      <c r="H169" s="58"/>
      <c r="I169" s="58"/>
      <c r="J169" s="58"/>
      <c r="K169" s="171"/>
      <c r="L169" s="171"/>
      <c r="M169" s="171"/>
      <c r="N169" s="57"/>
      <c r="O169" s="749"/>
      <c r="P169" s="750"/>
      <c r="Q169" s="750"/>
      <c r="R169" s="754"/>
      <c r="S169" s="749"/>
      <c r="T169" s="750"/>
      <c r="U169" s="750"/>
      <c r="V169" s="754"/>
      <c r="W169" s="119"/>
      <c r="X169" s="119"/>
      <c r="Y169" s="743"/>
      <c r="Z169" s="743"/>
      <c r="AA169" s="743"/>
      <c r="AB169" s="743"/>
      <c r="AC169" s="743"/>
      <c r="AD169" s="743"/>
      <c r="AE169" s="743"/>
      <c r="AF169" s="743"/>
      <c r="AG169" s="743"/>
      <c r="AH169" s="743"/>
      <c r="BC169" s="155" t="str">
        <f t="shared" si="197"/>
        <v>-</v>
      </c>
      <c r="BD169" s="151"/>
      <c r="BE169" s="153"/>
      <c r="BF169" s="153"/>
      <c r="BG169" s="153"/>
      <c r="BH169" s="153"/>
      <c r="BI169" s="153"/>
      <c r="BJ169" s="153"/>
      <c r="BK169" s="153"/>
      <c r="BL169" s="153"/>
    </row>
    <row r="170" spans="1:73" ht="15" customHeight="1" outlineLevel="1" x14ac:dyDescent="0.25">
      <c r="A170" s="39"/>
      <c r="B170" s="761"/>
      <c r="C170" s="760"/>
      <c r="D170" s="116"/>
      <c r="E170" s="116"/>
      <c r="F170" s="56"/>
      <c r="G170" s="56"/>
      <c r="H170" s="56"/>
      <c r="I170" s="56"/>
      <c r="J170" s="56"/>
      <c r="K170" s="171"/>
      <c r="L170" s="171"/>
      <c r="M170" s="171"/>
      <c r="N170" s="55"/>
      <c r="O170" s="749"/>
      <c r="P170" s="750"/>
      <c r="Q170" s="750"/>
      <c r="R170" s="754"/>
      <c r="S170" s="749"/>
      <c r="T170" s="750"/>
      <c r="U170" s="750"/>
      <c r="V170" s="754"/>
      <c r="W170" s="119"/>
      <c r="X170" s="119"/>
      <c r="Y170" s="743"/>
      <c r="Z170" s="743"/>
      <c r="AA170" s="743"/>
      <c r="AB170" s="743"/>
      <c r="AC170" s="743"/>
      <c r="AD170" s="743"/>
      <c r="AE170" s="743"/>
      <c r="AF170" s="743"/>
      <c r="AG170" s="743"/>
      <c r="AH170" s="743"/>
      <c r="BC170" s="155" t="str">
        <f t="shared" si="197"/>
        <v>-</v>
      </c>
      <c r="BD170" s="151"/>
      <c r="BE170" s="153"/>
      <c r="BF170" s="153"/>
      <c r="BG170" s="153"/>
      <c r="BH170" s="153"/>
      <c r="BI170" s="153"/>
      <c r="BJ170" s="153"/>
      <c r="BK170" s="153"/>
      <c r="BL170" s="153"/>
    </row>
    <row r="171" spans="1:73" ht="15" customHeight="1" outlineLevel="1" x14ac:dyDescent="0.25">
      <c r="A171" s="40"/>
      <c r="B171" s="761"/>
      <c r="C171" s="760"/>
      <c r="D171" s="116"/>
      <c r="E171" s="116"/>
      <c r="F171" s="56"/>
      <c r="G171" s="56"/>
      <c r="H171" s="56"/>
      <c r="I171" s="56"/>
      <c r="J171" s="56"/>
      <c r="K171" s="171"/>
      <c r="L171" s="171"/>
      <c r="M171" s="171"/>
      <c r="N171" s="55"/>
      <c r="O171" s="749"/>
      <c r="P171" s="750"/>
      <c r="Q171" s="750"/>
      <c r="R171" s="754"/>
      <c r="S171" s="749"/>
      <c r="T171" s="750"/>
      <c r="U171" s="750"/>
      <c r="V171" s="754"/>
      <c r="W171" s="119"/>
      <c r="X171" s="119"/>
      <c r="Y171" s="743"/>
      <c r="Z171" s="743"/>
      <c r="AA171" s="743"/>
      <c r="AB171" s="743"/>
      <c r="AC171" s="743"/>
      <c r="AD171" s="743"/>
      <c r="AE171" s="743"/>
      <c r="AF171" s="743"/>
      <c r="AG171" s="743"/>
      <c r="AH171" s="743"/>
      <c r="BC171" s="155" t="str">
        <f t="shared" si="197"/>
        <v>-</v>
      </c>
      <c r="BD171" s="151"/>
      <c r="BE171" s="153"/>
      <c r="BF171" s="153"/>
      <c r="BG171" s="153"/>
      <c r="BH171" s="153"/>
      <c r="BI171" s="153"/>
      <c r="BJ171" s="153"/>
      <c r="BK171" s="153"/>
      <c r="BL171" s="153"/>
    </row>
    <row r="172" spans="1:73" ht="15" customHeight="1" outlineLevel="1" x14ac:dyDescent="0.25">
      <c r="A172" s="40"/>
      <c r="B172" s="761"/>
      <c r="C172" s="760"/>
      <c r="D172" s="116"/>
      <c r="E172" s="116"/>
      <c r="F172" s="116"/>
      <c r="G172" s="116"/>
      <c r="H172" s="116"/>
      <c r="I172" s="116"/>
      <c r="J172" s="116"/>
      <c r="K172" s="171"/>
      <c r="L172" s="171"/>
      <c r="M172" s="171"/>
      <c r="N172" s="59"/>
      <c r="O172" s="749"/>
      <c r="P172" s="750"/>
      <c r="Q172" s="750"/>
      <c r="R172" s="754"/>
      <c r="S172" s="749"/>
      <c r="T172" s="750"/>
      <c r="U172" s="750"/>
      <c r="V172" s="754"/>
      <c r="W172" s="119"/>
      <c r="X172" s="119"/>
      <c r="Y172" s="743"/>
      <c r="Z172" s="743"/>
      <c r="AA172" s="743"/>
      <c r="AB172" s="743"/>
      <c r="AC172" s="743"/>
      <c r="AD172" s="743"/>
      <c r="AE172" s="743"/>
      <c r="AF172" s="743"/>
      <c r="AG172" s="743"/>
      <c r="AH172" s="743"/>
      <c r="BC172" s="155" t="str">
        <f t="shared" si="197"/>
        <v>-</v>
      </c>
      <c r="BD172" s="151" t="str">
        <f>"0.7*IEF " &amp; (B163)</f>
        <v>0.7*IEF s.s.e.t.</v>
      </c>
      <c r="BE172" s="153" t="str">
        <f t="shared" ref="BE172:BL172" si="211">IF(OR($C165="-",$C165="CET",$C165=""),"-",0.7*$C165)</f>
        <v>-</v>
      </c>
      <c r="BF172" s="153" t="str">
        <f t="shared" si="211"/>
        <v>-</v>
      </c>
      <c r="BG172" s="153" t="str">
        <f t="shared" si="211"/>
        <v>-</v>
      </c>
      <c r="BH172" s="153" t="str">
        <f t="shared" si="211"/>
        <v>-</v>
      </c>
      <c r="BI172" s="153" t="str">
        <f t="shared" si="211"/>
        <v>-</v>
      </c>
      <c r="BJ172" s="153" t="str">
        <f t="shared" si="211"/>
        <v>-</v>
      </c>
      <c r="BK172" s="153" t="str">
        <f t="shared" si="211"/>
        <v>-</v>
      </c>
      <c r="BL172" s="153" t="str">
        <f t="shared" si="211"/>
        <v>-</v>
      </c>
    </row>
    <row r="173" spans="1:73" ht="15" customHeight="1" outlineLevel="1" x14ac:dyDescent="0.25">
      <c r="A173" s="40"/>
      <c r="B173" s="761"/>
      <c r="C173" s="760"/>
      <c r="D173" s="116"/>
      <c r="E173" s="116"/>
      <c r="F173" s="58"/>
      <c r="G173" s="58"/>
      <c r="H173" s="58"/>
      <c r="I173" s="58"/>
      <c r="J173" s="58"/>
      <c r="K173" s="171"/>
      <c r="L173" s="171"/>
      <c r="M173" s="171"/>
      <c r="N173" s="57"/>
      <c r="O173" s="749"/>
      <c r="P173" s="750"/>
      <c r="Q173" s="750"/>
      <c r="R173" s="754"/>
      <c r="S173" s="749"/>
      <c r="T173" s="750"/>
      <c r="U173" s="750"/>
      <c r="V173" s="754"/>
      <c r="W173" s="119"/>
      <c r="X173" s="119"/>
      <c r="Y173" s="743"/>
      <c r="Z173" s="743"/>
      <c r="AA173" s="743"/>
      <c r="AB173" s="743"/>
      <c r="AC173" s="743"/>
      <c r="AD173" s="743"/>
      <c r="AE173" s="743"/>
      <c r="AF173" s="743"/>
      <c r="AG173" s="743"/>
      <c r="AH173" s="743"/>
      <c r="BC173" s="155" t="str">
        <f t="shared" si="197"/>
        <v>-</v>
      </c>
      <c r="BD173" s="151"/>
      <c r="BE173" s="153"/>
      <c r="BF173" s="153"/>
      <c r="BG173" s="153"/>
      <c r="BH173" s="153"/>
      <c r="BI173" s="153"/>
      <c r="BJ173" s="153"/>
      <c r="BK173" s="153"/>
      <c r="BL173" s="153"/>
    </row>
    <row r="174" spans="1:73" ht="15" customHeight="1" outlineLevel="1" x14ac:dyDescent="0.25">
      <c r="A174" s="40"/>
      <c r="B174" s="761"/>
      <c r="C174" s="760"/>
      <c r="D174" s="116"/>
      <c r="E174" s="116"/>
      <c r="F174" s="58"/>
      <c r="G174" s="58"/>
      <c r="H174" s="58"/>
      <c r="I174" s="58"/>
      <c r="J174" s="58"/>
      <c r="K174" s="171"/>
      <c r="L174" s="171"/>
      <c r="M174" s="171"/>
      <c r="N174" s="57"/>
      <c r="O174" s="749"/>
      <c r="P174" s="750"/>
      <c r="Q174" s="750"/>
      <c r="R174" s="754"/>
      <c r="S174" s="749"/>
      <c r="T174" s="750"/>
      <c r="U174" s="750"/>
      <c r="V174" s="754"/>
      <c r="W174" s="119"/>
      <c r="X174" s="119"/>
      <c r="Y174" s="743"/>
      <c r="Z174" s="743"/>
      <c r="AA174" s="743"/>
      <c r="AB174" s="743"/>
      <c r="AC174" s="743"/>
      <c r="AD174" s="743"/>
      <c r="AE174" s="743"/>
      <c r="AF174" s="743"/>
      <c r="AG174" s="743"/>
      <c r="AH174" s="743"/>
      <c r="BC174" s="155" t="str">
        <f t="shared" si="197"/>
        <v>-</v>
      </c>
      <c r="BD174" s="151"/>
      <c r="BE174" s="153"/>
      <c r="BF174" s="153"/>
      <c r="BG174" s="153"/>
      <c r="BH174" s="153"/>
      <c r="BI174" s="153"/>
      <c r="BJ174" s="153"/>
      <c r="BK174" s="153"/>
      <c r="BL174" s="153"/>
    </row>
    <row r="175" spans="1:73" ht="15" customHeight="1" outlineLevel="1" x14ac:dyDescent="0.25">
      <c r="A175" s="40"/>
      <c r="B175" s="761"/>
      <c r="C175" s="760"/>
      <c r="D175" s="116"/>
      <c r="E175" s="116"/>
      <c r="F175" s="56"/>
      <c r="G175" s="56"/>
      <c r="H175" s="56"/>
      <c r="I175" s="56"/>
      <c r="J175" s="56"/>
      <c r="K175" s="171"/>
      <c r="L175" s="171"/>
      <c r="M175" s="171"/>
      <c r="N175" s="55"/>
      <c r="O175" s="749"/>
      <c r="P175" s="750"/>
      <c r="Q175" s="750"/>
      <c r="R175" s="754"/>
      <c r="S175" s="749"/>
      <c r="T175" s="750"/>
      <c r="U175" s="750"/>
      <c r="V175" s="754"/>
      <c r="W175" s="119"/>
      <c r="X175" s="119"/>
      <c r="Y175" s="743"/>
      <c r="Z175" s="743"/>
      <c r="AA175" s="743"/>
      <c r="AB175" s="743"/>
      <c r="AC175" s="743"/>
      <c r="AD175" s="743"/>
      <c r="AE175" s="743"/>
      <c r="AF175" s="743"/>
      <c r="AG175" s="743"/>
      <c r="AH175" s="743"/>
      <c r="BC175" s="155" t="str">
        <f t="shared" si="197"/>
        <v>-</v>
      </c>
      <c r="BD175" s="151"/>
      <c r="BE175" s="153"/>
      <c r="BF175" s="153"/>
      <c r="BG175" s="153"/>
      <c r="BH175" s="153"/>
      <c r="BI175" s="153"/>
      <c r="BJ175" s="153"/>
      <c r="BK175" s="153"/>
      <c r="BL175" s="153"/>
    </row>
    <row r="176" spans="1:73" ht="15" customHeight="1" outlineLevel="1" x14ac:dyDescent="0.25">
      <c r="A176" s="40"/>
      <c r="B176" s="761"/>
      <c r="C176" s="760"/>
      <c r="D176" s="116"/>
      <c r="E176" s="116"/>
      <c r="F176" s="56"/>
      <c r="G176" s="56"/>
      <c r="H176" s="56"/>
      <c r="I176" s="56"/>
      <c r="J176" s="56"/>
      <c r="K176" s="171"/>
      <c r="L176" s="171"/>
      <c r="M176" s="171"/>
      <c r="N176" s="55"/>
      <c r="O176" s="749"/>
      <c r="P176" s="750"/>
      <c r="Q176" s="750"/>
      <c r="R176" s="754"/>
      <c r="S176" s="749"/>
      <c r="T176" s="750"/>
      <c r="U176" s="750"/>
      <c r="V176" s="754"/>
      <c r="W176" s="119"/>
      <c r="X176" s="119"/>
      <c r="Y176" s="743"/>
      <c r="Z176" s="743"/>
      <c r="AA176" s="743"/>
      <c r="AB176" s="743"/>
      <c r="AC176" s="743"/>
      <c r="AD176" s="743"/>
      <c r="AE176" s="743"/>
      <c r="AF176" s="743"/>
      <c r="AG176" s="743"/>
      <c r="AH176" s="743"/>
      <c r="BC176" s="155" t="str">
        <f t="shared" si="197"/>
        <v>-</v>
      </c>
      <c r="BD176" s="151" t="str">
        <f>B163</f>
        <v>s.s.e.t.</v>
      </c>
      <c r="BE176" s="153" t="str">
        <f>F166</f>
        <v>-</v>
      </c>
      <c r="BF176" s="153" t="str">
        <f t="shared" ref="BF176:BL176" si="212">G166</f>
        <v>-</v>
      </c>
      <c r="BG176" s="153" t="str">
        <f t="shared" si="212"/>
        <v>-</v>
      </c>
      <c r="BH176" s="153" t="str">
        <f t="shared" si="212"/>
        <v>-</v>
      </c>
      <c r="BI176" s="153" t="str">
        <f t="shared" si="212"/>
        <v>-</v>
      </c>
      <c r="BJ176" s="153" t="str">
        <f t="shared" si="212"/>
        <v>-</v>
      </c>
      <c r="BK176" s="153" t="str">
        <f t="shared" si="212"/>
        <v>-</v>
      </c>
      <c r="BL176" s="153" t="str">
        <f t="shared" si="212"/>
        <v>-</v>
      </c>
    </row>
    <row r="177" spans="1:73" ht="15" customHeight="1" outlineLevel="1" x14ac:dyDescent="0.25">
      <c r="A177" s="40"/>
      <c r="B177" s="761"/>
      <c r="C177" s="760"/>
      <c r="D177" s="116"/>
      <c r="E177" s="116"/>
      <c r="F177" s="116"/>
      <c r="G177" s="116"/>
      <c r="H177" s="116"/>
      <c r="I177" s="116"/>
      <c r="J177" s="116"/>
      <c r="K177" s="171"/>
      <c r="L177" s="171"/>
      <c r="M177" s="171"/>
      <c r="N177" s="59"/>
      <c r="O177" s="749"/>
      <c r="P177" s="750"/>
      <c r="Q177" s="750"/>
      <c r="R177" s="754"/>
      <c r="S177" s="749"/>
      <c r="T177" s="750"/>
      <c r="U177" s="750"/>
      <c r="V177" s="754"/>
      <c r="W177" s="119"/>
      <c r="X177" s="119"/>
      <c r="Y177" s="743"/>
      <c r="Z177" s="743"/>
      <c r="AA177" s="743"/>
      <c r="AB177" s="743"/>
      <c r="AC177" s="743"/>
      <c r="AD177" s="743"/>
      <c r="AE177" s="743"/>
      <c r="AF177" s="743"/>
      <c r="AG177" s="743"/>
      <c r="AH177" s="743"/>
      <c r="BC177" s="155" t="str">
        <f t="shared" si="197"/>
        <v>-</v>
      </c>
      <c r="BD177" s="151"/>
      <c r="BE177" s="153"/>
      <c r="BF177" s="153"/>
      <c r="BG177" s="153"/>
      <c r="BH177" s="153"/>
      <c r="BI177" s="153"/>
      <c r="BJ177" s="153"/>
      <c r="BK177" s="153"/>
      <c r="BL177" s="153"/>
    </row>
    <row r="178" spans="1:73" ht="15" customHeight="1" outlineLevel="1" x14ac:dyDescent="0.25">
      <c r="A178" s="40"/>
      <c r="B178" s="761"/>
      <c r="C178" s="760"/>
      <c r="D178" s="116"/>
      <c r="E178" s="116"/>
      <c r="F178" s="58"/>
      <c r="G178" s="58"/>
      <c r="H178" s="58"/>
      <c r="I178" s="58"/>
      <c r="J178" s="58"/>
      <c r="K178" s="171"/>
      <c r="L178" s="171"/>
      <c r="M178" s="171"/>
      <c r="N178" s="57"/>
      <c r="O178" s="749"/>
      <c r="P178" s="750"/>
      <c r="Q178" s="750"/>
      <c r="R178" s="754"/>
      <c r="S178" s="749"/>
      <c r="T178" s="750"/>
      <c r="U178" s="750"/>
      <c r="V178" s="754"/>
      <c r="W178" s="119"/>
      <c r="X178" s="119"/>
      <c r="Y178" s="743"/>
      <c r="Z178" s="743"/>
      <c r="AA178" s="743"/>
      <c r="AB178" s="743"/>
      <c r="AC178" s="743"/>
      <c r="AD178" s="743"/>
      <c r="AE178" s="743"/>
      <c r="AF178" s="743"/>
      <c r="AG178" s="743"/>
      <c r="AH178" s="743"/>
      <c r="BC178" s="155" t="str">
        <f t="shared" si="197"/>
        <v>-</v>
      </c>
      <c r="BD178" s="151"/>
      <c r="BE178" s="153"/>
      <c r="BF178" s="153"/>
      <c r="BG178" s="153"/>
      <c r="BH178" s="153"/>
      <c r="BI178" s="153"/>
      <c r="BJ178" s="153"/>
      <c r="BK178" s="153"/>
      <c r="BL178" s="153"/>
    </row>
    <row r="179" spans="1:73" ht="15" customHeight="1" outlineLevel="1" x14ac:dyDescent="0.25">
      <c r="A179" s="40"/>
      <c r="B179" s="761"/>
      <c r="C179" s="760"/>
      <c r="D179" s="116"/>
      <c r="E179" s="116"/>
      <c r="F179" s="58"/>
      <c r="G179" s="58"/>
      <c r="H179" s="58"/>
      <c r="I179" s="58"/>
      <c r="J179" s="58"/>
      <c r="K179" s="171"/>
      <c r="L179" s="171"/>
      <c r="M179" s="171"/>
      <c r="N179" s="57"/>
      <c r="O179" s="749"/>
      <c r="P179" s="750"/>
      <c r="Q179" s="750"/>
      <c r="R179" s="754"/>
      <c r="S179" s="749"/>
      <c r="T179" s="750"/>
      <c r="U179" s="750"/>
      <c r="V179" s="754"/>
      <c r="W179" s="119"/>
      <c r="X179" s="119"/>
      <c r="Y179" s="743"/>
      <c r="Z179" s="743"/>
      <c r="AA179" s="743"/>
      <c r="AB179" s="743"/>
      <c r="AC179" s="743"/>
      <c r="AD179" s="743"/>
      <c r="AE179" s="743"/>
      <c r="AF179" s="743"/>
      <c r="AG179" s="743"/>
      <c r="AH179" s="743"/>
      <c r="BC179" s="155" t="str">
        <f t="shared" si="197"/>
        <v>-</v>
      </c>
      <c r="BD179" s="151"/>
      <c r="BE179" s="153"/>
      <c r="BF179" s="153"/>
      <c r="BG179" s="153"/>
      <c r="BH179" s="153"/>
      <c r="BI179" s="153"/>
      <c r="BJ179" s="153"/>
      <c r="BK179" s="153"/>
      <c r="BL179" s="153"/>
    </row>
    <row r="180" spans="1:73" ht="15" customHeight="1" outlineLevel="1" x14ac:dyDescent="0.25">
      <c r="A180" s="40"/>
      <c r="B180" s="761"/>
      <c r="C180" s="760"/>
      <c r="D180" s="116"/>
      <c r="E180" s="116"/>
      <c r="F180" s="56"/>
      <c r="G180" s="56"/>
      <c r="H180" s="56"/>
      <c r="I180" s="56"/>
      <c r="J180" s="56"/>
      <c r="K180" s="171"/>
      <c r="L180" s="171"/>
      <c r="M180" s="171"/>
      <c r="N180" s="55"/>
      <c r="O180" s="749"/>
      <c r="P180" s="750"/>
      <c r="Q180" s="750"/>
      <c r="R180" s="754"/>
      <c r="S180" s="749"/>
      <c r="T180" s="750"/>
      <c r="U180" s="750"/>
      <c r="V180" s="754"/>
      <c r="W180" s="119"/>
      <c r="X180" s="119"/>
      <c r="Y180" s="743"/>
      <c r="Z180" s="743"/>
      <c r="AA180" s="743"/>
      <c r="AB180" s="743"/>
      <c r="AC180" s="743"/>
      <c r="AD180" s="743"/>
      <c r="AE180" s="743"/>
      <c r="AF180" s="743"/>
      <c r="AG180" s="743"/>
      <c r="AH180" s="743"/>
      <c r="BC180" s="155" t="str">
        <f t="shared" si="197"/>
        <v>-</v>
      </c>
      <c r="BD180" s="151" t="str">
        <f>"IEF " &amp;B163</f>
        <v>IEF s.s.e.t.</v>
      </c>
      <c r="BE180" s="153" t="str">
        <f t="shared" ref="BE180:BL180" si="213">IF(OR($C173="-",$C173="CET",$C173=""),"-",$C173)</f>
        <v>-</v>
      </c>
      <c r="BF180" s="153" t="str">
        <f t="shared" si="213"/>
        <v>-</v>
      </c>
      <c r="BG180" s="153" t="str">
        <f t="shared" si="213"/>
        <v>-</v>
      </c>
      <c r="BH180" s="153" t="str">
        <f t="shared" si="213"/>
        <v>-</v>
      </c>
      <c r="BI180" s="153" t="str">
        <f t="shared" si="213"/>
        <v>-</v>
      </c>
      <c r="BJ180" s="153" t="str">
        <f t="shared" si="213"/>
        <v>-</v>
      </c>
      <c r="BK180" s="153" t="str">
        <f t="shared" si="213"/>
        <v>-</v>
      </c>
      <c r="BL180" s="153" t="str">
        <f t="shared" si="213"/>
        <v>-</v>
      </c>
    </row>
    <row r="181" spans="1:73" outlineLevel="1" x14ac:dyDescent="0.25">
      <c r="B181" s="761"/>
      <c r="C181" s="760"/>
      <c r="D181" s="116"/>
      <c r="E181" s="116"/>
      <c r="F181" s="56"/>
      <c r="G181" s="56"/>
      <c r="H181" s="56"/>
      <c r="I181" s="56"/>
      <c r="J181" s="56"/>
      <c r="K181" s="171"/>
      <c r="L181" s="171"/>
      <c r="M181" s="171"/>
      <c r="N181" s="55"/>
      <c r="O181" s="749"/>
      <c r="P181" s="750"/>
      <c r="Q181" s="750"/>
      <c r="R181" s="754"/>
      <c r="S181" s="749"/>
      <c r="T181" s="750"/>
      <c r="U181" s="750"/>
      <c r="V181" s="754"/>
      <c r="Y181" s="743"/>
      <c r="Z181" s="743"/>
      <c r="AA181" s="743"/>
      <c r="AB181" s="743"/>
      <c r="AC181" s="743"/>
      <c r="AD181" s="743"/>
      <c r="AE181" s="743"/>
      <c r="AF181" s="743"/>
      <c r="AG181" s="743"/>
      <c r="AH181" s="743"/>
      <c r="BC181" s="155" t="str">
        <f t="shared" si="197"/>
        <v>-</v>
      </c>
      <c r="BD181" s="156"/>
      <c r="BE181" s="156"/>
      <c r="BF181" s="156"/>
      <c r="BG181" s="156"/>
      <c r="BH181" s="156"/>
      <c r="BI181" s="156"/>
      <c r="BJ181" s="156"/>
      <c r="BK181" s="156"/>
      <c r="BL181" s="156"/>
    </row>
    <row r="182" spans="1:73" ht="15.75" outlineLevel="1" thickBot="1" x14ac:dyDescent="0.3">
      <c r="B182" s="796"/>
      <c r="C182" s="778"/>
      <c r="D182" s="117"/>
      <c r="E182" s="117"/>
      <c r="F182" s="117"/>
      <c r="G182" s="117"/>
      <c r="H182" s="117"/>
      <c r="I182" s="117"/>
      <c r="J182" s="117"/>
      <c r="K182" s="172"/>
      <c r="L182" s="172"/>
      <c r="M182" s="172"/>
      <c r="N182" s="54"/>
      <c r="O182" s="751"/>
      <c r="P182" s="752"/>
      <c r="Q182" s="752"/>
      <c r="R182" s="755"/>
      <c r="S182" s="751"/>
      <c r="T182" s="752"/>
      <c r="U182" s="752"/>
      <c r="V182" s="755"/>
      <c r="Y182" s="743"/>
      <c r="Z182" s="743"/>
      <c r="AA182" s="743"/>
      <c r="AB182" s="743"/>
      <c r="AC182" s="743"/>
      <c r="AD182" s="743"/>
      <c r="AE182" s="743"/>
      <c r="AF182" s="743"/>
      <c r="AG182" s="743"/>
      <c r="AH182" s="743"/>
      <c r="BC182" s="155" t="str">
        <f t="shared" si="197"/>
        <v>-</v>
      </c>
      <c r="BD182" s="156"/>
      <c r="BE182" s="156"/>
      <c r="BF182" s="156"/>
      <c r="BG182" s="156"/>
      <c r="BH182" s="156"/>
      <c r="BI182" s="156"/>
      <c r="BJ182" s="156"/>
      <c r="BK182" s="156"/>
      <c r="BL182" s="156"/>
    </row>
    <row r="183" spans="1:73" s="50" customFormat="1" ht="15" customHeight="1" x14ac:dyDescent="0.25">
      <c r="A183" s="52"/>
      <c r="B183" s="76"/>
      <c r="C183" s="78"/>
      <c r="D183" s="78"/>
      <c r="E183" s="77"/>
      <c r="F183" s="58"/>
      <c r="G183" s="58"/>
      <c r="H183" s="58"/>
      <c r="I183" s="58"/>
      <c r="J183" s="58"/>
      <c r="K183" s="171"/>
      <c r="L183" s="171"/>
      <c r="M183" s="171"/>
      <c r="N183" s="58"/>
      <c r="O183" s="72"/>
      <c r="P183" s="72"/>
      <c r="Q183" s="72"/>
      <c r="R183" s="72"/>
      <c r="S183" s="72"/>
      <c r="T183" s="72"/>
      <c r="U183" s="72"/>
      <c r="V183" s="72"/>
      <c r="W183" s="51"/>
      <c r="X183" s="51"/>
      <c r="Y183" s="743"/>
      <c r="Z183" s="743"/>
      <c r="AA183" s="743"/>
      <c r="AB183" s="743"/>
      <c r="AC183" s="743"/>
      <c r="AD183" s="743"/>
      <c r="AE183" s="743"/>
      <c r="AF183" s="743"/>
      <c r="AG183" s="743"/>
      <c r="AH183" s="743"/>
      <c r="BC183" s="155" t="str">
        <f t="shared" si="197"/>
        <v>-</v>
      </c>
      <c r="BD183" s="156"/>
      <c r="BE183" s="156"/>
      <c r="BF183" s="156"/>
      <c r="BG183" s="156"/>
      <c r="BH183" s="156"/>
      <c r="BI183" s="156"/>
      <c r="BJ183" s="156"/>
      <c r="BK183" s="156"/>
      <c r="BL183" s="156"/>
      <c r="BM183" s="150"/>
      <c r="BN183" s="150"/>
      <c r="BO183" s="150"/>
      <c r="BP183" s="150"/>
      <c r="BQ183" s="150"/>
      <c r="BR183" s="150"/>
      <c r="BS183" s="150"/>
      <c r="BT183" s="150"/>
      <c r="BU183" s="150"/>
    </row>
    <row r="184" spans="1:73" ht="15" customHeight="1" x14ac:dyDescent="0.25">
      <c r="A184" s="40"/>
      <c r="B184" s="76"/>
      <c r="C184" s="78"/>
      <c r="D184" s="78"/>
      <c r="E184" s="77"/>
      <c r="F184" s="58"/>
      <c r="G184" s="58"/>
      <c r="H184" s="58"/>
      <c r="I184" s="58"/>
      <c r="J184" s="58"/>
      <c r="K184" s="171"/>
      <c r="L184" s="171"/>
      <c r="M184" s="171"/>
      <c r="N184" s="58"/>
      <c r="O184" s="72"/>
      <c r="P184" s="72"/>
      <c r="Q184" s="72"/>
      <c r="R184" s="72"/>
      <c r="S184" s="72"/>
      <c r="T184" s="72"/>
      <c r="U184" s="72"/>
      <c r="V184" s="72"/>
      <c r="W184" s="119"/>
      <c r="X184" s="119"/>
      <c r="Y184" s="743"/>
      <c r="Z184" s="743"/>
      <c r="AA184" s="743"/>
      <c r="AB184" s="743"/>
      <c r="AC184" s="743"/>
      <c r="AD184" s="743"/>
      <c r="AE184" s="743"/>
      <c r="AF184" s="743"/>
      <c r="AG184" s="743"/>
      <c r="AH184" s="743"/>
      <c r="BC184" s="155" t="str">
        <f t="shared" si="197"/>
        <v>-</v>
      </c>
      <c r="BD184" s="156"/>
      <c r="BE184" s="156"/>
      <c r="BF184" s="156"/>
      <c r="BG184" s="156"/>
      <c r="BH184" s="156"/>
      <c r="BI184" s="156"/>
      <c r="BJ184" s="156"/>
      <c r="BK184" s="156"/>
      <c r="BL184" s="156"/>
    </row>
    <row r="185" spans="1:73" ht="15" customHeight="1" thickBot="1" x14ac:dyDescent="0.3">
      <c r="A185" s="40"/>
      <c r="B185" s="76"/>
      <c r="C185" s="75"/>
      <c r="D185" s="74"/>
      <c r="E185" s="73"/>
      <c r="F185" s="73"/>
      <c r="G185" s="73"/>
      <c r="H185" s="73"/>
      <c r="I185" s="73"/>
      <c r="J185" s="73"/>
      <c r="K185" s="177"/>
      <c r="L185" s="177"/>
      <c r="M185" s="177"/>
      <c r="N185" s="73"/>
      <c r="O185" s="72"/>
      <c r="P185" s="72"/>
      <c r="Q185" s="72"/>
      <c r="R185" s="72"/>
      <c r="S185" s="72"/>
      <c r="T185" s="72"/>
      <c r="U185" s="72"/>
      <c r="V185" s="72"/>
      <c r="W185" s="119"/>
      <c r="X185" s="119"/>
      <c r="Y185" s="743"/>
      <c r="Z185" s="743"/>
      <c r="AA185" s="743"/>
      <c r="AB185" s="743"/>
      <c r="AC185" s="743"/>
      <c r="AD185" s="743"/>
      <c r="AE185" s="743"/>
      <c r="AF185" s="743"/>
      <c r="AG185" s="743"/>
      <c r="AH185" s="743"/>
      <c r="BC185" s="155" t="str">
        <f t="shared" si="197"/>
        <v>-</v>
      </c>
      <c r="BD185" s="156"/>
      <c r="BE185" s="156"/>
      <c r="BF185" s="156"/>
      <c r="BG185" s="156"/>
      <c r="BH185" s="156"/>
      <c r="BI185" s="156"/>
      <c r="BJ185" s="156"/>
      <c r="BK185" s="156"/>
      <c r="BL185" s="156"/>
    </row>
    <row r="186" spans="1:73" ht="24.95" customHeight="1" thickBot="1" x14ac:dyDescent="0.3">
      <c r="A186" s="39"/>
      <c r="B186" s="185">
        <v>7</v>
      </c>
      <c r="C186" s="757" t="s">
        <v>52</v>
      </c>
      <c r="D186" s="758"/>
      <c r="E186" s="758"/>
      <c r="F186" s="758"/>
      <c r="G186" s="758"/>
      <c r="H186" s="758"/>
      <c r="I186" s="758"/>
      <c r="J186" s="758"/>
      <c r="K186" s="758"/>
      <c r="L186" s="758"/>
      <c r="M186" s="758"/>
      <c r="N186" s="759"/>
      <c r="O186" s="49" t="s">
        <v>79</v>
      </c>
      <c r="P186" s="71" t="str">
        <f>IF(COUNTIF(F190:M220,"refused")&gt;0,"refused",IF(COUNTIF(F190:M220,"failed")&gt;0,"failed",IF(COUNTIF(F190:M220,"passed")&gt;0,"passed","-")))</f>
        <v>-</v>
      </c>
      <c r="Q186" s="70" t="s">
        <v>80</v>
      </c>
      <c r="R186" s="70" t="str">
        <f>IF(COUNT(F191:M192,F196:M197,F201:M202,F206:M207,F211:M212,F216:M217)&gt;0,"listed","not listed")</f>
        <v>not listed</v>
      </c>
      <c r="S186" s="118"/>
      <c r="T186" s="43"/>
      <c r="U186" s="43"/>
      <c r="V186" s="44"/>
      <c r="W186" s="47"/>
      <c r="X186" s="47"/>
      <c r="Y186" s="756"/>
      <c r="Z186" s="756"/>
      <c r="AA186" s="756"/>
      <c r="AB186" s="756"/>
      <c r="AC186" s="756"/>
      <c r="AD186" s="756"/>
      <c r="AE186" s="756"/>
      <c r="AF186" s="756"/>
      <c r="AG186" s="756"/>
      <c r="AH186" s="756"/>
      <c r="BC186" s="155" t="str">
        <f t="shared" si="196"/>
        <v>-</v>
      </c>
    </row>
    <row r="187" spans="1:73" ht="15" customHeight="1" outlineLevel="2" thickBot="1" x14ac:dyDescent="0.3">
      <c r="A187" s="39"/>
      <c r="B187" s="120"/>
      <c r="C187" s="121"/>
      <c r="D187" s="121"/>
      <c r="E187" s="121"/>
      <c r="F187" s="121"/>
      <c r="G187" s="121"/>
      <c r="H187" s="121"/>
      <c r="I187" s="121"/>
      <c r="J187" s="121"/>
      <c r="K187" s="162"/>
      <c r="L187" s="162"/>
      <c r="M187" s="162"/>
      <c r="N187" s="121"/>
      <c r="O187" s="121"/>
      <c r="P187" s="121"/>
      <c r="Q187" s="121"/>
      <c r="R187" s="121"/>
      <c r="S187" s="121"/>
      <c r="T187" s="45"/>
      <c r="U187" s="45"/>
      <c r="V187" s="46"/>
      <c r="W187" s="119"/>
      <c r="X187" s="119"/>
      <c r="Y187" s="743"/>
      <c r="Z187" s="743"/>
      <c r="AA187" s="743"/>
      <c r="AB187" s="743"/>
      <c r="AC187" s="743"/>
      <c r="AD187" s="743"/>
      <c r="AE187" s="743"/>
      <c r="AF187" s="743"/>
      <c r="AG187" s="743"/>
      <c r="AH187" s="743"/>
      <c r="BC187" s="155" t="str">
        <f t="shared" si="196"/>
        <v>-</v>
      </c>
      <c r="BD187" s="151" t="s">
        <v>85</v>
      </c>
      <c r="BE187" s="152" t="str">
        <f>F$4</f>
        <v>NMHC 
[g/km]</v>
      </c>
      <c r="BF187" s="152" t="str">
        <f t="shared" ref="BF187" si="214">G$4</f>
        <v>THC
[g/km]</v>
      </c>
      <c r="BG187" s="152" t="str">
        <f t="shared" ref="BG187" si="215">H$4</f>
        <v>CO
[g/km]</v>
      </c>
      <c r="BH187" s="152" t="str">
        <f t="shared" ref="BH187" si="216">I$4</f>
        <v>NOx
[g/km]</v>
      </c>
      <c r="BI187" s="152" t="str">
        <f t="shared" ref="BI187" si="217">J$4</f>
        <v>PM
[mg/km]</v>
      </c>
      <c r="BJ187" s="152" t="str">
        <f t="shared" ref="BJ187" si="218">K$4</f>
        <v>PN
[#/km]</v>
      </c>
      <c r="BK187" s="152" t="str">
        <f t="shared" ref="BK187" si="219">L$4</f>
        <v>Additional
component</v>
      </c>
      <c r="BL187" s="152" t="str">
        <f t="shared" ref="BL187" si="220">M$4</f>
        <v>Additional
component 2</v>
      </c>
    </row>
    <row r="188" spans="1:73" ht="15" customHeight="1" outlineLevel="2" thickBot="1" x14ac:dyDescent="0.3">
      <c r="A188" s="39"/>
      <c r="B188" s="744" t="s">
        <v>81</v>
      </c>
      <c r="C188" s="745"/>
      <c r="D188" s="745"/>
      <c r="E188" s="745"/>
      <c r="F188" s="745"/>
      <c r="G188" s="745"/>
      <c r="H188" s="745"/>
      <c r="I188" s="745"/>
      <c r="J188" s="745"/>
      <c r="K188" s="745"/>
      <c r="L188" s="745"/>
      <c r="M188" s="745"/>
      <c r="N188" s="746"/>
      <c r="O188" s="869" t="s">
        <v>82</v>
      </c>
      <c r="P188" s="870"/>
      <c r="Q188" s="870"/>
      <c r="R188" s="871"/>
      <c r="S188" s="869" t="s">
        <v>83</v>
      </c>
      <c r="T188" s="870"/>
      <c r="U188" s="870"/>
      <c r="V188" s="871"/>
      <c r="W188" s="119"/>
      <c r="X188" s="119"/>
      <c r="Y188" s="743"/>
      <c r="Z188" s="743"/>
      <c r="AA188" s="743"/>
      <c r="AB188" s="743"/>
      <c r="AC188" s="743"/>
      <c r="AD188" s="743"/>
      <c r="AE188" s="743"/>
      <c r="AF188" s="743"/>
      <c r="AG188" s="743"/>
      <c r="AH188" s="743"/>
      <c r="BC188" s="155" t="str">
        <f t="shared" si="196"/>
        <v>-</v>
      </c>
      <c r="BD188" s="151" t="str">
        <f>$E$4</f>
        <v>Euro 6d</v>
      </c>
      <c r="BE188" s="153">
        <v>1</v>
      </c>
      <c r="BF188" s="153">
        <v>1</v>
      </c>
      <c r="BG188" s="153">
        <v>1</v>
      </c>
      <c r="BH188" s="153">
        <v>1</v>
      </c>
      <c r="BI188" s="153">
        <v>1</v>
      </c>
      <c r="BJ188" s="153">
        <v>1</v>
      </c>
      <c r="BK188" s="153">
        <v>1</v>
      </c>
      <c r="BL188" s="153">
        <v>1</v>
      </c>
    </row>
    <row r="189" spans="1:73" ht="35.1" customHeight="1" outlineLevel="2" thickBot="1" x14ac:dyDescent="0.3">
      <c r="A189" s="39"/>
      <c r="B189" s="767" t="s">
        <v>84</v>
      </c>
      <c r="C189" s="768"/>
      <c r="D189" s="768"/>
      <c r="E189" s="769"/>
      <c r="F189" s="69" t="str">
        <f>F$4</f>
        <v>NMHC 
[g/km]</v>
      </c>
      <c r="G189" s="69" t="str">
        <f t="shared" ref="G189:N189" si="221">G$4</f>
        <v>THC
[g/km]</v>
      </c>
      <c r="H189" s="69" t="str">
        <f t="shared" si="221"/>
        <v>CO
[g/km]</v>
      </c>
      <c r="I189" s="69" t="str">
        <f t="shared" si="221"/>
        <v>NOx
[g/km]</v>
      </c>
      <c r="J189" s="69" t="str">
        <f t="shared" si="221"/>
        <v>PM
[mg/km]</v>
      </c>
      <c r="K189" s="69" t="str">
        <f t="shared" si="221"/>
        <v>PN
[#/km]</v>
      </c>
      <c r="L189" s="366" t="str">
        <f t="shared" si="221"/>
        <v>Additional
component</v>
      </c>
      <c r="M189" s="366" t="str">
        <f t="shared" si="221"/>
        <v>Additional
component 2</v>
      </c>
      <c r="N189" s="69" t="str">
        <f t="shared" si="221"/>
        <v>CO2
[g/km]</v>
      </c>
      <c r="O189" s="747"/>
      <c r="P189" s="748"/>
      <c r="Q189" s="748"/>
      <c r="R189" s="753"/>
      <c r="S189" s="747"/>
      <c r="T189" s="748"/>
      <c r="U189" s="748"/>
      <c r="V189" s="753"/>
      <c r="W189" s="119"/>
      <c r="X189" s="119"/>
      <c r="Y189" s="743"/>
      <c r="Z189" s="743"/>
      <c r="AA189" s="743"/>
      <c r="AB189" s="743"/>
      <c r="AC189" s="743"/>
      <c r="AD189" s="743"/>
      <c r="AE189" s="743"/>
      <c r="AF189" s="743"/>
      <c r="AG189" s="743"/>
      <c r="AH189" s="743"/>
      <c r="BC189" s="155" t="str">
        <f t="shared" si="196"/>
        <v>-</v>
      </c>
      <c r="BD189" s="151" t="str">
        <f>"1st " &amp;  B191</f>
        <v>1st City (unweighted)</v>
      </c>
      <c r="BE189" s="153" t="str">
        <f t="shared" ref="BE189:BL189" si="222">IF(AND(OR($C193="-",$C193="CET",$C193=""),OR(F$190="-",F$190="CET",F$190="")),"-",IF(AND(OR(F191="-",F191=""),OR(F192="-",F192="")),"-",IF(NOT(OR(F191="-",F191="")),F191/F$5,F192/F$5)))</f>
        <v>-</v>
      </c>
      <c r="BF189" s="153" t="str">
        <f t="shared" si="222"/>
        <v>-</v>
      </c>
      <c r="BG189" s="153" t="str">
        <f t="shared" si="222"/>
        <v>-</v>
      </c>
      <c r="BH189" s="153" t="str">
        <f t="shared" si="222"/>
        <v>-</v>
      </c>
      <c r="BI189" s="153" t="str">
        <f t="shared" si="222"/>
        <v>-</v>
      </c>
      <c r="BJ189" s="153" t="str">
        <f t="shared" si="222"/>
        <v>-</v>
      </c>
      <c r="BK189" s="153" t="str">
        <f t="shared" si="222"/>
        <v>-</v>
      </c>
      <c r="BL189" s="153" t="str">
        <f t="shared" si="222"/>
        <v>-</v>
      </c>
    </row>
    <row r="190" spans="1:73" s="50" customFormat="1" ht="15" customHeight="1" outlineLevel="2" thickBot="1" x14ac:dyDescent="0.3">
      <c r="A190" s="53"/>
      <c r="B190" s="767" t="s">
        <v>64</v>
      </c>
      <c r="C190" s="769"/>
      <c r="D190" s="767" t="s">
        <v>119</v>
      </c>
      <c r="E190" s="769"/>
      <c r="F190" s="107" t="s">
        <v>64</v>
      </c>
      <c r="G190" s="107" t="s">
        <v>64</v>
      </c>
      <c r="H190" s="107" t="s">
        <v>64</v>
      </c>
      <c r="I190" s="107" t="s">
        <v>64</v>
      </c>
      <c r="J190" s="107" t="s">
        <v>64</v>
      </c>
      <c r="K190" s="164" t="s">
        <v>64</v>
      </c>
      <c r="L190" s="164" t="s">
        <v>64</v>
      </c>
      <c r="M190" s="164" t="s">
        <v>64</v>
      </c>
      <c r="N190" s="130" t="s">
        <v>64</v>
      </c>
      <c r="O190" s="749"/>
      <c r="P190" s="750"/>
      <c r="Q190" s="750"/>
      <c r="R190" s="754"/>
      <c r="S190" s="749"/>
      <c r="T190" s="750"/>
      <c r="U190" s="750"/>
      <c r="V190" s="754"/>
      <c r="W190" s="51"/>
      <c r="X190" s="51"/>
      <c r="Y190" s="743"/>
      <c r="Z190" s="743"/>
      <c r="AA190" s="743"/>
      <c r="AB190" s="743"/>
      <c r="AC190" s="743"/>
      <c r="AD190" s="743"/>
      <c r="AE190" s="743"/>
      <c r="AF190" s="743"/>
      <c r="AG190" s="743"/>
      <c r="AH190" s="743"/>
      <c r="BC190" s="155" t="str">
        <f t="shared" si="196"/>
        <v>-</v>
      </c>
      <c r="BD190" s="151" t="str">
        <f>"1st " &amp; B196</f>
        <v>1st City (EMROAD)</v>
      </c>
      <c r="BE190" s="153" t="str">
        <f t="shared" ref="BE190:BL190" si="223">IF(AND(OR($C198="-",$C198="CET",$C198=""),OR(F$190="-",F$190="CET",F$190="")),"-",IF(AND(OR(F196="-",F196=""),OR(F197="-",F197="")),"-",IF(NOT(OR(F196="-",F196="")),F196/F$5,F197/F$5)))</f>
        <v>-</v>
      </c>
      <c r="BF190" s="153" t="str">
        <f t="shared" si="223"/>
        <v>-</v>
      </c>
      <c r="BG190" s="153" t="str">
        <f t="shared" si="223"/>
        <v>-</v>
      </c>
      <c r="BH190" s="153" t="str">
        <f t="shared" si="223"/>
        <v>-</v>
      </c>
      <c r="BI190" s="153" t="str">
        <f t="shared" si="223"/>
        <v>-</v>
      </c>
      <c r="BJ190" s="153" t="str">
        <f t="shared" si="223"/>
        <v>-</v>
      </c>
      <c r="BK190" s="153" t="str">
        <f t="shared" si="223"/>
        <v>-</v>
      </c>
      <c r="BL190" s="153" t="str">
        <f t="shared" si="223"/>
        <v>-</v>
      </c>
      <c r="BM190" s="150"/>
      <c r="BN190" s="150"/>
      <c r="BO190" s="150"/>
      <c r="BP190" s="150"/>
      <c r="BQ190" s="150"/>
      <c r="BR190" s="150"/>
      <c r="BS190" s="150"/>
      <c r="BT190" s="150"/>
      <c r="BU190" s="150"/>
    </row>
    <row r="191" spans="1:73" ht="15" customHeight="1" outlineLevel="2" x14ac:dyDescent="0.25">
      <c r="A191" s="39"/>
      <c r="B191" s="872" t="s">
        <v>107</v>
      </c>
      <c r="C191" s="770" t="s">
        <v>114</v>
      </c>
      <c r="D191" s="770" t="s">
        <v>113</v>
      </c>
      <c r="E191" s="106" t="s">
        <v>94</v>
      </c>
      <c r="F191" s="105" t="s">
        <v>5</v>
      </c>
      <c r="G191" s="105" t="s">
        <v>5</v>
      </c>
      <c r="H191" s="105" t="s">
        <v>5</v>
      </c>
      <c r="I191" s="105" t="s">
        <v>5</v>
      </c>
      <c r="J191" s="105" t="s">
        <v>5</v>
      </c>
      <c r="K191" s="173" t="s">
        <v>5</v>
      </c>
      <c r="L191" s="173" t="s">
        <v>5</v>
      </c>
      <c r="M191" s="173" t="s">
        <v>5</v>
      </c>
      <c r="N191" s="131" t="s">
        <v>5</v>
      </c>
      <c r="O191" s="749"/>
      <c r="P191" s="750"/>
      <c r="Q191" s="750"/>
      <c r="R191" s="754"/>
      <c r="S191" s="749"/>
      <c r="T191" s="750"/>
      <c r="U191" s="750"/>
      <c r="V191" s="754"/>
      <c r="W191" s="119"/>
      <c r="X191" s="119"/>
      <c r="Y191" s="743"/>
      <c r="Z191" s="743"/>
      <c r="AA191" s="743"/>
      <c r="AB191" s="743"/>
      <c r="AC191" s="743"/>
      <c r="AD191" s="743"/>
      <c r="AE191" s="743"/>
      <c r="AF191" s="743"/>
      <c r="AG191" s="743"/>
      <c r="AH191" s="743"/>
      <c r="BC191" s="155" t="str">
        <f t="shared" si="196"/>
        <v>-</v>
      </c>
      <c r="BD191" s="151" t="str">
        <f>"1st " &amp; B201</f>
        <v>1st City (SPF)</v>
      </c>
      <c r="BE191" s="153" t="str">
        <f t="shared" ref="BE191:BL191" si="224">IF(AND(OR($C203="-",$C203="CET",$C203=""),OR(F$190="-",F$190="CET",F$190="")),"-",IF(AND(OR(F201="-",F201=""),OR(F202="-",F202="")),"-",IF(NOT(OR(F201="-",F201="")),F201/F$5,F202/F$5)))</f>
        <v>-</v>
      </c>
      <c r="BF191" s="153" t="str">
        <f t="shared" si="224"/>
        <v>-</v>
      </c>
      <c r="BG191" s="153" t="str">
        <f t="shared" si="224"/>
        <v>-</v>
      </c>
      <c r="BH191" s="153" t="str">
        <f t="shared" si="224"/>
        <v>-</v>
      </c>
      <c r="BI191" s="153" t="str">
        <f t="shared" si="224"/>
        <v>-</v>
      </c>
      <c r="BJ191" s="153" t="str">
        <f t="shared" si="224"/>
        <v>-</v>
      </c>
      <c r="BK191" s="153" t="str">
        <f t="shared" si="224"/>
        <v>-</v>
      </c>
      <c r="BL191" s="153" t="str">
        <f t="shared" si="224"/>
        <v>-</v>
      </c>
    </row>
    <row r="192" spans="1:73" ht="15" customHeight="1" outlineLevel="2" thickBot="1" x14ac:dyDescent="0.3">
      <c r="A192" s="39"/>
      <c r="B192" s="873"/>
      <c r="C192" s="742"/>
      <c r="D192" s="742"/>
      <c r="E192" s="104" t="s">
        <v>95</v>
      </c>
      <c r="F192" s="103" t="s">
        <v>5</v>
      </c>
      <c r="G192" s="103" t="s">
        <v>5</v>
      </c>
      <c r="H192" s="103" t="s">
        <v>5</v>
      </c>
      <c r="I192" s="103" t="s">
        <v>5</v>
      </c>
      <c r="J192" s="103" t="s">
        <v>5</v>
      </c>
      <c r="K192" s="174" t="s">
        <v>5</v>
      </c>
      <c r="L192" s="174" t="s">
        <v>5</v>
      </c>
      <c r="M192" s="174" t="s">
        <v>5</v>
      </c>
      <c r="N192" s="132" t="s">
        <v>5</v>
      </c>
      <c r="O192" s="749"/>
      <c r="P192" s="750"/>
      <c r="Q192" s="750"/>
      <c r="R192" s="754"/>
      <c r="S192" s="749"/>
      <c r="T192" s="750"/>
      <c r="U192" s="750"/>
      <c r="V192" s="754"/>
      <c r="W192" s="119"/>
      <c r="X192" s="119"/>
      <c r="Y192" s="743"/>
      <c r="Z192" s="743"/>
      <c r="AA192" s="743"/>
      <c r="AB192" s="743"/>
      <c r="AC192" s="743"/>
      <c r="AD192" s="743"/>
      <c r="AE192" s="743"/>
      <c r="AF192" s="743"/>
      <c r="AG192" s="743"/>
      <c r="AH192" s="743"/>
      <c r="BC192" s="155" t="str">
        <f t="shared" si="196"/>
        <v>-</v>
      </c>
      <c r="BD192" s="151" t="str">
        <f>"1st " &amp; B206</f>
        <v>1st Total (unweighted)</v>
      </c>
      <c r="BE192" s="153" t="str">
        <f t="shared" ref="BE192:BL192" si="225">IF(AND(OR($C208="-",$C208="CET",$C208=""),OR(F$190="-",F$190="CET",F$190="")),"-",IF(AND(OR(F206="-",F206=""),OR(F207="-",F207="")),"-",IF(NOT(OR(F206="-",F206="")),F206/F$5,F207/F$5)))</f>
        <v>-</v>
      </c>
      <c r="BF192" s="153" t="str">
        <f t="shared" si="225"/>
        <v>-</v>
      </c>
      <c r="BG192" s="153" t="str">
        <f t="shared" si="225"/>
        <v>-</v>
      </c>
      <c r="BH192" s="153" t="str">
        <f t="shared" si="225"/>
        <v>-</v>
      </c>
      <c r="BI192" s="153" t="str">
        <f t="shared" si="225"/>
        <v>-</v>
      </c>
      <c r="BJ192" s="153" t="str">
        <f t="shared" si="225"/>
        <v>-</v>
      </c>
      <c r="BK192" s="153" t="str">
        <f t="shared" si="225"/>
        <v>-</v>
      </c>
      <c r="BL192" s="153" t="str">
        <f t="shared" si="225"/>
        <v>-</v>
      </c>
    </row>
    <row r="193" spans="1:73" ht="15" customHeight="1" outlineLevel="2" thickBot="1" x14ac:dyDescent="0.3">
      <c r="A193" s="39"/>
      <c r="B193" s="873"/>
      <c r="C193" s="854" t="s">
        <v>64</v>
      </c>
      <c r="D193" s="772" t="str">
        <f>IF(AND(F194="-",G194="-",H194="-",I194="-",J194="-",K194="-",K194="-",L194="-"),"-",MAX(F194,G194,H194,I194,J194,K194,L194,M194))</f>
        <v>-</v>
      </c>
      <c r="E193" s="66" t="s">
        <v>177</v>
      </c>
      <c r="F193" s="65" t="str">
        <f>IF(OR(F192="-",F192=""),IF(OR(F191="-",F191=""),"-",F191),IF(OR(F191="-",F191=""),F192,(F191+F192)/2))</f>
        <v>-</v>
      </c>
      <c r="G193" s="65" t="str">
        <f t="shared" ref="G193:N193" si="226">IF(OR(G192="-",G192=""),IF(OR(G191="-",G191=""),"-",G191),IF(OR(G191="-",G191=""),G192,(G191+G192)/2))</f>
        <v>-</v>
      </c>
      <c r="H193" s="65" t="str">
        <f t="shared" si="226"/>
        <v>-</v>
      </c>
      <c r="I193" s="65" t="str">
        <f t="shared" si="226"/>
        <v>-</v>
      </c>
      <c r="J193" s="65" t="str">
        <f t="shared" si="226"/>
        <v>-</v>
      </c>
      <c r="K193" s="167" t="str">
        <f t="shared" si="226"/>
        <v>-</v>
      </c>
      <c r="L193" s="167" t="str">
        <f t="shared" ref="L193:M193" si="227">IF(OR(L192="-",L192=""),IF(OR(L191="-",L191=""),"-",L191),IF(OR(L191="-",L191=""),L192,(L191+L192)/2))</f>
        <v>-</v>
      </c>
      <c r="M193" s="167" t="str">
        <f t="shared" si="227"/>
        <v>-</v>
      </c>
      <c r="N193" s="133" t="str">
        <f t="shared" si="226"/>
        <v>-</v>
      </c>
      <c r="O193" s="749"/>
      <c r="P193" s="750"/>
      <c r="Q193" s="750"/>
      <c r="R193" s="754"/>
      <c r="S193" s="749"/>
      <c r="T193" s="750"/>
      <c r="U193" s="750"/>
      <c r="V193" s="754"/>
      <c r="W193" s="119"/>
      <c r="X193" s="119"/>
      <c r="Y193" s="743"/>
      <c r="Z193" s="743"/>
      <c r="AA193" s="743"/>
      <c r="AB193" s="743"/>
      <c r="AC193" s="743"/>
      <c r="AD193" s="743"/>
      <c r="AE193" s="743"/>
      <c r="AF193" s="743"/>
      <c r="AG193" s="743"/>
      <c r="AH193" s="743"/>
      <c r="BC193" s="155" t="str">
        <f t="shared" si="196"/>
        <v>-</v>
      </c>
      <c r="BD193" s="151" t="str">
        <f>"1st " &amp; B211</f>
        <v>1st Total (EMROAD)</v>
      </c>
      <c r="BE193" s="153" t="str">
        <f t="shared" ref="BE193:BL193" si="228">IF(AND(OR($C213="-",$C213="CET",$C213=""),OR(F$190="-",F$190="CET",F$190="")),"-",IF(AND(OR(F211="-",F211=""),OR(F212="-",F212="")),"-",IF(NOT(OR(F211="-",F211="")),F211/F$5,F212/F$5)))</f>
        <v>-</v>
      </c>
      <c r="BF193" s="153" t="str">
        <f t="shared" si="228"/>
        <v>-</v>
      </c>
      <c r="BG193" s="153" t="str">
        <f t="shared" si="228"/>
        <v>-</v>
      </c>
      <c r="BH193" s="153" t="str">
        <f t="shared" si="228"/>
        <v>-</v>
      </c>
      <c r="BI193" s="153" t="str">
        <f t="shared" si="228"/>
        <v>-</v>
      </c>
      <c r="BJ193" s="153" t="str">
        <f t="shared" si="228"/>
        <v>-</v>
      </c>
      <c r="BK193" s="153" t="str">
        <f t="shared" si="228"/>
        <v>-</v>
      </c>
      <c r="BL193" s="153" t="str">
        <f t="shared" si="228"/>
        <v>-</v>
      </c>
    </row>
    <row r="194" spans="1:73" ht="15" customHeight="1" outlineLevel="2" thickBot="1" x14ac:dyDescent="0.3">
      <c r="A194" s="39"/>
      <c r="B194" s="873"/>
      <c r="C194" s="855"/>
      <c r="D194" s="773"/>
      <c r="E194" s="64" t="s">
        <v>97</v>
      </c>
      <c r="F194" s="63" t="str">
        <f>IF(AND(OR($C193="-",$C193="CET",$C193=""),OR(F190="-",F190="CET",F190="")),"-",IF(AND(NOT(F193="-"),NOT(F$5="-"),NOT(F$5="")),F193/F$5,"-"))</f>
        <v>-</v>
      </c>
      <c r="G194" s="63" t="str">
        <f t="shared" ref="G194:N194" si="229">IF(AND(OR($C193="-",$C193="CET",$C193=""),OR(G190="-",G190="CET",G190="")),"-",IF(AND(NOT(G193="-"),NOT(G$5="-"),NOT(G$5="")),G193/G$5,"-"))</f>
        <v>-</v>
      </c>
      <c r="H194" s="63" t="str">
        <f t="shared" si="229"/>
        <v>-</v>
      </c>
      <c r="I194" s="63" t="str">
        <f t="shared" si="229"/>
        <v>-</v>
      </c>
      <c r="J194" s="63" t="str">
        <f t="shared" si="229"/>
        <v>-</v>
      </c>
      <c r="K194" s="168" t="str">
        <f t="shared" si="229"/>
        <v>-</v>
      </c>
      <c r="L194" s="168" t="str">
        <f t="shared" ref="L194:M194" si="230">IF(AND(OR($C193="-",$C193="CET",$C193=""),OR(L190="-",L190="CET",L190="")),"-",IF(AND(NOT(L193="-"),NOT(L$5="-"),NOT(L$5="")),L193/L$5,"-"))</f>
        <v>-</v>
      </c>
      <c r="M194" s="168" t="str">
        <f t="shared" si="230"/>
        <v>-</v>
      </c>
      <c r="N194" s="134" t="str">
        <f t="shared" si="229"/>
        <v>-</v>
      </c>
      <c r="O194" s="749"/>
      <c r="P194" s="750"/>
      <c r="Q194" s="750"/>
      <c r="R194" s="754"/>
      <c r="S194" s="749"/>
      <c r="T194" s="750"/>
      <c r="U194" s="750"/>
      <c r="V194" s="754"/>
      <c r="W194" s="119"/>
      <c r="X194" s="119"/>
      <c r="Y194" s="743"/>
      <c r="Z194" s="743"/>
      <c r="AA194" s="743"/>
      <c r="AB194" s="743"/>
      <c r="AC194" s="743"/>
      <c r="AD194" s="743"/>
      <c r="AE194" s="743"/>
      <c r="AF194" s="743"/>
      <c r="AG194" s="743"/>
      <c r="AH194" s="743"/>
      <c r="BC194" s="155" t="str">
        <f t="shared" si="196"/>
        <v>-</v>
      </c>
      <c r="BD194" s="151" t="str">
        <f>"1st " &amp; B216</f>
        <v>1st Total (SPF)</v>
      </c>
      <c r="BE194" s="153" t="str">
        <f t="shared" ref="BE194:BL194" si="231">IF(AND(OR($C218="-",$C218="CET",$C218=""),OR(F$190="-",F$190="CET",F$190="")),"-",IF(AND(OR(F216="-",F216=""),OR(F217="-",F217="")),"-",IF(NOT(OR(F216="-",F216="")),F216/F$5,F217/F$5)))</f>
        <v>-</v>
      </c>
      <c r="BF194" s="153" t="str">
        <f t="shared" si="231"/>
        <v>-</v>
      </c>
      <c r="BG194" s="153" t="str">
        <f t="shared" si="231"/>
        <v>-</v>
      </c>
      <c r="BH194" s="153" t="str">
        <f t="shared" si="231"/>
        <v>-</v>
      </c>
      <c r="BI194" s="153" t="str">
        <f t="shared" si="231"/>
        <v>-</v>
      </c>
      <c r="BJ194" s="153" t="str">
        <f t="shared" si="231"/>
        <v>-</v>
      </c>
      <c r="BK194" s="153" t="str">
        <f t="shared" si="231"/>
        <v>-</v>
      </c>
      <c r="BL194" s="153" t="str">
        <f t="shared" si="231"/>
        <v>-</v>
      </c>
    </row>
    <row r="195" spans="1:73" s="50" customFormat="1" ht="15" customHeight="1" outlineLevel="2" thickBot="1" x14ac:dyDescent="0.3">
      <c r="A195" s="53"/>
      <c r="B195" s="874"/>
      <c r="C195" s="856"/>
      <c r="D195" s="774"/>
      <c r="E195" s="62" t="s">
        <v>30</v>
      </c>
      <c r="F195" s="62" t="str">
        <f t="shared" ref="F195:N195" si="232">IF(AND(OR(F191="-",F191=""),OR(F192="-",F192="")),"-",IF(AND(OR(F$190="CET",F$190="-",F$190=""),OR($C193="CET",$C193="-",$C193="")),"-",IF($R$186="not listed","-",IF(AND(NOT(F$5="-"),NOT(F$5="")),IF(AND(AND(NOT(F191=0),NOT(F191="-"),NOT(F191="")),AND(NOT(F192="-"),NOT(F192=0),NOT(F192=""))),IF(AND((F191+F192)/2&lt;1*F$5*IF(OR(F$190="CET",F$190="-",F$190=""),IF(OR($C193="CET",$C193="-",$C193=""),"-",$C193),F$190),F191&lt;1.1*F$5*IF(OR(F$190="CET",F$190="-",F$190=""),IF(OR($C193="CET",$C193="-",$C193=""),"-",$C193),F$190),F192&lt;1.1*F$5*IF(OR(F$190="CET",F$190="-",F$190=""),IF($C193="CET","-",$C193),F$190)),"passed","refused"),IF(IF(OR(F191="-",F191=""),F192,F191)&lt;0.7*F$5*IF(OR(F$190="CET",F$190="-",F$190=""),IF($C193="CET","-",$C193),F$190),"passed",IF(IF(OR(F191="-",F191=""),F192,F191)&lt;1.1*IF(OR(F$190="CET",F$190="-",F$190=""),IF($C193="CET","-",$C193),F$190)*F$5,"failed","refused"))),"-"))))</f>
        <v>-</v>
      </c>
      <c r="G195" s="62" t="str">
        <f t="shared" si="232"/>
        <v>-</v>
      </c>
      <c r="H195" s="62" t="str">
        <f t="shared" si="232"/>
        <v>-</v>
      </c>
      <c r="I195" s="62" t="str">
        <f t="shared" si="232"/>
        <v>-</v>
      </c>
      <c r="J195" s="62" t="str">
        <f t="shared" si="232"/>
        <v>-</v>
      </c>
      <c r="K195" s="169" t="str">
        <f t="shared" si="232"/>
        <v>-</v>
      </c>
      <c r="L195" s="169" t="str">
        <f t="shared" si="232"/>
        <v>-</v>
      </c>
      <c r="M195" s="169" t="str">
        <f t="shared" si="232"/>
        <v>-</v>
      </c>
      <c r="N195" s="62" t="str">
        <f t="shared" si="232"/>
        <v>-</v>
      </c>
      <c r="O195" s="749"/>
      <c r="P195" s="750"/>
      <c r="Q195" s="750"/>
      <c r="R195" s="754"/>
      <c r="S195" s="749"/>
      <c r="T195" s="750"/>
      <c r="U195" s="750"/>
      <c r="V195" s="754"/>
      <c r="W195" s="51"/>
      <c r="X195" s="51"/>
      <c r="Y195" s="743"/>
      <c r="Z195" s="743"/>
      <c r="AA195" s="743"/>
      <c r="AB195" s="743"/>
      <c r="AC195" s="743"/>
      <c r="AD195" s="743"/>
      <c r="AE195" s="743"/>
      <c r="AF195" s="743"/>
      <c r="AG195" s="743"/>
      <c r="AH195" s="743"/>
      <c r="BC195" s="155" t="str">
        <f t="shared" si="196"/>
        <v>-</v>
      </c>
      <c r="BD195" s="151" t="str">
        <f>"0.7*IEF " &amp; (B191)</f>
        <v>0.7*IEF City (unweighted)</v>
      </c>
      <c r="BE195" s="153" t="str">
        <f>IF(AND(OR($C193="-",$C193="CET",$C193=""),OR(F$190="-",F$190="CET",F$190="")),"-",0.7*IF(OR(F$190="CET",F$190="-",F$190=""),IF(OR($C193="CET",$C193="-",$C193=""),"-",$C193),F$190))</f>
        <v>-</v>
      </c>
      <c r="BF195" s="153" t="str">
        <f t="shared" ref="BF195:BL195" si="233">IF(AND(OR($C193="-",$C193="CET",$C193=""),OR(G$190="-",G$190="CET",G$190="")),"-",0.7*IF(OR(G$190="CET",G$190="-",G$190=""),IF(OR($C193="CET",$C193="-",$C193=""),"-",$C193),G$190))</f>
        <v>-</v>
      </c>
      <c r="BG195" s="153" t="str">
        <f t="shared" si="233"/>
        <v>-</v>
      </c>
      <c r="BH195" s="153" t="str">
        <f t="shared" si="233"/>
        <v>-</v>
      </c>
      <c r="BI195" s="153" t="str">
        <f t="shared" si="233"/>
        <v>-</v>
      </c>
      <c r="BJ195" s="153" t="str">
        <f t="shared" si="233"/>
        <v>-</v>
      </c>
      <c r="BK195" s="153" t="str">
        <f t="shared" si="233"/>
        <v>-</v>
      </c>
      <c r="BL195" s="153" t="str">
        <f t="shared" si="233"/>
        <v>-</v>
      </c>
      <c r="BM195" s="150"/>
      <c r="BN195" s="150"/>
      <c r="BO195" s="150"/>
      <c r="BP195" s="150"/>
      <c r="BQ195" s="150"/>
      <c r="BR195" s="150"/>
      <c r="BS195" s="150"/>
      <c r="BT195" s="150"/>
      <c r="BU195" s="150"/>
    </row>
    <row r="196" spans="1:73" ht="15" customHeight="1" outlineLevel="2" x14ac:dyDescent="0.25">
      <c r="A196" s="39"/>
      <c r="B196" s="806" t="s">
        <v>106</v>
      </c>
      <c r="C196" s="770" t="s">
        <v>114</v>
      </c>
      <c r="D196" s="770" t="s">
        <v>113</v>
      </c>
      <c r="E196" s="106" t="s">
        <v>94</v>
      </c>
      <c r="F196" s="105" t="s">
        <v>5</v>
      </c>
      <c r="G196" s="105" t="s">
        <v>5</v>
      </c>
      <c r="H196" s="105" t="s">
        <v>5</v>
      </c>
      <c r="I196" s="105" t="s">
        <v>5</v>
      </c>
      <c r="J196" s="105" t="s">
        <v>5</v>
      </c>
      <c r="K196" s="173" t="s">
        <v>5</v>
      </c>
      <c r="L196" s="173" t="s">
        <v>5</v>
      </c>
      <c r="M196" s="173" t="s">
        <v>5</v>
      </c>
      <c r="N196" s="131" t="s">
        <v>5</v>
      </c>
      <c r="O196" s="749"/>
      <c r="P196" s="750"/>
      <c r="Q196" s="750"/>
      <c r="R196" s="754"/>
      <c r="S196" s="749"/>
      <c r="T196" s="750"/>
      <c r="U196" s="750"/>
      <c r="V196" s="754"/>
      <c r="W196" s="119"/>
      <c r="X196" s="119"/>
      <c r="Y196" s="743"/>
      <c r="Z196" s="743"/>
      <c r="AA196" s="743"/>
      <c r="AB196" s="743"/>
      <c r="AC196" s="743"/>
      <c r="AD196" s="743"/>
      <c r="AE196" s="743"/>
      <c r="AF196" s="743"/>
      <c r="AG196" s="743"/>
      <c r="AH196" s="743"/>
      <c r="BC196" s="155" t="str">
        <f t="shared" si="196"/>
        <v>-</v>
      </c>
      <c r="BD196" s="151" t="str">
        <f>"0.7*IEF " &amp; B196</f>
        <v>0.7*IEF City (EMROAD)</v>
      </c>
      <c r="BE196" s="153" t="str">
        <f>IF(AND(OR($C198="-",$C198="CET",$C198=""),OR(F$190="-",F$190="CET",F$190="")),"-",0.7*IF(OR(F$190="CET",F$190="-",F$190=""),IF(OR($C198="CET",$C198="-",$C198=""),"-",$C198),F$190))</f>
        <v>-</v>
      </c>
      <c r="BF196" s="153" t="str">
        <f t="shared" ref="BF196:BL196" si="234">IF(AND(OR($C198="-",$C198="CET",$C198=""),OR(G$190="-",G$190="CET",G$190="")),"-",0.7*IF(OR(G$190="CET",G$190="-",G$190=""),IF(OR($C198="CET",$C198="-",$C198=""),"-",$C198),G$190))</f>
        <v>-</v>
      </c>
      <c r="BG196" s="153" t="str">
        <f t="shared" si="234"/>
        <v>-</v>
      </c>
      <c r="BH196" s="153" t="str">
        <f t="shared" si="234"/>
        <v>-</v>
      </c>
      <c r="BI196" s="153" t="str">
        <f t="shared" si="234"/>
        <v>-</v>
      </c>
      <c r="BJ196" s="153" t="str">
        <f t="shared" si="234"/>
        <v>-</v>
      </c>
      <c r="BK196" s="153" t="str">
        <f t="shared" si="234"/>
        <v>-</v>
      </c>
      <c r="BL196" s="153" t="str">
        <f t="shared" si="234"/>
        <v>-</v>
      </c>
    </row>
    <row r="197" spans="1:73" ht="15" customHeight="1" outlineLevel="2" thickBot="1" x14ac:dyDescent="0.3">
      <c r="A197" s="39"/>
      <c r="B197" s="807"/>
      <c r="C197" s="742"/>
      <c r="D197" s="742"/>
      <c r="E197" s="104" t="s">
        <v>95</v>
      </c>
      <c r="F197" s="103" t="s">
        <v>5</v>
      </c>
      <c r="G197" s="103" t="s">
        <v>5</v>
      </c>
      <c r="H197" s="103" t="s">
        <v>5</v>
      </c>
      <c r="I197" s="103" t="s">
        <v>5</v>
      </c>
      <c r="J197" s="103" t="s">
        <v>5</v>
      </c>
      <c r="K197" s="174" t="s">
        <v>5</v>
      </c>
      <c r="L197" s="174" t="s">
        <v>5</v>
      </c>
      <c r="M197" s="174" t="s">
        <v>5</v>
      </c>
      <c r="N197" s="132" t="s">
        <v>5</v>
      </c>
      <c r="O197" s="749"/>
      <c r="P197" s="750"/>
      <c r="Q197" s="750"/>
      <c r="R197" s="754"/>
      <c r="S197" s="749"/>
      <c r="T197" s="750"/>
      <c r="U197" s="750"/>
      <c r="V197" s="754"/>
      <c r="W197" s="119"/>
      <c r="X197" s="119"/>
      <c r="Y197" s="743"/>
      <c r="Z197" s="743"/>
      <c r="AA197" s="743"/>
      <c r="AB197" s="743"/>
      <c r="AC197" s="743"/>
      <c r="AD197" s="743"/>
      <c r="AE197" s="743"/>
      <c r="AF197" s="743"/>
      <c r="AG197" s="743"/>
      <c r="AH197" s="743"/>
      <c r="BC197" s="155" t="str">
        <f t="shared" si="196"/>
        <v>-</v>
      </c>
      <c r="BD197" s="151" t="str">
        <f>"0.7*IEF " &amp; B201</f>
        <v>0.7*IEF City (SPF)</v>
      </c>
      <c r="BE197" s="153" t="str">
        <f>IF(AND(OR($C203="-",$C203="CET",$C203=""),OR(F$190="-",F$190="CET",F$190="")),"-",0.7*IF(OR(F$190="CET",F$190="-",F$190=""),IF(OR($C203="CET",$C203="-",$C203=""),"-",$C203),F$190))</f>
        <v>-</v>
      </c>
      <c r="BF197" s="153" t="str">
        <f t="shared" ref="BF197:BL197" si="235">IF(AND(OR($C203="-",$C203="CET",$C203=""),OR(G$190="-",G$190="CET",G$190="")),"-",0.7*IF(OR(G$190="CET",G$190="-",G$190=""),IF(OR($C203="CET",$C203="-",$C203=""),"-",$C203),G$190))</f>
        <v>-</v>
      </c>
      <c r="BG197" s="153" t="str">
        <f t="shared" si="235"/>
        <v>-</v>
      </c>
      <c r="BH197" s="153" t="str">
        <f t="shared" si="235"/>
        <v>-</v>
      </c>
      <c r="BI197" s="153" t="str">
        <f t="shared" si="235"/>
        <v>-</v>
      </c>
      <c r="BJ197" s="153" t="str">
        <f t="shared" si="235"/>
        <v>-</v>
      </c>
      <c r="BK197" s="153" t="str">
        <f t="shared" si="235"/>
        <v>-</v>
      </c>
      <c r="BL197" s="153" t="str">
        <f t="shared" si="235"/>
        <v>-</v>
      </c>
    </row>
    <row r="198" spans="1:73" ht="15" customHeight="1" outlineLevel="2" thickBot="1" x14ac:dyDescent="0.3">
      <c r="A198" s="40"/>
      <c r="B198" s="807"/>
      <c r="C198" s="854" t="s">
        <v>64</v>
      </c>
      <c r="D198" s="772" t="str">
        <f>IF(AND(F199="-",G199="-",H199="-",I199="-",J199="-",K199="-",K199="-",L199="-"),"-",MAX(F199,G199,H199,I199,J199,K199,L199,M199))</f>
        <v>-</v>
      </c>
      <c r="E198" s="66" t="s">
        <v>177</v>
      </c>
      <c r="F198" s="65" t="str">
        <f>IF(OR(F197="-",F197=""),IF(OR(F196="-",F196=""),"-",F196),IF(OR(F196="-",F196=""),F197,(F196+F197)/2))</f>
        <v>-</v>
      </c>
      <c r="G198" s="65" t="str">
        <f t="shared" ref="G198:N198" si="236">IF(OR(G197="-",G197=""),IF(OR(G196="-",G196=""),"-",G196),IF(OR(G196="-",G196=""),G197,(G196+G197)/2))</f>
        <v>-</v>
      </c>
      <c r="H198" s="65" t="str">
        <f t="shared" si="236"/>
        <v>-</v>
      </c>
      <c r="I198" s="65" t="str">
        <f t="shared" si="236"/>
        <v>-</v>
      </c>
      <c r="J198" s="65" t="str">
        <f t="shared" si="236"/>
        <v>-</v>
      </c>
      <c r="K198" s="167" t="str">
        <f t="shared" si="236"/>
        <v>-</v>
      </c>
      <c r="L198" s="167" t="str">
        <f t="shared" ref="L198:M198" si="237">IF(OR(L197="-",L197=""),IF(OR(L196="-",L196=""),"-",L196),IF(OR(L196="-",L196=""),L197,(L196+L197)/2))</f>
        <v>-</v>
      </c>
      <c r="M198" s="167" t="str">
        <f t="shared" si="237"/>
        <v>-</v>
      </c>
      <c r="N198" s="133" t="str">
        <f t="shared" si="236"/>
        <v>-</v>
      </c>
      <c r="O198" s="749"/>
      <c r="P198" s="750"/>
      <c r="Q198" s="750"/>
      <c r="R198" s="754"/>
      <c r="S198" s="749"/>
      <c r="T198" s="750"/>
      <c r="U198" s="750"/>
      <c r="V198" s="754"/>
      <c r="W198" s="119"/>
      <c r="X198" s="119"/>
      <c r="Y198" s="743"/>
      <c r="Z198" s="743"/>
      <c r="AA198" s="743"/>
      <c r="AB198" s="743"/>
      <c r="AC198" s="743"/>
      <c r="AD198" s="743"/>
      <c r="AE198" s="743"/>
      <c r="AF198" s="743"/>
      <c r="AG198" s="743"/>
      <c r="AH198" s="743"/>
      <c r="BC198" s="155" t="str">
        <f t="shared" si="196"/>
        <v>-</v>
      </c>
      <c r="BD198" s="151" t="str">
        <f>"0.7*IEF " &amp; B206</f>
        <v>0.7*IEF Total (unweighted)</v>
      </c>
      <c r="BE198" s="153" t="str">
        <f>IF(AND(OR($C208="-",$C208="CET",$C208=""),OR(F$190="-",F$190="CET",F$190="")),"-",0.7*IF(OR(F$190="CET",F$190="-",F$190=""),IF(OR($C208="CET",$C208="-",$C208=""),"-",$C208),F$190))</f>
        <v>-</v>
      </c>
      <c r="BF198" s="153" t="str">
        <f t="shared" ref="BF198:BL198" si="238">IF(AND(OR($C208="-",$C208="CET",$C208=""),OR(G$190="-",G$190="CET",G$190="")),"-",0.7*IF(OR(G$190="CET",G$190="-",G$190=""),IF(OR($C208="CET",$C208="-",$C208=""),"-",$C208),G$190))</f>
        <v>-</v>
      </c>
      <c r="BG198" s="153" t="str">
        <f t="shared" si="238"/>
        <v>-</v>
      </c>
      <c r="BH198" s="153" t="str">
        <f t="shared" si="238"/>
        <v>-</v>
      </c>
      <c r="BI198" s="153" t="str">
        <f t="shared" si="238"/>
        <v>-</v>
      </c>
      <c r="BJ198" s="153" t="str">
        <f t="shared" si="238"/>
        <v>-</v>
      </c>
      <c r="BK198" s="153" t="str">
        <f t="shared" si="238"/>
        <v>-</v>
      </c>
      <c r="BL198" s="153" t="str">
        <f t="shared" si="238"/>
        <v>-</v>
      </c>
    </row>
    <row r="199" spans="1:73" ht="15" customHeight="1" outlineLevel="2" thickBot="1" x14ac:dyDescent="0.3">
      <c r="A199" s="40"/>
      <c r="B199" s="807"/>
      <c r="C199" s="855"/>
      <c r="D199" s="773"/>
      <c r="E199" s="64" t="s">
        <v>97</v>
      </c>
      <c r="F199" s="63" t="str">
        <f t="shared" ref="F199:N199" si="239">IF(AND(OR($C198="-",$C198="CET",$C198=""),OR(F$190="-",F$190="CET",F$190="")),"-",IF(AND(NOT(F198="-"),NOT(F$5="-"),NOT(F$5="")),F198/F$5,"-"))</f>
        <v>-</v>
      </c>
      <c r="G199" s="63" t="str">
        <f t="shared" si="239"/>
        <v>-</v>
      </c>
      <c r="H199" s="63" t="str">
        <f t="shared" si="239"/>
        <v>-</v>
      </c>
      <c r="I199" s="63" t="str">
        <f t="shared" si="239"/>
        <v>-</v>
      </c>
      <c r="J199" s="63" t="str">
        <f t="shared" si="239"/>
        <v>-</v>
      </c>
      <c r="K199" s="168" t="str">
        <f t="shared" si="239"/>
        <v>-</v>
      </c>
      <c r="L199" s="168" t="str">
        <f t="shared" si="239"/>
        <v>-</v>
      </c>
      <c r="M199" s="168" t="str">
        <f t="shared" si="239"/>
        <v>-</v>
      </c>
      <c r="N199" s="63" t="str">
        <f t="shared" si="239"/>
        <v>-</v>
      </c>
      <c r="O199" s="749"/>
      <c r="P199" s="750"/>
      <c r="Q199" s="750"/>
      <c r="R199" s="754"/>
      <c r="S199" s="749"/>
      <c r="T199" s="750"/>
      <c r="U199" s="750"/>
      <c r="V199" s="754"/>
      <c r="W199" s="119"/>
      <c r="X199" s="119"/>
      <c r="Y199" s="743"/>
      <c r="Z199" s="743"/>
      <c r="AA199" s="743"/>
      <c r="AB199" s="743"/>
      <c r="AC199" s="743"/>
      <c r="AD199" s="743"/>
      <c r="AE199" s="743"/>
      <c r="AF199" s="743"/>
      <c r="AG199" s="743"/>
      <c r="AH199" s="743"/>
      <c r="BC199" s="155" t="str">
        <f t="shared" si="196"/>
        <v>-</v>
      </c>
      <c r="BD199" s="151" t="str">
        <f>"0.7*IEF " &amp; B211</f>
        <v>0.7*IEF Total (EMROAD)</v>
      </c>
      <c r="BE199" s="153" t="str">
        <f>IF(AND(OR($C213="-",$C213="CET",$C213=""),OR(F$190="-",F$190="CET",F$190="")),"-",0.7*IF(OR(F$190="CET",F$190="-",F$190=""),IF(OR($C213="CET",$C213="-",$C213=""),"-",$C213),F$190))</f>
        <v>-</v>
      </c>
      <c r="BF199" s="153" t="str">
        <f t="shared" ref="BF199:BL199" si="240">IF(AND(OR($C213="-",$C213="CET",$C213=""),OR(G$190="-",G$190="CET",G$190="")),"-",0.7*IF(OR(G$190="CET",G$190="-",G$190=""),IF(OR($C213="CET",$C213="-",$C213=""),"-",$C213),G$190))</f>
        <v>-</v>
      </c>
      <c r="BG199" s="153" t="str">
        <f t="shared" si="240"/>
        <v>-</v>
      </c>
      <c r="BH199" s="153" t="str">
        <f t="shared" si="240"/>
        <v>-</v>
      </c>
      <c r="BI199" s="153" t="str">
        <f t="shared" si="240"/>
        <v>-</v>
      </c>
      <c r="BJ199" s="153" t="str">
        <f t="shared" si="240"/>
        <v>-</v>
      </c>
      <c r="BK199" s="153" t="str">
        <f t="shared" si="240"/>
        <v>-</v>
      </c>
      <c r="BL199" s="153" t="str">
        <f t="shared" si="240"/>
        <v>-</v>
      </c>
    </row>
    <row r="200" spans="1:73" s="50" customFormat="1" ht="15" customHeight="1" outlineLevel="2" thickBot="1" x14ac:dyDescent="0.3">
      <c r="A200" s="52"/>
      <c r="B200" s="853"/>
      <c r="C200" s="856"/>
      <c r="D200" s="774"/>
      <c r="E200" s="62" t="s">
        <v>30</v>
      </c>
      <c r="F200" s="62" t="str">
        <f t="shared" ref="F200:N200" si="241">IF(AND(OR(F196="-",F196=""),OR(F197="-",F197="")),"-",IF(AND(OR(F$190="CET",F$190="-",F$190=""),OR($C198="CET",$C198="-",$C198="")),"-",IF($R$186="not listed","-",IF(AND(NOT(F$5="-"),NOT(F$5="")),IF(AND(AND(NOT(F196=0),NOT(F196="-"),NOT(F196="")),AND(NOT(F197="-"),NOT(F197=0),NOT(F197=""))),IF(AND((F196+F197)/2&lt;1*F$5*IF(OR(F$190="CET",F$190="-",F$190=""),IF(OR($C198="CET",$C198="-",$C198=""),"-",$C198),F$190),F196&lt;1.1*F$5*IF(OR(F$190="CET",F$190="-",F$190=""),IF(OR($C198="CET",$C198="-",$C198=""),"-",$C198),F$190),F197&lt;1.1*F$5*IF(OR(F$190="CET",F$190="-",F$190=""),IF($C198="CET","-",$C198),F$190)),"passed","refused"),IF(IF(OR(F196="-",F196=""),F197,F196)&lt;0.7*F$5*IF(OR(F$190="CET",F$190="-",F$190=""),IF($C198="CET","-",$C198),F$190),"passed",IF(IF(OR(F196="-",F196=""),F197,F196)&lt;1.1*IF(OR(F$190="CET",F$190="-",F$190=""),IF($C198="CET","-",$C198),F$190)*F$5,"failed","refused"))),"-"))))</f>
        <v>-</v>
      </c>
      <c r="G200" s="62" t="str">
        <f t="shared" si="241"/>
        <v>-</v>
      </c>
      <c r="H200" s="62" t="str">
        <f t="shared" si="241"/>
        <v>-</v>
      </c>
      <c r="I200" s="62" t="str">
        <f t="shared" si="241"/>
        <v>-</v>
      </c>
      <c r="J200" s="62" t="str">
        <f t="shared" si="241"/>
        <v>-</v>
      </c>
      <c r="K200" s="169" t="str">
        <f t="shared" si="241"/>
        <v>-</v>
      </c>
      <c r="L200" s="169" t="str">
        <f t="shared" si="241"/>
        <v>-</v>
      </c>
      <c r="M200" s="169" t="str">
        <f t="shared" si="241"/>
        <v>-</v>
      </c>
      <c r="N200" s="62" t="str">
        <f t="shared" si="241"/>
        <v>-</v>
      </c>
      <c r="O200" s="749"/>
      <c r="P200" s="750"/>
      <c r="Q200" s="750"/>
      <c r="R200" s="754"/>
      <c r="S200" s="749"/>
      <c r="T200" s="750"/>
      <c r="U200" s="750"/>
      <c r="V200" s="754"/>
      <c r="W200" s="51"/>
      <c r="X200" s="51"/>
      <c r="Y200" s="743"/>
      <c r="Z200" s="743"/>
      <c r="AA200" s="743"/>
      <c r="AB200" s="743"/>
      <c r="AC200" s="743"/>
      <c r="AD200" s="743"/>
      <c r="AE200" s="743"/>
      <c r="AF200" s="743"/>
      <c r="AG200" s="743"/>
      <c r="AH200" s="743"/>
      <c r="BC200" s="155" t="str">
        <f t="shared" si="196"/>
        <v>-</v>
      </c>
      <c r="BD200" s="151" t="str">
        <f>"0.7*IEF " &amp; B216</f>
        <v>0.7*IEF Total (SPF)</v>
      </c>
      <c r="BE200" s="153" t="str">
        <f>IF(AND(OR($C218="-",$C218="CET",$C218=""),OR(F$190="-",F$190="CET",F$190="")),"-",0.7*IF(OR(F$190="CET",F$190="-",F$190=""),IF(OR($C218="CET",$C218="-",$C218=""),"-",$C218),F$190))</f>
        <v>-</v>
      </c>
      <c r="BF200" s="153" t="str">
        <f t="shared" ref="BF200:BL200" si="242">IF(AND(OR($C218="-",$C218="CET",$C218=""),OR(G$190="-",G$190="CET",G$190="")),"-",0.7*IF(OR(G$190="CET",G$190="-",G$190=""),IF(OR($C218="CET",$C218="-",$C218=""),"-",$C218),G$190))</f>
        <v>-</v>
      </c>
      <c r="BG200" s="153" t="str">
        <f t="shared" si="242"/>
        <v>-</v>
      </c>
      <c r="BH200" s="153" t="str">
        <f t="shared" si="242"/>
        <v>-</v>
      </c>
      <c r="BI200" s="153" t="str">
        <f t="shared" si="242"/>
        <v>-</v>
      </c>
      <c r="BJ200" s="153" t="str">
        <f t="shared" si="242"/>
        <v>-</v>
      </c>
      <c r="BK200" s="153" t="str">
        <f t="shared" si="242"/>
        <v>-</v>
      </c>
      <c r="BL200" s="153" t="str">
        <f t="shared" si="242"/>
        <v>-</v>
      </c>
      <c r="BM200" s="150"/>
      <c r="BN200" s="150"/>
      <c r="BO200" s="150"/>
      <c r="BP200" s="150"/>
      <c r="BQ200" s="150"/>
      <c r="BR200" s="150"/>
      <c r="BS200" s="150"/>
      <c r="BT200" s="150"/>
      <c r="BU200" s="150"/>
    </row>
    <row r="201" spans="1:73" ht="15" customHeight="1" outlineLevel="2" x14ac:dyDescent="0.25">
      <c r="A201" s="40"/>
      <c r="B201" s="872" t="s">
        <v>181</v>
      </c>
      <c r="C201" s="770" t="s">
        <v>114</v>
      </c>
      <c r="D201" s="770" t="s">
        <v>113</v>
      </c>
      <c r="E201" s="106" t="s">
        <v>94</v>
      </c>
      <c r="F201" s="105" t="s">
        <v>5</v>
      </c>
      <c r="G201" s="105" t="s">
        <v>5</v>
      </c>
      <c r="H201" s="105" t="s">
        <v>5</v>
      </c>
      <c r="I201" s="105" t="s">
        <v>5</v>
      </c>
      <c r="J201" s="105" t="s">
        <v>5</v>
      </c>
      <c r="K201" s="173" t="s">
        <v>5</v>
      </c>
      <c r="L201" s="173" t="s">
        <v>5</v>
      </c>
      <c r="M201" s="173" t="s">
        <v>5</v>
      </c>
      <c r="N201" s="131" t="s">
        <v>5</v>
      </c>
      <c r="O201" s="749"/>
      <c r="P201" s="750"/>
      <c r="Q201" s="750"/>
      <c r="R201" s="754"/>
      <c r="S201" s="749"/>
      <c r="T201" s="750"/>
      <c r="U201" s="750"/>
      <c r="V201" s="754"/>
      <c r="W201" s="119"/>
      <c r="X201" s="119"/>
      <c r="Y201" s="743"/>
      <c r="Z201" s="743"/>
      <c r="AA201" s="743"/>
      <c r="AB201" s="743"/>
      <c r="AC201" s="743"/>
      <c r="AD201" s="743"/>
      <c r="AE201" s="743"/>
      <c r="AF201" s="743"/>
      <c r="AG201" s="743"/>
      <c r="AH201" s="743"/>
      <c r="BC201" s="155" t="str">
        <f t="shared" si="196"/>
        <v>-</v>
      </c>
      <c r="BD201" s="151" t="str">
        <f>$B191</f>
        <v>City (unweighted)</v>
      </c>
      <c r="BE201" s="153" t="str">
        <f>F194</f>
        <v>-</v>
      </c>
      <c r="BF201" s="153" t="str">
        <f t="shared" ref="BF201:BL201" si="243">G194</f>
        <v>-</v>
      </c>
      <c r="BG201" s="153" t="str">
        <f t="shared" si="243"/>
        <v>-</v>
      </c>
      <c r="BH201" s="153" t="str">
        <f t="shared" si="243"/>
        <v>-</v>
      </c>
      <c r="BI201" s="153" t="str">
        <f t="shared" si="243"/>
        <v>-</v>
      </c>
      <c r="BJ201" s="153" t="str">
        <f t="shared" si="243"/>
        <v>-</v>
      </c>
      <c r="BK201" s="153" t="str">
        <f t="shared" si="243"/>
        <v>-</v>
      </c>
      <c r="BL201" s="153" t="str">
        <f t="shared" si="243"/>
        <v>-</v>
      </c>
    </row>
    <row r="202" spans="1:73" ht="15" customHeight="1" outlineLevel="2" thickBot="1" x14ac:dyDescent="0.3">
      <c r="A202" s="40"/>
      <c r="B202" s="873"/>
      <c r="C202" s="742"/>
      <c r="D202" s="742"/>
      <c r="E202" s="104" t="s">
        <v>95</v>
      </c>
      <c r="F202" s="103" t="s">
        <v>5</v>
      </c>
      <c r="G202" s="103" t="s">
        <v>5</v>
      </c>
      <c r="H202" s="103" t="s">
        <v>5</v>
      </c>
      <c r="I202" s="103" t="s">
        <v>5</v>
      </c>
      <c r="J202" s="103" t="s">
        <v>5</v>
      </c>
      <c r="K202" s="174" t="s">
        <v>5</v>
      </c>
      <c r="L202" s="174" t="s">
        <v>5</v>
      </c>
      <c r="M202" s="174" t="s">
        <v>5</v>
      </c>
      <c r="N202" s="132" t="s">
        <v>5</v>
      </c>
      <c r="O202" s="749"/>
      <c r="P202" s="750"/>
      <c r="Q202" s="750"/>
      <c r="R202" s="754"/>
      <c r="S202" s="749"/>
      <c r="T202" s="750"/>
      <c r="U202" s="750"/>
      <c r="V202" s="754"/>
      <c r="W202" s="119"/>
      <c r="X202" s="119"/>
      <c r="Y202" s="743"/>
      <c r="Z202" s="743"/>
      <c r="AA202" s="743"/>
      <c r="AB202" s="743"/>
      <c r="AC202" s="743"/>
      <c r="AD202" s="743"/>
      <c r="AE202" s="743"/>
      <c r="AF202" s="743"/>
      <c r="AG202" s="743"/>
      <c r="AH202" s="743"/>
      <c r="BC202" s="155" t="str">
        <f t="shared" si="196"/>
        <v>-</v>
      </c>
      <c r="BD202" s="151" t="str">
        <f>$B196</f>
        <v>City (EMROAD)</v>
      </c>
      <c r="BE202" s="153" t="str">
        <f>F199</f>
        <v>-</v>
      </c>
      <c r="BF202" s="153" t="str">
        <f t="shared" ref="BF202:BL202" si="244">G199</f>
        <v>-</v>
      </c>
      <c r="BG202" s="153" t="str">
        <f t="shared" si="244"/>
        <v>-</v>
      </c>
      <c r="BH202" s="153" t="str">
        <f t="shared" si="244"/>
        <v>-</v>
      </c>
      <c r="BI202" s="153" t="str">
        <f t="shared" si="244"/>
        <v>-</v>
      </c>
      <c r="BJ202" s="153" t="str">
        <f t="shared" si="244"/>
        <v>-</v>
      </c>
      <c r="BK202" s="153" t="str">
        <f t="shared" si="244"/>
        <v>-</v>
      </c>
      <c r="BL202" s="153" t="str">
        <f t="shared" si="244"/>
        <v>-</v>
      </c>
    </row>
    <row r="203" spans="1:73" ht="15" customHeight="1" outlineLevel="2" thickBot="1" x14ac:dyDescent="0.3">
      <c r="A203" s="40"/>
      <c r="B203" s="873"/>
      <c r="C203" s="854" t="s">
        <v>64</v>
      </c>
      <c r="D203" s="772" t="str">
        <f>IF(AND(F204="-",G204="-",H204="-",I204="-",J204="-",K204="-",K204="-",L204="-"),"-",MAX(F204,G204,H204,I204,J204,K204,L204,M204))</f>
        <v>-</v>
      </c>
      <c r="E203" s="66" t="s">
        <v>177</v>
      </c>
      <c r="F203" s="65" t="str">
        <f>IF(OR(F202="-",F202=""),IF(OR(F201="-",F201=""),"-",F201),IF(OR(F201="-",F201=""),F202,(F201+F202)/2))</f>
        <v>-</v>
      </c>
      <c r="G203" s="65" t="str">
        <f t="shared" ref="G203:N203" si="245">IF(OR(G202="-",G202=""),IF(OR(G201="-",G201=""),"-",G201),IF(OR(G201="-",G201=""),G202,(G201+G202)/2))</f>
        <v>-</v>
      </c>
      <c r="H203" s="65" t="str">
        <f t="shared" si="245"/>
        <v>-</v>
      </c>
      <c r="I203" s="65" t="str">
        <f t="shared" si="245"/>
        <v>-</v>
      </c>
      <c r="J203" s="65" t="str">
        <f t="shared" si="245"/>
        <v>-</v>
      </c>
      <c r="K203" s="167" t="str">
        <f t="shared" si="245"/>
        <v>-</v>
      </c>
      <c r="L203" s="167" t="str">
        <f t="shared" ref="L203:M203" si="246">IF(OR(L202="-",L202=""),IF(OR(L201="-",L201=""),"-",L201),IF(OR(L201="-",L201=""),L202,(L201+L202)/2))</f>
        <v>-</v>
      </c>
      <c r="M203" s="167" t="str">
        <f t="shared" si="246"/>
        <v>-</v>
      </c>
      <c r="N203" s="133" t="str">
        <f t="shared" si="245"/>
        <v>-</v>
      </c>
      <c r="O203" s="749"/>
      <c r="P203" s="750"/>
      <c r="Q203" s="750"/>
      <c r="R203" s="754"/>
      <c r="S203" s="749"/>
      <c r="T203" s="750"/>
      <c r="U203" s="750"/>
      <c r="V203" s="754"/>
      <c r="W203" s="119"/>
      <c r="X203" s="119"/>
      <c r="Y203" s="743"/>
      <c r="Z203" s="743"/>
      <c r="AA203" s="743"/>
      <c r="AB203" s="743"/>
      <c r="AC203" s="743"/>
      <c r="AD203" s="743"/>
      <c r="AE203" s="743"/>
      <c r="AF203" s="743"/>
      <c r="AG203" s="743"/>
      <c r="AH203" s="743"/>
      <c r="BC203" s="155" t="str">
        <f t="shared" si="196"/>
        <v>-</v>
      </c>
      <c r="BD203" s="151" t="str">
        <f>$B201</f>
        <v>City (SPF)</v>
      </c>
      <c r="BE203" s="153" t="str">
        <f>F204</f>
        <v>-</v>
      </c>
      <c r="BF203" s="153" t="str">
        <f t="shared" ref="BF203:BL203" si="247">G204</f>
        <v>-</v>
      </c>
      <c r="BG203" s="153" t="str">
        <f t="shared" si="247"/>
        <v>-</v>
      </c>
      <c r="BH203" s="153" t="str">
        <f t="shared" si="247"/>
        <v>-</v>
      </c>
      <c r="BI203" s="153" t="str">
        <f t="shared" si="247"/>
        <v>-</v>
      </c>
      <c r="BJ203" s="153" t="str">
        <f t="shared" si="247"/>
        <v>-</v>
      </c>
      <c r="BK203" s="153" t="str">
        <f t="shared" si="247"/>
        <v>-</v>
      </c>
      <c r="BL203" s="153" t="str">
        <f t="shared" si="247"/>
        <v>-</v>
      </c>
    </row>
    <row r="204" spans="1:73" ht="15" customHeight="1" outlineLevel="2" thickBot="1" x14ac:dyDescent="0.3">
      <c r="A204" s="40"/>
      <c r="B204" s="873"/>
      <c r="C204" s="855"/>
      <c r="D204" s="773"/>
      <c r="E204" s="64" t="s">
        <v>97</v>
      </c>
      <c r="F204" s="63" t="str">
        <f t="shared" ref="F204:N204" si="248">IF(AND(OR($C203="-",$C203="CET",$C203=""),OR(F$190="-",F$190="CET",F$190="")),"-",IF(AND(NOT(F203="-"),NOT(F$5="-"),NOT(F$5="")),F203/F$5,"-"))</f>
        <v>-</v>
      </c>
      <c r="G204" s="63" t="str">
        <f t="shared" si="248"/>
        <v>-</v>
      </c>
      <c r="H204" s="63" t="str">
        <f t="shared" si="248"/>
        <v>-</v>
      </c>
      <c r="I204" s="63" t="str">
        <f t="shared" si="248"/>
        <v>-</v>
      </c>
      <c r="J204" s="63" t="str">
        <f t="shared" si="248"/>
        <v>-</v>
      </c>
      <c r="K204" s="168" t="str">
        <f t="shared" si="248"/>
        <v>-</v>
      </c>
      <c r="L204" s="168" t="str">
        <f t="shared" si="248"/>
        <v>-</v>
      </c>
      <c r="M204" s="168" t="str">
        <f t="shared" si="248"/>
        <v>-</v>
      </c>
      <c r="N204" s="63" t="str">
        <f t="shared" si="248"/>
        <v>-</v>
      </c>
      <c r="O204" s="749"/>
      <c r="P204" s="750"/>
      <c r="Q204" s="750"/>
      <c r="R204" s="754"/>
      <c r="S204" s="749"/>
      <c r="T204" s="750"/>
      <c r="U204" s="750"/>
      <c r="V204" s="754"/>
      <c r="W204" s="119"/>
      <c r="X204" s="119"/>
      <c r="Y204" s="743"/>
      <c r="Z204" s="743"/>
      <c r="AA204" s="743"/>
      <c r="AB204" s="743"/>
      <c r="AC204" s="743"/>
      <c r="AD204" s="743"/>
      <c r="AE204" s="743"/>
      <c r="AF204" s="743"/>
      <c r="AG204" s="743"/>
      <c r="AH204" s="743"/>
      <c r="BC204" s="155" t="str">
        <f t="shared" si="196"/>
        <v>-</v>
      </c>
      <c r="BD204" s="151" t="str">
        <f>$B206</f>
        <v>Total (unweighted)</v>
      </c>
      <c r="BE204" s="153" t="str">
        <f>F214</f>
        <v>-</v>
      </c>
      <c r="BF204" s="153" t="str">
        <f t="shared" ref="BF204:BL204" si="249">G214</f>
        <v>-</v>
      </c>
      <c r="BG204" s="153" t="str">
        <f t="shared" si="249"/>
        <v>-</v>
      </c>
      <c r="BH204" s="153" t="str">
        <f t="shared" si="249"/>
        <v>-</v>
      </c>
      <c r="BI204" s="153" t="str">
        <f t="shared" si="249"/>
        <v>-</v>
      </c>
      <c r="BJ204" s="153" t="str">
        <f t="shared" si="249"/>
        <v>-</v>
      </c>
      <c r="BK204" s="153" t="str">
        <f t="shared" si="249"/>
        <v>-</v>
      </c>
      <c r="BL204" s="153" t="str">
        <f t="shared" si="249"/>
        <v>-</v>
      </c>
    </row>
    <row r="205" spans="1:73" s="50" customFormat="1" ht="15" customHeight="1" outlineLevel="2" thickBot="1" x14ac:dyDescent="0.3">
      <c r="A205" s="52"/>
      <c r="B205" s="874"/>
      <c r="C205" s="856"/>
      <c r="D205" s="774"/>
      <c r="E205" s="62" t="s">
        <v>30</v>
      </c>
      <c r="F205" s="62" t="str">
        <f t="shared" ref="F205:N205" si="250">IF(AND(OR(F201="-",F201=""),OR(F202="-",F202="")),"-",IF(AND(OR(F$190="CET",F$190="-",F$190=""),OR($C203="CET",$C203="-",$C203="")),"-",IF($R$186="not listed","-",IF(AND(NOT(F$5="-"),NOT(F$5="")),IF(AND(AND(NOT(F201=0),NOT(F201="-"),NOT(F201="")),AND(NOT(F202="-"),NOT(F202=0),NOT(F202=""))),IF(AND((F201+F202)/2&lt;1*F$5*IF(OR(F$190="CET",F$190="-",F$190=""),IF(OR($C203="CET",$C203="-",$C203=""),"-",$C203),F$190),F201&lt;1.1*F$5*IF(OR(F$190="CET",F$190="-",F$190=""),IF(OR($C203="CET",$C203="-",$C203=""),"-",$C203),F$190),F202&lt;1.1*F$5*IF(OR(F$190="CET",F$190="-",F$190=""),IF($C203="CET","-",$C203),F$190)),"passed","refused"),IF(IF(OR(F201="-",F201=""),F202,F201)&lt;0.7*F$5*IF(OR(F$190="CET",F$190="-",F$190=""),IF($C203="CET","-",$C203),F$190),"passed",IF(IF(OR(F201="-",F201=""),F202,F201)&lt;1.1*IF(OR(F$190="CET",F$190="-",F$190=""),IF($C203="CET","-",$C203),F$190)*F$5,"failed","refused"))),"-"))))</f>
        <v>-</v>
      </c>
      <c r="G205" s="62" t="str">
        <f t="shared" si="250"/>
        <v>-</v>
      </c>
      <c r="H205" s="62" t="str">
        <f t="shared" si="250"/>
        <v>-</v>
      </c>
      <c r="I205" s="62" t="str">
        <f t="shared" si="250"/>
        <v>-</v>
      </c>
      <c r="J205" s="62" t="str">
        <f t="shared" si="250"/>
        <v>-</v>
      </c>
      <c r="K205" s="169" t="str">
        <f t="shared" si="250"/>
        <v>-</v>
      </c>
      <c r="L205" s="169" t="str">
        <f t="shared" si="250"/>
        <v>-</v>
      </c>
      <c r="M205" s="169" t="str">
        <f t="shared" si="250"/>
        <v>-</v>
      </c>
      <c r="N205" s="62" t="str">
        <f t="shared" si="250"/>
        <v>-</v>
      </c>
      <c r="O205" s="749"/>
      <c r="P205" s="750"/>
      <c r="Q205" s="750"/>
      <c r="R205" s="754"/>
      <c r="S205" s="749"/>
      <c r="T205" s="750"/>
      <c r="U205" s="750"/>
      <c r="V205" s="754"/>
      <c r="W205" s="51"/>
      <c r="X205" s="51"/>
      <c r="Y205" s="743"/>
      <c r="Z205" s="743"/>
      <c r="AA205" s="743"/>
      <c r="AB205" s="743"/>
      <c r="AC205" s="743"/>
      <c r="AD205" s="743"/>
      <c r="AE205" s="743"/>
      <c r="AF205" s="743"/>
      <c r="AG205" s="743"/>
      <c r="AH205" s="743"/>
      <c r="BC205" s="155" t="str">
        <f t="shared" si="196"/>
        <v>-</v>
      </c>
      <c r="BD205" s="151" t="str">
        <f>$B211</f>
        <v>Total (EMROAD)</v>
      </c>
      <c r="BE205" s="153" t="str">
        <f>F214</f>
        <v>-</v>
      </c>
      <c r="BF205" s="153" t="str">
        <f t="shared" ref="BF205:BL205" si="251">G214</f>
        <v>-</v>
      </c>
      <c r="BG205" s="153" t="str">
        <f t="shared" si="251"/>
        <v>-</v>
      </c>
      <c r="BH205" s="153" t="str">
        <f t="shared" si="251"/>
        <v>-</v>
      </c>
      <c r="BI205" s="153" t="str">
        <f t="shared" si="251"/>
        <v>-</v>
      </c>
      <c r="BJ205" s="153" t="str">
        <f t="shared" si="251"/>
        <v>-</v>
      </c>
      <c r="BK205" s="153" t="str">
        <f t="shared" si="251"/>
        <v>-</v>
      </c>
      <c r="BL205" s="153" t="str">
        <f t="shared" si="251"/>
        <v>-</v>
      </c>
      <c r="BM205" s="150"/>
      <c r="BN205" s="150"/>
      <c r="BO205" s="150"/>
      <c r="BP205" s="150"/>
      <c r="BQ205" s="150"/>
      <c r="BR205" s="150"/>
      <c r="BS205" s="150"/>
      <c r="BT205" s="150"/>
      <c r="BU205" s="150"/>
    </row>
    <row r="206" spans="1:73" ht="15" customHeight="1" outlineLevel="2" x14ac:dyDescent="0.25">
      <c r="A206" s="40"/>
      <c r="B206" s="872" t="s">
        <v>105</v>
      </c>
      <c r="C206" s="770" t="s">
        <v>114</v>
      </c>
      <c r="D206" s="770" t="s">
        <v>113</v>
      </c>
      <c r="E206" s="106" t="s">
        <v>94</v>
      </c>
      <c r="F206" s="105" t="s">
        <v>5</v>
      </c>
      <c r="G206" s="105" t="s">
        <v>5</v>
      </c>
      <c r="H206" s="105" t="s">
        <v>5</v>
      </c>
      <c r="I206" s="105" t="s">
        <v>5</v>
      </c>
      <c r="J206" s="105" t="s">
        <v>5</v>
      </c>
      <c r="K206" s="173" t="s">
        <v>5</v>
      </c>
      <c r="L206" s="173" t="s">
        <v>5</v>
      </c>
      <c r="M206" s="173" t="s">
        <v>5</v>
      </c>
      <c r="N206" s="131" t="s">
        <v>5</v>
      </c>
      <c r="O206" s="749"/>
      <c r="P206" s="750"/>
      <c r="Q206" s="750"/>
      <c r="R206" s="754"/>
      <c r="S206" s="749"/>
      <c r="T206" s="750"/>
      <c r="U206" s="750"/>
      <c r="V206" s="754"/>
      <c r="W206" s="119"/>
      <c r="X206" s="119"/>
      <c r="Y206" s="743"/>
      <c r="Z206" s="743"/>
      <c r="AA206" s="743"/>
      <c r="AB206" s="743"/>
      <c r="AC206" s="743"/>
      <c r="AD206" s="743"/>
      <c r="AE206" s="743"/>
      <c r="AF206" s="743"/>
      <c r="AG206" s="743"/>
      <c r="AH206" s="743"/>
      <c r="BC206" s="155" t="str">
        <f t="shared" si="196"/>
        <v>-</v>
      </c>
      <c r="BD206" s="151" t="str">
        <f>$B216</f>
        <v>Total (SPF)</v>
      </c>
      <c r="BE206" s="153" t="str">
        <f>F219</f>
        <v>-</v>
      </c>
      <c r="BF206" s="153" t="str">
        <f t="shared" ref="BF206:BL206" si="252">G219</f>
        <v>-</v>
      </c>
      <c r="BG206" s="153" t="str">
        <f t="shared" si="252"/>
        <v>-</v>
      </c>
      <c r="BH206" s="153" t="str">
        <f t="shared" si="252"/>
        <v>-</v>
      </c>
      <c r="BI206" s="153" t="str">
        <f t="shared" si="252"/>
        <v>-</v>
      </c>
      <c r="BJ206" s="153" t="str">
        <f t="shared" si="252"/>
        <v>-</v>
      </c>
      <c r="BK206" s="153" t="str">
        <f t="shared" si="252"/>
        <v>-</v>
      </c>
      <c r="BL206" s="153" t="str">
        <f t="shared" si="252"/>
        <v>-</v>
      </c>
    </row>
    <row r="207" spans="1:73" ht="15" customHeight="1" outlineLevel="2" thickBot="1" x14ac:dyDescent="0.3">
      <c r="A207" s="40"/>
      <c r="B207" s="873"/>
      <c r="C207" s="742"/>
      <c r="D207" s="742"/>
      <c r="E207" s="104" t="s">
        <v>95</v>
      </c>
      <c r="F207" s="103" t="s">
        <v>5</v>
      </c>
      <c r="G207" s="103" t="s">
        <v>5</v>
      </c>
      <c r="H207" s="103" t="s">
        <v>5</v>
      </c>
      <c r="I207" s="103" t="s">
        <v>5</v>
      </c>
      <c r="J207" s="103" t="s">
        <v>5</v>
      </c>
      <c r="K207" s="174" t="s">
        <v>5</v>
      </c>
      <c r="L207" s="174" t="s">
        <v>5</v>
      </c>
      <c r="M207" s="174" t="s">
        <v>5</v>
      </c>
      <c r="N207" s="132" t="s">
        <v>5</v>
      </c>
      <c r="O207" s="749"/>
      <c r="P207" s="750"/>
      <c r="Q207" s="750"/>
      <c r="R207" s="754"/>
      <c r="S207" s="749"/>
      <c r="T207" s="750"/>
      <c r="U207" s="750"/>
      <c r="V207" s="754"/>
      <c r="W207" s="119"/>
      <c r="X207" s="119"/>
      <c r="Y207" s="743"/>
      <c r="Z207" s="743"/>
      <c r="AA207" s="743"/>
      <c r="AB207" s="743"/>
      <c r="AC207" s="743"/>
      <c r="AD207" s="743"/>
      <c r="AE207" s="743"/>
      <c r="AF207" s="743"/>
      <c r="AG207" s="743"/>
      <c r="AH207" s="743"/>
      <c r="BC207" s="155" t="str">
        <f t="shared" si="196"/>
        <v>-</v>
      </c>
      <c r="BD207" s="151" t="str">
        <f>"IEF " &amp;B191</f>
        <v>IEF City (unweighted)</v>
      </c>
      <c r="BE207" s="153" t="str">
        <f>IF(AND(OR($C193="-",$C193="CET",$C193=""),OR(F$190="-",F$190="CET",F$190="")),"-",IF(OR(F$190="CET",F$190="-",F$190=""),IF(OR($C193="CET",$C193="-",$C193=""),"-",$C193),F$190))</f>
        <v>-</v>
      </c>
      <c r="BF207" s="153" t="str">
        <f t="shared" ref="BF207:BL207" si="253">IF(AND(OR($C193="-",$C193="CET",$C193=""),OR(G$190="-",G$190="CET",G$190="")),"-",IF(OR(G$190="CET",G$190="-",G$190=""),IF(OR($C193="CET",$C193="-",$C193=""),"-",$C193),G$190))</f>
        <v>-</v>
      </c>
      <c r="BG207" s="153" t="str">
        <f t="shared" si="253"/>
        <v>-</v>
      </c>
      <c r="BH207" s="153" t="str">
        <f t="shared" si="253"/>
        <v>-</v>
      </c>
      <c r="BI207" s="153" t="str">
        <f t="shared" si="253"/>
        <v>-</v>
      </c>
      <c r="BJ207" s="153" t="str">
        <f t="shared" si="253"/>
        <v>-</v>
      </c>
      <c r="BK207" s="153" t="str">
        <f t="shared" si="253"/>
        <v>-</v>
      </c>
      <c r="BL207" s="153" t="str">
        <f t="shared" si="253"/>
        <v>-</v>
      </c>
    </row>
    <row r="208" spans="1:73" ht="15" customHeight="1" outlineLevel="2" thickBot="1" x14ac:dyDescent="0.3">
      <c r="A208" s="40"/>
      <c r="B208" s="873"/>
      <c r="C208" s="854" t="s">
        <v>64</v>
      </c>
      <c r="D208" s="772" t="str">
        <f>IF(AND(F209="-",G209="-",H209="-",I209="-",J209="-",K209="-",K209="-",L209="-"),"-",MAX(F209,G209,H209,I209,J209,K209,L209,M209))</f>
        <v>-</v>
      </c>
      <c r="E208" s="66" t="s">
        <v>177</v>
      </c>
      <c r="F208" s="65" t="str">
        <f>IF(OR(F207="-",F207=""),IF(OR(F206="-",F206=""),"-",F206),IF(OR(F206="-",F206=""),F207,(F206+F207)/2))</f>
        <v>-</v>
      </c>
      <c r="G208" s="65" t="str">
        <f t="shared" ref="G208:N208" si="254">IF(OR(G207="-",G207=""),IF(OR(G206="-",G206=""),"-",G206),IF(OR(G206="-",G206=""),G207,(G206+G207)/2))</f>
        <v>-</v>
      </c>
      <c r="H208" s="65" t="str">
        <f t="shared" si="254"/>
        <v>-</v>
      </c>
      <c r="I208" s="65" t="str">
        <f t="shared" si="254"/>
        <v>-</v>
      </c>
      <c r="J208" s="65" t="str">
        <f t="shared" si="254"/>
        <v>-</v>
      </c>
      <c r="K208" s="167" t="str">
        <f t="shared" si="254"/>
        <v>-</v>
      </c>
      <c r="L208" s="167" t="str">
        <f t="shared" ref="L208:M208" si="255">IF(OR(L207="-",L207=""),IF(OR(L206="-",L206=""),"-",L206),IF(OR(L206="-",L206=""),L207,(L206+L207)/2))</f>
        <v>-</v>
      </c>
      <c r="M208" s="167" t="str">
        <f t="shared" si="255"/>
        <v>-</v>
      </c>
      <c r="N208" s="133" t="str">
        <f t="shared" si="254"/>
        <v>-</v>
      </c>
      <c r="O208" s="749"/>
      <c r="P208" s="750"/>
      <c r="Q208" s="750"/>
      <c r="R208" s="754"/>
      <c r="S208" s="749"/>
      <c r="T208" s="750"/>
      <c r="U208" s="750"/>
      <c r="V208" s="754"/>
      <c r="W208" s="119"/>
      <c r="X208" s="119"/>
      <c r="Y208" s="743"/>
      <c r="Z208" s="743"/>
      <c r="AA208" s="743"/>
      <c r="AB208" s="743"/>
      <c r="AC208" s="743"/>
      <c r="AD208" s="743"/>
      <c r="AE208" s="743"/>
      <c r="AF208" s="743"/>
      <c r="AG208" s="743"/>
      <c r="AH208" s="743"/>
      <c r="BC208" s="155" t="str">
        <f t="shared" si="196"/>
        <v>-</v>
      </c>
      <c r="BD208" s="151" t="str">
        <f>"IEF " &amp; B196</f>
        <v>IEF City (EMROAD)</v>
      </c>
      <c r="BE208" s="153" t="str">
        <f>IF(AND(OR($C198="-",$C198="CET",$C198=""),OR(F$190="-",F$190="CET",F$190="")),"-",IF(OR(F$190="CET",F$190="-",F$190=""),IF(OR($C198="CET",$C198="-",$C198=""),"-",$C198),F$190))</f>
        <v>-</v>
      </c>
      <c r="BF208" s="153" t="str">
        <f t="shared" ref="BF208:BL208" si="256">IF(AND(OR($C198="-",$C198="CET",$C198=""),OR(G$190="-",G$190="CET",G$190="")),"-",IF(OR(G$190="CET",G$190="-",G$190=""),IF(OR($C198="CET",$C198="-",$C198=""),"-",$C198),G$190))</f>
        <v>-</v>
      </c>
      <c r="BG208" s="153" t="str">
        <f t="shared" si="256"/>
        <v>-</v>
      </c>
      <c r="BH208" s="153" t="str">
        <f t="shared" si="256"/>
        <v>-</v>
      </c>
      <c r="BI208" s="153" t="str">
        <f t="shared" si="256"/>
        <v>-</v>
      </c>
      <c r="BJ208" s="153" t="str">
        <f t="shared" si="256"/>
        <v>-</v>
      </c>
      <c r="BK208" s="153" t="str">
        <f t="shared" si="256"/>
        <v>-</v>
      </c>
      <c r="BL208" s="153" t="str">
        <f t="shared" si="256"/>
        <v>-</v>
      </c>
    </row>
    <row r="209" spans="1:73" ht="15" customHeight="1" outlineLevel="2" thickBot="1" x14ac:dyDescent="0.3">
      <c r="A209" s="40"/>
      <c r="B209" s="873"/>
      <c r="C209" s="855"/>
      <c r="D209" s="773"/>
      <c r="E209" s="64" t="s">
        <v>97</v>
      </c>
      <c r="F209" s="63" t="str">
        <f t="shared" ref="F209:N209" si="257">IF(AND(OR($C208="-",$C208="CET",$C208=""),OR(F$190="-",F$190="CET",F$190="")),"-",IF(AND(NOT(F208="-"),NOT(F$5="-"),NOT(F$5="")),F208/F$5,"-"))</f>
        <v>-</v>
      </c>
      <c r="G209" s="63" t="str">
        <f t="shared" si="257"/>
        <v>-</v>
      </c>
      <c r="H209" s="63" t="str">
        <f t="shared" si="257"/>
        <v>-</v>
      </c>
      <c r="I209" s="63" t="str">
        <f t="shared" si="257"/>
        <v>-</v>
      </c>
      <c r="J209" s="63" t="str">
        <f t="shared" si="257"/>
        <v>-</v>
      </c>
      <c r="K209" s="168" t="str">
        <f t="shared" si="257"/>
        <v>-</v>
      </c>
      <c r="L209" s="168" t="str">
        <f t="shared" si="257"/>
        <v>-</v>
      </c>
      <c r="M209" s="168" t="str">
        <f t="shared" si="257"/>
        <v>-</v>
      </c>
      <c r="N209" s="63" t="str">
        <f t="shared" si="257"/>
        <v>-</v>
      </c>
      <c r="O209" s="749"/>
      <c r="P209" s="750"/>
      <c r="Q209" s="750"/>
      <c r="R209" s="754"/>
      <c r="S209" s="749"/>
      <c r="T209" s="750"/>
      <c r="U209" s="750"/>
      <c r="V209" s="754"/>
      <c r="W209" s="119"/>
      <c r="X209" s="119"/>
      <c r="Y209" s="743"/>
      <c r="Z209" s="743"/>
      <c r="AA209" s="743"/>
      <c r="AB209" s="743"/>
      <c r="AC209" s="743"/>
      <c r="AD209" s="743"/>
      <c r="AE209" s="743"/>
      <c r="AF209" s="743"/>
      <c r="AG209" s="743"/>
      <c r="AH209" s="743"/>
      <c r="BC209" s="155" t="str">
        <f t="shared" si="196"/>
        <v>-</v>
      </c>
      <c r="BD209" s="151" t="str">
        <f>"IEF " &amp; B201</f>
        <v>IEF City (SPF)</v>
      </c>
      <c r="BE209" s="153" t="str">
        <f>IF(AND(OR($C203="-",$C203="CET",$C203=""),OR(F$190="-",F$190="CET",F$190="")),"-",IF(OR(F$190="CET",F$190="-",F$190=""),IF(OR($C203="CET",$C203="-",$C203=""),"-",$C203),F$190))</f>
        <v>-</v>
      </c>
      <c r="BF209" s="153" t="str">
        <f t="shared" ref="BF209:BL209" si="258">IF(AND(OR($C203="-",$C203="CET",$C203=""),OR(G$190="-",G$190="CET",G$190="")),"-",IF(OR(G$190="CET",G$190="-",G$190=""),IF(OR($C203="CET",$C203="-",$C203=""),"-",$C203),G$190))</f>
        <v>-</v>
      </c>
      <c r="BG209" s="153" t="str">
        <f t="shared" si="258"/>
        <v>-</v>
      </c>
      <c r="BH209" s="153" t="str">
        <f t="shared" si="258"/>
        <v>-</v>
      </c>
      <c r="BI209" s="153" t="str">
        <f t="shared" si="258"/>
        <v>-</v>
      </c>
      <c r="BJ209" s="153" t="str">
        <f t="shared" si="258"/>
        <v>-</v>
      </c>
      <c r="BK209" s="153" t="str">
        <f t="shared" si="258"/>
        <v>-</v>
      </c>
      <c r="BL209" s="153" t="str">
        <f t="shared" si="258"/>
        <v>-</v>
      </c>
    </row>
    <row r="210" spans="1:73" s="50" customFormat="1" ht="15" customHeight="1" outlineLevel="2" thickBot="1" x14ac:dyDescent="0.3">
      <c r="A210" s="52"/>
      <c r="B210" s="874"/>
      <c r="C210" s="856"/>
      <c r="D210" s="774"/>
      <c r="E210" s="62" t="s">
        <v>30</v>
      </c>
      <c r="F210" s="62" t="str">
        <f t="shared" ref="F210:N210" si="259">IF(AND(OR(F206="-",F206=""),OR(F207="-",F207="")),"-",IF(AND(OR(F$190="CET",F$190="-",F$190=""),OR($C208="CET",$C208="-",$C208="")),"-",IF($R$186="not listed","-",IF(AND(NOT(F$5="-"),NOT(F$5="")),IF(AND(AND(NOT(F206=0),NOT(F206="-"),NOT(F206="")),AND(NOT(F207="-"),NOT(F207=0),NOT(F207=""))),IF(AND((F206+F207)/2&lt;1*F$5*IF(OR(F$190="CET",F$190="-",F$190=""),IF(OR($C208="CET",$C208="-",$C208=""),"-",$C208),F$190),F206&lt;1.1*F$5*IF(OR(F$190="CET",F$190="-",F$190=""),IF(OR($C208="CET",$C208="-",$C208=""),"-",$C208),F$190),F207&lt;1.1*F$5*IF(OR(F$190="CET",F$190="-",F$190=""),IF($C208="CET","-",$C208),F$190)),"passed","refused"),IF(IF(OR(F206="-",F206=""),F207,F206)&lt;0.7*F$5*IF(OR(F$190="CET",F$190="-",F$190=""),IF($C208="CET","-",$C208),F$190),"passed",IF(IF(OR(F206="-",F206=""),F207,F206)&lt;1.1*IF(OR(F$190="CET",F$190="-",F$190=""),IF($C208="CET","-",$C208),F$190)*F$5,"failed","refused"))),"-"))))</f>
        <v>-</v>
      </c>
      <c r="G210" s="62" t="str">
        <f t="shared" si="259"/>
        <v>-</v>
      </c>
      <c r="H210" s="62" t="str">
        <f t="shared" si="259"/>
        <v>-</v>
      </c>
      <c r="I210" s="62" t="str">
        <f t="shared" si="259"/>
        <v>-</v>
      </c>
      <c r="J210" s="62" t="str">
        <f t="shared" si="259"/>
        <v>-</v>
      </c>
      <c r="K210" s="169" t="str">
        <f t="shared" si="259"/>
        <v>-</v>
      </c>
      <c r="L210" s="169" t="str">
        <f t="shared" si="259"/>
        <v>-</v>
      </c>
      <c r="M210" s="169" t="str">
        <f t="shared" si="259"/>
        <v>-</v>
      </c>
      <c r="N210" s="62" t="str">
        <f t="shared" si="259"/>
        <v>-</v>
      </c>
      <c r="O210" s="749"/>
      <c r="P210" s="750"/>
      <c r="Q210" s="750"/>
      <c r="R210" s="754"/>
      <c r="S210" s="749"/>
      <c r="T210" s="750"/>
      <c r="U210" s="750"/>
      <c r="V210" s="754"/>
      <c r="W210" s="51"/>
      <c r="X210" s="51"/>
      <c r="Y210" s="743"/>
      <c r="Z210" s="743"/>
      <c r="AA210" s="743"/>
      <c r="AB210" s="743"/>
      <c r="AC210" s="743"/>
      <c r="AD210" s="743"/>
      <c r="AE210" s="743"/>
      <c r="AF210" s="743"/>
      <c r="AG210" s="743"/>
      <c r="AH210" s="743"/>
      <c r="BC210" s="155" t="str">
        <f t="shared" si="196"/>
        <v>-</v>
      </c>
      <c r="BD210" s="151" t="str">
        <f>"IEF " &amp; B206</f>
        <v>IEF Total (unweighted)</v>
      </c>
      <c r="BE210" s="153" t="str">
        <f>IF(AND(OR($C208="-",$C208="CET",$C208=""),OR(F$190="-",F$190="CET",F$190="")),"-",IF(OR(F$190="CET",F$190="-",F$190=""),IF(OR($C208="CET",$C208="-",$C208=""),"-",$C208),F$190))</f>
        <v>-</v>
      </c>
      <c r="BF210" s="153" t="str">
        <f t="shared" ref="BF210:BL210" si="260">IF(AND(OR($C208="-",$C208="CET",$C208=""),OR(G$190="-",G$190="CET",G$190="")),"-",IF(OR(G$190="CET",G$190="-",G$190=""),IF(OR($C208="CET",$C208="-",$C208=""),"-",$C208),G$190))</f>
        <v>-</v>
      </c>
      <c r="BG210" s="153" t="str">
        <f t="shared" si="260"/>
        <v>-</v>
      </c>
      <c r="BH210" s="153" t="str">
        <f t="shared" si="260"/>
        <v>-</v>
      </c>
      <c r="BI210" s="153" t="str">
        <f t="shared" si="260"/>
        <v>-</v>
      </c>
      <c r="BJ210" s="153" t="str">
        <f t="shared" si="260"/>
        <v>-</v>
      </c>
      <c r="BK210" s="153" t="str">
        <f t="shared" si="260"/>
        <v>-</v>
      </c>
      <c r="BL210" s="153" t="str">
        <f t="shared" si="260"/>
        <v>-</v>
      </c>
      <c r="BM210" s="150"/>
      <c r="BN210" s="150"/>
      <c r="BO210" s="150"/>
      <c r="BP210" s="150"/>
      <c r="BQ210" s="150"/>
      <c r="BR210" s="150"/>
      <c r="BS210" s="150"/>
      <c r="BT210" s="150"/>
      <c r="BU210" s="150"/>
    </row>
    <row r="211" spans="1:73" ht="15" customHeight="1" outlineLevel="2" x14ac:dyDescent="0.25">
      <c r="A211" s="40"/>
      <c r="B211" s="872" t="s">
        <v>104</v>
      </c>
      <c r="C211" s="770" t="s">
        <v>114</v>
      </c>
      <c r="D211" s="770" t="s">
        <v>113</v>
      </c>
      <c r="E211" s="106" t="s">
        <v>94</v>
      </c>
      <c r="F211" s="105" t="s">
        <v>5</v>
      </c>
      <c r="G211" s="105" t="s">
        <v>5</v>
      </c>
      <c r="H211" s="105" t="s">
        <v>5</v>
      </c>
      <c r="I211" s="105" t="s">
        <v>5</v>
      </c>
      <c r="J211" s="105" t="s">
        <v>5</v>
      </c>
      <c r="K211" s="173" t="s">
        <v>5</v>
      </c>
      <c r="L211" s="173" t="s">
        <v>5</v>
      </c>
      <c r="M211" s="173" t="s">
        <v>5</v>
      </c>
      <c r="N211" s="131" t="s">
        <v>5</v>
      </c>
      <c r="O211" s="749"/>
      <c r="P211" s="750"/>
      <c r="Q211" s="750"/>
      <c r="R211" s="754"/>
      <c r="S211" s="749"/>
      <c r="T211" s="750"/>
      <c r="U211" s="750"/>
      <c r="V211" s="754"/>
      <c r="W211" s="119"/>
      <c r="X211" s="119"/>
      <c r="Y211" s="743"/>
      <c r="Z211" s="743"/>
      <c r="AA211" s="743"/>
      <c r="AB211" s="743"/>
      <c r="AC211" s="743"/>
      <c r="AD211" s="743"/>
      <c r="AE211" s="743"/>
      <c r="AF211" s="743"/>
      <c r="AG211" s="743"/>
      <c r="AH211" s="743"/>
      <c r="BC211" s="155" t="str">
        <f t="shared" si="196"/>
        <v>-</v>
      </c>
      <c r="BD211" s="151" t="str">
        <f>"IEF " &amp; B211</f>
        <v>IEF Total (EMROAD)</v>
      </c>
      <c r="BE211" s="153" t="str">
        <f>IF(AND(OR($C213="-",$C213="CET",$C213=""),OR(F$190="-",F$190="CET",F$190="")),"-",IF(OR(F$190="CET",F$190="-",F$190=""),IF(OR($C213="CET",$C213="-",$C213=""),"-",$C213),F$190))</f>
        <v>-</v>
      </c>
      <c r="BF211" s="153" t="str">
        <f t="shared" ref="BF211:BL211" si="261">IF(AND(OR($C213="-",$C213="CET",$C213=""),OR(G$190="-",G$190="CET",G$190="")),"-",IF(OR(G$190="CET",G$190="-",G$190=""),IF(OR($C213="CET",$C213="-",$C213=""),"-",$C213),G$190))</f>
        <v>-</v>
      </c>
      <c r="BG211" s="153" t="str">
        <f t="shared" si="261"/>
        <v>-</v>
      </c>
      <c r="BH211" s="153" t="str">
        <f t="shared" si="261"/>
        <v>-</v>
      </c>
      <c r="BI211" s="153" t="str">
        <f t="shared" si="261"/>
        <v>-</v>
      </c>
      <c r="BJ211" s="153" t="str">
        <f t="shared" si="261"/>
        <v>-</v>
      </c>
      <c r="BK211" s="153" t="str">
        <f t="shared" si="261"/>
        <v>-</v>
      </c>
      <c r="BL211" s="153" t="str">
        <f t="shared" si="261"/>
        <v>-</v>
      </c>
    </row>
    <row r="212" spans="1:73" ht="15" customHeight="1" outlineLevel="2" thickBot="1" x14ac:dyDescent="0.3">
      <c r="A212" s="40"/>
      <c r="B212" s="873"/>
      <c r="C212" s="742"/>
      <c r="D212" s="742"/>
      <c r="E212" s="104" t="s">
        <v>95</v>
      </c>
      <c r="F212" s="103" t="s">
        <v>5</v>
      </c>
      <c r="G212" s="103" t="s">
        <v>5</v>
      </c>
      <c r="H212" s="103" t="s">
        <v>5</v>
      </c>
      <c r="I212" s="103" t="s">
        <v>5</v>
      </c>
      <c r="J212" s="103" t="s">
        <v>5</v>
      </c>
      <c r="K212" s="174" t="s">
        <v>5</v>
      </c>
      <c r="L212" s="174" t="s">
        <v>5</v>
      </c>
      <c r="M212" s="174" t="s">
        <v>5</v>
      </c>
      <c r="N212" s="132" t="s">
        <v>5</v>
      </c>
      <c r="O212" s="749"/>
      <c r="P212" s="750"/>
      <c r="Q212" s="750"/>
      <c r="R212" s="754"/>
      <c r="S212" s="749"/>
      <c r="T212" s="750"/>
      <c r="U212" s="750"/>
      <c r="V212" s="754"/>
      <c r="W212" s="119"/>
      <c r="X212" s="119"/>
      <c r="Y212" s="743"/>
      <c r="Z212" s="743"/>
      <c r="AA212" s="743"/>
      <c r="AB212" s="743"/>
      <c r="AC212" s="743"/>
      <c r="AD212" s="743"/>
      <c r="AE212" s="743"/>
      <c r="AF212" s="743"/>
      <c r="AG212" s="743"/>
      <c r="AH212" s="743"/>
      <c r="BC212" s="155" t="str">
        <f t="shared" si="196"/>
        <v>-</v>
      </c>
      <c r="BD212" s="151" t="str">
        <f>"IEF " &amp; B216</f>
        <v>IEF Total (SPF)</v>
      </c>
      <c r="BE212" s="153" t="str">
        <f>IF(AND(OR($C218="-",$C218="CET",$C218=""),OR(F$190="-",F$190="CET",F$190="")),"-",IF(OR(F$190="CET",F$190="-",F$190=""),IF(OR($C218="CET",$C218="-",$C218=""),"-",$C218),F$190))</f>
        <v>-</v>
      </c>
      <c r="BF212" s="153" t="str">
        <f t="shared" ref="BF212:BL212" si="262">IF(AND(OR($C218="-",$C218="CET",$C218=""),OR(G$190="-",G$190="CET",G$190="")),"-",IF(OR(G$190="CET",G$190="-",G$190=""),IF(OR($C218="CET",$C218="-",$C218=""),"-",$C218),G$190))</f>
        <v>-</v>
      </c>
      <c r="BG212" s="153" t="str">
        <f t="shared" si="262"/>
        <v>-</v>
      </c>
      <c r="BH212" s="153" t="str">
        <f t="shared" si="262"/>
        <v>-</v>
      </c>
      <c r="BI212" s="153" t="str">
        <f t="shared" si="262"/>
        <v>-</v>
      </c>
      <c r="BJ212" s="153" t="str">
        <f t="shared" si="262"/>
        <v>-</v>
      </c>
      <c r="BK212" s="153" t="str">
        <f t="shared" si="262"/>
        <v>-</v>
      </c>
      <c r="BL212" s="153" t="str">
        <f t="shared" si="262"/>
        <v>-</v>
      </c>
    </row>
    <row r="213" spans="1:73" ht="15" customHeight="1" outlineLevel="2" thickBot="1" x14ac:dyDescent="0.3">
      <c r="A213" s="40"/>
      <c r="B213" s="873"/>
      <c r="C213" s="854" t="s">
        <v>64</v>
      </c>
      <c r="D213" s="772" t="str">
        <f>IF(AND(F214="-",G214="-",H214="-",I214="-",J214="-",K214="-",K214="-",L214="-"),"-",MAX(F214,G214,H214,I214,J214,K214,L214,M214))</f>
        <v>-</v>
      </c>
      <c r="E213" s="66" t="s">
        <v>177</v>
      </c>
      <c r="F213" s="65" t="str">
        <f>IF(OR(F212="-",F212=""),IF(OR(F211="-",F211=""),"-",F211),IF(OR(F211="-",F211=""),F212,(F211+F212)/2))</f>
        <v>-</v>
      </c>
      <c r="G213" s="65" t="str">
        <f t="shared" ref="G213:N213" si="263">IF(OR(G212="-",G212=""),IF(OR(G211="-",G211=""),"-",G211),IF(OR(G211="-",G211=""),G212,(G211+G212)/2))</f>
        <v>-</v>
      </c>
      <c r="H213" s="65" t="str">
        <f t="shared" si="263"/>
        <v>-</v>
      </c>
      <c r="I213" s="65" t="str">
        <f t="shared" si="263"/>
        <v>-</v>
      </c>
      <c r="J213" s="65" t="str">
        <f t="shared" si="263"/>
        <v>-</v>
      </c>
      <c r="K213" s="167" t="str">
        <f t="shared" si="263"/>
        <v>-</v>
      </c>
      <c r="L213" s="167" t="str">
        <f t="shared" ref="L213:M213" si="264">IF(OR(L212="-",L212=""),IF(OR(L211="-",L211=""),"-",L211),IF(OR(L211="-",L211=""),L212,(L211+L212)/2))</f>
        <v>-</v>
      </c>
      <c r="M213" s="167" t="str">
        <f t="shared" si="264"/>
        <v>-</v>
      </c>
      <c r="N213" s="133" t="str">
        <f t="shared" si="263"/>
        <v>-</v>
      </c>
      <c r="O213" s="749"/>
      <c r="P213" s="750"/>
      <c r="Q213" s="750"/>
      <c r="R213" s="754"/>
      <c r="S213" s="749"/>
      <c r="T213" s="750"/>
      <c r="U213" s="750"/>
      <c r="V213" s="754"/>
      <c r="W213" s="119"/>
      <c r="X213" s="119"/>
      <c r="Y213" s="743"/>
      <c r="Z213" s="743"/>
      <c r="AA213" s="743"/>
      <c r="AB213" s="743"/>
      <c r="AC213" s="743"/>
      <c r="AD213" s="743"/>
      <c r="AE213" s="743"/>
      <c r="AF213" s="743"/>
      <c r="AG213" s="743"/>
      <c r="AH213" s="743"/>
      <c r="BC213" s="155" t="str">
        <f t="shared" si="196"/>
        <v>-</v>
      </c>
    </row>
    <row r="214" spans="1:73" s="50" customFormat="1" ht="15" customHeight="1" outlineLevel="2" thickBot="1" x14ac:dyDescent="0.3">
      <c r="A214" s="52"/>
      <c r="B214" s="873"/>
      <c r="C214" s="855"/>
      <c r="D214" s="773"/>
      <c r="E214" s="64" t="s">
        <v>97</v>
      </c>
      <c r="F214" s="63" t="str">
        <f t="shared" ref="F214:N214" si="265">IF(AND(OR($C213="-",$C213="CET",$C213=""),OR(F$190="-",F$190="CET",F$190="")),"-",IF(AND(NOT(F213="-"),NOT(F$5="-"),NOT(F$5="")),F213/F$5,"-"))</f>
        <v>-</v>
      </c>
      <c r="G214" s="63" t="str">
        <f t="shared" si="265"/>
        <v>-</v>
      </c>
      <c r="H214" s="63" t="str">
        <f t="shared" si="265"/>
        <v>-</v>
      </c>
      <c r="I214" s="63" t="str">
        <f t="shared" si="265"/>
        <v>-</v>
      </c>
      <c r="J214" s="63" t="str">
        <f t="shared" si="265"/>
        <v>-</v>
      </c>
      <c r="K214" s="168" t="str">
        <f t="shared" si="265"/>
        <v>-</v>
      </c>
      <c r="L214" s="168" t="str">
        <f t="shared" si="265"/>
        <v>-</v>
      </c>
      <c r="M214" s="168" t="str">
        <f t="shared" si="265"/>
        <v>-</v>
      </c>
      <c r="N214" s="63" t="str">
        <f t="shared" si="265"/>
        <v>-</v>
      </c>
      <c r="O214" s="749"/>
      <c r="P214" s="750"/>
      <c r="Q214" s="750"/>
      <c r="R214" s="754"/>
      <c r="S214" s="749"/>
      <c r="T214" s="750"/>
      <c r="U214" s="750"/>
      <c r="V214" s="754"/>
      <c r="W214" s="51"/>
      <c r="X214" s="51"/>
      <c r="Y214" s="743"/>
      <c r="Z214" s="743"/>
      <c r="AA214" s="743"/>
      <c r="AB214" s="743"/>
      <c r="AC214" s="743"/>
      <c r="AD214" s="743"/>
      <c r="AE214" s="743"/>
      <c r="AF214" s="743"/>
      <c r="AG214" s="743"/>
      <c r="AH214" s="743"/>
      <c r="BC214" s="155" t="str">
        <f t="shared" si="196"/>
        <v>-</v>
      </c>
      <c r="BD214" s="156"/>
      <c r="BE214" s="156"/>
      <c r="BF214" s="156"/>
      <c r="BG214" s="156"/>
      <c r="BH214" s="156"/>
      <c r="BI214" s="156"/>
      <c r="BJ214" s="156"/>
      <c r="BK214" s="156"/>
      <c r="BL214" s="156"/>
      <c r="BM214" s="150"/>
      <c r="BN214" s="150"/>
      <c r="BO214" s="150"/>
      <c r="BP214" s="150"/>
      <c r="BQ214" s="150"/>
      <c r="BR214" s="150"/>
      <c r="BS214" s="150"/>
      <c r="BT214" s="150"/>
      <c r="BU214" s="150"/>
    </row>
    <row r="215" spans="1:73" ht="15" customHeight="1" outlineLevel="2" thickBot="1" x14ac:dyDescent="0.3">
      <c r="A215" s="40"/>
      <c r="B215" s="874"/>
      <c r="C215" s="856"/>
      <c r="D215" s="774"/>
      <c r="E215" s="62" t="s">
        <v>30</v>
      </c>
      <c r="F215" s="62" t="str">
        <f t="shared" ref="F215:N215" si="266">IF(AND(OR(F211="-",F211=""),OR(F212="-",F212="")),"-",IF(AND(OR(F$190="CET",F$190="-",F$190=""),OR($C213="CET",$C213="-",$C213="")),"-",IF($R$186="not listed","-",IF(AND(NOT(F$5="-"),NOT(F$5="")),IF(AND(AND(NOT(F211=0),NOT(F211="-"),NOT(F211="")),AND(NOT(F212="-"),NOT(F212=0),NOT(F212=""))),IF(AND((F211+F212)/2&lt;1*F$5*IF(OR(F$190="CET",F$190="-",F$190=""),IF(OR($C213="CET",$C213="-",$C213=""),"-",$C213),F$190),F211&lt;1.1*F$5*IF(OR(F$190="CET",F$190="-",F$190=""),IF(OR($C213="CET",$C213="-",$C213=""),"-",$C213),F$190),F212&lt;1.1*F$5*IF(OR(F$190="CET",F$190="-",F$190=""),IF($C213="CET","-",$C213),F$190)),"passed","refused"),IF(IF(OR(F211="-",F211=""),F212,F211)&lt;0.7*F$5*IF(OR(F$190="CET",F$190="-",F$190=""),IF($C213="CET","-",$C213),F$190),"passed",IF(IF(OR(F211="-",F211=""),F212,F211)&lt;1.1*IF(OR(F$190="CET",F$190="-",F$190=""),IF($C213="CET","-",$C213),F$190)*F$5,"failed","refused"))),"-"))))</f>
        <v>-</v>
      </c>
      <c r="G215" s="62" t="str">
        <f t="shared" si="266"/>
        <v>-</v>
      </c>
      <c r="H215" s="62" t="str">
        <f t="shared" si="266"/>
        <v>-</v>
      </c>
      <c r="I215" s="62" t="str">
        <f t="shared" si="266"/>
        <v>-</v>
      </c>
      <c r="J215" s="62" t="str">
        <f t="shared" si="266"/>
        <v>-</v>
      </c>
      <c r="K215" s="169" t="str">
        <f t="shared" si="266"/>
        <v>-</v>
      </c>
      <c r="L215" s="169" t="str">
        <f t="shared" si="266"/>
        <v>-</v>
      </c>
      <c r="M215" s="169" t="str">
        <f t="shared" si="266"/>
        <v>-</v>
      </c>
      <c r="N215" s="62" t="str">
        <f t="shared" si="266"/>
        <v>-</v>
      </c>
      <c r="O215" s="749"/>
      <c r="P215" s="750"/>
      <c r="Q215" s="750"/>
      <c r="R215" s="754"/>
      <c r="S215" s="749"/>
      <c r="T215" s="750"/>
      <c r="U215" s="750"/>
      <c r="V215" s="754"/>
      <c r="W215" s="119"/>
      <c r="X215" s="119"/>
      <c r="Y215" s="743"/>
      <c r="Z215" s="743"/>
      <c r="AA215" s="743"/>
      <c r="AB215" s="743"/>
      <c r="AC215" s="743"/>
      <c r="AD215" s="743"/>
      <c r="AE215" s="743"/>
      <c r="AF215" s="743"/>
      <c r="AG215" s="743"/>
      <c r="AH215" s="743"/>
      <c r="BC215" s="155" t="str">
        <f t="shared" si="196"/>
        <v>-</v>
      </c>
      <c r="BD215" s="157"/>
      <c r="BE215" s="157"/>
      <c r="BF215" s="157"/>
      <c r="BG215" s="157"/>
      <c r="BH215" s="157"/>
      <c r="BI215" s="157"/>
      <c r="BJ215" s="157"/>
      <c r="BK215" s="157"/>
      <c r="BL215" s="157"/>
    </row>
    <row r="216" spans="1:73" ht="15" customHeight="1" outlineLevel="2" x14ac:dyDescent="0.25">
      <c r="A216" s="40"/>
      <c r="B216" s="872" t="s">
        <v>140</v>
      </c>
      <c r="C216" s="770" t="s">
        <v>114</v>
      </c>
      <c r="D216" s="770" t="s">
        <v>113</v>
      </c>
      <c r="E216" s="106" t="s">
        <v>94</v>
      </c>
      <c r="F216" s="105" t="s">
        <v>5</v>
      </c>
      <c r="G216" s="105" t="s">
        <v>5</v>
      </c>
      <c r="H216" s="105" t="s">
        <v>5</v>
      </c>
      <c r="I216" s="105" t="s">
        <v>5</v>
      </c>
      <c r="J216" s="105" t="s">
        <v>5</v>
      </c>
      <c r="K216" s="173" t="s">
        <v>5</v>
      </c>
      <c r="L216" s="173" t="s">
        <v>5</v>
      </c>
      <c r="M216" s="173" t="s">
        <v>5</v>
      </c>
      <c r="N216" s="131" t="s">
        <v>5</v>
      </c>
      <c r="O216" s="749"/>
      <c r="P216" s="750"/>
      <c r="Q216" s="750"/>
      <c r="R216" s="754"/>
      <c r="S216" s="749"/>
      <c r="T216" s="750"/>
      <c r="U216" s="750"/>
      <c r="V216" s="754"/>
      <c r="W216" s="119"/>
      <c r="X216" s="119"/>
      <c r="Y216" s="743"/>
      <c r="Z216" s="743"/>
      <c r="AA216" s="743"/>
      <c r="AB216" s="743"/>
      <c r="AC216" s="743"/>
      <c r="AD216" s="743"/>
      <c r="AE216" s="743"/>
      <c r="AF216" s="743"/>
      <c r="AG216" s="743"/>
      <c r="AH216" s="743"/>
      <c r="BC216" s="155" t="str">
        <f t="shared" si="196"/>
        <v>-</v>
      </c>
      <c r="BD216" s="157"/>
      <c r="BE216" s="157"/>
      <c r="BF216" s="157"/>
      <c r="BG216" s="157"/>
      <c r="BH216" s="157"/>
      <c r="BI216" s="157"/>
      <c r="BJ216" s="157"/>
      <c r="BK216" s="157"/>
      <c r="BL216" s="157"/>
    </row>
    <row r="217" spans="1:73" ht="15.75" outlineLevel="2" thickBot="1" x14ac:dyDescent="0.3">
      <c r="B217" s="873"/>
      <c r="C217" s="742"/>
      <c r="D217" s="742"/>
      <c r="E217" s="104" t="s">
        <v>95</v>
      </c>
      <c r="F217" s="103" t="s">
        <v>5</v>
      </c>
      <c r="G217" s="103" t="s">
        <v>5</v>
      </c>
      <c r="H217" s="103" t="s">
        <v>5</v>
      </c>
      <c r="I217" s="103" t="s">
        <v>5</v>
      </c>
      <c r="J217" s="103" t="s">
        <v>5</v>
      </c>
      <c r="K217" s="174" t="s">
        <v>5</v>
      </c>
      <c r="L217" s="174" t="s">
        <v>5</v>
      </c>
      <c r="M217" s="174" t="s">
        <v>5</v>
      </c>
      <c r="N217" s="132" t="s">
        <v>5</v>
      </c>
      <c r="O217" s="749"/>
      <c r="P217" s="750"/>
      <c r="Q217" s="750"/>
      <c r="R217" s="754"/>
      <c r="S217" s="749"/>
      <c r="T217" s="750"/>
      <c r="U217" s="750"/>
      <c r="V217" s="754"/>
      <c r="BC217" s="155" t="str">
        <f t="shared" si="196"/>
        <v>-</v>
      </c>
    </row>
    <row r="218" spans="1:73" ht="15.75" outlineLevel="2" thickBot="1" x14ac:dyDescent="0.3">
      <c r="B218" s="873"/>
      <c r="C218" s="854" t="s">
        <v>64</v>
      </c>
      <c r="D218" s="772" t="str">
        <f>IF(AND(F219="-",G219="-",H219="-",I219="-",J219="-",K219="-",K219="-",L219="-"),"-",MAX(F219,G219,H219,I219,J219,K219,L219,M219))</f>
        <v>-</v>
      </c>
      <c r="E218" s="66" t="s">
        <v>177</v>
      </c>
      <c r="F218" s="65" t="str">
        <f>IF(OR(F217="-",F217=""),IF(OR(F216="-",F216=""),"-",F216),IF(OR(F216="-",F216=""),F217,(F216+F217)/2))</f>
        <v>-</v>
      </c>
      <c r="G218" s="65" t="str">
        <f t="shared" ref="G218:N218" si="267">IF(OR(G217="-",G217=""),IF(OR(G216="-",G216=""),"-",G216),IF(OR(G216="-",G216=""),G217,(G216+G217)/2))</f>
        <v>-</v>
      </c>
      <c r="H218" s="65" t="str">
        <f t="shared" si="267"/>
        <v>-</v>
      </c>
      <c r="I218" s="65" t="str">
        <f t="shared" si="267"/>
        <v>-</v>
      </c>
      <c r="J218" s="65" t="str">
        <f t="shared" si="267"/>
        <v>-</v>
      </c>
      <c r="K218" s="167" t="str">
        <f t="shared" si="267"/>
        <v>-</v>
      </c>
      <c r="L218" s="167" t="str">
        <f t="shared" ref="L218:M218" si="268">IF(OR(L217="-",L217=""),IF(OR(L216="-",L216=""),"-",L216),IF(OR(L216="-",L216=""),L217,(L216+L217)/2))</f>
        <v>-</v>
      </c>
      <c r="M218" s="167" t="str">
        <f t="shared" si="268"/>
        <v>-</v>
      </c>
      <c r="N218" s="133" t="str">
        <f t="shared" si="267"/>
        <v>-</v>
      </c>
      <c r="O218" s="749"/>
      <c r="P218" s="750"/>
      <c r="Q218" s="750"/>
      <c r="R218" s="754"/>
      <c r="S218" s="749"/>
      <c r="T218" s="750"/>
      <c r="U218" s="750"/>
      <c r="V218" s="754"/>
      <c r="BC218" s="155" t="str">
        <f t="shared" si="196"/>
        <v>-</v>
      </c>
    </row>
    <row r="219" spans="1:73" ht="15.75" outlineLevel="2" thickBot="1" x14ac:dyDescent="0.3">
      <c r="B219" s="873"/>
      <c r="C219" s="855"/>
      <c r="D219" s="773"/>
      <c r="E219" s="64" t="s">
        <v>97</v>
      </c>
      <c r="F219" s="63" t="str">
        <f t="shared" ref="F219:N219" si="269">IF(AND(OR($C218="-",$C218="CET",$C218=""),OR(F$190="-",F$190="CET",F$190="")),"-",IF(AND(NOT(F218="-"),NOT(F$5="-"),NOT(F$5="")),F218/F$5,"-"))</f>
        <v>-</v>
      </c>
      <c r="G219" s="63" t="str">
        <f t="shared" si="269"/>
        <v>-</v>
      </c>
      <c r="H219" s="63" t="str">
        <f t="shared" si="269"/>
        <v>-</v>
      </c>
      <c r="I219" s="63" t="str">
        <f t="shared" si="269"/>
        <v>-</v>
      </c>
      <c r="J219" s="63" t="str">
        <f t="shared" si="269"/>
        <v>-</v>
      </c>
      <c r="K219" s="168" t="str">
        <f t="shared" si="269"/>
        <v>-</v>
      </c>
      <c r="L219" s="168" t="str">
        <f t="shared" si="269"/>
        <v>-</v>
      </c>
      <c r="M219" s="168" t="str">
        <f t="shared" si="269"/>
        <v>-</v>
      </c>
      <c r="N219" s="63" t="str">
        <f t="shared" si="269"/>
        <v>-</v>
      </c>
      <c r="O219" s="749"/>
      <c r="P219" s="750"/>
      <c r="Q219" s="750"/>
      <c r="R219" s="754"/>
      <c r="S219" s="749"/>
      <c r="T219" s="750"/>
      <c r="U219" s="750"/>
      <c r="V219" s="754"/>
      <c r="BC219" s="155" t="str">
        <f t="shared" si="196"/>
        <v>-</v>
      </c>
    </row>
    <row r="220" spans="1:73" ht="15.75" outlineLevel="2" thickBot="1" x14ac:dyDescent="0.3">
      <c r="B220" s="874"/>
      <c r="C220" s="856"/>
      <c r="D220" s="774"/>
      <c r="E220" s="62" t="s">
        <v>30</v>
      </c>
      <c r="F220" s="62" t="str">
        <f t="shared" ref="F220:N220" si="270">IF(AND(OR(F216="-",F216=""),OR(F217="-",F217="")),"-",IF(AND(OR(F$190="CET",F$190="-",F$190=""),OR($C218="CET",$C218="-",$C218="")),"-",IF($R$186="not listed","-",IF(AND(NOT(F$5="-"),NOT(F$5="")),IF(AND(AND(NOT(F216=0),NOT(F216="-"),NOT(F216="")),AND(NOT(F217="-"),NOT(F217=0),NOT(F217=""))),IF(AND((F216+F217)/2&lt;1*F$5*IF(OR(F$190="CET",F$190="-",F$190=""),IF(OR($C218="CET",$C218="-",$C218=""),"-",$C218),F$190),F216&lt;1.1*F$5*IF(OR(F$190="CET",F$190="-",F$190=""),IF(OR($C218="CET",$C218="-",$C218=""),"-",$C218),F$190),F217&lt;1.1*F$5*IF(OR(F$190="CET",F$190="-",F$190=""),IF($C218="CET","-",$C218),F$190)),"passed","refused"),IF(IF(OR(F216="-",F216=""),F217,F216)&lt;0.7*F$5*IF(OR(F$190="CET",F$190="-",F$190=""),IF($C218="CET","-",$C218),F$190),"passed",IF(IF(OR(F216="-",F216=""),F217,F216)&lt;1.1*IF(OR(F$190="CET",F$190="-",F$190=""),IF($C218="CET","-",$C218),F$190)*F$5,"failed","refused"))),"-"))))</f>
        <v>-</v>
      </c>
      <c r="G220" s="62" t="str">
        <f t="shared" si="270"/>
        <v>-</v>
      </c>
      <c r="H220" s="62" t="str">
        <f t="shared" si="270"/>
        <v>-</v>
      </c>
      <c r="I220" s="62" t="str">
        <f t="shared" si="270"/>
        <v>-</v>
      </c>
      <c r="J220" s="62" t="str">
        <f t="shared" si="270"/>
        <v>-</v>
      </c>
      <c r="K220" s="169" t="str">
        <f t="shared" si="270"/>
        <v>-</v>
      </c>
      <c r="L220" s="169" t="str">
        <f t="shared" si="270"/>
        <v>-</v>
      </c>
      <c r="M220" s="169" t="str">
        <f t="shared" si="270"/>
        <v>-</v>
      </c>
      <c r="N220" s="62" t="str">
        <f t="shared" si="270"/>
        <v>-</v>
      </c>
      <c r="O220" s="751"/>
      <c r="P220" s="752"/>
      <c r="Q220" s="752"/>
      <c r="R220" s="755"/>
      <c r="S220" s="751"/>
      <c r="T220" s="752"/>
      <c r="U220" s="752"/>
      <c r="V220" s="755"/>
      <c r="BC220" s="155" t="str">
        <f t="shared" si="196"/>
        <v>-</v>
      </c>
    </row>
    <row r="221" spans="1:73" x14ac:dyDescent="0.25">
      <c r="BC221" s="155" t="str">
        <f t="shared" si="196"/>
        <v>-</v>
      </c>
    </row>
    <row r="222" spans="1:73" x14ac:dyDescent="0.25">
      <c r="BC222" s="155" t="str">
        <f t="shared" si="196"/>
        <v>-</v>
      </c>
    </row>
    <row r="223" spans="1:73" x14ac:dyDescent="0.25">
      <c r="BC223" s="155" t="str">
        <f t="shared" si="196"/>
        <v>-</v>
      </c>
    </row>
    <row r="224" spans="1:73" x14ac:dyDescent="0.25">
      <c r="BC224" s="155" t="str">
        <f t="shared" ref="BC224:BC230" si="271">IF(COUNTIF(F224:M224,"refused")&gt;0,"refused",IF(COUNTIF(F224:M224,"failed")&gt;0,"failed",IF(COUNTIF(F224:M224,"passed")&gt;0,"passed","-")))</f>
        <v>-</v>
      </c>
    </row>
    <row r="225" spans="55:55" x14ac:dyDescent="0.25">
      <c r="BC225" s="155" t="str">
        <f t="shared" si="271"/>
        <v>-</v>
      </c>
    </row>
    <row r="226" spans="55:55" x14ac:dyDescent="0.25">
      <c r="BC226" s="155" t="str">
        <f t="shared" si="271"/>
        <v>-</v>
      </c>
    </row>
    <row r="227" spans="55:55" x14ac:dyDescent="0.25">
      <c r="BC227" s="155" t="str">
        <f t="shared" si="271"/>
        <v>-</v>
      </c>
    </row>
    <row r="228" spans="55:55" x14ac:dyDescent="0.25">
      <c r="BC228" s="155" t="str">
        <f t="shared" si="271"/>
        <v>-</v>
      </c>
    </row>
    <row r="229" spans="55:55" x14ac:dyDescent="0.25">
      <c r="BC229" s="155" t="str">
        <f t="shared" si="271"/>
        <v>-</v>
      </c>
    </row>
    <row r="230" spans="55:55" x14ac:dyDescent="0.25">
      <c r="BC230" s="155" t="str">
        <f t="shared" si="271"/>
        <v>-</v>
      </c>
    </row>
  </sheetData>
  <sheetProtection algorithmName="SHA-512" hashValue="4L2ZaNI1YGgE/h2ZXkCKGZnTge6l+8+ofc4Bl4EAwo5bz3e7xjBM9lXKf4aaPYEF4iBACirBpqjKjYdKAKinTw==" saltValue="ZVLcgWc2oXyhQenabM62mw==" spinCount="100000" sheet="1" objects="1" scenarios="1" selectLockedCells="1"/>
  <mergeCells count="212">
    <mergeCell ref="B6:E6"/>
    <mergeCell ref="C8:N8"/>
    <mergeCell ref="B10:N10"/>
    <mergeCell ref="O10:R10"/>
    <mergeCell ref="S10:V10"/>
    <mergeCell ref="Y10:AH10"/>
    <mergeCell ref="A1:J2"/>
    <mergeCell ref="B4:D4"/>
    <mergeCell ref="O4:P4"/>
    <mergeCell ref="B5:E5"/>
    <mergeCell ref="O5:P5"/>
    <mergeCell ref="K1:Q2"/>
    <mergeCell ref="B11:E11"/>
    <mergeCell ref="O11:R32"/>
    <mergeCell ref="S11:V32"/>
    <mergeCell ref="Y11:AH31"/>
    <mergeCell ref="B12:B17"/>
    <mergeCell ref="D12:E12"/>
    <mergeCell ref="C13:C14"/>
    <mergeCell ref="D13:D14"/>
    <mergeCell ref="C15:C17"/>
    <mergeCell ref="D15:D17"/>
    <mergeCell ref="B28:B32"/>
    <mergeCell ref="C28:C29"/>
    <mergeCell ref="D28:D29"/>
    <mergeCell ref="C30:C32"/>
    <mergeCell ref="D30:D32"/>
    <mergeCell ref="D67:D68"/>
    <mergeCell ref="C69:C71"/>
    <mergeCell ref="D69:D71"/>
    <mergeCell ref="C63:N63"/>
    <mergeCell ref="B18:B22"/>
    <mergeCell ref="C18:C19"/>
    <mergeCell ref="D18:D19"/>
    <mergeCell ref="C20:C22"/>
    <mergeCell ref="D20:D22"/>
    <mergeCell ref="B23:B27"/>
    <mergeCell ref="C23:C24"/>
    <mergeCell ref="D23:D24"/>
    <mergeCell ref="C25:C27"/>
    <mergeCell ref="D25:D27"/>
    <mergeCell ref="C36:N36"/>
    <mergeCell ref="D40:E40"/>
    <mergeCell ref="C41:C42"/>
    <mergeCell ref="D41:D42"/>
    <mergeCell ref="C43:C45"/>
    <mergeCell ref="D43:D45"/>
    <mergeCell ref="B77:B81"/>
    <mergeCell ref="C77:C78"/>
    <mergeCell ref="D77:D78"/>
    <mergeCell ref="C79:C81"/>
    <mergeCell ref="D79:D81"/>
    <mergeCell ref="B82:B86"/>
    <mergeCell ref="B92:B96"/>
    <mergeCell ref="C92:C93"/>
    <mergeCell ref="D92:D93"/>
    <mergeCell ref="C94:C96"/>
    <mergeCell ref="D94:D96"/>
    <mergeCell ref="C82:C83"/>
    <mergeCell ref="D82:D83"/>
    <mergeCell ref="C84:C86"/>
    <mergeCell ref="D84:D86"/>
    <mergeCell ref="B87:B91"/>
    <mergeCell ref="C87:C88"/>
    <mergeCell ref="D87:D88"/>
    <mergeCell ref="C89:C91"/>
    <mergeCell ref="D89:D91"/>
    <mergeCell ref="C100:N100"/>
    <mergeCell ref="Y101:AH101"/>
    <mergeCell ref="B102:N102"/>
    <mergeCell ref="O102:R102"/>
    <mergeCell ref="S102:V102"/>
    <mergeCell ref="Y102:AH122"/>
    <mergeCell ref="B103:E103"/>
    <mergeCell ref="O103:R124"/>
    <mergeCell ref="S103:V124"/>
    <mergeCell ref="B104:B109"/>
    <mergeCell ref="B115:B119"/>
    <mergeCell ref="C115:C116"/>
    <mergeCell ref="C117:C119"/>
    <mergeCell ref="B120:B124"/>
    <mergeCell ref="C120:C121"/>
    <mergeCell ref="C122:C124"/>
    <mergeCell ref="D104:E104"/>
    <mergeCell ref="C105:C106"/>
    <mergeCell ref="D105:D106"/>
    <mergeCell ref="C107:C109"/>
    <mergeCell ref="D107:D109"/>
    <mergeCell ref="B110:B114"/>
    <mergeCell ref="C110:C111"/>
    <mergeCell ref="C112:C114"/>
    <mergeCell ref="B72:B7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5"/>
    <mergeCell ref="C72:C73"/>
    <mergeCell ref="D72:D73"/>
    <mergeCell ref="C74:C76"/>
    <mergeCell ref="D74:D76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C67:C68"/>
    <mergeCell ref="C159:N159"/>
    <mergeCell ref="Y159:AH159"/>
    <mergeCell ref="Y160:AH185"/>
    <mergeCell ref="B161:N161"/>
    <mergeCell ref="O161:R161"/>
    <mergeCell ref="S161:V161"/>
    <mergeCell ref="B162:E162"/>
    <mergeCell ref="O162:R182"/>
    <mergeCell ref="S162:V182"/>
    <mergeCell ref="B163:B167"/>
    <mergeCell ref="B173:B177"/>
    <mergeCell ref="C173:C174"/>
    <mergeCell ref="C175:C177"/>
    <mergeCell ref="B178:B182"/>
    <mergeCell ref="C178:C179"/>
    <mergeCell ref="C180:C182"/>
    <mergeCell ref="C163:C164"/>
    <mergeCell ref="D163:D164"/>
    <mergeCell ref="C165:C167"/>
    <mergeCell ref="D165:D167"/>
    <mergeCell ref="B168:B172"/>
    <mergeCell ref="C168:C169"/>
    <mergeCell ref="C170:C172"/>
    <mergeCell ref="C128:N128"/>
    <mergeCell ref="Y128:AH128"/>
    <mergeCell ref="Y129:AH155"/>
    <mergeCell ref="B130:N130"/>
    <mergeCell ref="O130:R130"/>
    <mergeCell ref="S130:V130"/>
    <mergeCell ref="B131:E131"/>
    <mergeCell ref="O131:R155"/>
    <mergeCell ref="S131:V155"/>
    <mergeCell ref="B132:B137"/>
    <mergeCell ref="D132:E132"/>
    <mergeCell ref="C133:C134"/>
    <mergeCell ref="D133:D134"/>
    <mergeCell ref="C135:C137"/>
    <mergeCell ref="D135:D137"/>
    <mergeCell ref="B138:B143"/>
    <mergeCell ref="D138:E138"/>
    <mergeCell ref="C139:C140"/>
    <mergeCell ref="D139:D140"/>
    <mergeCell ref="C141:C143"/>
    <mergeCell ref="B150:B155"/>
    <mergeCell ref="D150:E150"/>
    <mergeCell ref="C151:C152"/>
    <mergeCell ref="D151:D152"/>
    <mergeCell ref="C153:C155"/>
    <mergeCell ref="D153:D155"/>
    <mergeCell ref="D141:D143"/>
    <mergeCell ref="B144:B149"/>
    <mergeCell ref="D144:E144"/>
    <mergeCell ref="C145:C146"/>
    <mergeCell ref="D145:D146"/>
    <mergeCell ref="C147:C149"/>
    <mergeCell ref="D147:D149"/>
    <mergeCell ref="C186:N186"/>
    <mergeCell ref="Y186:AH186"/>
    <mergeCell ref="Y187:AH216"/>
    <mergeCell ref="B188:N188"/>
    <mergeCell ref="O188:R188"/>
    <mergeCell ref="S188:V188"/>
    <mergeCell ref="B189:E189"/>
    <mergeCell ref="D190:E190"/>
    <mergeCell ref="C191:C192"/>
    <mergeCell ref="D191:D192"/>
    <mergeCell ref="C193:C195"/>
    <mergeCell ref="D193:D195"/>
    <mergeCell ref="C196:C197"/>
    <mergeCell ref="D196:D197"/>
    <mergeCell ref="C198:C200"/>
    <mergeCell ref="C206:C207"/>
    <mergeCell ref="D206:D207"/>
    <mergeCell ref="B190:C190"/>
    <mergeCell ref="B191:B195"/>
    <mergeCell ref="B196:B200"/>
    <mergeCell ref="B201:B205"/>
    <mergeCell ref="B206:B210"/>
    <mergeCell ref="B211:B215"/>
    <mergeCell ref="B216:B220"/>
    <mergeCell ref="O189:R220"/>
    <mergeCell ref="S189:V220"/>
    <mergeCell ref="C216:C217"/>
    <mergeCell ref="D216:D217"/>
    <mergeCell ref="C218:C220"/>
    <mergeCell ref="D218:D220"/>
    <mergeCell ref="C211:C212"/>
    <mergeCell ref="D211:D212"/>
    <mergeCell ref="C213:C215"/>
    <mergeCell ref="D213:D215"/>
    <mergeCell ref="C208:C210"/>
    <mergeCell ref="D208:D210"/>
    <mergeCell ref="D198:D200"/>
    <mergeCell ref="C201:C202"/>
    <mergeCell ref="D201:D202"/>
    <mergeCell ref="C203:C205"/>
    <mergeCell ref="D203:D205"/>
  </mergeCells>
  <conditionalFormatting sqref="A3 P8 F17:N17 F22:N22 F27:N27 F32:N32 F71:N71 F76:N76 F81:N81 F86:N86 F91:N91 F96:N96 F109:N109 P63 P100">
    <cfRule type="containsText" dxfId="250" priority="126" operator="containsText" text="passed">
      <formula>NOT(ISERROR(SEARCH("passed",A3)))</formula>
    </cfRule>
    <cfRule type="containsText" dxfId="249" priority="127" operator="containsText" text="failed">
      <formula>NOT(ISERROR(SEARCH("failed",A3)))</formula>
    </cfRule>
    <cfRule type="containsText" dxfId="248" priority="128" operator="containsText" text="refused">
      <formula>NOT(ISERROR(SEARCH("refused",A3)))</formula>
    </cfRule>
  </conditionalFormatting>
  <conditionalFormatting sqref="N13:N14">
    <cfRule type="expression" dxfId="247" priority="125">
      <formula>IF(AND(NOT(N13=""),NOT(N13="-")),N13&gt;=1.1*N$5*BL$25,"-")</formula>
    </cfRule>
  </conditionalFormatting>
  <conditionalFormatting sqref="N18:N19">
    <cfRule type="expression" dxfId="246" priority="124">
      <formula>IF(AND(NOT(N18=""),NOT(N18="-")),N18&gt;=1.1*N$5*BL$26,"-")</formula>
    </cfRule>
  </conditionalFormatting>
  <conditionalFormatting sqref="N23:N24">
    <cfRule type="expression" dxfId="245" priority="123">
      <formula>IF(AND(NOT(N23=""),NOT(N23="-")),N23&gt;=1.1*N$5*BL$27,"-")</formula>
    </cfRule>
  </conditionalFormatting>
  <conditionalFormatting sqref="N28:N29">
    <cfRule type="expression" dxfId="244" priority="122">
      <formula>IF(AND(NOT(N28=""),NOT(N28="-")),N28&gt;=1.1*N$5*BL$28,"-")</formula>
    </cfRule>
  </conditionalFormatting>
  <conditionalFormatting sqref="N67:N68">
    <cfRule type="expression" dxfId="243" priority="129">
      <formula>IF(AND(NOT(N67=""),NOT(N67="-")),N67&gt;=1.1*N$5*BL$85,"-")</formula>
    </cfRule>
  </conditionalFormatting>
  <conditionalFormatting sqref="N77:N78">
    <cfRule type="expression" dxfId="242" priority="130">
      <formula>IF(AND(NOT(N77=""),NOT(N77="-")),N77&gt;=1.1*N$5*BL$87,"-")</formula>
    </cfRule>
  </conditionalFormatting>
  <conditionalFormatting sqref="N82:N83">
    <cfRule type="expression" dxfId="241" priority="131">
      <formula>IF(AND(NOT(N82=""),NOT(N82="-")),N82&gt;=1.1*N$5*BL$88,"-")</formula>
    </cfRule>
  </conditionalFormatting>
  <conditionalFormatting sqref="N72:N73">
    <cfRule type="expression" dxfId="240" priority="132">
      <formula>IF(AND(NOT(N72=""),NOT(N72="-")),N72&gt;=1.1*N$5*BL$86,"-")</formula>
    </cfRule>
  </conditionalFormatting>
  <conditionalFormatting sqref="N87:N88">
    <cfRule type="expression" dxfId="239" priority="133">
      <formula>IF(AND(NOT(N87=""),NOT(N87="-")),N87&gt;=1.1*N$5*BL$89,"-")</formula>
    </cfRule>
  </conditionalFormatting>
  <conditionalFormatting sqref="N92:N93">
    <cfRule type="expression" dxfId="238" priority="134">
      <formula>IF(AND(NOT(N92=""),NOT(N92="-")),N92&gt;=1.1*N$5*BL$90,"-")</formula>
    </cfRule>
  </conditionalFormatting>
  <conditionalFormatting sqref="N47:N48">
    <cfRule type="expression" dxfId="237" priority="135">
      <formula>IF(AND(NOT(N47=""),NOT(N47="-")),N47&gt;=1.1*N$5*BL$122,"-")</formula>
    </cfRule>
  </conditionalFormatting>
  <conditionalFormatting sqref="N163:N164">
    <cfRule type="expression" dxfId="236" priority="136">
      <formula>IF(AND(NOT(N163=""),NOT(N163="-")),N163&gt;=1.1*N$5*#REF!,"-")</formula>
    </cfRule>
  </conditionalFormatting>
  <conditionalFormatting sqref="F167:N167">
    <cfRule type="containsText" dxfId="235" priority="107" operator="containsText" text="passed">
      <formula>NOT(ISERROR(SEARCH("passed",F167)))</formula>
    </cfRule>
    <cfRule type="containsText" dxfId="234" priority="108" operator="containsText" text="failed">
      <formula>NOT(ISERROR(SEARCH("failed",F167)))</formula>
    </cfRule>
    <cfRule type="containsText" dxfId="233" priority="109" operator="containsText" text="refused">
      <formula>NOT(ISERROR(SEARCH("refused",F167)))</formula>
    </cfRule>
  </conditionalFormatting>
  <conditionalFormatting sqref="F45:N45">
    <cfRule type="containsText" dxfId="232" priority="114" operator="containsText" text="passed">
      <formula>NOT(ISERROR(SEARCH("passed",F45)))</formula>
    </cfRule>
    <cfRule type="containsText" dxfId="231" priority="115" operator="containsText" text="failed">
      <formula>NOT(ISERROR(SEARCH("failed",F45)))</formula>
    </cfRule>
    <cfRule type="containsText" dxfId="230" priority="116" operator="containsText" text="refused">
      <formula>NOT(ISERROR(SEARCH("refused",F45)))</formula>
    </cfRule>
  </conditionalFormatting>
  <conditionalFormatting sqref="F51:N51">
    <cfRule type="containsText" dxfId="229" priority="111" operator="containsText" text="passed">
      <formula>NOT(ISERROR(SEARCH("passed",F51)))</formula>
    </cfRule>
    <cfRule type="containsText" dxfId="228" priority="112" operator="containsText" text="failed">
      <formula>NOT(ISERROR(SEARCH("failed",F51)))</formula>
    </cfRule>
    <cfRule type="containsText" dxfId="227" priority="113" operator="containsText" text="refused">
      <formula>NOT(ISERROR(SEARCH("refused",F51)))</formula>
    </cfRule>
  </conditionalFormatting>
  <conditionalFormatting sqref="F137:N137">
    <cfRule type="containsText" dxfId="226" priority="102" operator="containsText" text="passed">
      <formula>NOT(ISERROR(SEARCH("passed",F137)))</formula>
    </cfRule>
    <cfRule type="containsText" dxfId="225" priority="103" operator="containsText" text="failed">
      <formula>NOT(ISERROR(SEARCH("failed",F137)))</formula>
    </cfRule>
    <cfRule type="containsText" dxfId="224" priority="104" operator="containsText" text="refused">
      <formula>NOT(ISERROR(SEARCH("refused",F137)))</formula>
    </cfRule>
  </conditionalFormatting>
  <conditionalFormatting sqref="F143:N143">
    <cfRule type="containsText" dxfId="223" priority="99" operator="containsText" text="passed">
      <formula>NOT(ISERROR(SEARCH("passed",F143)))</formula>
    </cfRule>
    <cfRule type="containsText" dxfId="222" priority="100" operator="containsText" text="failed">
      <formula>NOT(ISERROR(SEARCH("failed",F143)))</formula>
    </cfRule>
    <cfRule type="containsText" dxfId="221" priority="101" operator="containsText" text="refused">
      <formula>NOT(ISERROR(SEARCH("refused",F143)))</formula>
    </cfRule>
  </conditionalFormatting>
  <conditionalFormatting sqref="F149:N149">
    <cfRule type="containsText" dxfId="220" priority="94" operator="containsText" text="passed">
      <formula>NOT(ISERROR(SEARCH("passed",F149)))</formula>
    </cfRule>
    <cfRule type="containsText" dxfId="219" priority="95" operator="containsText" text="failed">
      <formula>NOT(ISERROR(SEARCH("failed",F149)))</formula>
    </cfRule>
    <cfRule type="containsText" dxfId="218" priority="96" operator="containsText" text="refused">
      <formula>NOT(ISERROR(SEARCH("refused",F149)))</formula>
    </cfRule>
  </conditionalFormatting>
  <conditionalFormatting sqref="F155:N155">
    <cfRule type="containsText" dxfId="217" priority="91" operator="containsText" text="passed">
      <formula>NOT(ISERROR(SEARCH("passed",F155)))</formula>
    </cfRule>
    <cfRule type="containsText" dxfId="216" priority="92" operator="containsText" text="failed">
      <formula>NOT(ISERROR(SEARCH("failed",F155)))</formula>
    </cfRule>
    <cfRule type="containsText" dxfId="215" priority="93" operator="containsText" text="refused">
      <formula>NOT(ISERROR(SEARCH("refused",F155)))</formula>
    </cfRule>
  </conditionalFormatting>
  <conditionalFormatting sqref="F195:N195">
    <cfRule type="containsText" dxfId="214" priority="83" operator="containsText" text="passed">
      <formula>NOT(ISERROR(SEARCH("passed",F195)))</formula>
    </cfRule>
    <cfRule type="containsText" dxfId="213" priority="84" operator="containsText" text="failed">
      <formula>NOT(ISERROR(SEARCH("failed",F195)))</formula>
    </cfRule>
    <cfRule type="containsText" dxfId="212" priority="85" operator="containsText" text="refused">
      <formula>NOT(ISERROR(SEARCH("refused",F195)))</formula>
    </cfRule>
  </conditionalFormatting>
  <conditionalFormatting sqref="F200:N200">
    <cfRule type="containsText" dxfId="211" priority="34" operator="containsText" text="passed">
      <formula>NOT(ISERROR(SEARCH("passed",F200)))</formula>
    </cfRule>
    <cfRule type="containsText" dxfId="210" priority="35" operator="containsText" text="failed">
      <formula>NOT(ISERROR(SEARCH("failed",F200)))</formula>
    </cfRule>
    <cfRule type="containsText" dxfId="209" priority="36" operator="containsText" text="refused">
      <formula>NOT(ISERROR(SEARCH("refused",F200)))</formula>
    </cfRule>
  </conditionalFormatting>
  <conditionalFormatting sqref="F205:N205">
    <cfRule type="containsText" dxfId="208" priority="31" operator="containsText" text="passed">
      <formula>NOT(ISERROR(SEARCH("passed",F205)))</formula>
    </cfRule>
    <cfRule type="containsText" dxfId="207" priority="32" operator="containsText" text="failed">
      <formula>NOT(ISERROR(SEARCH("failed",F205)))</formula>
    </cfRule>
    <cfRule type="containsText" dxfId="206" priority="33" operator="containsText" text="refused">
      <formula>NOT(ISERROR(SEARCH("refused",F205)))</formula>
    </cfRule>
  </conditionalFormatting>
  <conditionalFormatting sqref="F210:N210">
    <cfRule type="containsText" dxfId="205" priority="28" operator="containsText" text="passed">
      <formula>NOT(ISERROR(SEARCH("passed",F210)))</formula>
    </cfRule>
    <cfRule type="containsText" dxfId="204" priority="29" operator="containsText" text="failed">
      <formula>NOT(ISERROR(SEARCH("failed",F210)))</formula>
    </cfRule>
    <cfRule type="containsText" dxfId="203" priority="30" operator="containsText" text="refused">
      <formula>NOT(ISERROR(SEARCH("refused",F210)))</formula>
    </cfRule>
  </conditionalFormatting>
  <conditionalFormatting sqref="F215:N215">
    <cfRule type="containsText" dxfId="202" priority="25" operator="containsText" text="passed">
      <formula>NOT(ISERROR(SEARCH("passed",F215)))</formula>
    </cfRule>
    <cfRule type="containsText" dxfId="201" priority="26" operator="containsText" text="failed">
      <formula>NOT(ISERROR(SEARCH("failed",F215)))</formula>
    </cfRule>
    <cfRule type="containsText" dxfId="200" priority="27" operator="containsText" text="refused">
      <formula>NOT(ISERROR(SEARCH("refused",F215)))</formula>
    </cfRule>
  </conditionalFormatting>
  <conditionalFormatting sqref="F220:N220">
    <cfRule type="containsText" dxfId="199" priority="19" operator="containsText" text="passed">
      <formula>NOT(ISERROR(SEARCH("passed",F220)))</formula>
    </cfRule>
    <cfRule type="containsText" dxfId="198" priority="20" operator="containsText" text="failed">
      <formula>NOT(ISERROR(SEARCH("failed",F220)))</formula>
    </cfRule>
    <cfRule type="containsText" dxfId="197" priority="21" operator="containsText" text="refused">
      <formula>NOT(ISERROR(SEARCH("refused",F220)))</formula>
    </cfRule>
  </conditionalFormatting>
  <conditionalFormatting sqref="F13:K14">
    <cfRule type="expression" dxfId="196" priority="450650">
      <formula>IF(AND(NOT(F13=""),NOT(F13="-")),F13&gt;=1.1*F$5*BE$25,"-")</formula>
    </cfRule>
  </conditionalFormatting>
  <conditionalFormatting sqref="F18:K19">
    <cfRule type="expression" dxfId="195" priority="450652">
      <formula>IF(AND(NOT(F18=""),NOT(F18="-")),F18&gt;=1.1*F$5*BE$26,"-")</formula>
    </cfRule>
  </conditionalFormatting>
  <conditionalFormatting sqref="F23:K24">
    <cfRule type="expression" dxfId="194" priority="450654">
      <formula>IF(AND(NOT(F23=""),NOT(F23="-")),F23&gt;=1.1*F$5*BE$27,"-")</formula>
    </cfRule>
  </conditionalFormatting>
  <conditionalFormatting sqref="F28:K29">
    <cfRule type="expression" dxfId="193" priority="450656">
      <formula>IF(AND(NOT(F28=""),NOT(F28="-")),F28&gt;=1.1*F$5*BE$28,"-")</formula>
    </cfRule>
  </conditionalFormatting>
  <conditionalFormatting sqref="F67:K68">
    <cfRule type="expression" dxfId="192" priority="450658">
      <formula>IF(AND(NOT(F67=""),NOT(F67="-")),F67&gt;=1.1*F$5*BE$85,"-")</formula>
    </cfRule>
  </conditionalFormatting>
  <conditionalFormatting sqref="F77:K78">
    <cfRule type="expression" dxfId="191" priority="450660">
      <formula>IF(AND(NOT(F77=""),NOT(F77="-")),F77&gt;=1.1*F$5*BE$87,"-")</formula>
    </cfRule>
  </conditionalFormatting>
  <conditionalFormatting sqref="F82:K83">
    <cfRule type="expression" dxfId="190" priority="450662">
      <formula>IF(AND(NOT(F82=""),NOT(F82="-")),F82&gt;=1.1*F$5*BE$88,"-")</formula>
    </cfRule>
  </conditionalFormatting>
  <conditionalFormatting sqref="F72:K73">
    <cfRule type="expression" dxfId="189" priority="450664">
      <formula>IF(AND(NOT(F72=""),NOT(F72="-")),F72&gt;=1.1*F$5*BE$86,"-")</formula>
    </cfRule>
  </conditionalFormatting>
  <conditionalFormatting sqref="F87:K88">
    <cfRule type="expression" dxfId="188" priority="450666">
      <formula>IF(AND(NOT(F87=""),NOT(F87="-")),F87&gt;=1.1*F$5*BE$89,"-")</formula>
    </cfRule>
  </conditionalFormatting>
  <conditionalFormatting sqref="F92:K93">
    <cfRule type="expression" dxfId="187" priority="450668">
      <formula>IF(AND(NOT(F92=""),NOT(F92="-")),F92&gt;=1.1*F$5*BE$90,"-")</formula>
    </cfRule>
  </conditionalFormatting>
  <conditionalFormatting sqref="M47:M48 F47:K48">
    <cfRule type="expression" dxfId="186" priority="450670">
      <formula>IF(AND(NOT(F47=""),NOT(F47="-")),F47&gt;=1.1*F$5*BE$122,"-")</formula>
    </cfRule>
  </conditionalFormatting>
  <conditionalFormatting sqref="F163:M164">
    <cfRule type="expression" dxfId="185" priority="450672">
      <formula>IF(AND(NOT(F163=""),NOT(F163="-")),F163&gt;=1.1*F$5*#REF!,"-")</formula>
    </cfRule>
  </conditionalFormatting>
  <conditionalFormatting sqref="P36">
    <cfRule type="containsText" dxfId="184" priority="16" operator="containsText" text="passed">
      <formula>NOT(ISERROR(SEARCH("passed",P36)))</formula>
    </cfRule>
    <cfRule type="containsText" dxfId="183" priority="17" operator="containsText" text="failed">
      <formula>NOT(ISERROR(SEARCH("failed",P36)))</formula>
    </cfRule>
    <cfRule type="containsText" dxfId="182" priority="18" operator="containsText" text="refused">
      <formula>NOT(ISERROR(SEARCH("refused",P36)))</formula>
    </cfRule>
  </conditionalFormatting>
  <conditionalFormatting sqref="P159">
    <cfRule type="containsText" dxfId="181" priority="10" operator="containsText" text="passed">
      <formula>NOT(ISERROR(SEARCH("passed",P159)))</formula>
    </cfRule>
    <cfRule type="containsText" dxfId="180" priority="11" operator="containsText" text="failed">
      <formula>NOT(ISERROR(SEARCH("failed",P159)))</formula>
    </cfRule>
    <cfRule type="containsText" dxfId="179" priority="12" operator="containsText" text="refused">
      <formula>NOT(ISERROR(SEARCH("refused",P159)))</formula>
    </cfRule>
  </conditionalFormatting>
  <conditionalFormatting sqref="P128">
    <cfRule type="containsText" dxfId="178" priority="7" operator="containsText" text="passed">
      <formula>NOT(ISERROR(SEARCH("passed",P128)))</formula>
    </cfRule>
    <cfRule type="containsText" dxfId="177" priority="8" operator="containsText" text="failed">
      <formula>NOT(ISERROR(SEARCH("failed",P128)))</formula>
    </cfRule>
    <cfRule type="containsText" dxfId="176" priority="9" operator="containsText" text="refused">
      <formula>NOT(ISERROR(SEARCH("refused",P128)))</formula>
    </cfRule>
  </conditionalFormatting>
  <conditionalFormatting sqref="P186">
    <cfRule type="containsText" dxfId="175" priority="4" operator="containsText" text="passed">
      <formula>NOT(ISERROR(SEARCH("passed",P186)))</formula>
    </cfRule>
    <cfRule type="containsText" dxfId="174" priority="5" operator="containsText" text="failed">
      <formula>NOT(ISERROR(SEARCH("failed",P186)))</formula>
    </cfRule>
    <cfRule type="containsText" dxfId="173" priority="6" operator="containsText" text="refused">
      <formula>NOT(ISERROR(SEARCH("refused",P186)))</formula>
    </cfRule>
  </conditionalFormatting>
  <conditionalFormatting sqref="L13:M14">
    <cfRule type="expression" dxfId="172" priority="450746">
      <formula>IF(AND(NOT(L13=""),NOT(L13="-")),L13&gt;=1.1*L$5*BL$25,"-")</formula>
    </cfRule>
  </conditionalFormatting>
  <conditionalFormatting sqref="L18:M19">
    <cfRule type="expression" dxfId="171" priority="450748">
      <formula>IF(AND(NOT(L18=""),NOT(L18="-")),L18&gt;=1.1*L$5*BL$26,"-")</formula>
    </cfRule>
  </conditionalFormatting>
  <conditionalFormatting sqref="L23:M24">
    <cfRule type="expression" dxfId="170" priority="450750">
      <formula>IF(AND(NOT(L23=""),NOT(L23="-")),L23&gt;=1.1*L$5*BL$27,"-")</formula>
    </cfRule>
  </conditionalFormatting>
  <conditionalFormatting sqref="L28:M29">
    <cfRule type="expression" dxfId="169" priority="450752">
      <formula>IF(AND(NOT(L28=""),NOT(L28="-")),L28&gt;=1.1*L$5*BL$28,"-")</formula>
    </cfRule>
  </conditionalFormatting>
  <conditionalFormatting sqref="L67:M68">
    <cfRule type="expression" dxfId="168" priority="450754">
      <formula>IF(AND(NOT(L67=""),NOT(L67="-")),L67&gt;=1.1*L$5*BL$85,"-")</formula>
    </cfRule>
  </conditionalFormatting>
  <conditionalFormatting sqref="L77:M78">
    <cfRule type="expression" dxfId="167" priority="450756">
      <formula>IF(AND(NOT(L77=""),NOT(L77="-")),L77&gt;=1.1*L$5*BL$87,"-")</formula>
    </cfRule>
  </conditionalFormatting>
  <conditionalFormatting sqref="L82:M83">
    <cfRule type="expression" dxfId="166" priority="450758">
      <formula>IF(AND(NOT(L82=""),NOT(L82="-")),L82&gt;=1.1*L$5*BL$88,"-")</formula>
    </cfRule>
  </conditionalFormatting>
  <conditionalFormatting sqref="L72:M73">
    <cfRule type="expression" dxfId="165" priority="450760">
      <formula>IF(AND(NOT(L72=""),NOT(L72="-")),L72&gt;=1.1*L$5*BL$86,"-")</formula>
    </cfRule>
  </conditionalFormatting>
  <conditionalFormatting sqref="L87:M88">
    <cfRule type="expression" dxfId="164" priority="450762">
      <formula>IF(AND(NOT(L87=""),NOT(L87="-")),L87&gt;=1.1*L$5*BL$89,"-")</formula>
    </cfRule>
  </conditionalFormatting>
  <conditionalFormatting sqref="L92:M93">
    <cfRule type="expression" dxfId="163" priority="450764">
      <formula>IF(AND(NOT(L92=""),NOT(L92="-")),L92&gt;=1.1*L$5*BL$90,"-")</formula>
    </cfRule>
  </conditionalFormatting>
  <conditionalFormatting sqref="L47:L48">
    <cfRule type="expression" dxfId="162" priority="450766">
      <formula>IF(AND(NOT(L47=""),NOT(L47="-")),L47&gt;=1.1*L$5*BL$122,"-")</formula>
    </cfRule>
  </conditionalFormatting>
  <conditionalFormatting sqref="N105:N106">
    <cfRule type="expression" dxfId="161" priority="475603">
      <formula>IF(AND(NOT(N105=""),NOT(N105="-")),N105&gt;=1.1*N$6*BU$122,"-")</formula>
    </cfRule>
  </conditionalFormatting>
  <conditionalFormatting sqref="F105:K106">
    <cfRule type="expression" dxfId="160" priority="475641">
      <formula>IF(AND(NOT(F105=""),NOT(F105="-")),F105&gt;=1.1*F$6*BN$122,"-")</formula>
    </cfRule>
  </conditionalFormatting>
  <conditionalFormatting sqref="L105:M106">
    <cfRule type="expression" dxfId="159" priority="475660">
      <formula>IF(AND(NOT(L105=""),NOT(L105="-")),L105&gt;=1.1*L$6*BU$122,"-")</formula>
    </cfRule>
  </conditionalFormatting>
  <conditionalFormatting sqref="N41:N42">
    <cfRule type="expression" dxfId="158" priority="475667">
      <formula>IF(AND(NOT(N41=""),NOT(N41="-")),N41&gt;=1.1*N$5*BL$57,"-")</formula>
    </cfRule>
  </conditionalFormatting>
  <conditionalFormatting sqref="F41:K42">
    <cfRule type="expression" dxfId="157" priority="475668">
      <formula>IF(AND(NOT(F41=""),NOT(F41="-")),F41&gt;=1.1*F$5*BE$57,"-")</formula>
    </cfRule>
  </conditionalFormatting>
  <conditionalFormatting sqref="L41:M42">
    <cfRule type="expression" dxfId="156" priority="475681">
      <formula>IF(AND(NOT(L41=""),NOT(L41="-")),L41&gt;=1.1*L$5*BL$57,"-")</formula>
    </cfRule>
  </conditionalFormatting>
  <conditionalFormatting sqref="N133:N134">
    <cfRule type="expression" dxfId="155" priority="475730">
      <formula>IF(AND(NOT(N133=""),NOT(N133="-")),N133&gt;=1.1*N$5*BL$149,"-")</formula>
    </cfRule>
  </conditionalFormatting>
  <conditionalFormatting sqref="N139:N140">
    <cfRule type="expression" dxfId="154" priority="475731">
      <formula>IF(AND(NOT(N139=""),NOT(N139="-")),N139&gt;=1.1*N$5*BL$150,"-")</formula>
    </cfRule>
  </conditionalFormatting>
  <conditionalFormatting sqref="N145:N146">
    <cfRule type="expression" dxfId="153" priority="475732">
      <formula>IF(AND(NOT(N145=""),NOT(N145="-")),N145&gt;=1.1*N$5*BL$151,"-")</formula>
    </cfRule>
  </conditionalFormatting>
  <conditionalFormatting sqref="N151:N152">
    <cfRule type="expression" dxfId="152" priority="475733">
      <formula>IF(AND(NOT(N151=""),NOT(N151="-")),N151&gt;=1.1*N$5*BL$152,"-")</formula>
    </cfRule>
  </conditionalFormatting>
  <conditionalFormatting sqref="N191:N192">
    <cfRule type="expression" dxfId="151" priority="475734">
      <formula>IF(AND(NOT(N191=""),NOT(N191="-")),N191&gt;=1.1*N$5*BL$207,"-")</formula>
    </cfRule>
  </conditionalFormatting>
  <conditionalFormatting sqref="N196:N197">
    <cfRule type="expression" dxfId="150" priority="475735">
      <formula>IF(AND(NOT(N196=""),NOT(N196="-")),N196&gt;=1.1*N$5*BL$208,"-")</formula>
    </cfRule>
  </conditionalFormatting>
  <conditionalFormatting sqref="N201:N202">
    <cfRule type="expression" dxfId="149" priority="475736">
      <formula>IF(AND(NOT(N201=""),NOT(N201="-")),N201&gt;=1.1*N$5*BL$209,"-")</formula>
    </cfRule>
  </conditionalFormatting>
  <conditionalFormatting sqref="N206:N207">
    <cfRule type="expression" dxfId="148" priority="475737">
      <formula>IF(AND(NOT(N206=""),NOT(N206="-")),N206&gt;=1.1*N$5*BL$210,"-")</formula>
    </cfRule>
  </conditionalFormatting>
  <conditionalFormatting sqref="N211:N212">
    <cfRule type="expression" dxfId="147" priority="475738">
      <formula>IF(AND(NOT(N211=""),NOT(N211="-")),N211&gt;=1.1*N$5*BL$211,"-")</formula>
    </cfRule>
  </conditionalFormatting>
  <conditionalFormatting sqref="N216:N217">
    <cfRule type="expression" dxfId="146" priority="475739">
      <formula>IF(AND(NOT(N216=""),NOT(N216="-")),N216&gt;=1.1*N$5*BL$212,"-")</formula>
    </cfRule>
  </conditionalFormatting>
  <conditionalFormatting sqref="F133:K134">
    <cfRule type="expression" dxfId="145" priority="475746">
      <formula>IF(AND(NOT(F133=""),NOT(F133="-")),F133&gt;=1.1*F$5*BE$149,"-")</formula>
    </cfRule>
  </conditionalFormatting>
  <conditionalFormatting sqref="F139:K140">
    <cfRule type="expression" dxfId="144" priority="475747">
      <formula>IF(AND(NOT(F139=""),NOT(F139="-")),F139&gt;=1.1*F$5*BE$150,"-")</formula>
    </cfRule>
  </conditionalFormatting>
  <conditionalFormatting sqref="F145:K146">
    <cfRule type="expression" dxfId="143" priority="475748">
      <formula>IF(AND(NOT(F145=""),NOT(F145="-")),F145&gt;=1.1*F$5*BE$151,"-")</formula>
    </cfRule>
  </conditionalFormatting>
  <conditionalFormatting sqref="F151:K152">
    <cfRule type="expression" dxfId="142" priority="475749">
      <formula>IF(AND(NOT(F151=""),NOT(F151="-")),F151&gt;=1.1*F$5*BE$152,"-")</formula>
    </cfRule>
  </conditionalFormatting>
  <conditionalFormatting sqref="F191:K192">
    <cfRule type="expression" dxfId="141" priority="475750">
      <formula>IF(AND(NOT(F191=""),NOT(F191="-")),F191&gt;=1.1*F$5*BE$207,"-")</formula>
    </cfRule>
  </conditionalFormatting>
  <conditionalFormatting sqref="F196:K197">
    <cfRule type="expression" dxfId="140" priority="475751">
      <formula>IF(AND(NOT(F196=""),NOT(F196="-")),F196&gt;=1.1*F$5*BE$208,"-")</formula>
    </cfRule>
  </conditionalFormatting>
  <conditionalFormatting sqref="F201:K202">
    <cfRule type="expression" dxfId="139" priority="475752">
      <formula>IF(AND(NOT(F201=""),NOT(F201="-")),F201&gt;=1.1*F$5*BE$209,"-")</formula>
    </cfRule>
  </conditionalFormatting>
  <conditionalFormatting sqref="F206:K207">
    <cfRule type="expression" dxfId="138" priority="475753">
      <formula>IF(AND(NOT(F206=""),NOT(F206="-")),F206&gt;=1.1*F$5*BE$210,"-")</formula>
    </cfRule>
  </conditionalFormatting>
  <conditionalFormatting sqref="F211:K212">
    <cfRule type="expression" dxfId="137" priority="475754">
      <formula>IF(AND(NOT(F211=""),NOT(F211="-")),F211&gt;=1.1*F$5*BE$211,"-")</formula>
    </cfRule>
  </conditionalFormatting>
  <conditionalFormatting sqref="F216:K217">
    <cfRule type="expression" dxfId="136" priority="475755">
      <formula>IF(AND(NOT(F216=""),NOT(F216="-")),F216&gt;=1.1*F$5*BE$212,"-")</formula>
    </cfRule>
  </conditionalFormatting>
  <conditionalFormatting sqref="L133:M134">
    <cfRule type="expression" dxfId="135" priority="475762">
      <formula>IF(AND(NOT(L133=""),NOT(L133="-")),L133&gt;=1.1*L$5*BL$149,"-")</formula>
    </cfRule>
  </conditionalFormatting>
  <conditionalFormatting sqref="L139:M140">
    <cfRule type="expression" dxfId="134" priority="475763">
      <formula>IF(AND(NOT(L139=""),NOT(L139="-")),L139&gt;=1.1*L$5*BL$150,"-")</formula>
    </cfRule>
  </conditionalFormatting>
  <conditionalFormatting sqref="L145:M146">
    <cfRule type="expression" dxfId="133" priority="475764">
      <formula>IF(AND(NOT(L145=""),NOT(L145="-")),L145&gt;=1.1*L$5*BL$151,"-")</formula>
    </cfRule>
  </conditionalFormatting>
  <conditionalFormatting sqref="L151:M152">
    <cfRule type="expression" dxfId="132" priority="475765">
      <formula>IF(AND(NOT(L151=""),NOT(L151="-")),L151&gt;=1.1*L$5*BL$152,"-")</formula>
    </cfRule>
  </conditionalFormatting>
  <conditionalFormatting sqref="L191:M192">
    <cfRule type="expression" dxfId="131" priority="475766">
      <formula>IF(AND(NOT(L191=""),NOT(L191="-")),L191&gt;=1.1*L$5*BL$207,"-")</formula>
    </cfRule>
  </conditionalFormatting>
  <conditionalFormatting sqref="L196:M197">
    <cfRule type="expression" dxfId="130" priority="475767">
      <formula>IF(AND(NOT(L196=""),NOT(L196="-")),L196&gt;=1.1*L$5*BL$208,"-")</formula>
    </cfRule>
  </conditionalFormatting>
  <conditionalFormatting sqref="L201:M202">
    <cfRule type="expression" dxfId="129" priority="475768">
      <formula>IF(AND(NOT(L201=""),NOT(L201="-")),L201&gt;=1.1*L$5*BL$209,"-")</formula>
    </cfRule>
  </conditionalFormatting>
  <conditionalFormatting sqref="L206:M207">
    <cfRule type="expression" dxfId="128" priority="475769">
      <formula>IF(AND(NOT(L206=""),NOT(L206="-")),L206&gt;=1.1*L$5*BL$210,"-")</formula>
    </cfRule>
  </conditionalFormatting>
  <conditionalFormatting sqref="L211:M212">
    <cfRule type="expression" dxfId="127" priority="475770">
      <formula>IF(AND(NOT(L211=""),NOT(L211="-")),L211&gt;=1.1*L$5*BL$211,"-")</formula>
    </cfRule>
  </conditionalFormatting>
  <conditionalFormatting sqref="L216:M217">
    <cfRule type="expression" dxfId="126" priority="475771">
      <formula>IF(AND(NOT(L216=""),NOT(L216="-")),L216&gt;=1.1*L$5*BL$212,"-")</formula>
    </cfRule>
  </conditionalFormatting>
  <pageMargins left="0.7" right="0.7" top="0.75" bottom="0.75" header="0.3" footer="0.3"/>
  <pageSetup paperSize="9" scale="50" fitToHeight="0" orientation="landscape" r:id="rId1"/>
  <rowBreaks count="5" manualBreakCount="5">
    <brk id="185" max="19" man="1"/>
    <brk id="98" max="19" man="1"/>
    <brk id="125" max="19" man="1"/>
    <brk id="60" max="19" man="1"/>
    <brk id="183" max="19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'Daten Gasoline'!$CJ$14:$CJ$16</xm:f>
          </x14:formula1>
          <xm:sqref>E4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>
    <pageSetUpPr fitToPage="1"/>
  </sheetPr>
  <dimension ref="A1:BW230"/>
  <sheetViews>
    <sheetView showGridLines="0" zoomScaleNormal="100" workbookViewId="0">
      <selection activeCell="E92" sqref="E92"/>
    </sheetView>
  </sheetViews>
  <sheetFormatPr baseColWidth="10" defaultColWidth="9.140625" defaultRowHeight="15" outlineLevelRow="2" x14ac:dyDescent="0.25"/>
  <cols>
    <col min="1" max="1" width="2.85546875" style="41" customWidth="1"/>
    <col min="2" max="2" width="14.85546875" style="41" customWidth="1"/>
    <col min="3" max="4" width="10.7109375" style="41" customWidth="1"/>
    <col min="5" max="5" width="25.7109375" style="41" customWidth="1"/>
    <col min="6" max="10" width="9.7109375" style="41" customWidth="1"/>
    <col min="11" max="11" width="9.7109375" style="170" customWidth="1"/>
    <col min="12" max="13" width="11.28515625" style="170" customWidth="1"/>
    <col min="14" max="14" width="9.7109375" style="41" customWidth="1"/>
    <col min="15" max="22" width="17.7109375" style="41" customWidth="1"/>
    <col min="23" max="24" width="7.7109375" style="41" customWidth="1"/>
    <col min="25" max="28" width="20.7109375" style="41" customWidth="1"/>
    <col min="29" max="34" width="7.7109375" style="41" customWidth="1"/>
    <col min="35" max="54" width="10.7109375" style="41" customWidth="1"/>
    <col min="55" max="55" width="1.7109375" style="155" customWidth="1"/>
    <col min="56" max="56" width="66.28515625" style="150" bestFit="1" customWidth="1"/>
    <col min="57" max="57" width="6.5703125" style="150" customWidth="1"/>
    <col min="58" max="58" width="4.42578125" style="150" customWidth="1"/>
    <col min="59" max="59" width="4" style="150" customWidth="1"/>
    <col min="60" max="60" width="4.85546875" style="150" customWidth="1"/>
    <col min="61" max="62" width="4" style="150" customWidth="1"/>
    <col min="63" max="63" width="4" style="150" hidden="1" customWidth="1"/>
    <col min="64" max="64" width="4.5703125" style="150" hidden="1" customWidth="1"/>
    <col min="65" max="65" width="14.7109375" style="150" hidden="1" customWidth="1"/>
    <col min="66" max="66" width="6.5703125" style="150" hidden="1" customWidth="1"/>
    <col min="67" max="67" width="4.42578125" style="150" customWidth="1"/>
    <col min="68" max="68" width="4" style="150" customWidth="1"/>
    <col min="69" max="69" width="4.85546875" style="150" hidden="1" customWidth="1"/>
    <col min="70" max="73" width="4" style="150" hidden="1" customWidth="1"/>
    <col min="74" max="74" width="10.7109375" style="50" customWidth="1"/>
    <col min="75" max="16384" width="9.140625" style="41"/>
  </cols>
  <sheetData>
    <row r="1" spans="1:73" ht="24.95" customHeight="1" x14ac:dyDescent="0.25">
      <c r="A1" s="734" t="s">
        <v>126</v>
      </c>
      <c r="B1" s="735"/>
      <c r="C1" s="735"/>
      <c r="D1" s="735"/>
      <c r="E1" s="735"/>
      <c r="F1" s="735"/>
      <c r="G1" s="735"/>
      <c r="H1" s="735"/>
      <c r="I1" s="735"/>
      <c r="J1" s="736"/>
      <c r="K1" s="734" t="str">
        <f>'Variant 6 - WLTC'!K1:Q2</f>
        <v>[e.g. Ferrari F150 MEDC17] [Chassis name] [Engine description]</v>
      </c>
      <c r="L1" s="735"/>
      <c r="M1" s="735"/>
      <c r="N1" s="735"/>
      <c r="O1" s="735"/>
      <c r="P1" s="735"/>
      <c r="Q1" s="736"/>
      <c r="R1" s="362"/>
      <c r="S1" s="362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</row>
    <row r="2" spans="1:73" ht="24.95" customHeight="1" thickBot="1" x14ac:dyDescent="0.3">
      <c r="A2" s="737"/>
      <c r="B2" s="738"/>
      <c r="C2" s="738"/>
      <c r="D2" s="738"/>
      <c r="E2" s="738"/>
      <c r="F2" s="738"/>
      <c r="G2" s="738"/>
      <c r="H2" s="738"/>
      <c r="I2" s="738"/>
      <c r="J2" s="739"/>
      <c r="K2" s="737"/>
      <c r="L2" s="738"/>
      <c r="M2" s="738"/>
      <c r="N2" s="738"/>
      <c r="O2" s="738"/>
      <c r="P2" s="738"/>
      <c r="Q2" s="739"/>
      <c r="R2" s="362"/>
      <c r="S2" s="362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73" ht="24.95" customHeight="1" thickBot="1" x14ac:dyDescent="0.3">
      <c r="A3" s="396"/>
      <c r="B3" s="396"/>
      <c r="C3" s="396"/>
      <c r="D3" s="396"/>
      <c r="E3" s="396"/>
      <c r="F3" s="396"/>
      <c r="G3" s="396"/>
      <c r="H3" s="396"/>
      <c r="I3" s="396"/>
      <c r="J3" s="396"/>
      <c r="K3" s="406"/>
      <c r="L3" s="406"/>
      <c r="M3" s="406"/>
      <c r="N3" s="396"/>
      <c r="O3" s="396"/>
      <c r="P3" s="396"/>
      <c r="Q3" s="396"/>
      <c r="R3" s="362"/>
      <c r="S3" s="362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</row>
    <row r="4" spans="1:73" ht="39.950000000000003" customHeight="1" thickBot="1" x14ac:dyDescent="0.3">
      <c r="A4" s="396"/>
      <c r="B4" s="664" t="s">
        <v>71</v>
      </c>
      <c r="C4" s="665"/>
      <c r="D4" s="666"/>
      <c r="E4" s="358" t="str">
        <f>'Variant 6 - WLTC'!E4</f>
        <v>Euro 6d</v>
      </c>
      <c r="F4" s="359" t="s">
        <v>72</v>
      </c>
      <c r="G4" s="359" t="s">
        <v>73</v>
      </c>
      <c r="H4" s="359" t="s">
        <v>74</v>
      </c>
      <c r="I4" s="359" t="s">
        <v>75</v>
      </c>
      <c r="J4" s="359" t="s">
        <v>76</v>
      </c>
      <c r="K4" s="408" t="s">
        <v>170</v>
      </c>
      <c r="L4" s="521" t="str">
        <f>'Variant 6 - WLTC'!L4</f>
        <v>Additional
component</v>
      </c>
      <c r="M4" s="521" t="str">
        <f>'Variant 6 - WLTC'!M4</f>
        <v>Additional
component 2</v>
      </c>
      <c r="N4" s="359" t="s">
        <v>77</v>
      </c>
      <c r="O4" s="667"/>
      <c r="P4" s="667"/>
      <c r="Q4" s="396"/>
      <c r="R4" s="362"/>
      <c r="S4" s="362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</row>
    <row r="5" spans="1:73" ht="24.95" customHeight="1" thickBot="1" x14ac:dyDescent="0.3">
      <c r="A5" s="396"/>
      <c r="B5" s="825" t="s">
        <v>143</v>
      </c>
      <c r="C5" s="826"/>
      <c r="D5" s="826"/>
      <c r="E5" s="827"/>
      <c r="F5" s="360">
        <f>'Variant 6 - WLTC'!F5</f>
        <v>6.8000000000000005E-2</v>
      </c>
      <c r="G5" s="360">
        <f>'Variant 6 - WLTC'!G5</f>
        <v>0.1</v>
      </c>
      <c r="H5" s="360">
        <f>'Variant 6 - WLTC'!H5</f>
        <v>1</v>
      </c>
      <c r="I5" s="360">
        <f>'Variant 6 - WLTC'!I5</f>
        <v>0.06</v>
      </c>
      <c r="J5" s="360">
        <f>'Variant 6 - WLTC'!J5</f>
        <v>4.5</v>
      </c>
      <c r="K5" s="360">
        <f>'Variant 6 - WLTC'!K5</f>
        <v>600000000000</v>
      </c>
      <c r="L5" s="360" t="str">
        <f>'Variant 6 - WLTC'!L5</f>
        <v>-</v>
      </c>
      <c r="M5" s="360" t="str">
        <f>'Variant 6 - WLTC'!M5</f>
        <v>-</v>
      </c>
      <c r="N5" s="360" t="str">
        <f>'Variant 6 - WLTC'!N5</f>
        <v>-</v>
      </c>
      <c r="O5" s="668"/>
      <c r="P5" s="668"/>
      <c r="Q5" s="396"/>
      <c r="R5" s="362"/>
      <c r="S5" s="362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73" ht="24.95" customHeight="1" thickBot="1" x14ac:dyDescent="0.3">
      <c r="A6" s="396"/>
      <c r="B6" s="664" t="s">
        <v>142</v>
      </c>
      <c r="C6" s="665"/>
      <c r="D6" s="665"/>
      <c r="E6" s="666"/>
      <c r="F6" s="361" t="str">
        <f>'Variant 6 - WLTC'!F6</f>
        <v>-</v>
      </c>
      <c r="G6" s="361" t="str">
        <f>'Variant 6 - WLTC'!G6</f>
        <v>-</v>
      </c>
      <c r="H6" s="361" t="str">
        <f>'Variant 6 - WLTC'!H6</f>
        <v>-</v>
      </c>
      <c r="I6" s="361" t="str">
        <f>'Variant 6 - WLTC'!I6</f>
        <v>-</v>
      </c>
      <c r="J6" s="361" t="str">
        <f>'Variant 6 - WLTC'!J6</f>
        <v>-</v>
      </c>
      <c r="K6" s="361" t="str">
        <f>'Variant 6 - WLTC'!K6</f>
        <v>-</v>
      </c>
      <c r="L6" s="361" t="str">
        <f>'Variant 6 - WLTC'!L6</f>
        <v>-</v>
      </c>
      <c r="M6" s="361" t="str">
        <f>'Variant 6 - WLTC'!M6</f>
        <v>-</v>
      </c>
      <c r="N6" s="361" t="str">
        <f>'Variant 6 - WLTC'!N6</f>
        <v>-</v>
      </c>
      <c r="O6" s="510"/>
      <c r="P6" s="510"/>
      <c r="Q6" s="396"/>
      <c r="R6" s="362"/>
      <c r="S6" s="362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73" ht="24.95" customHeight="1" thickBot="1" x14ac:dyDescent="0.3">
      <c r="A7" s="362"/>
      <c r="B7" s="362"/>
      <c r="C7" s="362"/>
      <c r="D7" s="362"/>
      <c r="E7" s="362"/>
      <c r="F7" s="362"/>
      <c r="G7" s="362"/>
      <c r="H7" s="61"/>
      <c r="I7" s="362"/>
      <c r="J7" s="362"/>
      <c r="K7" s="160"/>
      <c r="L7" s="160"/>
      <c r="M7" s="160"/>
      <c r="N7" s="362"/>
      <c r="O7" s="362"/>
      <c r="P7" s="362"/>
      <c r="Q7" s="362"/>
      <c r="R7" s="362"/>
      <c r="S7" s="362"/>
      <c r="T7" s="40"/>
      <c r="U7" s="40"/>
      <c r="V7" s="40"/>
      <c r="W7" s="42"/>
      <c r="X7" s="42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73" ht="24.95" customHeight="1" thickBot="1" x14ac:dyDescent="0.3">
      <c r="A8" s="362"/>
      <c r="B8" s="185">
        <v>1</v>
      </c>
      <c r="C8" s="784" t="s">
        <v>176</v>
      </c>
      <c r="D8" s="785"/>
      <c r="E8" s="785"/>
      <c r="F8" s="785"/>
      <c r="G8" s="785"/>
      <c r="H8" s="785"/>
      <c r="I8" s="785"/>
      <c r="J8" s="785"/>
      <c r="K8" s="785"/>
      <c r="L8" s="785"/>
      <c r="M8" s="785"/>
      <c r="N8" s="786"/>
      <c r="O8" s="49" t="s">
        <v>117</v>
      </c>
      <c r="P8" s="71" t="str">
        <f>IF(COUNTIF(F17:M32,"refused")&gt;0,"refused",IF(COUNTIF(F17:M32,"failed")&gt;0,"failed",IF(COUNTIF(F17:M32,"passed")&gt;0,"passed","-")))</f>
        <v>-</v>
      </c>
      <c r="Q8" s="70" t="s">
        <v>80</v>
      </c>
      <c r="R8" s="70" t="str">
        <f>IF(COUNT(F13:M14,F18:M19,F23:M24,F28:M29)&gt;0,"listed","not listed")</f>
        <v>not listed</v>
      </c>
      <c r="S8" s="504"/>
      <c r="T8" s="43"/>
      <c r="U8" s="43"/>
      <c r="V8" s="44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73" ht="15" customHeight="1" outlineLevel="1" thickBot="1" x14ac:dyDescent="0.3">
      <c r="A9" s="362"/>
      <c r="B9" s="506"/>
      <c r="C9" s="507"/>
      <c r="D9" s="507"/>
      <c r="E9" s="507"/>
      <c r="F9" s="507"/>
      <c r="G9" s="507"/>
      <c r="H9" s="507"/>
      <c r="I9" s="507"/>
      <c r="J9" s="507"/>
      <c r="K9" s="162"/>
      <c r="L9" s="162"/>
      <c r="M9" s="162"/>
      <c r="N9" s="507"/>
      <c r="O9" s="507"/>
      <c r="P9" s="507"/>
      <c r="Q9" s="507"/>
      <c r="R9" s="507"/>
      <c r="S9" s="507"/>
      <c r="T9" s="45"/>
      <c r="U9" s="45"/>
      <c r="V9" s="46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73" ht="15" customHeight="1" outlineLevel="1" thickBot="1" x14ac:dyDescent="0.3">
      <c r="A10" s="362"/>
      <c r="B10" s="744" t="s">
        <v>81</v>
      </c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745"/>
      <c r="N10" s="746"/>
      <c r="O10" s="744" t="s">
        <v>82</v>
      </c>
      <c r="P10" s="745"/>
      <c r="Q10" s="745"/>
      <c r="R10" s="746"/>
      <c r="S10" s="745" t="s">
        <v>83</v>
      </c>
      <c r="T10" s="745"/>
      <c r="U10" s="745"/>
      <c r="V10" s="746"/>
      <c r="W10" s="47"/>
      <c r="X10" s="47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</row>
    <row r="11" spans="1:73" ht="35.1" customHeight="1" outlineLevel="1" thickBot="1" x14ac:dyDescent="0.3">
      <c r="A11" s="362"/>
      <c r="B11" s="787" t="s">
        <v>84</v>
      </c>
      <c r="C11" s="788"/>
      <c r="D11" s="788"/>
      <c r="E11" s="789"/>
      <c r="F11" s="69" t="str">
        <f>F$4</f>
        <v>NMHC 
[g/km]</v>
      </c>
      <c r="G11" s="69" t="str">
        <f t="shared" ref="G11:N11" si="0">G$4</f>
        <v>THC
[g/km]</v>
      </c>
      <c r="H11" s="69" t="str">
        <f t="shared" si="0"/>
        <v>CO
[g/km]</v>
      </c>
      <c r="I11" s="69" t="str">
        <f t="shared" si="0"/>
        <v>NOx
[g/km]</v>
      </c>
      <c r="J11" s="69" t="str">
        <f t="shared" si="0"/>
        <v>PM
[mg/km]</v>
      </c>
      <c r="K11" s="69" t="str">
        <f t="shared" si="0"/>
        <v>PN
[#/km]</v>
      </c>
      <c r="L11" s="366" t="str">
        <f t="shared" si="0"/>
        <v>Additional
component</v>
      </c>
      <c r="M11" s="366" t="str">
        <f t="shared" si="0"/>
        <v>Additional
component 2</v>
      </c>
      <c r="N11" s="69" t="str">
        <f t="shared" si="0"/>
        <v>CO2
[g/km]</v>
      </c>
      <c r="O11" s="747"/>
      <c r="P11" s="748"/>
      <c r="Q11" s="748"/>
      <c r="R11" s="753"/>
      <c r="S11" s="747"/>
      <c r="T11" s="748"/>
      <c r="U11" s="748"/>
      <c r="V11" s="753"/>
      <c r="W11" s="505"/>
      <c r="X11" s="505"/>
      <c r="Y11" s="743"/>
      <c r="Z11" s="743"/>
      <c r="AA11" s="743"/>
      <c r="AB11" s="743"/>
      <c r="AC11" s="743"/>
      <c r="AD11" s="743"/>
      <c r="AE11" s="743"/>
      <c r="AF11" s="743"/>
      <c r="AG11" s="743"/>
      <c r="AH11" s="743"/>
      <c r="BD11" s="151" t="s">
        <v>85</v>
      </c>
      <c r="BE11" s="152" t="str">
        <f>F$4</f>
        <v>NMHC 
[g/km]</v>
      </c>
      <c r="BF11" s="152" t="str">
        <f t="shared" ref="BF11:BL11" si="1">G$4</f>
        <v>THC
[g/km]</v>
      </c>
      <c r="BG11" s="152" t="str">
        <f t="shared" si="1"/>
        <v>CO
[g/km]</v>
      </c>
      <c r="BH11" s="152" t="str">
        <f t="shared" si="1"/>
        <v>NOx
[g/km]</v>
      </c>
      <c r="BI11" s="152" t="str">
        <f t="shared" si="1"/>
        <v>PM
[mg/km]</v>
      </c>
      <c r="BJ11" s="152" t="str">
        <f t="shared" si="1"/>
        <v>PN
[#/km]</v>
      </c>
      <c r="BK11" s="152" t="str">
        <f t="shared" si="1"/>
        <v>Additional
component</v>
      </c>
      <c r="BL11" s="152" t="str">
        <f t="shared" si="1"/>
        <v>Additional
component 2</v>
      </c>
    </row>
    <row r="12" spans="1:73" ht="15" customHeight="1" outlineLevel="1" thickBot="1" x14ac:dyDescent="0.3">
      <c r="A12" s="362"/>
      <c r="B12" s="779" t="s">
        <v>93</v>
      </c>
      <c r="C12" s="48" t="s">
        <v>64</v>
      </c>
      <c r="D12" s="768" t="s">
        <v>119</v>
      </c>
      <c r="E12" s="769"/>
      <c r="F12" s="107" t="s">
        <v>64</v>
      </c>
      <c r="G12" s="107" t="s">
        <v>64</v>
      </c>
      <c r="H12" s="107" t="s">
        <v>64</v>
      </c>
      <c r="I12" s="107" t="s">
        <v>64</v>
      </c>
      <c r="J12" s="107" t="s">
        <v>64</v>
      </c>
      <c r="K12" s="164" t="s">
        <v>64</v>
      </c>
      <c r="L12" s="164" t="s">
        <v>64</v>
      </c>
      <c r="M12" s="164" t="s">
        <v>64</v>
      </c>
      <c r="N12" s="107" t="s">
        <v>64</v>
      </c>
      <c r="O12" s="749"/>
      <c r="P12" s="750"/>
      <c r="Q12" s="750"/>
      <c r="R12" s="754"/>
      <c r="S12" s="749"/>
      <c r="T12" s="750"/>
      <c r="U12" s="750"/>
      <c r="V12" s="754"/>
      <c r="W12" s="505"/>
      <c r="X12" s="505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BD12" s="151" t="str">
        <f>$E$4</f>
        <v>Euro 6d</v>
      </c>
      <c r="BE12" s="153">
        <v>1</v>
      </c>
      <c r="BF12" s="153">
        <v>1</v>
      </c>
      <c r="BG12" s="153">
        <v>1</v>
      </c>
      <c r="BH12" s="153">
        <v>1</v>
      </c>
      <c r="BI12" s="153">
        <v>1</v>
      </c>
      <c r="BJ12" s="153">
        <v>1</v>
      </c>
      <c r="BK12" s="153">
        <v>1</v>
      </c>
      <c r="BL12" s="153">
        <v>1</v>
      </c>
    </row>
    <row r="13" spans="1:73" ht="15" customHeight="1" outlineLevel="1" x14ac:dyDescent="0.25">
      <c r="A13" s="362"/>
      <c r="B13" s="780"/>
      <c r="C13" s="770" t="s">
        <v>114</v>
      </c>
      <c r="D13" s="770" t="s">
        <v>113</v>
      </c>
      <c r="E13" s="110" t="s">
        <v>94</v>
      </c>
      <c r="F13" s="98" t="s">
        <v>5</v>
      </c>
      <c r="G13" s="98" t="s">
        <v>5</v>
      </c>
      <c r="H13" s="98" t="s">
        <v>5</v>
      </c>
      <c r="I13" s="98" t="s">
        <v>5</v>
      </c>
      <c r="J13" s="98" t="s">
        <v>5</v>
      </c>
      <c r="K13" s="165" t="s">
        <v>5</v>
      </c>
      <c r="L13" s="165" t="s">
        <v>5</v>
      </c>
      <c r="M13" s="165" t="s">
        <v>5</v>
      </c>
      <c r="N13" s="98" t="s">
        <v>5</v>
      </c>
      <c r="O13" s="749"/>
      <c r="P13" s="750"/>
      <c r="Q13" s="750"/>
      <c r="R13" s="754"/>
      <c r="S13" s="749"/>
      <c r="T13" s="750"/>
      <c r="U13" s="750"/>
      <c r="V13" s="754"/>
      <c r="W13" s="505"/>
      <c r="X13" s="505"/>
      <c r="Y13" s="743"/>
      <c r="Z13" s="743"/>
      <c r="AA13" s="743"/>
      <c r="AB13" s="743"/>
      <c r="AC13" s="743"/>
      <c r="AD13" s="743"/>
      <c r="AE13" s="743"/>
      <c r="AF13" s="743"/>
      <c r="AG13" s="743"/>
      <c r="AH13" s="743"/>
      <c r="BD13" s="151" t="str">
        <f>"1st " &amp;  B12</f>
        <v>1st Cold</v>
      </c>
      <c r="BE13" s="153" t="str">
        <f>IF(AND(OR($C15="-",$C15="CET",$C15=""),OR(F12="-",F12="CET",F12="")),"-",IF(AND(OR(F13="-",F13=""),OR(F14="-",F14="")),"-",IF(NOT(OR(F13="-",F13="")),F13/F$5,F14/F$5)))</f>
        <v>-</v>
      </c>
      <c r="BF13" s="153" t="str">
        <f t="shared" ref="BF13:BL13" si="2">IF(AND(OR($C15="-",$C15="CET",$C15=""),OR(G12="-",G12="CET",G12="")),"-",IF(AND(OR(G13="-",G13=""),OR(G14="-",G14="")),"-",IF(NOT(OR(G13="-",G13="")),G13/G$5,G14/G$5)))</f>
        <v>-</v>
      </c>
      <c r="BG13" s="153" t="str">
        <f t="shared" si="2"/>
        <v>-</v>
      </c>
      <c r="BH13" s="153" t="str">
        <f t="shared" si="2"/>
        <v>-</v>
      </c>
      <c r="BI13" s="153" t="str">
        <f t="shared" si="2"/>
        <v>-</v>
      </c>
      <c r="BJ13" s="153" t="str">
        <f t="shared" si="2"/>
        <v>-</v>
      </c>
      <c r="BK13" s="153" t="str">
        <f t="shared" si="2"/>
        <v>-</v>
      </c>
      <c r="BL13" s="153" t="str">
        <f t="shared" si="2"/>
        <v>-</v>
      </c>
    </row>
    <row r="14" spans="1:73" s="50" customFormat="1" ht="15" customHeight="1" outlineLevel="1" thickBot="1" x14ac:dyDescent="0.3">
      <c r="A14" s="53"/>
      <c r="B14" s="780"/>
      <c r="C14" s="742"/>
      <c r="D14" s="742"/>
      <c r="E14" s="104" t="s">
        <v>95</v>
      </c>
      <c r="F14" s="97" t="s">
        <v>5</v>
      </c>
      <c r="G14" s="97" t="s">
        <v>5</v>
      </c>
      <c r="H14" s="97" t="s">
        <v>5</v>
      </c>
      <c r="I14" s="97" t="s">
        <v>5</v>
      </c>
      <c r="J14" s="97" t="s">
        <v>5</v>
      </c>
      <c r="K14" s="166" t="s">
        <v>5</v>
      </c>
      <c r="L14" s="166" t="s">
        <v>5</v>
      </c>
      <c r="M14" s="166" t="s">
        <v>5</v>
      </c>
      <c r="N14" s="97" t="s">
        <v>5</v>
      </c>
      <c r="O14" s="749"/>
      <c r="P14" s="750"/>
      <c r="Q14" s="750"/>
      <c r="R14" s="754"/>
      <c r="S14" s="749"/>
      <c r="T14" s="750"/>
      <c r="U14" s="750"/>
      <c r="V14" s="754"/>
      <c r="W14" s="51"/>
      <c r="X14" s="51"/>
      <c r="Y14" s="743"/>
      <c r="Z14" s="743"/>
      <c r="AA14" s="743"/>
      <c r="AB14" s="743"/>
      <c r="AC14" s="743"/>
      <c r="AD14" s="743"/>
      <c r="AE14" s="743"/>
      <c r="AF14" s="743"/>
      <c r="AG14" s="743"/>
      <c r="AH14" s="743"/>
      <c r="BC14" s="150"/>
      <c r="BD14" s="151" t="str">
        <f>"1st " &amp; B18</f>
        <v>1st Warm</v>
      </c>
      <c r="BE14" s="153" t="str">
        <f>IF((OR($C20="-",$C20="CET",$C20="")),"-",IF(AND(OR(F18="-",F18=""),OR(F19="-",F19="")),"-",IF(NOT(OR(F18="-",F18="")),F18/F$5,F19/F$5)))</f>
        <v>-</v>
      </c>
      <c r="BF14" s="153" t="str">
        <f t="shared" ref="BF14:BL14" si="3">IF((OR($C20="-",$C20="CET",$C20="")),"-",IF(AND(OR(G18="-",G18=""),OR(G19="-",G19="")),"-",IF(NOT(OR(G18="-",G18="")),G18/G$5,G19/G$5)))</f>
        <v>-</v>
      </c>
      <c r="BG14" s="153" t="str">
        <f t="shared" si="3"/>
        <v>-</v>
      </c>
      <c r="BH14" s="153" t="str">
        <f t="shared" si="3"/>
        <v>-</v>
      </c>
      <c r="BI14" s="153" t="str">
        <f t="shared" si="3"/>
        <v>-</v>
      </c>
      <c r="BJ14" s="153" t="str">
        <f t="shared" si="3"/>
        <v>-</v>
      </c>
      <c r="BK14" s="153" t="str">
        <f t="shared" si="3"/>
        <v>-</v>
      </c>
      <c r="BL14" s="153" t="str">
        <f t="shared" si="3"/>
        <v>-</v>
      </c>
      <c r="BM14" s="150"/>
      <c r="BN14" s="150"/>
      <c r="BO14" s="150"/>
      <c r="BP14" s="150"/>
      <c r="BQ14" s="150"/>
      <c r="BR14" s="150"/>
      <c r="BS14" s="150"/>
      <c r="BT14" s="150"/>
      <c r="BU14" s="150"/>
    </row>
    <row r="15" spans="1:73" ht="15" customHeight="1" outlineLevel="1" thickBot="1" x14ac:dyDescent="0.3">
      <c r="A15" s="362"/>
      <c r="B15" s="780"/>
      <c r="C15" s="764" t="s">
        <v>64</v>
      </c>
      <c r="D15" s="772" t="str">
        <f>IF(AND(F16="-",G16="-",H16="-",I16="-",J16="-",K16="-",K16="-",L16="-"),"-",MAX(F16,G16,H16,I16,J16,K16,L16,M16))</f>
        <v>-</v>
      </c>
      <c r="E15" s="66" t="s">
        <v>177</v>
      </c>
      <c r="F15" s="65" t="str">
        <f>IF(OR(F14="-",F14=""),IF(OR(F13="-",F13=""),"-",F13),IF(OR(F13="-",F13=""),F14,(F13+F14)/2))</f>
        <v>-</v>
      </c>
      <c r="G15" s="65" t="str">
        <f t="shared" ref="G15:N15" si="4">IF(OR(G14="-",G14=""),IF(OR(G13="-",G13=""),"-",G13),IF(OR(G13="-",G13=""),G14,(G13+G14)/2))</f>
        <v>-</v>
      </c>
      <c r="H15" s="65" t="str">
        <f t="shared" si="4"/>
        <v>-</v>
      </c>
      <c r="I15" s="65" t="str">
        <f t="shared" si="4"/>
        <v>-</v>
      </c>
      <c r="J15" s="65" t="str">
        <f t="shared" si="4"/>
        <v>-</v>
      </c>
      <c r="K15" s="167" t="str">
        <f t="shared" si="4"/>
        <v>-</v>
      </c>
      <c r="L15" s="167" t="str">
        <f t="shared" si="4"/>
        <v>-</v>
      </c>
      <c r="M15" s="167" t="str">
        <f t="shared" si="4"/>
        <v>-</v>
      </c>
      <c r="N15" s="65" t="str">
        <f t="shared" si="4"/>
        <v>-</v>
      </c>
      <c r="O15" s="749"/>
      <c r="P15" s="750"/>
      <c r="Q15" s="750"/>
      <c r="R15" s="754"/>
      <c r="S15" s="749"/>
      <c r="T15" s="750"/>
      <c r="U15" s="750"/>
      <c r="V15" s="754"/>
      <c r="W15" s="505"/>
      <c r="X15" s="505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BD15" s="151" t="str">
        <f>"1st " &amp; B23</f>
        <v>1st Hot 1</v>
      </c>
      <c r="BE15" s="153" t="str">
        <f>IF((OR($C25="-",$C25="CET",$C25="")),"-",IF(AND(OR(F23="-",F23=""),OR(F24="-",F24="")),"-",IF(NOT(OR(F23="-",F23="")),F23/F$5,F24/F$5)))</f>
        <v>-</v>
      </c>
      <c r="BF15" s="153" t="str">
        <f t="shared" ref="BF15:BL15" si="5">IF((OR($C25="-",$C25="CET",$C25="")),"-",IF(AND(OR(G23="-",G23=""),OR(G24="-",G24="")),"-",IF(NOT(OR(G23="-",G23="")),G23/G$5,G24/G$5)))</f>
        <v>-</v>
      </c>
      <c r="BG15" s="153" t="str">
        <f t="shared" si="5"/>
        <v>-</v>
      </c>
      <c r="BH15" s="153" t="str">
        <f t="shared" si="5"/>
        <v>-</v>
      </c>
      <c r="BI15" s="153" t="str">
        <f t="shared" si="5"/>
        <v>-</v>
      </c>
      <c r="BJ15" s="153" t="str">
        <f t="shared" si="5"/>
        <v>-</v>
      </c>
      <c r="BK15" s="153" t="str">
        <f t="shared" si="5"/>
        <v>-</v>
      </c>
      <c r="BL15" s="153" t="str">
        <f t="shared" si="5"/>
        <v>-</v>
      </c>
    </row>
    <row r="16" spans="1:73" ht="15" customHeight="1" outlineLevel="1" thickBot="1" x14ac:dyDescent="0.3">
      <c r="A16" s="362"/>
      <c r="B16" s="780"/>
      <c r="C16" s="765"/>
      <c r="D16" s="773"/>
      <c r="E16" s="64" t="s">
        <v>97</v>
      </c>
      <c r="F16" s="63" t="str">
        <f>IF(AND(OR($C15="-",$C15="CET",$C15=""),OR(F12="-",F12="CET",F12="")),"-",IF(AND(NOT(F15="-"),NOT(F$5="-"),NOT(F$5="")),F15/F$5,"-"))</f>
        <v>-</v>
      </c>
      <c r="G16" s="63" t="str">
        <f t="shared" ref="G16:N16" si="6">IF(AND(OR($C15="-",$C15="CET",$C15=""),OR(G12="-",G12="CET",G12="")),"-",IF(AND(NOT(G15="-"),NOT(G$5="-"),NOT(G$5="")),G15/G$5,"-"))</f>
        <v>-</v>
      </c>
      <c r="H16" s="63" t="str">
        <f t="shared" si="6"/>
        <v>-</v>
      </c>
      <c r="I16" s="63" t="str">
        <f t="shared" si="6"/>
        <v>-</v>
      </c>
      <c r="J16" s="63" t="str">
        <f t="shared" si="6"/>
        <v>-</v>
      </c>
      <c r="K16" s="168" t="str">
        <f t="shared" si="6"/>
        <v>-</v>
      </c>
      <c r="L16" s="168" t="str">
        <f t="shared" si="6"/>
        <v>-</v>
      </c>
      <c r="M16" s="168" t="str">
        <f t="shared" si="6"/>
        <v>-</v>
      </c>
      <c r="N16" s="63" t="str">
        <f t="shared" si="6"/>
        <v>-</v>
      </c>
      <c r="O16" s="749"/>
      <c r="P16" s="750"/>
      <c r="Q16" s="750"/>
      <c r="R16" s="754"/>
      <c r="S16" s="749"/>
      <c r="T16" s="750"/>
      <c r="U16" s="750"/>
      <c r="V16" s="754"/>
      <c r="W16" s="505"/>
      <c r="X16" s="505"/>
      <c r="Y16" s="743"/>
      <c r="Z16" s="743"/>
      <c r="AA16" s="743"/>
      <c r="AB16" s="743"/>
      <c r="AC16" s="743"/>
      <c r="AD16" s="743"/>
      <c r="AE16" s="743"/>
      <c r="AF16" s="743"/>
      <c r="AG16" s="743"/>
      <c r="AH16" s="743"/>
      <c r="BD16" s="151" t="str">
        <f>"1st " &amp; B28</f>
        <v>1st Hot 2</v>
      </c>
      <c r="BE16" s="153" t="str">
        <f>IF((OR($C30="-",$C30="CET",$C30="")),"-",IF(AND(OR(F28="-",F28=""),OR(F29="-",F29="")),"-",IF(NOT(OR(F28="-",F28="")),F28/F$5,F29/F$5)))</f>
        <v>-</v>
      </c>
      <c r="BF16" s="153" t="str">
        <f t="shared" ref="BF16:BL16" si="7">IF((OR($C30="-",$C30="CET",$C30="")),"-",IF(AND(OR(G28="-",G28=""),OR(G29="-",G29="")),"-",IF(NOT(OR(G28="-",G28="")),G28/G$5,G29/G$5)))</f>
        <v>-</v>
      </c>
      <c r="BG16" s="153" t="str">
        <f t="shared" si="7"/>
        <v>-</v>
      </c>
      <c r="BH16" s="153" t="str">
        <f t="shared" si="7"/>
        <v>-</v>
      </c>
      <c r="BI16" s="153" t="str">
        <f t="shared" si="7"/>
        <v>-</v>
      </c>
      <c r="BJ16" s="153" t="str">
        <f t="shared" si="7"/>
        <v>-</v>
      </c>
      <c r="BK16" s="153" t="str">
        <f t="shared" si="7"/>
        <v>-</v>
      </c>
      <c r="BL16" s="153" t="str">
        <f t="shared" si="7"/>
        <v>-</v>
      </c>
    </row>
    <row r="17" spans="1:73" ht="15" customHeight="1" outlineLevel="1" thickBot="1" x14ac:dyDescent="0.3">
      <c r="A17" s="362"/>
      <c r="B17" s="781"/>
      <c r="C17" s="771"/>
      <c r="D17" s="774"/>
      <c r="E17" s="68" t="s">
        <v>30</v>
      </c>
      <c r="F17" s="62" t="str">
        <f t="shared" ref="F17:K17" si="8">IF(AND(OR(F13="-",F13=""),OR(F14="-",F14="")),"-",IF(AND(OR(F12="CET",F12="-",F12=""),OR($C15="CET",$C15="-",$C15="")),"-",IF($R$8="not listed","-",IF(AND(NOT(F$5="-"),NOT(F$5="")),IF(AND(AND(NOT(F13=0),NOT(F13="-"),NOT(F13="")),AND(NOT(F14="-"),NOT(F14=0),NOT(F14=""))),IF(AND((F13+F14)/2&lt;1*F$5*IF(OR(F12="CET",F12="-",F12=""),IF(OR($C15="CET",$C15="-",$C15=""),"-",$C15),F12),F13&lt;1.1*F$5*IF(OR(F12="CET",F12="-",F12=""),IF(OR($C15="CET",$C15="-",$C15=""),"-",$C15),F12),F14&lt;1.1*F$5*IF(OR(F12="CET",F12="-",F12=""),IF($C15="CET","-",$C15),F12)),"passed","refused"),IF(IF(OR(F13="-",F13=""),F14,F13)&lt;0.7*F$5*IF(OR(F12="CET",F12="-",F12=""),IF($C15="CET","-",$C15),F12),"passed",IF(IF(OR(F13="-",F13=""),F14,F13)&lt;1.1*IF(OR(F12="CET",F12="-",F12=""),IF($C15="CET","-",$C15),F12)*F$5,"failed","refused"))),"-"))))</f>
        <v>-</v>
      </c>
      <c r="G17" s="62" t="str">
        <f t="shared" si="8"/>
        <v>-</v>
      </c>
      <c r="H17" s="62" t="str">
        <f t="shared" si="8"/>
        <v>-</v>
      </c>
      <c r="I17" s="62" t="str">
        <f t="shared" si="8"/>
        <v>-</v>
      </c>
      <c r="J17" s="62" t="str">
        <f t="shared" si="8"/>
        <v>-</v>
      </c>
      <c r="K17" s="169" t="str">
        <f t="shared" si="8"/>
        <v>-</v>
      </c>
      <c r="L17" s="169" t="str">
        <f t="shared" ref="L17:M17" si="9">IF(AND(OR(L13="-",L13=""),OR(L14="-",L14="")),"-",IF(AND(OR(L12="CET",L12="-",L12=""),OR($C15="CET",$C15="-",$C15="")),"-",IF($R$8="not listed","-",IF(AND(NOT(L$5="-"),NOT(L$5="")),IF(AND(AND(NOT(L13=0),NOT(L13="-"),NOT(L13="")),AND(NOT(L14="-"),NOT(L14=0),NOT(L14=""))),IF(AND((L13+L14)/2&lt;1*L$5*IF(OR(L12="CET",L12="-",L12=""),IF(OR($C15="CET",$C15="-",$C15=""),"-",$C15),L12),L13&lt;1.1*L$5*IF(OR(L12="CET",L12="-",L12=""),IF(OR($C15="CET",$C15="-",$C15=""),"-",$C15),L12),L14&lt;1.1*L$5*IF(OR(L12="CET",L12="-",L12=""),IF($C15="CET","-",$C15),L12)),"passed","refused"),IF(IF(OR(L13="-",L13=""),L14,L13)&lt;0.7*L$5*IF(OR(L12="CET",L12="-",L12=""),IF($C15="CET","-",$C15),L12),"passed",IF(IF(OR(L13="-",L13=""),L14,L13)&lt;1.1*IF(OR(L12="CET",L12="-",L12=""),IF($C15="CET","-",$C15),L12)*L$5,"failed","refused"))),"-"))))</f>
        <v>-</v>
      </c>
      <c r="M17" s="169" t="str">
        <f t="shared" si="9"/>
        <v>-</v>
      </c>
      <c r="N17" s="62" t="str">
        <f>IF(AND(OR(N13="-",N13=""),OR(N14="-",N14="")),"-",IF(AND(OR(N12="CET",N12="-",N12=""),OR($C15="CET",$C15="-",$C15="")),"-",IF($R$8="not listed","-",IF(AND(NOT(N$5="-"),NOT(N$5="")),IF(AND(AND(NOT(N13=0),NOT(N13="-"),NOT(N13="")),AND(NOT(N14="-"),NOT(N14=0),NOT(N14=""))),IF(AND((N13+N14)/2&lt;1*N$5*IF(OR(N12="CET",N12="-",N12=""),IF(OR($C15="CET",$C15="-",$C15=""),"-",$C15),N12),N13&lt;1.1*N$5*IF(OR(N12="CET",N12="-",N12=""),IF(OR($C15="CET",$C15="-",$C15=""),"-",$C15),N12),N14&lt;1.1*N$5*IF(OR(N12="CET",N12="-",N12=""),IF($C15="CET","-",$C15),N12)),"passed","refused"),IF(IF(OR(N13="-",N13=""),N14,N13)&lt;0.7*N$5*IF(OR(N12="CET",N12="-",N12=""),IF($C15="CET","-",$C15),N12),"passed",IF(IF(OR(N13="-",N13=""),N14,N13)&lt;1.1*IF(OR(N12="CET",N12="-",N12=""),IF($C15="CET","-",$C15),N12)*N$5,"failed","refused"))),"-"))))</f>
        <v>-</v>
      </c>
      <c r="O17" s="749"/>
      <c r="P17" s="750"/>
      <c r="Q17" s="750"/>
      <c r="R17" s="754"/>
      <c r="S17" s="749"/>
      <c r="T17" s="750"/>
      <c r="U17" s="750"/>
      <c r="V17" s="754"/>
      <c r="W17" s="505"/>
      <c r="X17" s="505"/>
      <c r="Y17" s="743"/>
      <c r="Z17" s="743"/>
      <c r="AA17" s="743"/>
      <c r="AB17" s="743"/>
      <c r="AC17" s="743"/>
      <c r="AD17" s="743"/>
      <c r="AE17" s="743"/>
      <c r="AF17" s="743"/>
      <c r="AG17" s="743"/>
      <c r="AH17" s="743"/>
      <c r="BC17" s="155" t="str">
        <f>IF(COUNTIF(F17:M17,"refused")&gt;0,"refused",IF(COUNTIF(F17:M17,"failed")&gt;0,"failed",IF(COUNTIF(F17:M17,"passed")&gt;0,"passed","-")))</f>
        <v>-</v>
      </c>
      <c r="BD17" s="151" t="str">
        <f>"0.7*IEF " &amp; (B12)</f>
        <v>0.7*IEF Cold</v>
      </c>
      <c r="BE17" s="153" t="str">
        <f>IF(AND(OR($C15="-",$C15="CET",$C15=""),OR(F12="-",F12="CET",F12="")),"-",0.7*IF(OR(F12="CET",F12="-",F12=""),IF(OR($C15="CET",$C15="-",$C15=""),"-",$C15),F12))</f>
        <v>-</v>
      </c>
      <c r="BF17" s="153" t="str">
        <f t="shared" ref="BF17:BL17" si="10">IF(AND(OR($C15="-",$C15="CET",$C15=""),OR(G12="-",G12="CET",G12="")),"-",0.7*IF(OR(G12="CET",G12="-",G12=""),IF(OR($C15="CET",$C15="-",$C15=""),"-",$C15),G12))</f>
        <v>-</v>
      </c>
      <c r="BG17" s="153" t="str">
        <f t="shared" si="10"/>
        <v>-</v>
      </c>
      <c r="BH17" s="153" t="str">
        <f t="shared" si="10"/>
        <v>-</v>
      </c>
      <c r="BI17" s="153" t="str">
        <f t="shared" si="10"/>
        <v>-</v>
      </c>
      <c r="BJ17" s="153" t="str">
        <f t="shared" si="10"/>
        <v>-</v>
      </c>
      <c r="BK17" s="153" t="str">
        <f t="shared" si="10"/>
        <v>-</v>
      </c>
      <c r="BL17" s="153" t="str">
        <f t="shared" si="10"/>
        <v>-</v>
      </c>
    </row>
    <row r="18" spans="1:73" ht="15" customHeight="1" outlineLevel="1" x14ac:dyDescent="0.25">
      <c r="A18" s="362"/>
      <c r="B18" s="779" t="s">
        <v>98</v>
      </c>
      <c r="C18" s="770" t="s">
        <v>114</v>
      </c>
      <c r="D18" s="770" t="s">
        <v>113</v>
      </c>
      <c r="E18" s="106" t="s">
        <v>94</v>
      </c>
      <c r="F18" s="98" t="s">
        <v>5</v>
      </c>
      <c r="G18" s="98" t="s">
        <v>5</v>
      </c>
      <c r="H18" s="98" t="s">
        <v>5</v>
      </c>
      <c r="I18" s="98" t="s">
        <v>5</v>
      </c>
      <c r="J18" s="98" t="s">
        <v>5</v>
      </c>
      <c r="K18" s="165" t="s">
        <v>5</v>
      </c>
      <c r="L18" s="165" t="s">
        <v>5</v>
      </c>
      <c r="M18" s="165" t="s">
        <v>5</v>
      </c>
      <c r="N18" s="98" t="s">
        <v>5</v>
      </c>
      <c r="O18" s="749"/>
      <c r="P18" s="750"/>
      <c r="Q18" s="750"/>
      <c r="R18" s="754"/>
      <c r="S18" s="749"/>
      <c r="T18" s="750"/>
      <c r="U18" s="750"/>
      <c r="V18" s="754"/>
      <c r="W18" s="505"/>
      <c r="X18" s="505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BC18" s="155" t="str">
        <f t="shared" ref="BC18:BC99" si="11">IF(COUNTIF(F18:M18,"refused")&gt;0,"refused",IF(COUNTIF(F18:M18,"failed")&gt;0,"failed",IF(COUNTIF(F18:M18,"passed")&gt;0,"passed","-")))</f>
        <v>-</v>
      </c>
      <c r="BD18" s="151" t="str">
        <f>"0.7*IEF" &amp; B18</f>
        <v>0.7*IEFWarm</v>
      </c>
      <c r="BE18" s="153">
        <f>IF(OR($C20="-",$C20="CET",$C20=""),"-",0.7*$C20)</f>
        <v>0.7</v>
      </c>
      <c r="BF18" s="153">
        <f t="shared" ref="BF18:BL18" si="12">IF(OR($C20="-",$C20="CET",$C20=""),"-",0.7*$C20)</f>
        <v>0.7</v>
      </c>
      <c r="BG18" s="153">
        <f t="shared" si="12"/>
        <v>0.7</v>
      </c>
      <c r="BH18" s="153">
        <f t="shared" si="12"/>
        <v>0.7</v>
      </c>
      <c r="BI18" s="153">
        <f t="shared" si="12"/>
        <v>0.7</v>
      </c>
      <c r="BJ18" s="153">
        <f t="shared" si="12"/>
        <v>0.7</v>
      </c>
      <c r="BK18" s="153">
        <f t="shared" si="12"/>
        <v>0.7</v>
      </c>
      <c r="BL18" s="153">
        <f t="shared" si="12"/>
        <v>0.7</v>
      </c>
    </row>
    <row r="19" spans="1:73" s="50" customFormat="1" ht="15" customHeight="1" outlineLevel="1" thickBot="1" x14ac:dyDescent="0.3">
      <c r="A19" s="53"/>
      <c r="B19" s="780"/>
      <c r="C19" s="741"/>
      <c r="D19" s="742"/>
      <c r="E19" s="104" t="s">
        <v>95</v>
      </c>
      <c r="F19" s="97" t="s">
        <v>5</v>
      </c>
      <c r="G19" s="97" t="s">
        <v>5</v>
      </c>
      <c r="H19" s="97" t="s">
        <v>5</v>
      </c>
      <c r="I19" s="97" t="s">
        <v>5</v>
      </c>
      <c r="J19" s="97" t="s">
        <v>5</v>
      </c>
      <c r="K19" s="166" t="s">
        <v>5</v>
      </c>
      <c r="L19" s="166" t="s">
        <v>5</v>
      </c>
      <c r="M19" s="166" t="s">
        <v>5</v>
      </c>
      <c r="N19" s="97" t="s">
        <v>5</v>
      </c>
      <c r="O19" s="749"/>
      <c r="P19" s="750"/>
      <c r="Q19" s="750"/>
      <c r="R19" s="754"/>
      <c r="S19" s="749"/>
      <c r="T19" s="750"/>
      <c r="U19" s="750"/>
      <c r="V19" s="754"/>
      <c r="W19" s="51"/>
      <c r="X19" s="51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BC19" s="155" t="str">
        <f t="shared" si="11"/>
        <v>-</v>
      </c>
      <c r="BD19" s="151" t="str">
        <f>"0.7*IEF " &amp; B23</f>
        <v>0.7*IEF Hot 1</v>
      </c>
      <c r="BE19" s="153">
        <f>IF(OR($C25="-",$C25="CET",$C25=""),"-",0.7*$C25)</f>
        <v>0.7</v>
      </c>
      <c r="BF19" s="153">
        <f t="shared" ref="BF19:BL19" si="13">IF(OR($C25="-",$C25="CET",$C25=""),"-",0.7*$C25)</f>
        <v>0.7</v>
      </c>
      <c r="BG19" s="153">
        <f t="shared" si="13"/>
        <v>0.7</v>
      </c>
      <c r="BH19" s="153">
        <f t="shared" si="13"/>
        <v>0.7</v>
      </c>
      <c r="BI19" s="153">
        <f t="shared" si="13"/>
        <v>0.7</v>
      </c>
      <c r="BJ19" s="153">
        <f t="shared" si="13"/>
        <v>0.7</v>
      </c>
      <c r="BK19" s="153">
        <f t="shared" si="13"/>
        <v>0.7</v>
      </c>
      <c r="BL19" s="153">
        <f t="shared" si="13"/>
        <v>0.7</v>
      </c>
      <c r="BM19" s="150"/>
      <c r="BN19" s="150"/>
      <c r="BO19" s="150"/>
      <c r="BP19" s="150"/>
      <c r="BQ19" s="150"/>
      <c r="BR19" s="150"/>
      <c r="BS19" s="150"/>
      <c r="BT19" s="150"/>
      <c r="BU19" s="150"/>
    </row>
    <row r="20" spans="1:73" ht="15" customHeight="1" outlineLevel="1" thickBot="1" x14ac:dyDescent="0.3">
      <c r="A20" s="362"/>
      <c r="B20" s="780"/>
      <c r="C20" s="764">
        <v>1</v>
      </c>
      <c r="D20" s="772" t="str">
        <f>IF(AND(F21="-",G21="-",H21="-",I21="-",J21="-",K21="-",K21="-",L21="-"),"-",MAX(F21,G21,H21,I21,J21,K21,L21,M21))</f>
        <v>-</v>
      </c>
      <c r="E20" s="66" t="s">
        <v>177</v>
      </c>
      <c r="F20" s="65" t="str">
        <f t="shared" ref="F20:N20" si="14">IF(OR(F19="-",F19=""),IF(OR(F18="-",F18=""),"-",F18),IF(OR(F18="-",F18=""),F19,(F18+F19)/2))</f>
        <v>-</v>
      </c>
      <c r="G20" s="65" t="str">
        <f t="shared" si="14"/>
        <v>-</v>
      </c>
      <c r="H20" s="65" t="str">
        <f t="shared" si="14"/>
        <v>-</v>
      </c>
      <c r="I20" s="65" t="str">
        <f t="shared" si="14"/>
        <v>-</v>
      </c>
      <c r="J20" s="65" t="str">
        <f t="shared" si="14"/>
        <v>-</v>
      </c>
      <c r="K20" s="167" t="str">
        <f t="shared" si="14"/>
        <v>-</v>
      </c>
      <c r="L20" s="167" t="str">
        <f t="shared" si="14"/>
        <v>-</v>
      </c>
      <c r="M20" s="167" t="str">
        <f t="shared" si="14"/>
        <v>-</v>
      </c>
      <c r="N20" s="65" t="str">
        <f t="shared" si="14"/>
        <v>-</v>
      </c>
      <c r="O20" s="749"/>
      <c r="P20" s="750"/>
      <c r="Q20" s="750"/>
      <c r="R20" s="754"/>
      <c r="S20" s="749"/>
      <c r="T20" s="750"/>
      <c r="U20" s="750"/>
      <c r="V20" s="754"/>
      <c r="W20" s="505"/>
      <c r="X20" s="505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BC20" s="155" t="str">
        <f t="shared" si="11"/>
        <v>-</v>
      </c>
      <c r="BD20" s="151" t="str">
        <f>"0.7*IEF " &amp; B28</f>
        <v>0.7*IEF Hot 2</v>
      </c>
      <c r="BE20" s="153">
        <f>IF(OR($C30="-",$C30="CET",$C30=""),"-",0.7*$C30)</f>
        <v>0.7</v>
      </c>
      <c r="BF20" s="153">
        <f t="shared" ref="BF20:BL20" si="15">IF(OR($C30="-",$C30="CET",$C30=""),"-",0.7*$C30)</f>
        <v>0.7</v>
      </c>
      <c r="BG20" s="153">
        <f t="shared" si="15"/>
        <v>0.7</v>
      </c>
      <c r="BH20" s="153">
        <f t="shared" si="15"/>
        <v>0.7</v>
      </c>
      <c r="BI20" s="153">
        <f t="shared" si="15"/>
        <v>0.7</v>
      </c>
      <c r="BJ20" s="153">
        <f t="shared" si="15"/>
        <v>0.7</v>
      </c>
      <c r="BK20" s="153">
        <f t="shared" si="15"/>
        <v>0.7</v>
      </c>
      <c r="BL20" s="153">
        <f t="shared" si="15"/>
        <v>0.7</v>
      </c>
    </row>
    <row r="21" spans="1:73" ht="15" customHeight="1" outlineLevel="1" thickBot="1" x14ac:dyDescent="0.3">
      <c r="A21" s="362"/>
      <c r="B21" s="780"/>
      <c r="C21" s="765"/>
      <c r="D21" s="773"/>
      <c r="E21" s="64" t="s">
        <v>97</v>
      </c>
      <c r="F21" s="63" t="str">
        <f>IF(OR($C20="-",$C20="CET",$C20=""),"-",IF(AND(NOT(F20="-"),NOT(F$5="-"),NOT(F$5="")),F20/F$5,"-"))</f>
        <v>-</v>
      </c>
      <c r="G21" s="63" t="str">
        <f t="shared" ref="G21:N21" si="16">IF(OR($C20="-",$C20="CET",$C20=""),"-",IF(AND(NOT(G20="-"),NOT(G$5="-"),NOT(G$5="")),G20/G$5,"-"))</f>
        <v>-</v>
      </c>
      <c r="H21" s="63" t="str">
        <f t="shared" si="16"/>
        <v>-</v>
      </c>
      <c r="I21" s="63" t="str">
        <f t="shared" si="16"/>
        <v>-</v>
      </c>
      <c r="J21" s="63" t="str">
        <f t="shared" si="16"/>
        <v>-</v>
      </c>
      <c r="K21" s="168" t="str">
        <f t="shared" si="16"/>
        <v>-</v>
      </c>
      <c r="L21" s="168" t="str">
        <f t="shared" si="16"/>
        <v>-</v>
      </c>
      <c r="M21" s="168" t="str">
        <f t="shared" si="16"/>
        <v>-</v>
      </c>
      <c r="N21" s="63" t="str">
        <f t="shared" si="16"/>
        <v>-</v>
      </c>
      <c r="O21" s="749"/>
      <c r="P21" s="750"/>
      <c r="Q21" s="750"/>
      <c r="R21" s="754"/>
      <c r="S21" s="749"/>
      <c r="T21" s="750"/>
      <c r="U21" s="750"/>
      <c r="V21" s="754"/>
      <c r="W21" s="505"/>
      <c r="X21" s="505"/>
      <c r="Y21" s="743"/>
      <c r="Z21" s="743"/>
      <c r="AA21" s="743"/>
      <c r="AB21" s="743"/>
      <c r="AC21" s="743"/>
      <c r="AD21" s="743"/>
      <c r="AE21" s="743"/>
      <c r="AF21" s="743"/>
      <c r="AG21" s="743"/>
      <c r="AH21" s="743"/>
      <c r="BC21" s="155" t="str">
        <f t="shared" si="11"/>
        <v>-</v>
      </c>
      <c r="BD21" s="151" t="str">
        <f>B12</f>
        <v>Cold</v>
      </c>
      <c r="BE21" s="153" t="str">
        <f>F16</f>
        <v>-</v>
      </c>
      <c r="BF21" s="153" t="str">
        <f t="shared" ref="BF21:BL21" si="17">G16</f>
        <v>-</v>
      </c>
      <c r="BG21" s="153" t="str">
        <f t="shared" si="17"/>
        <v>-</v>
      </c>
      <c r="BH21" s="153" t="str">
        <f t="shared" si="17"/>
        <v>-</v>
      </c>
      <c r="BI21" s="153" t="str">
        <f t="shared" si="17"/>
        <v>-</v>
      </c>
      <c r="BJ21" s="153" t="str">
        <f t="shared" si="17"/>
        <v>-</v>
      </c>
      <c r="BK21" s="153" t="str">
        <f t="shared" si="17"/>
        <v>-</v>
      </c>
      <c r="BL21" s="153" t="str">
        <f t="shared" si="17"/>
        <v>-</v>
      </c>
    </row>
    <row r="22" spans="1:73" ht="15" customHeight="1" outlineLevel="1" thickBot="1" x14ac:dyDescent="0.3">
      <c r="A22" s="40"/>
      <c r="B22" s="781"/>
      <c r="C22" s="771"/>
      <c r="D22" s="774"/>
      <c r="E22" s="68" t="s">
        <v>30</v>
      </c>
      <c r="F22" s="62" t="str">
        <f t="shared" ref="F22:K22" si="18">IF(AND(OR(F18="-",F18=""),OR(F19="-",F19="")),"-",IF(OR($C20="-",$C20="",$C20="CET"),"-",IF($R$8="not listed","-",IF(NOT(F$5="-"),IF(AND(AND(NOT(F18=0),NOT(F18="-"),NOT(F18="")),AND(NOT(F19="-"),NOT(F19=0),NOT(F19=""))),IF(AND((F18+F19)/2&lt;1*F$5*IF(OR($C20="CET",$C20="-",$C20=""),"-",$C20),F18&lt;1.1*F$5*IF(OR($C20="CET",$C20="-",$C20=""),"-",$C20),F19&lt;1.1*F$5*IF(OR($C20="CET",$C20="-",$C20=""),"-",$C20)),"passed","refused"),IF(IF(OR(F18="-",F18=""),F19,F18)&lt;0.7*F$5*IF(OR($C20="CET",$C20="-",$C20=""),"-",$C20),"passed",IF(IF(OR(F18="-",F18=""),F19,F18)&lt;1.1*IF(OR($C20="CET",$C20="-",$C20=""),"-",$C20)*F$5,"failed","refused"))),"-"))))</f>
        <v>-</v>
      </c>
      <c r="G22" s="62" t="str">
        <f t="shared" si="18"/>
        <v>-</v>
      </c>
      <c r="H22" s="62" t="str">
        <f t="shared" si="18"/>
        <v>-</v>
      </c>
      <c r="I22" s="62" t="str">
        <f t="shared" si="18"/>
        <v>-</v>
      </c>
      <c r="J22" s="62" t="str">
        <f t="shared" si="18"/>
        <v>-</v>
      </c>
      <c r="K22" s="169" t="str">
        <f t="shared" si="18"/>
        <v>-</v>
      </c>
      <c r="L22" s="169" t="str">
        <f t="shared" ref="L22:M22" si="19">IF(AND(OR(L18="-",L18=""),OR(L19="-",L19="")),"-",IF(OR($C20="-",$C20="",$C20="CET"),"-",IF($R$8="not listed","-",IF(NOT(L$5="-"),IF(AND(AND(NOT(L18=0),NOT(L18="-"),NOT(L18="")),AND(NOT(L19="-"),NOT(L19=0),NOT(L19=""))),IF(AND((L18+L19)/2&lt;1*L$5*IF(OR($C20="CET",$C20="-",$C20=""),"-",$C20),L18&lt;1.1*L$5*IF(OR($C20="CET",$C20="-",$C20=""),"-",$C20),L19&lt;1.1*L$5*IF(OR($C20="CET",$C20="-",$C20=""),"-",$C20)),"passed","refused"),IF(IF(OR(L18="-",L18=""),L19,L18)&lt;0.7*L$5*IF(OR($C20="CET",$C20="-",$C20=""),"-",$C20),"passed",IF(IF(OR(L18="-",L18=""),L19,L18)&lt;1.1*IF(OR($C20="CET",$C20="-",$C20=""),"-",$C20)*L$5,"failed","refused"))),"-"))))</f>
        <v>-</v>
      </c>
      <c r="M22" s="169" t="str">
        <f t="shared" si="19"/>
        <v>-</v>
      </c>
      <c r="N22" s="62" t="str">
        <f>IF(AND(OR(N18="-",N18=""),OR(N19="-",N19="")),"-",IF(OR($C20="-",$C20="",$C20="CET"),"-",IF($R$8="not listed","-",IF(NOT(N$5="-"),IF(AND(AND(NOT(N18=0),NOT(N18="-"),NOT(N18="")),AND(NOT(N19="-"),NOT(N19=0),NOT(N19=""))),IF(AND((N18+N19)/2&lt;1*N$5*IF(OR($C20="CET",$C20="-",$C20=""),"-",$C20),N18&lt;1.1*N$5*IF(OR($C20="CET",$C20="-",$C20=""),"-",$C20),N19&lt;1.1*N$5*IF(OR($C20="CET",$C20="-",$C20=""),"-",$C20)),"passed","refused"),IF(IF(OR(N18="-",N18=""),N19,N18)&lt;0.7*N$5*IF(OR($C20="CET",$C20="-",$C20=""),"-",$C20),"passed",IF(IF(OR(N18="-",N18=""),N19,N18)&lt;1.1*IF(OR($C20="CET",$C20="-",$C20=""),"-",$C20)*N$5,"failed","refused"))),"-"))))</f>
        <v>-</v>
      </c>
      <c r="O22" s="749"/>
      <c r="P22" s="750"/>
      <c r="Q22" s="750"/>
      <c r="R22" s="754"/>
      <c r="S22" s="749"/>
      <c r="T22" s="750"/>
      <c r="U22" s="750"/>
      <c r="V22" s="754"/>
      <c r="W22" s="505"/>
      <c r="X22" s="505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BC22" s="155" t="str">
        <f t="shared" si="11"/>
        <v>-</v>
      </c>
      <c r="BD22" s="151" t="str">
        <f>B18</f>
        <v>Warm</v>
      </c>
      <c r="BE22" s="153" t="str">
        <f>F21</f>
        <v>-</v>
      </c>
      <c r="BF22" s="153" t="str">
        <f t="shared" ref="BF22:BL22" si="20">G21</f>
        <v>-</v>
      </c>
      <c r="BG22" s="153" t="str">
        <f t="shared" si="20"/>
        <v>-</v>
      </c>
      <c r="BH22" s="153" t="str">
        <f t="shared" si="20"/>
        <v>-</v>
      </c>
      <c r="BI22" s="153" t="str">
        <f t="shared" si="20"/>
        <v>-</v>
      </c>
      <c r="BJ22" s="153" t="str">
        <f t="shared" si="20"/>
        <v>-</v>
      </c>
      <c r="BK22" s="153" t="str">
        <f t="shared" si="20"/>
        <v>-</v>
      </c>
      <c r="BL22" s="153" t="str">
        <f t="shared" si="20"/>
        <v>-</v>
      </c>
    </row>
    <row r="23" spans="1:73" ht="15" customHeight="1" outlineLevel="1" thickBot="1" x14ac:dyDescent="0.3">
      <c r="A23" s="40"/>
      <c r="B23" s="779" t="s">
        <v>99</v>
      </c>
      <c r="C23" s="770" t="s">
        <v>114</v>
      </c>
      <c r="D23" s="770" t="s">
        <v>113</v>
      </c>
      <c r="E23" s="106" t="s">
        <v>94</v>
      </c>
      <c r="F23" s="98" t="s">
        <v>5</v>
      </c>
      <c r="G23" s="98" t="s">
        <v>5</v>
      </c>
      <c r="H23" s="98" t="s">
        <v>5</v>
      </c>
      <c r="I23" s="98" t="s">
        <v>5</v>
      </c>
      <c r="J23" s="98" t="s">
        <v>5</v>
      </c>
      <c r="K23" s="165" t="s">
        <v>5</v>
      </c>
      <c r="L23" s="165" t="s">
        <v>5</v>
      </c>
      <c r="M23" s="165" t="s">
        <v>5</v>
      </c>
      <c r="N23" s="98" t="s">
        <v>5</v>
      </c>
      <c r="O23" s="749"/>
      <c r="P23" s="750"/>
      <c r="Q23" s="750"/>
      <c r="R23" s="754"/>
      <c r="S23" s="749"/>
      <c r="T23" s="750"/>
      <c r="U23" s="750"/>
      <c r="V23" s="754"/>
      <c r="W23" s="505"/>
      <c r="X23" s="505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BC23" s="155" t="str">
        <f t="shared" si="11"/>
        <v>-</v>
      </c>
      <c r="BD23" s="151" t="str">
        <f>B23</f>
        <v>Hot 1</v>
      </c>
      <c r="BE23" s="153" t="str">
        <f>F26</f>
        <v>-</v>
      </c>
      <c r="BF23" s="153" t="str">
        <f t="shared" ref="BF23:BL23" si="21">G26</f>
        <v>-</v>
      </c>
      <c r="BG23" s="153" t="str">
        <f t="shared" si="21"/>
        <v>-</v>
      </c>
      <c r="BH23" s="153" t="str">
        <f t="shared" si="21"/>
        <v>-</v>
      </c>
      <c r="BI23" s="153" t="str">
        <f t="shared" si="21"/>
        <v>-</v>
      </c>
      <c r="BJ23" s="153" t="str">
        <f t="shared" si="21"/>
        <v>-</v>
      </c>
      <c r="BK23" s="153" t="str">
        <f t="shared" si="21"/>
        <v>-</v>
      </c>
      <c r="BL23" s="153" t="str">
        <f t="shared" si="21"/>
        <v>-</v>
      </c>
    </row>
    <row r="24" spans="1:73" s="50" customFormat="1" ht="15" customHeight="1" outlineLevel="1" thickBot="1" x14ac:dyDescent="0.3">
      <c r="A24" s="52"/>
      <c r="B24" s="780"/>
      <c r="C24" s="741"/>
      <c r="D24" s="742"/>
      <c r="E24" s="109" t="s">
        <v>95</v>
      </c>
      <c r="F24" s="97" t="s">
        <v>5</v>
      </c>
      <c r="G24" s="97" t="s">
        <v>5</v>
      </c>
      <c r="H24" s="97" t="s">
        <v>5</v>
      </c>
      <c r="I24" s="97" t="s">
        <v>5</v>
      </c>
      <c r="J24" s="97" t="s">
        <v>5</v>
      </c>
      <c r="K24" s="166" t="s">
        <v>5</v>
      </c>
      <c r="L24" s="166" t="s">
        <v>5</v>
      </c>
      <c r="M24" s="166" t="s">
        <v>5</v>
      </c>
      <c r="N24" s="97" t="s">
        <v>5</v>
      </c>
      <c r="O24" s="749"/>
      <c r="P24" s="750"/>
      <c r="Q24" s="750"/>
      <c r="R24" s="754"/>
      <c r="S24" s="749"/>
      <c r="T24" s="750"/>
      <c r="U24" s="750"/>
      <c r="V24" s="754"/>
      <c r="W24" s="51"/>
      <c r="X24" s="51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BC24" s="155" t="str">
        <f t="shared" si="11"/>
        <v>-</v>
      </c>
      <c r="BD24" s="151" t="str">
        <f>B28</f>
        <v>Hot 2</v>
      </c>
      <c r="BE24" s="153" t="str">
        <f>F31</f>
        <v>-</v>
      </c>
      <c r="BF24" s="153" t="str">
        <f t="shared" ref="BF24:BL24" si="22">G31</f>
        <v>-</v>
      </c>
      <c r="BG24" s="153" t="str">
        <f t="shared" si="22"/>
        <v>-</v>
      </c>
      <c r="BH24" s="153" t="str">
        <f t="shared" si="22"/>
        <v>-</v>
      </c>
      <c r="BI24" s="153" t="str">
        <f t="shared" si="22"/>
        <v>-</v>
      </c>
      <c r="BJ24" s="153" t="str">
        <f t="shared" si="22"/>
        <v>-</v>
      </c>
      <c r="BK24" s="153" t="str">
        <f t="shared" si="22"/>
        <v>-</v>
      </c>
      <c r="BL24" s="153" t="str">
        <f t="shared" si="22"/>
        <v>-</v>
      </c>
      <c r="BM24" s="150"/>
      <c r="BN24" s="150"/>
      <c r="BO24" s="150"/>
      <c r="BP24" s="150"/>
      <c r="BQ24" s="150"/>
      <c r="BR24" s="150"/>
      <c r="BS24" s="150"/>
      <c r="BT24" s="150"/>
      <c r="BU24" s="150"/>
    </row>
    <row r="25" spans="1:73" ht="15" customHeight="1" outlineLevel="1" thickBot="1" x14ac:dyDescent="0.3">
      <c r="A25" s="40"/>
      <c r="B25" s="780"/>
      <c r="C25" s="764">
        <v>1</v>
      </c>
      <c r="D25" s="772" t="str">
        <f>IF(AND(F26="-",G26="-",H26="-",I26="-",J26="-",K26="-",K26="-",L26="-"),"-",MAX(F26,G26,H26,I26,J26,K26,L26,M26))</f>
        <v>-</v>
      </c>
      <c r="E25" s="66" t="s">
        <v>177</v>
      </c>
      <c r="F25" s="65" t="str">
        <f t="shared" ref="F25:N25" si="23">IF(OR(F24="-",F24=""),IF(OR(F23="-",F23=""),"-",F23),IF(OR(F23="-",F23=""),F24,(F23+F24)/2))</f>
        <v>-</v>
      </c>
      <c r="G25" s="65" t="str">
        <f t="shared" si="23"/>
        <v>-</v>
      </c>
      <c r="H25" s="65" t="str">
        <f t="shared" si="23"/>
        <v>-</v>
      </c>
      <c r="I25" s="65" t="str">
        <f t="shared" si="23"/>
        <v>-</v>
      </c>
      <c r="J25" s="65" t="str">
        <f t="shared" si="23"/>
        <v>-</v>
      </c>
      <c r="K25" s="167" t="str">
        <f t="shared" si="23"/>
        <v>-</v>
      </c>
      <c r="L25" s="167" t="str">
        <f t="shared" si="23"/>
        <v>-</v>
      </c>
      <c r="M25" s="167" t="str">
        <f t="shared" si="23"/>
        <v>-</v>
      </c>
      <c r="N25" s="65" t="str">
        <f t="shared" si="23"/>
        <v>-</v>
      </c>
      <c r="O25" s="749"/>
      <c r="P25" s="750"/>
      <c r="Q25" s="750"/>
      <c r="R25" s="754"/>
      <c r="S25" s="749"/>
      <c r="T25" s="750"/>
      <c r="U25" s="750"/>
      <c r="V25" s="754"/>
      <c r="W25" s="505"/>
      <c r="X25" s="505"/>
      <c r="Y25" s="743"/>
      <c r="Z25" s="743"/>
      <c r="AA25" s="743"/>
      <c r="AB25" s="743"/>
      <c r="AC25" s="743"/>
      <c r="AD25" s="743"/>
      <c r="AE25" s="743"/>
      <c r="AF25" s="743"/>
      <c r="AG25" s="743"/>
      <c r="AH25" s="743"/>
      <c r="BC25" s="155" t="str">
        <f t="shared" si="11"/>
        <v>-</v>
      </c>
      <c r="BD25" s="151" t="str">
        <f>"IEF " &amp;B12</f>
        <v>IEF Cold</v>
      </c>
      <c r="BE25" s="153" t="str">
        <f>IF(AND(OR($C15="-",$C15="CET",$C15=""),OR(F12="-",F12="CET",F12="")),"-",IF(OR(F12="CET",F12="-",F12=""),IF(OR($C15="CET",$C15="-",$C15=""),"-",$C15),F12))</f>
        <v>-</v>
      </c>
      <c r="BF25" s="153" t="str">
        <f t="shared" ref="BF25:BL25" si="24">IF(AND(OR($C15="-",$C15="CET",$C15=""),OR(G12="-",G12="CET",G12="")),"-",IF(OR(G12="CET",G12="-",G12=""),IF(OR($C15="CET",$C15="-",$C15=""),"-",$C15),G12))</f>
        <v>-</v>
      </c>
      <c r="BG25" s="153" t="str">
        <f t="shared" si="24"/>
        <v>-</v>
      </c>
      <c r="BH25" s="153" t="str">
        <f t="shared" si="24"/>
        <v>-</v>
      </c>
      <c r="BI25" s="153" t="str">
        <f t="shared" si="24"/>
        <v>-</v>
      </c>
      <c r="BJ25" s="153" t="str">
        <f t="shared" si="24"/>
        <v>-</v>
      </c>
      <c r="BK25" s="153" t="str">
        <f t="shared" si="24"/>
        <v>-</v>
      </c>
      <c r="BL25" s="153" t="str">
        <f t="shared" si="24"/>
        <v>-</v>
      </c>
    </row>
    <row r="26" spans="1:73" ht="15" customHeight="1" outlineLevel="1" thickBot="1" x14ac:dyDescent="0.3">
      <c r="A26" s="40"/>
      <c r="B26" s="780"/>
      <c r="C26" s="765"/>
      <c r="D26" s="773"/>
      <c r="E26" s="64" t="s">
        <v>97</v>
      </c>
      <c r="F26" s="63" t="str">
        <f t="shared" ref="F26:N26" si="25">IF(OR($C25="-",$C25="CET",$C25=""),"-",IF(AND(NOT(F25="-"),NOT(F$5="-"),NOT(F$5="")),F25/F$5,"-"))</f>
        <v>-</v>
      </c>
      <c r="G26" s="63" t="str">
        <f t="shared" si="25"/>
        <v>-</v>
      </c>
      <c r="H26" s="63" t="str">
        <f t="shared" si="25"/>
        <v>-</v>
      </c>
      <c r="I26" s="63" t="str">
        <f t="shared" si="25"/>
        <v>-</v>
      </c>
      <c r="J26" s="63" t="str">
        <f t="shared" si="25"/>
        <v>-</v>
      </c>
      <c r="K26" s="168" t="str">
        <f t="shared" si="25"/>
        <v>-</v>
      </c>
      <c r="L26" s="168" t="str">
        <f t="shared" si="25"/>
        <v>-</v>
      </c>
      <c r="M26" s="168" t="str">
        <f t="shared" si="25"/>
        <v>-</v>
      </c>
      <c r="N26" s="63" t="str">
        <f t="shared" si="25"/>
        <v>-</v>
      </c>
      <c r="O26" s="749"/>
      <c r="P26" s="750"/>
      <c r="Q26" s="750"/>
      <c r="R26" s="754"/>
      <c r="S26" s="749"/>
      <c r="T26" s="750"/>
      <c r="U26" s="750"/>
      <c r="V26" s="754"/>
      <c r="W26" s="505"/>
      <c r="X26" s="505"/>
      <c r="Y26" s="743"/>
      <c r="Z26" s="743"/>
      <c r="AA26" s="743"/>
      <c r="AB26" s="743"/>
      <c r="AC26" s="743"/>
      <c r="AD26" s="743"/>
      <c r="AE26" s="743"/>
      <c r="AF26" s="743"/>
      <c r="AG26" s="743"/>
      <c r="AH26" s="743"/>
      <c r="BC26" s="155" t="str">
        <f t="shared" si="11"/>
        <v>-</v>
      </c>
      <c r="BD26" s="151" t="str">
        <f>"IEF " &amp; B18</f>
        <v>IEF Warm</v>
      </c>
      <c r="BE26" s="153">
        <f>IF(OR($C20="CET",$C20="-",$C20=""),"-",$C20)</f>
        <v>1</v>
      </c>
      <c r="BF26" s="153">
        <f t="shared" ref="BF26:BL26" si="26">IF(OR($C20="CET",$C20="-",$C20=""),"-",$C20)</f>
        <v>1</v>
      </c>
      <c r="BG26" s="153">
        <f t="shared" si="26"/>
        <v>1</v>
      </c>
      <c r="BH26" s="153">
        <f t="shared" si="26"/>
        <v>1</v>
      </c>
      <c r="BI26" s="153">
        <f t="shared" si="26"/>
        <v>1</v>
      </c>
      <c r="BJ26" s="153">
        <f t="shared" si="26"/>
        <v>1</v>
      </c>
      <c r="BK26" s="153">
        <f t="shared" si="26"/>
        <v>1</v>
      </c>
      <c r="BL26" s="153">
        <f t="shared" si="26"/>
        <v>1</v>
      </c>
    </row>
    <row r="27" spans="1:73" ht="15" customHeight="1" outlineLevel="1" thickBot="1" x14ac:dyDescent="0.3">
      <c r="A27" s="40"/>
      <c r="B27" s="781"/>
      <c r="C27" s="771"/>
      <c r="D27" s="774"/>
      <c r="E27" s="68" t="s">
        <v>30</v>
      </c>
      <c r="F27" s="62" t="str">
        <f t="shared" ref="F27:K27" si="27">IF(AND(OR(F23="-",F23=""),OR(F24="-",F24="")),"-",IF(OR($C25="-",$C25="",$C25="CET"),"-",IF($R$8="not listed","-",IF(NOT(F$5="-"),IF(AND(AND(NOT(F23=0),NOT(F23="-"),NOT(F23="")),AND(NOT(F24="-"),NOT(F24=0),NOT(F24=""))),IF(AND((F23+F24)/2&lt;1*F$5*IF(OR($C25="CET",$C25="-",$C25=""),"-",$C25),F23&lt;1.1*F$5*IF(OR($C25="CET",$C25="-",$C25=""),"-",$C25),F24&lt;1.1*F$5*IF(OR($C25="CET",$C25="-",$C25=""),"-",$C25)),"passed","refused"),IF(IF(OR(F23="-",F23=""),F24,F23)&lt;0.7*F$5*IF(OR($C25="CET",$C25="-",$C25=""),"-",$C25),"passed",IF(IF(OR(F23="-",F23=""),F24,F23)&lt;1.1*IF(OR($C25="CET",$C25="-",$C25=""),"-",$C25)*F$5,"failed","refused"))),"-"))))</f>
        <v>-</v>
      </c>
      <c r="G27" s="62" t="str">
        <f t="shared" si="27"/>
        <v>-</v>
      </c>
      <c r="H27" s="62" t="str">
        <f t="shared" si="27"/>
        <v>-</v>
      </c>
      <c r="I27" s="62" t="str">
        <f t="shared" si="27"/>
        <v>-</v>
      </c>
      <c r="J27" s="62" t="str">
        <f t="shared" si="27"/>
        <v>-</v>
      </c>
      <c r="K27" s="169" t="str">
        <f t="shared" si="27"/>
        <v>-</v>
      </c>
      <c r="L27" s="169" t="str">
        <f t="shared" ref="L27:M27" si="28">IF(AND(OR(L23="-",L23=""),OR(L24="-",L24="")),"-",IF(OR($C25="-",$C25="",$C25="CET"),"-",IF($R$8="not listed","-",IF(NOT(L$5="-"),IF(AND(AND(NOT(L23=0),NOT(L23="-"),NOT(L23="")),AND(NOT(L24="-"),NOT(L24=0),NOT(L24=""))),IF(AND((L23+L24)/2&lt;1*L$5*IF(OR($C25="CET",$C25="-",$C25=""),"-",$C25),L23&lt;1.1*L$5*IF(OR($C25="CET",$C25="-",$C25=""),"-",$C25),L24&lt;1.1*L$5*IF(OR($C25="CET",$C25="-",$C25=""),"-",$C25)),"passed","refused"),IF(IF(OR(L23="-",L23=""),L24,L23)&lt;0.7*L$5*IF(OR($C25="CET",$C25="-",$C25=""),"-",$C25),"passed",IF(IF(OR(L23="-",L23=""),L24,L23)&lt;1.1*IF(OR($C25="CET",$C25="-",$C25=""),"-",$C25)*L$5,"failed","refused"))),"-"))))</f>
        <v>-</v>
      </c>
      <c r="M27" s="169" t="str">
        <f t="shared" si="28"/>
        <v>-</v>
      </c>
      <c r="N27" s="62" t="str">
        <f>IF(AND(OR(N23="-",N23=""),OR(N24="-",N24="")),"-",IF(OR($C25="-",$C25="",$C25="CET"),"-",IF($R$8="not listed","-",IF(NOT(N$5="-"),IF(AND(AND(NOT(N23=0),NOT(N23="-"),NOT(N23="")),AND(NOT(N24="-"),NOT(N24=0),NOT(N24=""))),IF(AND((N23+N24)/2&lt;1*N$5*IF(OR($C25="CET",$C25="-",$C25=""),"-",$C25),N23&lt;1.1*N$5*IF(OR($C25="CET",$C25="-",$C25=""),"-",$C25),N24&lt;1.1*N$5*IF(OR($C25="CET",$C25="-",$C25=""),"-",$C25)),"passed","refused"),IF(IF(OR(N23="-",N23=""),N24,N23)&lt;0.7*N$5*IF(OR($C25="CET",$C25="-",$C25=""),"-",$C25),"passed",IF(IF(OR(N23="-",N23=""),N24,N23)&lt;1.1*IF(OR($C25="CET",$C25="-",$C25=""),"-",$C25)*N$5,"failed","refused"))),"-"))))</f>
        <v>-</v>
      </c>
      <c r="O27" s="749"/>
      <c r="P27" s="750"/>
      <c r="Q27" s="750"/>
      <c r="R27" s="754"/>
      <c r="S27" s="749"/>
      <c r="T27" s="750"/>
      <c r="U27" s="750"/>
      <c r="V27" s="754"/>
      <c r="W27" s="505"/>
      <c r="X27" s="505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BC27" s="155" t="str">
        <f t="shared" si="11"/>
        <v>-</v>
      </c>
      <c r="BD27" s="151" t="str">
        <f>"IEF " &amp; B23</f>
        <v>IEF Hot 1</v>
      </c>
      <c r="BE27" s="153">
        <f>IF(OR($C25="CET",$C25="-",$C25=""),"-",$C25)</f>
        <v>1</v>
      </c>
      <c r="BF27" s="153">
        <f t="shared" ref="BF27:BL27" si="29">IF(OR($C25="CET",$C25="-",$C25=""),"-",$C25)</f>
        <v>1</v>
      </c>
      <c r="BG27" s="153">
        <f t="shared" si="29"/>
        <v>1</v>
      </c>
      <c r="BH27" s="153">
        <f t="shared" si="29"/>
        <v>1</v>
      </c>
      <c r="BI27" s="153">
        <f t="shared" si="29"/>
        <v>1</v>
      </c>
      <c r="BJ27" s="153">
        <f t="shared" si="29"/>
        <v>1</v>
      </c>
      <c r="BK27" s="153">
        <f t="shared" si="29"/>
        <v>1</v>
      </c>
      <c r="BL27" s="153">
        <f t="shared" si="29"/>
        <v>1</v>
      </c>
    </row>
    <row r="28" spans="1:73" ht="15" customHeight="1" outlineLevel="1" x14ac:dyDescent="0.25">
      <c r="A28" s="40"/>
      <c r="B28" s="779" t="s">
        <v>100</v>
      </c>
      <c r="C28" s="770" t="s">
        <v>114</v>
      </c>
      <c r="D28" s="770" t="s">
        <v>113</v>
      </c>
      <c r="E28" s="106" t="s">
        <v>94</v>
      </c>
      <c r="F28" s="98" t="s">
        <v>5</v>
      </c>
      <c r="G28" s="98" t="s">
        <v>5</v>
      </c>
      <c r="H28" s="98" t="s">
        <v>5</v>
      </c>
      <c r="I28" s="98" t="s">
        <v>5</v>
      </c>
      <c r="J28" s="98" t="s">
        <v>5</v>
      </c>
      <c r="K28" s="165" t="s">
        <v>5</v>
      </c>
      <c r="L28" s="165" t="s">
        <v>5</v>
      </c>
      <c r="M28" s="165" t="s">
        <v>5</v>
      </c>
      <c r="N28" s="98" t="s">
        <v>5</v>
      </c>
      <c r="O28" s="749"/>
      <c r="P28" s="750"/>
      <c r="Q28" s="750"/>
      <c r="R28" s="754"/>
      <c r="S28" s="749"/>
      <c r="T28" s="750"/>
      <c r="U28" s="750"/>
      <c r="V28" s="754"/>
      <c r="W28" s="505"/>
      <c r="X28" s="505"/>
      <c r="Y28" s="743"/>
      <c r="Z28" s="743"/>
      <c r="AA28" s="743"/>
      <c r="AB28" s="743"/>
      <c r="AC28" s="743"/>
      <c r="AD28" s="743"/>
      <c r="AE28" s="743"/>
      <c r="AF28" s="743"/>
      <c r="AG28" s="743"/>
      <c r="AH28" s="743"/>
      <c r="BC28" s="155" t="str">
        <f t="shared" si="11"/>
        <v>-</v>
      </c>
      <c r="BD28" s="151" t="str">
        <f>"IEF " &amp; B28</f>
        <v>IEF Hot 2</v>
      </c>
      <c r="BE28" s="153">
        <f>IF(OR($C30="CET",$C30="-",$C30=""),"-",$C30)</f>
        <v>1</v>
      </c>
      <c r="BF28" s="153">
        <f t="shared" ref="BF28:BL28" si="30">IF(OR($C30="CET",$C30="-",$C30=""),"-",$C30)</f>
        <v>1</v>
      </c>
      <c r="BG28" s="153">
        <f t="shared" si="30"/>
        <v>1</v>
      </c>
      <c r="BH28" s="153">
        <f t="shared" si="30"/>
        <v>1</v>
      </c>
      <c r="BI28" s="153">
        <f t="shared" si="30"/>
        <v>1</v>
      </c>
      <c r="BJ28" s="153">
        <f t="shared" si="30"/>
        <v>1</v>
      </c>
      <c r="BK28" s="153">
        <f t="shared" si="30"/>
        <v>1</v>
      </c>
      <c r="BL28" s="153">
        <f t="shared" si="30"/>
        <v>1</v>
      </c>
    </row>
    <row r="29" spans="1:73" s="50" customFormat="1" ht="15" customHeight="1" outlineLevel="1" thickBot="1" x14ac:dyDescent="0.3">
      <c r="A29" s="52"/>
      <c r="B29" s="780"/>
      <c r="C29" s="741"/>
      <c r="D29" s="742"/>
      <c r="E29" s="104" t="s">
        <v>95</v>
      </c>
      <c r="F29" s="97" t="s">
        <v>5</v>
      </c>
      <c r="G29" s="97" t="s">
        <v>5</v>
      </c>
      <c r="H29" s="97" t="s">
        <v>5</v>
      </c>
      <c r="I29" s="97" t="s">
        <v>5</v>
      </c>
      <c r="J29" s="97" t="s">
        <v>5</v>
      </c>
      <c r="K29" s="166" t="s">
        <v>5</v>
      </c>
      <c r="L29" s="166" t="s">
        <v>5</v>
      </c>
      <c r="M29" s="166" t="s">
        <v>5</v>
      </c>
      <c r="N29" s="97" t="s">
        <v>5</v>
      </c>
      <c r="O29" s="749"/>
      <c r="P29" s="750"/>
      <c r="Q29" s="750"/>
      <c r="R29" s="754"/>
      <c r="S29" s="749"/>
      <c r="T29" s="750"/>
      <c r="U29" s="750"/>
      <c r="V29" s="754"/>
      <c r="W29" s="51"/>
      <c r="X29" s="51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BC29" s="155" t="str">
        <f t="shared" si="11"/>
        <v>-</v>
      </c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50"/>
      <c r="BP29" s="150"/>
      <c r="BQ29" s="150"/>
      <c r="BR29" s="150"/>
      <c r="BS29" s="150"/>
      <c r="BT29" s="150"/>
      <c r="BU29" s="150"/>
    </row>
    <row r="30" spans="1:73" ht="15" customHeight="1" outlineLevel="1" thickBot="1" x14ac:dyDescent="0.3">
      <c r="A30" s="40"/>
      <c r="B30" s="780"/>
      <c r="C30" s="764">
        <v>1</v>
      </c>
      <c r="D30" s="772" t="str">
        <f>IF(AND(F31="-",G31="-",H31="-",I31="-",J31="-",K31="-",K31="-",L31="-"),"-",MAX(F31,G31,H31,I31,J31,K31,L31,M31))</f>
        <v>-</v>
      </c>
      <c r="E30" s="66" t="s">
        <v>177</v>
      </c>
      <c r="F30" s="65" t="str">
        <f t="shared" ref="F30:N30" si="31">IF(OR(F29="-",F29=""),IF(OR(F28="-",F28=""),"-",F28),IF(OR(F28="-",F28=""),F29,(F28+F29)/2))</f>
        <v>-</v>
      </c>
      <c r="G30" s="65" t="str">
        <f t="shared" si="31"/>
        <v>-</v>
      </c>
      <c r="H30" s="65" t="str">
        <f t="shared" si="31"/>
        <v>-</v>
      </c>
      <c r="I30" s="65" t="str">
        <f t="shared" si="31"/>
        <v>-</v>
      </c>
      <c r="J30" s="65" t="str">
        <f t="shared" si="31"/>
        <v>-</v>
      </c>
      <c r="K30" s="167" t="str">
        <f t="shared" si="31"/>
        <v>-</v>
      </c>
      <c r="L30" s="167" t="str">
        <f t="shared" si="31"/>
        <v>-</v>
      </c>
      <c r="M30" s="167" t="str">
        <f t="shared" si="31"/>
        <v>-</v>
      </c>
      <c r="N30" s="65" t="str">
        <f t="shared" si="31"/>
        <v>-</v>
      </c>
      <c r="O30" s="749"/>
      <c r="P30" s="750"/>
      <c r="Q30" s="750"/>
      <c r="R30" s="754"/>
      <c r="S30" s="749"/>
      <c r="T30" s="750"/>
      <c r="U30" s="750"/>
      <c r="V30" s="754"/>
      <c r="W30" s="505"/>
      <c r="X30" s="505"/>
      <c r="Y30" s="743"/>
      <c r="Z30" s="743"/>
      <c r="AA30" s="743"/>
      <c r="AB30" s="743"/>
      <c r="AC30" s="743"/>
      <c r="AD30" s="743"/>
      <c r="AE30" s="743"/>
      <c r="AF30" s="743"/>
      <c r="AG30" s="743"/>
      <c r="AH30" s="743"/>
      <c r="BC30" s="155" t="str">
        <f t="shared" si="11"/>
        <v>-</v>
      </c>
    </row>
    <row r="31" spans="1:73" ht="15" customHeight="1" outlineLevel="1" thickBot="1" x14ac:dyDescent="0.3">
      <c r="A31" s="40"/>
      <c r="B31" s="780"/>
      <c r="C31" s="765"/>
      <c r="D31" s="773"/>
      <c r="E31" s="64" t="s">
        <v>97</v>
      </c>
      <c r="F31" s="63" t="str">
        <f t="shared" ref="F31:N31" si="32">IF(OR($C30="-",$C30="CET",$C30=""),"-",IF(AND(NOT(F30="-"),NOT(F$5="-"),NOT(F$5="")),F30/F$5,"-"))</f>
        <v>-</v>
      </c>
      <c r="G31" s="63" t="str">
        <f t="shared" si="32"/>
        <v>-</v>
      </c>
      <c r="H31" s="63" t="str">
        <f t="shared" si="32"/>
        <v>-</v>
      </c>
      <c r="I31" s="63" t="str">
        <f t="shared" si="32"/>
        <v>-</v>
      </c>
      <c r="J31" s="63" t="str">
        <f t="shared" si="32"/>
        <v>-</v>
      </c>
      <c r="K31" s="168" t="str">
        <f t="shared" si="32"/>
        <v>-</v>
      </c>
      <c r="L31" s="168" t="str">
        <f t="shared" si="32"/>
        <v>-</v>
      </c>
      <c r="M31" s="168" t="str">
        <f t="shared" si="32"/>
        <v>-</v>
      </c>
      <c r="N31" s="63" t="str">
        <f t="shared" si="32"/>
        <v>-</v>
      </c>
      <c r="O31" s="749"/>
      <c r="P31" s="750"/>
      <c r="Q31" s="750"/>
      <c r="R31" s="754"/>
      <c r="S31" s="749"/>
      <c r="T31" s="750"/>
      <c r="U31" s="750"/>
      <c r="V31" s="754"/>
      <c r="W31" s="505"/>
      <c r="X31" s="505"/>
      <c r="Y31" s="743"/>
      <c r="Z31" s="743"/>
      <c r="AA31" s="743"/>
      <c r="AB31" s="743"/>
      <c r="AC31" s="743"/>
      <c r="AD31" s="743"/>
      <c r="AE31" s="743"/>
      <c r="AF31" s="743"/>
      <c r="AG31" s="743"/>
      <c r="AH31" s="743"/>
      <c r="BC31" s="155" t="str">
        <f t="shared" si="11"/>
        <v>-</v>
      </c>
    </row>
    <row r="32" spans="1:73" ht="15" customHeight="1" outlineLevel="1" thickBot="1" x14ac:dyDescent="0.3">
      <c r="B32" s="781"/>
      <c r="C32" s="771"/>
      <c r="D32" s="774"/>
      <c r="E32" s="62" t="s">
        <v>30</v>
      </c>
      <c r="F32" s="62" t="str">
        <f t="shared" ref="F32:K32" si="33">IF(AND(OR(F28="-",F28=""),OR(F29="-",F29="")),"-",IF(OR($C30="-",$C30="",$C30="CET"),"-",IF($R$8="not listed","-",IF(NOT(F$5="-"),IF(AND(AND(NOT(F28=0),NOT(F28="-"),NOT(F28="")),AND(NOT(F29="-"),NOT(F29=0),NOT(F29=""))),IF(AND((F28+F29)/2&lt;1*F$5*IF(OR($C30="CET",$C30="-",$C30=""),"-",$C30),F28&lt;1.1*F$5*IF(OR($C30="CET",$C30="-",$C30=""),"-",$C30),F29&lt;1.1*F$5*IF(OR($C30="CET",$C30="-",$C30=""),"-",$C30)),"passed","refused"),IF(IF(OR(F28="-",F28=""),F29,F28)&lt;0.7*F$5*IF(OR($C30="CET",$C30="-",$C30=""),"-",$C30),"passed",IF(IF(OR(F28="-",F28=""),F29,F28)&lt;1.1*IF(OR($C30="CET",$C30="-",$C30=""),"-",$C30)*F$5,"failed","refused"))),"-"))))</f>
        <v>-</v>
      </c>
      <c r="G32" s="62" t="str">
        <f t="shared" si="33"/>
        <v>-</v>
      </c>
      <c r="H32" s="62" t="str">
        <f t="shared" si="33"/>
        <v>-</v>
      </c>
      <c r="I32" s="62" t="str">
        <f t="shared" si="33"/>
        <v>-</v>
      </c>
      <c r="J32" s="62" t="str">
        <f t="shared" si="33"/>
        <v>-</v>
      </c>
      <c r="K32" s="169" t="str">
        <f t="shared" si="33"/>
        <v>-</v>
      </c>
      <c r="L32" s="169" t="str">
        <f t="shared" ref="L32:M32" si="34">IF(AND(OR(L28="-",L28=""),OR(L29="-",L29="")),"-",IF(OR($C30="-",$C30="",$C30="CET"),"-",IF($R$8="not listed","-",IF(NOT(L$5="-"),IF(AND(AND(NOT(L28=0),NOT(L28="-"),NOT(L28="")),AND(NOT(L29="-"),NOT(L29=0),NOT(L29=""))),IF(AND((L28+L29)/2&lt;1*L$5*IF(OR($C30="CET",$C30="-",$C30=""),"-",$C30),L28&lt;1.1*L$5*IF(OR($C30="CET",$C30="-",$C30=""),"-",$C30),L29&lt;1.1*L$5*IF(OR($C30="CET",$C30="-",$C30=""),"-",$C30)),"passed","refused"),IF(IF(OR(L28="-",L28=""),L29,L28)&lt;0.7*L$5*IF(OR($C30="CET",$C30="-",$C30=""),"-",$C30),"passed",IF(IF(OR(L28="-",L28=""),L29,L28)&lt;1.1*IF(OR($C30="CET",$C30="-",$C30=""),"-",$C30)*L$5,"failed","refused"))),"-"))))</f>
        <v>-</v>
      </c>
      <c r="M32" s="169" t="str">
        <f t="shared" si="34"/>
        <v>-</v>
      </c>
      <c r="N32" s="62" t="str">
        <f>IF(AND(OR(N28="-",N28=""),OR(N29="-",N29="")),"-",IF(OR($C30="-",$C30="",$C30="CET"),"-",IF($R$8="not listed","-",IF(NOT(N$5="-"),IF(AND(AND(NOT(N28=0),NOT(N28="-"),NOT(N28="")),AND(NOT(N29="-"),NOT(N29=0),NOT(N29=""))),IF(AND((N28+N29)/2&lt;1*N$5*IF(OR($C30="CET",$C30="-",$C30=""),"-",$C30),N28&lt;1.1*N$5*IF(OR($C30="CET",$C30="-",$C30=""),"-",$C30),N29&lt;1.1*N$5*IF(OR($C30="CET",$C30="-",$C30=""),"-",$C30)),"passed","refused"),IF(IF(OR(N28="-",N28=""),N29,N28)&lt;0.7*N$5*IF(OR($C30="CET",$C30="-",$C30=""),"-",$C30),"passed",IF(IF(OR(N28="-",N28=""),N29,N28)&lt;1.1*IF(OR($C30="CET",$C30="-",$C30=""),"-",$C30)*N$5,"failed","refused"))),"-"))))</f>
        <v>-</v>
      </c>
      <c r="O32" s="751"/>
      <c r="P32" s="752"/>
      <c r="Q32" s="752"/>
      <c r="R32" s="755"/>
      <c r="S32" s="751"/>
      <c r="T32" s="752"/>
      <c r="U32" s="752"/>
      <c r="V32" s="755"/>
      <c r="BC32" s="155" t="str">
        <f t="shared" si="11"/>
        <v>-</v>
      </c>
    </row>
    <row r="33" spans="1:73" x14ac:dyDescent="0.25">
      <c r="BC33" s="155" t="str">
        <f t="shared" si="11"/>
        <v>-</v>
      </c>
    </row>
    <row r="34" spans="1:73" x14ac:dyDescent="0.25">
      <c r="BC34" s="155" t="str">
        <f t="shared" si="11"/>
        <v>-</v>
      </c>
    </row>
    <row r="35" spans="1:73" ht="15.75" thickBot="1" x14ac:dyDescent="0.3">
      <c r="BC35" s="155" t="str">
        <f t="shared" si="11"/>
        <v>-</v>
      </c>
    </row>
    <row r="36" spans="1:73" ht="24.95" customHeight="1" thickBot="1" x14ac:dyDescent="0.3">
      <c r="A36" s="362"/>
      <c r="B36" s="185">
        <v>2</v>
      </c>
      <c r="C36" s="757" t="s">
        <v>179</v>
      </c>
      <c r="D36" s="758"/>
      <c r="E36" s="758"/>
      <c r="F36" s="758"/>
      <c r="G36" s="758"/>
      <c r="H36" s="758"/>
      <c r="I36" s="758"/>
      <c r="J36" s="758"/>
      <c r="K36" s="758"/>
      <c r="L36" s="758"/>
      <c r="M36" s="758"/>
      <c r="N36" s="759"/>
      <c r="O36" s="49" t="s">
        <v>117</v>
      </c>
      <c r="P36" s="71" t="str">
        <f>IF(COUNTIF(F41:M45,"refused")&gt;0,"refused",IF(COUNTIF(F41:M45,"failed")&gt;0,"failed",IF(COUNTIF(F41:M45,"passed")&gt;0,"passed","-")))</f>
        <v>-</v>
      </c>
      <c r="Q36" s="70" t="s">
        <v>80</v>
      </c>
      <c r="R36" s="70" t="str">
        <f>IF(COUNT(F41:M42)&gt;0,"listed","not listed")</f>
        <v>not listed</v>
      </c>
      <c r="S36" s="504"/>
      <c r="T36" s="43"/>
      <c r="U36" s="43"/>
      <c r="V36" s="44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BC36" s="155" t="str">
        <f t="shared" ref="BC36:BC62" si="35">IF(COUNTIF(F36:M36,"refused")&gt;0,"refused",IF(COUNTIF(F36:M36,"failed")&gt;0,"failed",IF(COUNTIF(F36:M36,"passed")&gt;0,"passed","-")))</f>
        <v>-</v>
      </c>
    </row>
    <row r="37" spans="1:73" ht="15" customHeight="1" outlineLevel="1" thickBot="1" x14ac:dyDescent="0.3">
      <c r="A37" s="362"/>
      <c r="B37" s="506"/>
      <c r="C37" s="507"/>
      <c r="D37" s="507"/>
      <c r="E37" s="507"/>
      <c r="F37" s="507"/>
      <c r="G37" s="507"/>
      <c r="H37" s="507"/>
      <c r="I37" s="507"/>
      <c r="J37" s="507"/>
      <c r="K37" s="162"/>
      <c r="L37" s="162"/>
      <c r="M37" s="162"/>
      <c r="N37" s="507"/>
      <c r="O37" s="507"/>
      <c r="P37" s="507"/>
      <c r="Q37" s="507"/>
      <c r="R37" s="507"/>
      <c r="S37" s="507"/>
      <c r="T37" s="45"/>
      <c r="U37" s="45"/>
      <c r="V37" s="46"/>
      <c r="W37" s="47"/>
      <c r="X37" s="47"/>
      <c r="Y37" s="756"/>
      <c r="Z37" s="756"/>
      <c r="AA37" s="756"/>
      <c r="AB37" s="756"/>
      <c r="AC37" s="756"/>
      <c r="AD37" s="756"/>
      <c r="AE37" s="756"/>
      <c r="AF37" s="756"/>
      <c r="AG37" s="756"/>
      <c r="AH37" s="756"/>
      <c r="BC37" s="155" t="str">
        <f t="shared" si="35"/>
        <v>-</v>
      </c>
    </row>
    <row r="38" spans="1:73" ht="15" customHeight="1" outlineLevel="1" thickBot="1" x14ac:dyDescent="0.3">
      <c r="A38" s="362"/>
      <c r="B38" s="744" t="s">
        <v>81</v>
      </c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6"/>
      <c r="O38" s="744" t="s">
        <v>82</v>
      </c>
      <c r="P38" s="745"/>
      <c r="Q38" s="745"/>
      <c r="R38" s="746"/>
      <c r="S38" s="744" t="s">
        <v>83</v>
      </c>
      <c r="T38" s="745"/>
      <c r="U38" s="745"/>
      <c r="V38" s="746"/>
      <c r="W38" s="505"/>
      <c r="X38" s="505"/>
      <c r="Y38" s="743"/>
      <c r="Z38" s="743"/>
      <c r="AA38" s="743"/>
      <c r="AB38" s="743"/>
      <c r="AC38" s="743"/>
      <c r="AD38" s="743"/>
      <c r="AE38" s="743"/>
      <c r="AF38" s="743"/>
      <c r="AG38" s="743"/>
      <c r="AH38" s="743"/>
      <c r="BC38" s="155" t="str">
        <f t="shared" si="35"/>
        <v>-</v>
      </c>
    </row>
    <row r="39" spans="1:73" ht="35.1" customHeight="1" outlineLevel="1" thickBot="1" x14ac:dyDescent="0.3">
      <c r="A39" s="362"/>
      <c r="B39" s="811" t="s">
        <v>84</v>
      </c>
      <c r="C39" s="812"/>
      <c r="D39" s="812"/>
      <c r="E39" s="813"/>
      <c r="F39" s="69" t="str">
        <f>F$4</f>
        <v>NMHC 
[g/km]</v>
      </c>
      <c r="G39" s="69" t="str">
        <f t="shared" ref="G39:N39" si="36">G$4</f>
        <v>THC
[g/km]</v>
      </c>
      <c r="H39" s="69" t="str">
        <f t="shared" si="36"/>
        <v>CO
[g/km]</v>
      </c>
      <c r="I39" s="69" t="str">
        <f t="shared" si="36"/>
        <v>NOx
[g/km]</v>
      </c>
      <c r="J39" s="69" t="str">
        <f t="shared" si="36"/>
        <v>PM
[mg/km]</v>
      </c>
      <c r="K39" s="69" t="str">
        <f t="shared" si="36"/>
        <v>PN
[#/km]</v>
      </c>
      <c r="L39" s="366" t="str">
        <f t="shared" si="36"/>
        <v>Additional
component</v>
      </c>
      <c r="M39" s="366" t="str">
        <f t="shared" si="36"/>
        <v>Additional
component 2</v>
      </c>
      <c r="N39" s="69" t="str">
        <f t="shared" si="36"/>
        <v>CO2
[g/km]</v>
      </c>
      <c r="O39" s="748"/>
      <c r="P39" s="748"/>
      <c r="Q39" s="748"/>
      <c r="R39" s="753"/>
      <c r="S39" s="747"/>
      <c r="T39" s="748"/>
      <c r="U39" s="748"/>
      <c r="V39" s="753"/>
      <c r="W39" s="505"/>
      <c r="X39" s="505"/>
      <c r="Y39" s="743"/>
      <c r="Z39" s="743"/>
      <c r="AA39" s="743"/>
      <c r="AB39" s="743"/>
      <c r="AC39" s="743"/>
      <c r="AD39" s="743"/>
      <c r="AE39" s="743"/>
      <c r="AF39" s="743"/>
      <c r="AG39" s="743"/>
      <c r="AH39" s="743"/>
      <c r="BC39" s="155" t="str">
        <f t="shared" si="35"/>
        <v>-</v>
      </c>
    </row>
    <row r="40" spans="1:73" ht="15" customHeight="1" outlineLevel="1" thickBot="1" x14ac:dyDescent="0.3">
      <c r="A40" s="362"/>
      <c r="B40" s="806" t="s">
        <v>179</v>
      </c>
      <c r="C40" s="508" t="s">
        <v>64</v>
      </c>
      <c r="D40" s="767" t="s">
        <v>119</v>
      </c>
      <c r="E40" s="769"/>
      <c r="F40" s="107" t="s">
        <v>64</v>
      </c>
      <c r="G40" s="107" t="s">
        <v>64</v>
      </c>
      <c r="H40" s="107" t="s">
        <v>64</v>
      </c>
      <c r="I40" s="107" t="s">
        <v>64</v>
      </c>
      <c r="J40" s="107" t="s">
        <v>64</v>
      </c>
      <c r="K40" s="164" t="s">
        <v>64</v>
      </c>
      <c r="L40" s="164" t="s">
        <v>64</v>
      </c>
      <c r="M40" s="164" t="s">
        <v>64</v>
      </c>
      <c r="N40" s="107" t="s">
        <v>64</v>
      </c>
      <c r="O40" s="750"/>
      <c r="P40" s="750"/>
      <c r="Q40" s="750"/>
      <c r="R40" s="754"/>
      <c r="S40" s="749"/>
      <c r="T40" s="750"/>
      <c r="U40" s="750"/>
      <c r="V40" s="754"/>
      <c r="W40" s="505"/>
      <c r="X40" s="505"/>
      <c r="Y40" s="743"/>
      <c r="Z40" s="743"/>
      <c r="AA40" s="743"/>
      <c r="AB40" s="743"/>
      <c r="AC40" s="743"/>
      <c r="AD40" s="743"/>
      <c r="AE40" s="743"/>
      <c r="AF40" s="743"/>
      <c r="AG40" s="743"/>
      <c r="AH40" s="743"/>
      <c r="BC40" s="155" t="str">
        <f t="shared" si="35"/>
        <v>-</v>
      </c>
    </row>
    <row r="41" spans="1:73" s="50" customFormat="1" ht="15" customHeight="1" outlineLevel="1" x14ac:dyDescent="0.25">
      <c r="A41" s="53"/>
      <c r="B41" s="807"/>
      <c r="C41" s="770" t="s">
        <v>114</v>
      </c>
      <c r="D41" s="770" t="s">
        <v>113</v>
      </c>
      <c r="E41" s="106" t="s">
        <v>94</v>
      </c>
      <c r="F41" s="105" t="s">
        <v>5</v>
      </c>
      <c r="G41" s="105" t="s">
        <v>5</v>
      </c>
      <c r="H41" s="105" t="s">
        <v>5</v>
      </c>
      <c r="I41" s="105" t="s">
        <v>5</v>
      </c>
      <c r="J41" s="105" t="s">
        <v>5</v>
      </c>
      <c r="K41" s="173" t="s">
        <v>5</v>
      </c>
      <c r="L41" s="173" t="s">
        <v>5</v>
      </c>
      <c r="M41" s="173" t="s">
        <v>5</v>
      </c>
      <c r="N41" s="105" t="s">
        <v>5</v>
      </c>
      <c r="O41" s="750"/>
      <c r="P41" s="750"/>
      <c r="Q41" s="750"/>
      <c r="R41" s="754"/>
      <c r="S41" s="749"/>
      <c r="T41" s="750"/>
      <c r="U41" s="750"/>
      <c r="V41" s="754"/>
      <c r="W41" s="51"/>
      <c r="X41" s="51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BC41" s="155" t="str">
        <f t="shared" si="35"/>
        <v>-</v>
      </c>
      <c r="BD41" s="150"/>
      <c r="BE41" s="150"/>
      <c r="BF41" s="150"/>
      <c r="BG41" s="150"/>
      <c r="BH41" s="150"/>
      <c r="BI41" s="150"/>
      <c r="BJ41" s="150"/>
      <c r="BK41" s="150"/>
      <c r="BL41" s="150"/>
      <c r="BM41" s="150"/>
      <c r="BN41" s="150"/>
      <c r="BO41" s="150"/>
      <c r="BP41" s="150"/>
      <c r="BQ41" s="150"/>
      <c r="BR41" s="150"/>
      <c r="BS41" s="150"/>
      <c r="BT41" s="150"/>
      <c r="BU41" s="150"/>
    </row>
    <row r="42" spans="1:73" ht="15" customHeight="1" outlineLevel="1" thickBot="1" x14ac:dyDescent="0.3">
      <c r="A42" s="362"/>
      <c r="B42" s="807"/>
      <c r="C42" s="742"/>
      <c r="D42" s="742"/>
      <c r="E42" s="104" t="s">
        <v>95</v>
      </c>
      <c r="F42" s="103" t="s">
        <v>5</v>
      </c>
      <c r="G42" s="103" t="s">
        <v>5</v>
      </c>
      <c r="H42" s="103" t="s">
        <v>5</v>
      </c>
      <c r="I42" s="103" t="s">
        <v>5</v>
      </c>
      <c r="J42" s="103" t="s">
        <v>5</v>
      </c>
      <c r="K42" s="174" t="s">
        <v>5</v>
      </c>
      <c r="L42" s="174" t="s">
        <v>5</v>
      </c>
      <c r="M42" s="174" t="s">
        <v>5</v>
      </c>
      <c r="N42" s="103" t="s">
        <v>5</v>
      </c>
      <c r="O42" s="750"/>
      <c r="P42" s="750"/>
      <c r="Q42" s="750"/>
      <c r="R42" s="754"/>
      <c r="S42" s="749"/>
      <c r="T42" s="750"/>
      <c r="U42" s="750"/>
      <c r="V42" s="754"/>
      <c r="W42" s="505"/>
      <c r="X42" s="505"/>
      <c r="Y42" s="743"/>
      <c r="Z42" s="743"/>
      <c r="AA42" s="743"/>
      <c r="AB42" s="743"/>
      <c r="AC42" s="743"/>
      <c r="AD42" s="743"/>
      <c r="AE42" s="743"/>
      <c r="AF42" s="743"/>
      <c r="AG42" s="743"/>
      <c r="AH42" s="743"/>
      <c r="BC42" s="155" t="str">
        <f t="shared" si="35"/>
        <v>-</v>
      </c>
    </row>
    <row r="43" spans="1:73" ht="15" customHeight="1" outlineLevel="1" thickBot="1" x14ac:dyDescent="0.3">
      <c r="A43" s="362"/>
      <c r="B43" s="807"/>
      <c r="C43" s="854" t="s">
        <v>64</v>
      </c>
      <c r="D43" s="772" t="str">
        <f>IF(AND(F44="-",G44="-",H44="-",I44="-",J44="-",K44="-",K44="-",L44="-"),"-",MAX(F44,G44,H44,I44,J44,K44,L44,M44))</f>
        <v>-</v>
      </c>
      <c r="E43" s="66" t="s">
        <v>177</v>
      </c>
      <c r="F43" s="65" t="str">
        <f>IF(OR(F42="-",F42=""),IF(OR(F41="-",F41=""),"-",F41),IF(OR(F41="-",F41=""),F42,(F41+F42)/2))</f>
        <v>-</v>
      </c>
      <c r="G43" s="65" t="str">
        <f t="shared" ref="G43:N43" si="37">IF(OR(G42="-",G42=""),IF(OR(G41="-",G41=""),"-",G41),IF(OR(G41="-",G41=""),G42,(G41+G42)/2))</f>
        <v>-</v>
      </c>
      <c r="H43" s="65" t="str">
        <f t="shared" si="37"/>
        <v>-</v>
      </c>
      <c r="I43" s="65" t="str">
        <f t="shared" si="37"/>
        <v>-</v>
      </c>
      <c r="J43" s="65" t="str">
        <f t="shared" si="37"/>
        <v>-</v>
      </c>
      <c r="K43" s="167" t="str">
        <f t="shared" si="37"/>
        <v>-</v>
      </c>
      <c r="L43" s="167" t="str">
        <f t="shared" si="37"/>
        <v>-</v>
      </c>
      <c r="M43" s="167" t="str">
        <f t="shared" si="37"/>
        <v>-</v>
      </c>
      <c r="N43" s="65" t="str">
        <f t="shared" si="37"/>
        <v>-</v>
      </c>
      <c r="O43" s="750"/>
      <c r="P43" s="750"/>
      <c r="Q43" s="750"/>
      <c r="R43" s="754"/>
      <c r="S43" s="749"/>
      <c r="T43" s="750"/>
      <c r="U43" s="750"/>
      <c r="V43" s="754"/>
      <c r="W43" s="505"/>
      <c r="X43" s="505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BC43" s="155" t="str">
        <f t="shared" si="35"/>
        <v>-</v>
      </c>
    </row>
    <row r="44" spans="1:73" ht="15" customHeight="1" outlineLevel="1" thickBot="1" x14ac:dyDescent="0.3">
      <c r="A44" s="362"/>
      <c r="B44" s="807"/>
      <c r="C44" s="855"/>
      <c r="D44" s="773"/>
      <c r="E44" s="64" t="s">
        <v>97</v>
      </c>
      <c r="F44" s="63" t="str">
        <f t="shared" ref="F44:N44" si="38">IF(AND(OR($C43="-",$C43="CET",$C43=""),OR(F40="-",F40="CET",F40="")),"-",IF(AND(NOT(F43="-"),NOT(F$5="-"),NOT(F$5="")),F43/F$5,"-"))</f>
        <v>-</v>
      </c>
      <c r="G44" s="63" t="str">
        <f t="shared" si="38"/>
        <v>-</v>
      </c>
      <c r="H44" s="63" t="str">
        <f t="shared" si="38"/>
        <v>-</v>
      </c>
      <c r="I44" s="63" t="str">
        <f t="shared" si="38"/>
        <v>-</v>
      </c>
      <c r="J44" s="63" t="str">
        <f t="shared" si="38"/>
        <v>-</v>
      </c>
      <c r="K44" s="168" t="str">
        <f t="shared" si="38"/>
        <v>-</v>
      </c>
      <c r="L44" s="168" t="str">
        <f t="shared" si="38"/>
        <v>-</v>
      </c>
      <c r="M44" s="168" t="str">
        <f t="shared" si="38"/>
        <v>-</v>
      </c>
      <c r="N44" s="63" t="str">
        <f t="shared" si="38"/>
        <v>-</v>
      </c>
      <c r="O44" s="750"/>
      <c r="P44" s="750"/>
      <c r="Q44" s="750"/>
      <c r="R44" s="754"/>
      <c r="S44" s="749"/>
      <c r="T44" s="750"/>
      <c r="U44" s="750"/>
      <c r="V44" s="754"/>
      <c r="W44" s="505"/>
      <c r="X44" s="505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BC44" s="155" t="str">
        <f t="shared" si="35"/>
        <v>-</v>
      </c>
      <c r="BD44" s="151" t="s">
        <v>85</v>
      </c>
      <c r="BE44" s="152" t="str">
        <f>F$4</f>
        <v>NMHC 
[g/km]</v>
      </c>
      <c r="BF44" s="152" t="str">
        <f t="shared" ref="BF44:BL44" si="39">G$4</f>
        <v>THC
[g/km]</v>
      </c>
      <c r="BG44" s="152" t="str">
        <f t="shared" si="39"/>
        <v>CO
[g/km]</v>
      </c>
      <c r="BH44" s="152" t="str">
        <f t="shared" si="39"/>
        <v>NOx
[g/km]</v>
      </c>
      <c r="BI44" s="152" t="str">
        <f t="shared" si="39"/>
        <v>PM
[mg/km]</v>
      </c>
      <c r="BJ44" s="152" t="str">
        <f t="shared" si="39"/>
        <v>PN
[#/km]</v>
      </c>
      <c r="BK44" s="152" t="str">
        <f t="shared" si="39"/>
        <v>Additional
component</v>
      </c>
      <c r="BL44" s="152" t="str">
        <f t="shared" si="39"/>
        <v>Additional
component 2</v>
      </c>
    </row>
    <row r="45" spans="1:73" ht="15" customHeight="1" outlineLevel="1" thickBot="1" x14ac:dyDescent="0.3">
      <c r="A45" s="362"/>
      <c r="B45" s="853"/>
      <c r="C45" s="856"/>
      <c r="D45" s="774"/>
      <c r="E45" s="62" t="s">
        <v>30</v>
      </c>
      <c r="F45" s="62" t="str">
        <f>IF(AND(OR(F41="-",F41=""),OR(F42="-",F42="")),"-",IF(AND(OR(F40="CET",F40="-",F40=""),OR($C43="CET",$C43="-",$C43="")),"-",IF($R$36="not listed","-",IF(AND(NOT(F$5="-"),NOT(F$5="")),IF(AND(AND(NOT(F41=0),NOT(F41="-"),NOT(F41="")),AND(NOT(F42="-"),NOT(F42=0),NOT(F42=""))),IF(AND((F41+F42)/2&lt;1*F$5*IF(OR(F40="CET",F40="-",F40=""),IF(OR($C43="CET",$C43="-",$C43=""),"-",$C43),F40),F41&lt;1.1*F$5*IF(OR(F40="CET",F40="-",F40=""),IF(OR($C43="CET",$C43="-",$C43=""),"-",$C43),F40),F42&lt;1.1*F$5*IF(OR(F40="CET",F40="-",F40=""),IF($C43="CET","-",$C43),F40)),"passed","refused"),IF(IF(OR(F41="-",F41=""),F42,F41)&lt;0.7*F$5*IF(OR(F40="CET",F40="-",F40=""),IF($C43="CET","-",$C43),F40),"passed",IF(IF(OR(F41="-",F41=""),F42,F41)&lt;1.1*IF(OR(F40="CET",F40="-",F40=""),IF($C43="CET","-",$C43),F40)*F$5,"failed","refused"))),"-"))))</f>
        <v>-</v>
      </c>
      <c r="G45" s="62" t="str">
        <f t="shared" ref="G45:N45" si="40">IF(AND(OR(G41="-",G41=""),OR(G42="-",G42="")),"-",IF(AND(OR(G40="CET",G40="-",G40=""),OR($C43="CET",$C43="-",$C43="")),"-",IF($R$8="not listed","-",IF(AND(NOT(G$5="-"),NOT(G$5="")),IF(AND(AND(NOT(G41=0),NOT(G41="-"),NOT(G41="")),AND(NOT(G42="-"),NOT(G42=0),NOT(G42=""))),IF(AND((G41+G42)/2&lt;1*G$5*IF(OR(G40="CET",G40="-",G40=""),IF(OR($C43="CET",$C43="-",$C43=""),"-",$C43),G40),G41&lt;1.1*G$5*IF(OR(G40="CET",G40="-",G40=""),IF(OR($C43="CET",$C43="-",$C43=""),"-",$C43),G40),G42&lt;1.1*G$5*IF(OR(G40="CET",G40="-",G40=""),IF($C43="CET","-",$C43),G40)),"passed","refused"),IF(IF(OR(G41="-",G41=""),G42,G41)&lt;0.7*G$5*IF(OR(G40="CET",G40="-",G40=""),IF($C43="CET","-",$C43),G40),"passed",IF(IF(OR(G41="-",G41=""),G42,G41)&lt;1.1*IF(OR(G40="CET",G40="-",G40=""),IF($C43="CET","-",$C43),G40)*G$5,"failed","refused"))),"-"))))</f>
        <v>-</v>
      </c>
      <c r="H45" s="62" t="str">
        <f t="shared" si="40"/>
        <v>-</v>
      </c>
      <c r="I45" s="62" t="str">
        <f t="shared" si="40"/>
        <v>-</v>
      </c>
      <c r="J45" s="62" t="str">
        <f t="shared" si="40"/>
        <v>-</v>
      </c>
      <c r="K45" s="169" t="str">
        <f t="shared" si="40"/>
        <v>-</v>
      </c>
      <c r="L45" s="169" t="str">
        <f t="shared" si="40"/>
        <v>-</v>
      </c>
      <c r="M45" s="169" t="str">
        <f t="shared" si="40"/>
        <v>-</v>
      </c>
      <c r="N45" s="62" t="str">
        <f t="shared" si="40"/>
        <v>-</v>
      </c>
      <c r="O45" s="750"/>
      <c r="P45" s="750"/>
      <c r="Q45" s="750"/>
      <c r="R45" s="754"/>
      <c r="S45" s="749"/>
      <c r="T45" s="750"/>
      <c r="U45" s="750"/>
      <c r="V45" s="754"/>
      <c r="W45" s="505"/>
      <c r="X45" s="505"/>
      <c r="Y45" s="743"/>
      <c r="Z45" s="743"/>
      <c r="AA45" s="743"/>
      <c r="AB45" s="743"/>
      <c r="AC45" s="743"/>
      <c r="AD45" s="743"/>
      <c r="AE45" s="743"/>
      <c r="AF45" s="743"/>
      <c r="AG45" s="743"/>
      <c r="AH45" s="743"/>
      <c r="BC45" s="155" t="str">
        <f t="shared" si="35"/>
        <v>-</v>
      </c>
      <c r="BD45" s="151" t="str">
        <f>$E$4</f>
        <v>Euro 6d</v>
      </c>
      <c r="BE45" s="153">
        <v>1</v>
      </c>
      <c r="BF45" s="153">
        <v>1</v>
      </c>
      <c r="BG45" s="153">
        <v>1</v>
      </c>
      <c r="BH45" s="153">
        <v>1</v>
      </c>
      <c r="BI45" s="153">
        <v>1</v>
      </c>
      <c r="BJ45" s="153">
        <v>1</v>
      </c>
      <c r="BK45" s="153">
        <v>1</v>
      </c>
      <c r="BL45" s="153">
        <v>1</v>
      </c>
    </row>
    <row r="46" spans="1:73" ht="15" customHeight="1" outlineLevel="1" x14ac:dyDescent="0.25">
      <c r="A46" s="362"/>
      <c r="B46" s="122"/>
      <c r="C46" s="123"/>
      <c r="D46" s="123"/>
      <c r="E46" s="123"/>
      <c r="F46" s="124"/>
      <c r="G46" s="124"/>
      <c r="H46" s="124"/>
      <c r="I46" s="124"/>
      <c r="J46" s="124"/>
      <c r="K46" s="180"/>
      <c r="L46" s="180"/>
      <c r="M46" s="180"/>
      <c r="N46" s="125"/>
      <c r="O46" s="750"/>
      <c r="P46" s="750"/>
      <c r="Q46" s="750"/>
      <c r="R46" s="754"/>
      <c r="S46" s="749"/>
      <c r="T46" s="750"/>
      <c r="U46" s="750"/>
      <c r="V46" s="754"/>
      <c r="W46" s="505"/>
      <c r="X46" s="505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BC46" s="155" t="str">
        <f t="shared" si="35"/>
        <v>-</v>
      </c>
      <c r="BD46" s="151" t="str">
        <f>"1st " &amp;  B40</f>
        <v>1st WLTC 14°C</v>
      </c>
      <c r="BE46" s="153" t="str">
        <f t="shared" ref="BE46:BL46" si="41">IF((OR($C43="-",$C43="CET",$C43="")),"-",IF(AND(OR(F41="-",F41=""),OR(F42="-",F42="")),"-",IF(NOT(OR(F41="-",F41="")),F41/F$5,F42/F$5)))</f>
        <v>-</v>
      </c>
      <c r="BF46" s="153" t="str">
        <f t="shared" si="41"/>
        <v>-</v>
      </c>
      <c r="BG46" s="153" t="str">
        <f t="shared" si="41"/>
        <v>-</v>
      </c>
      <c r="BH46" s="153" t="str">
        <f t="shared" si="41"/>
        <v>-</v>
      </c>
      <c r="BI46" s="153" t="str">
        <f t="shared" si="41"/>
        <v>-</v>
      </c>
      <c r="BJ46" s="153" t="str">
        <f t="shared" si="41"/>
        <v>-</v>
      </c>
      <c r="BK46" s="153" t="str">
        <f t="shared" si="41"/>
        <v>-</v>
      </c>
      <c r="BL46" s="153" t="str">
        <f t="shared" si="41"/>
        <v>-</v>
      </c>
    </row>
    <row r="47" spans="1:73" ht="15" customHeight="1" outlineLevel="1" x14ac:dyDescent="0.25">
      <c r="A47" s="362"/>
      <c r="B47" s="122"/>
      <c r="C47" s="518"/>
      <c r="D47" s="518"/>
      <c r="E47" s="126"/>
      <c r="F47" s="127"/>
      <c r="G47" s="127"/>
      <c r="H47" s="127"/>
      <c r="I47" s="127"/>
      <c r="J47" s="127"/>
      <c r="K47" s="181"/>
      <c r="L47" s="181"/>
      <c r="M47" s="181"/>
      <c r="N47" s="128"/>
      <c r="O47" s="750"/>
      <c r="P47" s="750"/>
      <c r="Q47" s="750"/>
      <c r="R47" s="754"/>
      <c r="S47" s="749"/>
      <c r="T47" s="750"/>
      <c r="U47" s="750"/>
      <c r="V47" s="754"/>
      <c r="W47" s="505"/>
      <c r="X47" s="505"/>
      <c r="Y47" s="743"/>
      <c r="Z47" s="743"/>
      <c r="AA47" s="743"/>
      <c r="AB47" s="743"/>
      <c r="AC47" s="743"/>
      <c r="AD47" s="743"/>
      <c r="AE47" s="743"/>
      <c r="AF47" s="743"/>
      <c r="AG47" s="743"/>
      <c r="AH47" s="743"/>
      <c r="BC47" s="155" t="str">
        <f t="shared" si="35"/>
        <v>-</v>
      </c>
      <c r="BD47" s="151"/>
      <c r="BE47" s="153"/>
      <c r="BF47" s="153"/>
      <c r="BG47" s="153"/>
      <c r="BH47" s="153"/>
      <c r="BI47" s="153"/>
      <c r="BJ47" s="153"/>
      <c r="BK47" s="153"/>
      <c r="BL47" s="153"/>
    </row>
    <row r="48" spans="1:73" ht="15" customHeight="1" outlineLevel="1" x14ac:dyDescent="0.25">
      <c r="A48" s="362"/>
      <c r="B48" s="122"/>
      <c r="C48" s="518"/>
      <c r="D48" s="518"/>
      <c r="E48" s="126"/>
      <c r="F48" s="127"/>
      <c r="G48" s="127"/>
      <c r="H48" s="127"/>
      <c r="I48" s="127"/>
      <c r="J48" s="127"/>
      <c r="K48" s="181"/>
      <c r="L48" s="181"/>
      <c r="M48" s="181"/>
      <c r="N48" s="128"/>
      <c r="O48" s="750"/>
      <c r="P48" s="750"/>
      <c r="Q48" s="750"/>
      <c r="R48" s="754"/>
      <c r="S48" s="749"/>
      <c r="T48" s="750"/>
      <c r="U48" s="750"/>
      <c r="V48" s="754"/>
      <c r="W48" s="505"/>
      <c r="X48" s="505"/>
      <c r="Y48" s="743"/>
      <c r="Z48" s="743"/>
      <c r="AA48" s="743"/>
      <c r="AB48" s="743"/>
      <c r="AC48" s="743"/>
      <c r="AD48" s="743"/>
      <c r="AE48" s="743"/>
      <c r="AF48" s="743"/>
      <c r="AG48" s="743"/>
      <c r="AH48" s="743"/>
      <c r="BC48" s="155" t="str">
        <f t="shared" si="35"/>
        <v>-</v>
      </c>
      <c r="BD48" s="151"/>
      <c r="BE48" s="153"/>
      <c r="BF48" s="153"/>
      <c r="BG48" s="153"/>
      <c r="BH48" s="153"/>
      <c r="BI48" s="153"/>
      <c r="BJ48" s="153"/>
      <c r="BK48" s="153"/>
      <c r="BL48" s="153"/>
    </row>
    <row r="49" spans="1:64" ht="15" customHeight="1" outlineLevel="1" x14ac:dyDescent="0.25">
      <c r="A49" s="40"/>
      <c r="B49" s="122"/>
      <c r="C49" s="519"/>
      <c r="D49" s="520"/>
      <c r="E49" s="518"/>
      <c r="F49" s="518"/>
      <c r="G49" s="518"/>
      <c r="H49" s="518"/>
      <c r="I49" s="518"/>
      <c r="J49" s="518"/>
      <c r="K49" s="177"/>
      <c r="L49" s="177"/>
      <c r="M49" s="177"/>
      <c r="N49" s="87"/>
      <c r="O49" s="750"/>
      <c r="P49" s="750"/>
      <c r="Q49" s="750"/>
      <c r="R49" s="754"/>
      <c r="S49" s="749"/>
      <c r="T49" s="750"/>
      <c r="U49" s="750"/>
      <c r="V49" s="754"/>
      <c r="W49" s="505"/>
      <c r="X49" s="505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BC49" s="155" t="str">
        <f t="shared" si="35"/>
        <v>-</v>
      </c>
      <c r="BD49" s="151"/>
      <c r="BE49" s="153"/>
      <c r="BF49" s="153"/>
      <c r="BG49" s="153"/>
      <c r="BH49" s="153"/>
      <c r="BI49" s="153"/>
      <c r="BJ49" s="153"/>
      <c r="BK49" s="153"/>
      <c r="BL49" s="153"/>
    </row>
    <row r="50" spans="1:64" ht="15" customHeight="1" outlineLevel="1" x14ac:dyDescent="0.25">
      <c r="A50" s="40"/>
      <c r="B50" s="122"/>
      <c r="C50" s="519"/>
      <c r="D50" s="520"/>
      <c r="E50" s="77"/>
      <c r="F50" s="85"/>
      <c r="G50" s="85"/>
      <c r="H50" s="85"/>
      <c r="I50" s="85"/>
      <c r="J50" s="85"/>
      <c r="K50" s="177"/>
      <c r="L50" s="177"/>
      <c r="M50" s="177"/>
      <c r="N50" s="84"/>
      <c r="O50" s="750"/>
      <c r="P50" s="750"/>
      <c r="Q50" s="750"/>
      <c r="R50" s="754"/>
      <c r="S50" s="749"/>
      <c r="T50" s="750"/>
      <c r="U50" s="750"/>
      <c r="V50" s="754"/>
      <c r="W50" s="505"/>
      <c r="X50" s="505"/>
      <c r="Y50" s="743"/>
      <c r="Z50" s="743"/>
      <c r="AA50" s="743"/>
      <c r="AB50" s="743"/>
      <c r="AC50" s="743"/>
      <c r="AD50" s="743"/>
      <c r="AE50" s="743"/>
      <c r="AF50" s="743"/>
      <c r="AG50" s="743"/>
      <c r="AH50" s="743"/>
      <c r="BC50" s="155" t="str">
        <f t="shared" si="35"/>
        <v>-</v>
      </c>
      <c r="BD50" s="151" t="str">
        <f>"0.7*IEF " &amp; (B40)</f>
        <v>0.7*IEF WLTC 14°C</v>
      </c>
      <c r="BE50" s="153" t="str">
        <f t="shared" ref="BE50:BL50" si="42">IF(AND(OR($C43="-",$C43="CET",$C43=""),OR(F40="-",F40="CET",F40="")),"-",0.7*IF(OR(F40="CET",F40="-",F40=""),IF(OR($C43="CET",$C43="-",$C43=""),"-",$C43),F40))</f>
        <v>-</v>
      </c>
      <c r="BF50" s="153" t="str">
        <f t="shared" si="42"/>
        <v>-</v>
      </c>
      <c r="BG50" s="153" t="str">
        <f t="shared" si="42"/>
        <v>-</v>
      </c>
      <c r="BH50" s="153" t="str">
        <f t="shared" si="42"/>
        <v>-</v>
      </c>
      <c r="BI50" s="153" t="str">
        <f t="shared" si="42"/>
        <v>-</v>
      </c>
      <c r="BJ50" s="153" t="str">
        <f t="shared" si="42"/>
        <v>-</v>
      </c>
      <c r="BK50" s="153" t="str">
        <f t="shared" si="42"/>
        <v>-</v>
      </c>
      <c r="BL50" s="153" t="str">
        <f t="shared" si="42"/>
        <v>-</v>
      </c>
    </row>
    <row r="51" spans="1:64" ht="15" customHeight="1" outlineLevel="1" x14ac:dyDescent="0.25">
      <c r="A51" s="40"/>
      <c r="B51" s="122"/>
      <c r="C51" s="519"/>
      <c r="D51" s="520"/>
      <c r="E51" s="77"/>
      <c r="F51" s="77"/>
      <c r="G51" s="77"/>
      <c r="H51" s="77"/>
      <c r="I51" s="77"/>
      <c r="J51" s="77"/>
      <c r="K51" s="177"/>
      <c r="L51" s="177"/>
      <c r="M51" s="177"/>
      <c r="N51" s="88"/>
      <c r="O51" s="750"/>
      <c r="P51" s="750"/>
      <c r="Q51" s="750"/>
      <c r="R51" s="754"/>
      <c r="S51" s="749"/>
      <c r="T51" s="750"/>
      <c r="U51" s="750"/>
      <c r="V51" s="754"/>
      <c r="W51" s="505"/>
      <c r="X51" s="505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BC51" s="155" t="str">
        <f t="shared" si="35"/>
        <v>-</v>
      </c>
      <c r="BD51" s="151"/>
      <c r="BE51" s="153"/>
      <c r="BF51" s="153"/>
      <c r="BG51" s="153"/>
      <c r="BH51" s="153"/>
      <c r="BI51" s="153"/>
      <c r="BJ51" s="153"/>
      <c r="BK51" s="153"/>
      <c r="BL51" s="153"/>
    </row>
    <row r="52" spans="1:64" ht="15" customHeight="1" outlineLevel="1" x14ac:dyDescent="0.25">
      <c r="A52" s="40"/>
      <c r="B52" s="112"/>
      <c r="C52" s="75"/>
      <c r="D52" s="503"/>
      <c r="E52" s="503"/>
      <c r="F52" s="56"/>
      <c r="G52" s="56"/>
      <c r="H52" s="56"/>
      <c r="I52" s="56"/>
      <c r="J52" s="56"/>
      <c r="K52" s="171"/>
      <c r="L52" s="171"/>
      <c r="M52" s="171"/>
      <c r="N52" s="55"/>
      <c r="O52" s="750"/>
      <c r="P52" s="750"/>
      <c r="Q52" s="750"/>
      <c r="R52" s="754"/>
      <c r="S52" s="749"/>
      <c r="T52" s="750"/>
      <c r="U52" s="750"/>
      <c r="V52" s="754"/>
      <c r="W52" s="505"/>
      <c r="X52" s="505"/>
      <c r="Y52" s="743"/>
      <c r="Z52" s="743"/>
      <c r="AA52" s="743"/>
      <c r="AB52" s="743"/>
      <c r="AC52" s="743"/>
      <c r="AD52" s="743"/>
      <c r="AE52" s="743"/>
      <c r="AF52" s="743"/>
      <c r="AG52" s="743"/>
      <c r="AH52" s="743"/>
      <c r="BC52" s="155" t="str">
        <f t="shared" si="35"/>
        <v>-</v>
      </c>
      <c r="BD52" s="151"/>
      <c r="BE52" s="153"/>
      <c r="BF52" s="153"/>
      <c r="BG52" s="153"/>
      <c r="BH52" s="153"/>
      <c r="BI52" s="153"/>
      <c r="BJ52" s="153"/>
      <c r="BK52" s="153"/>
      <c r="BL52" s="153"/>
    </row>
    <row r="53" spans="1:64" ht="15" customHeight="1" outlineLevel="1" x14ac:dyDescent="0.25">
      <c r="A53" s="40"/>
      <c r="B53" s="112"/>
      <c r="C53" s="75"/>
      <c r="D53" s="503"/>
      <c r="E53" s="503"/>
      <c r="F53" s="56"/>
      <c r="G53" s="56"/>
      <c r="H53" s="56"/>
      <c r="I53" s="56"/>
      <c r="J53" s="56"/>
      <c r="K53" s="171"/>
      <c r="L53" s="171"/>
      <c r="M53" s="171"/>
      <c r="N53" s="55"/>
      <c r="O53" s="750"/>
      <c r="P53" s="750"/>
      <c r="Q53" s="750"/>
      <c r="R53" s="754"/>
      <c r="S53" s="749"/>
      <c r="T53" s="750"/>
      <c r="U53" s="750"/>
      <c r="V53" s="754"/>
      <c r="W53" s="505"/>
      <c r="X53" s="505"/>
      <c r="Y53" s="743"/>
      <c r="Z53" s="743"/>
      <c r="AA53" s="743"/>
      <c r="AB53" s="743"/>
      <c r="AC53" s="743"/>
      <c r="AD53" s="743"/>
      <c r="AE53" s="743"/>
      <c r="AF53" s="743"/>
      <c r="AG53" s="743"/>
      <c r="AH53" s="743"/>
      <c r="BC53" s="155" t="str">
        <f t="shared" si="35"/>
        <v>-</v>
      </c>
      <c r="BD53" s="151"/>
      <c r="BE53" s="153"/>
      <c r="BF53" s="153"/>
      <c r="BG53" s="153"/>
      <c r="BH53" s="153"/>
      <c r="BI53" s="153"/>
      <c r="BJ53" s="153"/>
      <c r="BK53" s="153"/>
      <c r="BL53" s="153"/>
    </row>
    <row r="54" spans="1:64" ht="15" customHeight="1" outlineLevel="1" x14ac:dyDescent="0.25">
      <c r="A54" s="40"/>
      <c r="B54" s="112"/>
      <c r="C54" s="75"/>
      <c r="D54" s="503"/>
      <c r="E54" s="503"/>
      <c r="F54" s="503"/>
      <c r="G54" s="503"/>
      <c r="H54" s="503"/>
      <c r="I54" s="503"/>
      <c r="J54" s="503"/>
      <c r="K54" s="171"/>
      <c r="L54" s="171"/>
      <c r="M54" s="171"/>
      <c r="N54" s="59"/>
      <c r="O54" s="750"/>
      <c r="P54" s="750"/>
      <c r="Q54" s="750"/>
      <c r="R54" s="754"/>
      <c r="S54" s="749"/>
      <c r="T54" s="750"/>
      <c r="U54" s="750"/>
      <c r="V54" s="754"/>
      <c r="W54" s="505"/>
      <c r="X54" s="505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BC54" s="155" t="str">
        <f t="shared" si="35"/>
        <v>-</v>
      </c>
      <c r="BD54" s="151" t="str">
        <f>B40</f>
        <v>WLTC 14°C</v>
      </c>
      <c r="BE54" s="153" t="str">
        <f>F44</f>
        <v>-</v>
      </c>
      <c r="BF54" s="153" t="str">
        <f t="shared" ref="BF54:BL54" si="43">G44</f>
        <v>-</v>
      </c>
      <c r="BG54" s="153" t="str">
        <f t="shared" si="43"/>
        <v>-</v>
      </c>
      <c r="BH54" s="153" t="str">
        <f t="shared" si="43"/>
        <v>-</v>
      </c>
      <c r="BI54" s="153" t="str">
        <f t="shared" si="43"/>
        <v>-</v>
      </c>
      <c r="BJ54" s="153" t="str">
        <f t="shared" si="43"/>
        <v>-</v>
      </c>
      <c r="BK54" s="153" t="str">
        <f t="shared" si="43"/>
        <v>-</v>
      </c>
      <c r="BL54" s="153" t="str">
        <f t="shared" si="43"/>
        <v>-</v>
      </c>
    </row>
    <row r="55" spans="1:64" ht="15" customHeight="1" outlineLevel="1" x14ac:dyDescent="0.25">
      <c r="A55" s="40"/>
      <c r="B55" s="112"/>
      <c r="C55" s="75"/>
      <c r="D55" s="503"/>
      <c r="E55" s="503"/>
      <c r="F55" s="520"/>
      <c r="G55" s="520"/>
      <c r="H55" s="520"/>
      <c r="I55" s="520"/>
      <c r="J55" s="520"/>
      <c r="K55" s="171"/>
      <c r="L55" s="171"/>
      <c r="M55" s="171"/>
      <c r="N55" s="57"/>
      <c r="O55" s="750"/>
      <c r="P55" s="750"/>
      <c r="Q55" s="750"/>
      <c r="R55" s="754"/>
      <c r="S55" s="749"/>
      <c r="T55" s="750"/>
      <c r="U55" s="750"/>
      <c r="V55" s="754"/>
      <c r="W55" s="505"/>
      <c r="X55" s="505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BC55" s="155" t="str">
        <f t="shared" si="35"/>
        <v>-</v>
      </c>
      <c r="BD55" s="151"/>
      <c r="BE55" s="153"/>
      <c r="BF55" s="153"/>
      <c r="BG55" s="153"/>
      <c r="BH55" s="153"/>
      <c r="BI55" s="153"/>
      <c r="BJ55" s="153"/>
      <c r="BK55" s="153"/>
      <c r="BL55" s="153"/>
    </row>
    <row r="56" spans="1:64" ht="15" customHeight="1" outlineLevel="1" x14ac:dyDescent="0.25">
      <c r="A56" s="40"/>
      <c r="B56" s="112"/>
      <c r="C56" s="75"/>
      <c r="D56" s="503"/>
      <c r="E56" s="503"/>
      <c r="F56" s="520"/>
      <c r="G56" s="520"/>
      <c r="H56" s="520"/>
      <c r="I56" s="520"/>
      <c r="J56" s="520"/>
      <c r="K56" s="171"/>
      <c r="L56" s="171"/>
      <c r="M56" s="171"/>
      <c r="N56" s="57"/>
      <c r="O56" s="750"/>
      <c r="P56" s="750"/>
      <c r="Q56" s="750"/>
      <c r="R56" s="754"/>
      <c r="S56" s="749"/>
      <c r="T56" s="750"/>
      <c r="U56" s="750"/>
      <c r="V56" s="754"/>
      <c r="W56" s="505"/>
      <c r="X56" s="505"/>
      <c r="Y56" s="743"/>
      <c r="Z56" s="743"/>
      <c r="AA56" s="743"/>
      <c r="AB56" s="743"/>
      <c r="AC56" s="743"/>
      <c r="AD56" s="743"/>
      <c r="AE56" s="743"/>
      <c r="AF56" s="743"/>
      <c r="AG56" s="743"/>
      <c r="AH56" s="743"/>
      <c r="BC56" s="155" t="str">
        <f t="shared" si="35"/>
        <v>-</v>
      </c>
      <c r="BD56" s="151"/>
      <c r="BE56" s="153"/>
      <c r="BF56" s="153"/>
      <c r="BG56" s="153"/>
      <c r="BH56" s="153"/>
      <c r="BI56" s="153"/>
      <c r="BJ56" s="153"/>
      <c r="BK56" s="153"/>
      <c r="BL56" s="153"/>
    </row>
    <row r="57" spans="1:64" ht="15" customHeight="1" outlineLevel="1" x14ac:dyDescent="0.25">
      <c r="A57" s="40"/>
      <c r="B57" s="112"/>
      <c r="C57" s="75"/>
      <c r="D57" s="503"/>
      <c r="E57" s="503"/>
      <c r="F57" s="56"/>
      <c r="G57" s="56"/>
      <c r="H57" s="56"/>
      <c r="I57" s="56"/>
      <c r="J57" s="56"/>
      <c r="K57" s="171"/>
      <c r="L57" s="171"/>
      <c r="M57" s="171"/>
      <c r="N57" s="55"/>
      <c r="O57" s="750"/>
      <c r="P57" s="750"/>
      <c r="Q57" s="750"/>
      <c r="R57" s="754"/>
      <c r="S57" s="749"/>
      <c r="T57" s="750"/>
      <c r="U57" s="750"/>
      <c r="V57" s="754"/>
      <c r="W57" s="505"/>
      <c r="X57" s="505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BC57" s="155" t="str">
        <f t="shared" si="35"/>
        <v>-</v>
      </c>
      <c r="BD57" s="151" t="str">
        <f>"IEF " &amp;B40</f>
        <v>IEF WLTC 14°C</v>
      </c>
      <c r="BE57" s="153" t="str">
        <f t="shared" ref="BE57:BL57" si="44">IF(AND(OR($C43="-",$C43="CET",$C43=""),OR(F40="-",F40="CET",F40="")),"-",IF(OR(F40="CET",F40="-",F40=""),IF(OR($C43="CET",$C43="-",$C43=""),"-",$C43),F40))</f>
        <v>-</v>
      </c>
      <c r="BF57" s="153" t="str">
        <f t="shared" si="44"/>
        <v>-</v>
      </c>
      <c r="BG57" s="153" t="str">
        <f t="shared" si="44"/>
        <v>-</v>
      </c>
      <c r="BH57" s="153" t="str">
        <f t="shared" si="44"/>
        <v>-</v>
      </c>
      <c r="BI57" s="153" t="str">
        <f t="shared" si="44"/>
        <v>-</v>
      </c>
      <c r="BJ57" s="153" t="str">
        <f t="shared" si="44"/>
        <v>-</v>
      </c>
      <c r="BK57" s="153" t="str">
        <f t="shared" si="44"/>
        <v>-</v>
      </c>
      <c r="BL57" s="153" t="str">
        <f t="shared" si="44"/>
        <v>-</v>
      </c>
    </row>
    <row r="58" spans="1:64" ht="15" customHeight="1" outlineLevel="1" x14ac:dyDescent="0.25">
      <c r="A58" s="40"/>
      <c r="B58" s="112"/>
      <c r="C58" s="75"/>
      <c r="D58" s="503"/>
      <c r="E58" s="503"/>
      <c r="F58" s="56"/>
      <c r="G58" s="56"/>
      <c r="H58" s="56"/>
      <c r="I58" s="56"/>
      <c r="J58" s="56"/>
      <c r="K58" s="171"/>
      <c r="L58" s="171"/>
      <c r="M58" s="171"/>
      <c r="N58" s="55"/>
      <c r="O58" s="750"/>
      <c r="P58" s="750"/>
      <c r="Q58" s="750"/>
      <c r="R58" s="754"/>
      <c r="S58" s="749"/>
      <c r="T58" s="750"/>
      <c r="U58" s="750"/>
      <c r="V58" s="754"/>
      <c r="W58" s="505"/>
      <c r="X58" s="505"/>
      <c r="Y58" s="743"/>
      <c r="Z58" s="743"/>
      <c r="AA58" s="743"/>
      <c r="AB58" s="743"/>
      <c r="AC58" s="743"/>
      <c r="AD58" s="743"/>
      <c r="AE58" s="743"/>
      <c r="AF58" s="743"/>
      <c r="AG58" s="743"/>
      <c r="AH58" s="743"/>
      <c r="BC58" s="155" t="str">
        <f t="shared" si="35"/>
        <v>-</v>
      </c>
      <c r="BD58" s="151"/>
      <c r="BE58" s="153"/>
      <c r="BF58" s="153"/>
      <c r="BG58" s="153"/>
      <c r="BH58" s="153"/>
      <c r="BI58" s="153"/>
      <c r="BJ58" s="153"/>
      <c r="BK58" s="153"/>
      <c r="BL58" s="153"/>
    </row>
    <row r="59" spans="1:64" ht="15.75" outlineLevel="1" thickBot="1" x14ac:dyDescent="0.3">
      <c r="B59" s="113"/>
      <c r="C59" s="82"/>
      <c r="D59" s="509"/>
      <c r="E59" s="509"/>
      <c r="F59" s="509"/>
      <c r="G59" s="509"/>
      <c r="H59" s="509"/>
      <c r="I59" s="509"/>
      <c r="J59" s="509"/>
      <c r="K59" s="172"/>
      <c r="L59" s="172"/>
      <c r="M59" s="172"/>
      <c r="N59" s="54"/>
      <c r="O59" s="752"/>
      <c r="P59" s="752"/>
      <c r="Q59" s="752"/>
      <c r="R59" s="755"/>
      <c r="S59" s="751"/>
      <c r="T59" s="752"/>
      <c r="U59" s="752"/>
      <c r="V59" s="755"/>
      <c r="BC59" s="155" t="str">
        <f t="shared" si="35"/>
        <v>-</v>
      </c>
      <c r="BD59" s="156"/>
      <c r="BE59" s="156"/>
      <c r="BF59" s="156"/>
      <c r="BG59" s="156"/>
      <c r="BH59" s="156"/>
      <c r="BI59" s="156"/>
      <c r="BJ59" s="156"/>
      <c r="BK59" s="156"/>
      <c r="BL59" s="156"/>
    </row>
    <row r="60" spans="1:64" ht="15" customHeight="1" x14ac:dyDescent="0.25">
      <c r="A60" s="362"/>
      <c r="B60" s="60"/>
      <c r="C60" s="60"/>
      <c r="D60" s="60"/>
      <c r="E60" s="60"/>
      <c r="F60" s="60"/>
      <c r="G60" s="60"/>
      <c r="H60" s="60"/>
      <c r="I60" s="60"/>
      <c r="J60" s="60"/>
      <c r="K60" s="175"/>
      <c r="L60" s="175"/>
      <c r="M60" s="175"/>
      <c r="N60" s="60"/>
      <c r="O60" s="60"/>
      <c r="P60" s="60"/>
      <c r="Q60" s="60"/>
      <c r="R60" s="60"/>
      <c r="S60" s="60"/>
      <c r="T60" s="60"/>
      <c r="U60" s="60"/>
      <c r="V60" s="60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BC60" s="155" t="str">
        <f t="shared" si="35"/>
        <v>-</v>
      </c>
      <c r="BD60" s="156"/>
      <c r="BE60" s="156"/>
      <c r="BF60" s="156"/>
      <c r="BG60" s="156"/>
      <c r="BH60" s="156"/>
      <c r="BI60" s="156"/>
      <c r="BJ60" s="156"/>
      <c r="BK60" s="156"/>
      <c r="BL60" s="156"/>
    </row>
    <row r="61" spans="1:64" ht="15" customHeight="1" x14ac:dyDescent="0.25">
      <c r="A61" s="362"/>
      <c r="B61" s="60"/>
      <c r="C61" s="60"/>
      <c r="D61" s="60"/>
      <c r="E61" s="60"/>
      <c r="F61" s="60"/>
      <c r="G61" s="60"/>
      <c r="H61" s="60"/>
      <c r="I61" s="60"/>
      <c r="J61" s="60"/>
      <c r="K61" s="175"/>
      <c r="L61" s="175"/>
      <c r="M61" s="175"/>
      <c r="N61" s="60"/>
      <c r="O61" s="60"/>
      <c r="P61" s="60"/>
      <c r="Q61" s="60"/>
      <c r="R61" s="60"/>
      <c r="S61" s="60"/>
      <c r="T61" s="60"/>
      <c r="U61" s="60"/>
      <c r="V61" s="60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BC61" s="155" t="str">
        <f t="shared" si="35"/>
        <v>-</v>
      </c>
      <c r="BD61" s="156"/>
      <c r="BE61" s="156"/>
      <c r="BF61" s="156"/>
      <c r="BG61" s="156"/>
      <c r="BH61" s="156"/>
      <c r="BI61" s="156"/>
      <c r="BJ61" s="156"/>
      <c r="BK61" s="156"/>
      <c r="BL61" s="156"/>
    </row>
    <row r="62" spans="1:64" ht="15" customHeight="1" thickBot="1" x14ac:dyDescent="0.3">
      <c r="A62" s="362"/>
      <c r="B62" s="60"/>
      <c r="C62" s="60"/>
      <c r="D62" s="60"/>
      <c r="E62" s="60"/>
      <c r="F62" s="60"/>
      <c r="G62" s="60"/>
      <c r="H62" s="60"/>
      <c r="I62" s="60"/>
      <c r="J62" s="60"/>
      <c r="K62" s="175"/>
      <c r="L62" s="175"/>
      <c r="M62" s="175"/>
      <c r="N62" s="60"/>
      <c r="O62" s="60"/>
      <c r="P62" s="60"/>
      <c r="Q62" s="60"/>
      <c r="R62" s="60"/>
      <c r="S62" s="60"/>
      <c r="T62" s="60"/>
      <c r="U62" s="60"/>
      <c r="V62" s="60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BC62" s="155" t="str">
        <f t="shared" si="35"/>
        <v>-</v>
      </c>
    </row>
    <row r="63" spans="1:64" ht="24.95" customHeight="1" thickBot="1" x14ac:dyDescent="0.3">
      <c r="A63" s="362"/>
      <c r="B63" s="185">
        <v>3</v>
      </c>
      <c r="C63" s="757" t="s">
        <v>178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9"/>
      <c r="O63" s="49" t="s">
        <v>117</v>
      </c>
      <c r="P63" s="71" t="str">
        <f>IF(COUNTIF(F67:M96,"refused")&gt;0,"refused",IF(COUNTIF(F67:M96,"failed")&gt;0,"failed",IF(COUNTIF(F67:M96,"passed")&gt;0,"passed","-")))</f>
        <v>-</v>
      </c>
      <c r="Q63" s="70" t="s">
        <v>80</v>
      </c>
      <c r="R63" s="70" t="str">
        <f>IF(COUNT(F67:M68,F72:M73,F77:M78,F82:M83,F87:M88,F92:M93)&gt;0,"listed","not listed")</f>
        <v>not listed</v>
      </c>
      <c r="S63" s="504"/>
      <c r="T63" s="43"/>
      <c r="U63" s="43"/>
      <c r="V63" s="44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BC63" s="155" t="str">
        <f t="shared" si="11"/>
        <v>-</v>
      </c>
    </row>
    <row r="64" spans="1:64" ht="15" customHeight="1" outlineLevel="1" thickBot="1" x14ac:dyDescent="0.3">
      <c r="A64" s="362"/>
      <c r="B64" s="506"/>
      <c r="C64" s="507"/>
      <c r="D64" s="507"/>
      <c r="E64" s="507"/>
      <c r="F64" s="507"/>
      <c r="G64" s="507"/>
      <c r="H64" s="507"/>
      <c r="I64" s="507"/>
      <c r="J64" s="507"/>
      <c r="K64" s="162"/>
      <c r="L64" s="162"/>
      <c r="M64" s="162"/>
      <c r="N64" s="507"/>
      <c r="O64" s="507"/>
      <c r="P64" s="507"/>
      <c r="Q64" s="507"/>
      <c r="R64" s="507"/>
      <c r="S64" s="507"/>
      <c r="T64" s="45"/>
      <c r="U64" s="45"/>
      <c r="V64" s="46"/>
      <c r="W64" s="47"/>
      <c r="X64" s="47"/>
      <c r="Y64" s="756"/>
      <c r="Z64" s="756"/>
      <c r="AA64" s="756"/>
      <c r="AB64" s="756"/>
      <c r="AC64" s="756"/>
      <c r="AD64" s="756"/>
      <c r="AE64" s="756"/>
      <c r="AF64" s="756"/>
      <c r="AG64" s="756"/>
      <c r="AH64" s="756"/>
      <c r="BC64" s="155" t="str">
        <f t="shared" si="11"/>
        <v>-</v>
      </c>
    </row>
    <row r="65" spans="1:73" ht="15" customHeight="1" outlineLevel="1" thickBot="1" x14ac:dyDescent="0.3">
      <c r="A65" s="362"/>
      <c r="B65" s="744" t="s">
        <v>81</v>
      </c>
      <c r="C65" s="745"/>
      <c r="D65" s="745"/>
      <c r="E65" s="745"/>
      <c r="F65" s="745"/>
      <c r="G65" s="745"/>
      <c r="H65" s="745"/>
      <c r="I65" s="745"/>
      <c r="J65" s="745"/>
      <c r="K65" s="745"/>
      <c r="L65" s="745"/>
      <c r="M65" s="745"/>
      <c r="N65" s="746"/>
      <c r="O65" s="744" t="s">
        <v>82</v>
      </c>
      <c r="P65" s="745"/>
      <c r="Q65" s="745"/>
      <c r="R65" s="746"/>
      <c r="S65" s="744" t="s">
        <v>83</v>
      </c>
      <c r="T65" s="745"/>
      <c r="U65" s="745"/>
      <c r="V65" s="746"/>
      <c r="W65" s="505"/>
      <c r="X65" s="505"/>
      <c r="Y65" s="743"/>
      <c r="Z65" s="743"/>
      <c r="AA65" s="743"/>
      <c r="AB65" s="743"/>
      <c r="AC65" s="743"/>
      <c r="AD65" s="743"/>
      <c r="AE65" s="743"/>
      <c r="AF65" s="743"/>
      <c r="AG65" s="743"/>
      <c r="AH65" s="743"/>
      <c r="BC65" s="155" t="str">
        <f t="shared" si="11"/>
        <v>-</v>
      </c>
      <c r="BD65" s="151" t="s">
        <v>85</v>
      </c>
      <c r="BE65" s="152" t="str">
        <f>F$4</f>
        <v>NMHC 
[g/km]</v>
      </c>
      <c r="BF65" s="152" t="str">
        <f t="shared" ref="BF65:BL65" si="45">G$4</f>
        <v>THC
[g/km]</v>
      </c>
      <c r="BG65" s="152" t="str">
        <f t="shared" si="45"/>
        <v>CO
[g/km]</v>
      </c>
      <c r="BH65" s="152" t="str">
        <f t="shared" si="45"/>
        <v>NOx
[g/km]</v>
      </c>
      <c r="BI65" s="152" t="str">
        <f t="shared" si="45"/>
        <v>PM
[mg/km]</v>
      </c>
      <c r="BJ65" s="152" t="str">
        <f t="shared" si="45"/>
        <v>PN
[#/km]</v>
      </c>
      <c r="BK65" s="152" t="str">
        <f t="shared" si="45"/>
        <v>Additional
component</v>
      </c>
      <c r="BL65" s="152" t="str">
        <f t="shared" si="45"/>
        <v>Additional
component 2</v>
      </c>
    </row>
    <row r="66" spans="1:73" ht="35.1" customHeight="1" outlineLevel="1" thickBot="1" x14ac:dyDescent="0.3">
      <c r="A66" s="362"/>
      <c r="B66" s="767" t="s">
        <v>84</v>
      </c>
      <c r="C66" s="768"/>
      <c r="D66" s="768"/>
      <c r="E66" s="769"/>
      <c r="F66" s="69" t="str">
        <f>F$4</f>
        <v>NMHC 
[g/km]</v>
      </c>
      <c r="G66" s="69" t="str">
        <f t="shared" ref="G66:N66" si="46">G$4</f>
        <v>THC
[g/km]</v>
      </c>
      <c r="H66" s="69" t="str">
        <f t="shared" si="46"/>
        <v>CO
[g/km]</v>
      </c>
      <c r="I66" s="69" t="str">
        <f t="shared" si="46"/>
        <v>NOx
[g/km]</v>
      </c>
      <c r="J66" s="69" t="str">
        <f t="shared" si="46"/>
        <v>PM
[mg/km]</v>
      </c>
      <c r="K66" s="69" t="str">
        <f t="shared" si="46"/>
        <v>PN
[#/km]</v>
      </c>
      <c r="L66" s="366" t="str">
        <f t="shared" si="46"/>
        <v>Additional
component</v>
      </c>
      <c r="M66" s="366" t="str">
        <f t="shared" si="46"/>
        <v>Additional
component 2</v>
      </c>
      <c r="N66" s="69" t="str">
        <f t="shared" si="46"/>
        <v>CO2
[g/km]</v>
      </c>
      <c r="O66" s="747"/>
      <c r="P66" s="748"/>
      <c r="Q66" s="748"/>
      <c r="R66" s="748"/>
      <c r="S66" s="747"/>
      <c r="T66" s="748"/>
      <c r="U66" s="748"/>
      <c r="V66" s="753"/>
      <c r="W66" s="505"/>
      <c r="X66" s="505"/>
      <c r="Y66" s="743"/>
      <c r="Z66" s="743"/>
      <c r="AA66" s="743"/>
      <c r="AB66" s="743"/>
      <c r="AC66" s="743"/>
      <c r="AD66" s="743"/>
      <c r="AE66" s="743"/>
      <c r="AF66" s="743"/>
      <c r="AG66" s="743"/>
      <c r="AH66" s="743"/>
      <c r="BC66" s="155" t="str">
        <f t="shared" si="11"/>
        <v>-</v>
      </c>
      <c r="BD66" s="151" t="str">
        <f>$E$4</f>
        <v>Euro 6d</v>
      </c>
      <c r="BE66" s="153">
        <v>1</v>
      </c>
      <c r="BF66" s="153">
        <v>1</v>
      </c>
      <c r="BG66" s="153">
        <v>1</v>
      </c>
      <c r="BH66" s="153">
        <v>1</v>
      </c>
      <c r="BI66" s="153">
        <v>1</v>
      </c>
      <c r="BJ66" s="153">
        <v>1</v>
      </c>
      <c r="BK66" s="153">
        <v>1</v>
      </c>
      <c r="BL66" s="153">
        <v>1</v>
      </c>
    </row>
    <row r="67" spans="1:73" ht="15" customHeight="1" outlineLevel="1" x14ac:dyDescent="0.25">
      <c r="A67" s="362"/>
      <c r="B67" s="679" t="str">
        <f>'Variant 6 - WLTC'!B67:B71</f>
        <v>Drive Mode 1</v>
      </c>
      <c r="C67" s="770" t="s">
        <v>114</v>
      </c>
      <c r="D67" s="770" t="s">
        <v>113</v>
      </c>
      <c r="E67" s="106" t="s">
        <v>94</v>
      </c>
      <c r="F67" s="98" t="s">
        <v>5</v>
      </c>
      <c r="G67" s="98" t="s">
        <v>5</v>
      </c>
      <c r="H67" s="98" t="s">
        <v>5</v>
      </c>
      <c r="I67" s="98" t="s">
        <v>5</v>
      </c>
      <c r="J67" s="98" t="s">
        <v>5</v>
      </c>
      <c r="K67" s="165" t="s">
        <v>5</v>
      </c>
      <c r="L67" s="165" t="s">
        <v>5</v>
      </c>
      <c r="M67" s="165" t="s">
        <v>5</v>
      </c>
      <c r="N67" s="98" t="s">
        <v>5</v>
      </c>
      <c r="O67" s="749"/>
      <c r="P67" s="750"/>
      <c r="Q67" s="750"/>
      <c r="R67" s="750"/>
      <c r="S67" s="749"/>
      <c r="T67" s="750"/>
      <c r="U67" s="750"/>
      <c r="V67" s="754"/>
      <c r="W67" s="505"/>
      <c r="X67" s="505"/>
      <c r="Y67" s="743"/>
      <c r="Z67" s="743"/>
      <c r="AA67" s="743"/>
      <c r="AB67" s="743"/>
      <c r="AC67" s="743"/>
      <c r="AD67" s="743"/>
      <c r="AE67" s="743"/>
      <c r="AF67" s="743"/>
      <c r="AG67" s="743"/>
      <c r="AH67" s="743"/>
      <c r="BC67" s="155" t="str">
        <f t="shared" si="11"/>
        <v>-</v>
      </c>
      <c r="BD67" s="151" t="str">
        <f>"1st " &amp;  B67</f>
        <v>1st Drive Mode 1</v>
      </c>
      <c r="BE67" s="153" t="str">
        <f t="shared" ref="BE67:BK67" si="47">IF((OR($C69="-",$C69="CET",$C69="")),"-",IF(AND(OR(F67="-",F67=""),OR(F68="-",F68="")),"-",IF(NOT(OR(F67="-",F67="")),F67/F$5,F68/F$5)))</f>
        <v>-</v>
      </c>
      <c r="BF67" s="153" t="str">
        <f t="shared" si="47"/>
        <v>-</v>
      </c>
      <c r="BG67" s="153" t="str">
        <f t="shared" si="47"/>
        <v>-</v>
      </c>
      <c r="BH67" s="153" t="str">
        <f t="shared" si="47"/>
        <v>-</v>
      </c>
      <c r="BI67" s="153" t="str">
        <f t="shared" si="47"/>
        <v>-</v>
      </c>
      <c r="BJ67" s="153" t="str">
        <f t="shared" si="47"/>
        <v>-</v>
      </c>
      <c r="BK67" s="153" t="str">
        <f t="shared" si="47"/>
        <v>-</v>
      </c>
      <c r="BL67" s="153" t="str">
        <f t="shared" ref="BL67" si="48">IF((OR($C69="-",$C69="CET",$C69="")),"-",IF(AND(OR(N67="-",N67=""),OR(N68="-",N68="")),"-",IF(NOT(OR(N67="-",N67="")),N67/N$5,N68/N$5)))</f>
        <v>-</v>
      </c>
    </row>
    <row r="68" spans="1:73" s="50" customFormat="1" ht="15" customHeight="1" outlineLevel="1" thickBot="1" x14ac:dyDescent="0.3">
      <c r="A68" s="53"/>
      <c r="B68" s="680"/>
      <c r="C68" s="741"/>
      <c r="D68" s="742"/>
      <c r="E68" s="104" t="s">
        <v>95</v>
      </c>
      <c r="F68" s="97" t="s">
        <v>5</v>
      </c>
      <c r="G68" s="97" t="s">
        <v>5</v>
      </c>
      <c r="H68" s="97" t="s">
        <v>5</v>
      </c>
      <c r="I68" s="97" t="s">
        <v>5</v>
      </c>
      <c r="J68" s="97" t="s">
        <v>5</v>
      </c>
      <c r="K68" s="166" t="s">
        <v>5</v>
      </c>
      <c r="L68" s="166" t="s">
        <v>5</v>
      </c>
      <c r="M68" s="166" t="s">
        <v>5</v>
      </c>
      <c r="N68" s="97" t="s">
        <v>5</v>
      </c>
      <c r="O68" s="749"/>
      <c r="P68" s="750"/>
      <c r="Q68" s="750"/>
      <c r="R68" s="750"/>
      <c r="S68" s="749"/>
      <c r="T68" s="750"/>
      <c r="U68" s="750"/>
      <c r="V68" s="754"/>
      <c r="W68" s="51"/>
      <c r="X68" s="51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BC68" s="155" t="str">
        <f t="shared" si="11"/>
        <v>-</v>
      </c>
      <c r="BD68" s="151" t="str">
        <f>"1st " &amp; B72</f>
        <v>1st Drive Mode 2</v>
      </c>
      <c r="BE68" s="153" t="str">
        <f t="shared" ref="BE68:BK68" si="49">IF((OR($C74="-",$C74="CET",$C74="")),"-",IF(AND(OR(F72="-",F72=""),OR(F73="-",F73="")),"-",IF(NOT(OR(F72="-",F72="")),F72/F$5,F73/F$5)))</f>
        <v>-</v>
      </c>
      <c r="BF68" s="153" t="str">
        <f t="shared" si="49"/>
        <v>-</v>
      </c>
      <c r="BG68" s="153" t="str">
        <f t="shared" si="49"/>
        <v>-</v>
      </c>
      <c r="BH68" s="153" t="str">
        <f t="shared" si="49"/>
        <v>-</v>
      </c>
      <c r="BI68" s="153" t="str">
        <f t="shared" si="49"/>
        <v>-</v>
      </c>
      <c r="BJ68" s="153" t="str">
        <f t="shared" si="49"/>
        <v>-</v>
      </c>
      <c r="BK68" s="153" t="str">
        <f t="shared" si="49"/>
        <v>-</v>
      </c>
      <c r="BL68" s="153" t="str">
        <f t="shared" ref="BL68" si="50">IF((OR($C74="-",$C74="CET",$C74="")),"-",IF(AND(OR(N72="-",N72=""),OR(N73="-",N73="")),"-",IF(NOT(OR(N72="-",N72="")),N72/N$5,N73/N$5)))</f>
        <v>-</v>
      </c>
      <c r="BM68" s="150"/>
      <c r="BN68" s="150"/>
      <c r="BO68" s="150"/>
      <c r="BP68" s="150"/>
      <c r="BQ68" s="150"/>
      <c r="BR68" s="150"/>
      <c r="BS68" s="150"/>
      <c r="BT68" s="150"/>
      <c r="BU68" s="150"/>
    </row>
    <row r="69" spans="1:73" ht="15" customHeight="1" outlineLevel="1" thickBot="1" x14ac:dyDescent="0.3">
      <c r="A69" s="362"/>
      <c r="B69" s="680"/>
      <c r="C69" s="764">
        <v>1</v>
      </c>
      <c r="D69" s="772" t="str">
        <f>IF(AND(F70="-",G70="-",H70="-",I70="-",J70="-",K70="-",K70="-",L70="-"),"-",MAX(F70,G70,H70,I70,J70,K70,L70,M70))</f>
        <v>-</v>
      </c>
      <c r="E69" s="66" t="s">
        <v>177</v>
      </c>
      <c r="F69" s="65" t="str">
        <f t="shared" ref="F69:N69" si="51">IF(OR(F68="-",F68=""),IF(OR(F67="-",F67=""),"-",F67),IF(OR(F67="-",F67=""),F68,(F67+F68)/2))</f>
        <v>-</v>
      </c>
      <c r="G69" s="65" t="str">
        <f t="shared" si="51"/>
        <v>-</v>
      </c>
      <c r="H69" s="65" t="str">
        <f t="shared" si="51"/>
        <v>-</v>
      </c>
      <c r="I69" s="65" t="str">
        <f t="shared" si="51"/>
        <v>-</v>
      </c>
      <c r="J69" s="65" t="str">
        <f t="shared" si="51"/>
        <v>-</v>
      </c>
      <c r="K69" s="167" t="str">
        <f t="shared" si="51"/>
        <v>-</v>
      </c>
      <c r="L69" s="167" t="str">
        <f t="shared" si="51"/>
        <v>-</v>
      </c>
      <c r="M69" s="167" t="str">
        <f t="shared" si="51"/>
        <v>-</v>
      </c>
      <c r="N69" s="65" t="str">
        <f t="shared" si="51"/>
        <v>-</v>
      </c>
      <c r="O69" s="749"/>
      <c r="P69" s="750"/>
      <c r="Q69" s="750"/>
      <c r="R69" s="750"/>
      <c r="S69" s="749"/>
      <c r="T69" s="750"/>
      <c r="U69" s="750"/>
      <c r="V69" s="754"/>
      <c r="W69" s="505"/>
      <c r="X69" s="505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BC69" s="155" t="str">
        <f t="shared" si="11"/>
        <v>-</v>
      </c>
      <c r="BD69" s="151" t="str">
        <f>"1st " &amp; B77</f>
        <v>1st Drive Mode 3</v>
      </c>
      <c r="BE69" s="153" t="str">
        <f t="shared" ref="BE69:BK69" si="52">IF((OR($C79="-",$C79="CET",$C79="")),"-",IF(AND(OR(F77="-",F77=""),OR(F78="-",F78="")),"-",IF(NOT(OR(F77="-",F77="")),F77/F$5,F78/F$5)))</f>
        <v>-</v>
      </c>
      <c r="BF69" s="153" t="str">
        <f t="shared" si="52"/>
        <v>-</v>
      </c>
      <c r="BG69" s="153" t="str">
        <f t="shared" si="52"/>
        <v>-</v>
      </c>
      <c r="BH69" s="153" t="str">
        <f t="shared" si="52"/>
        <v>-</v>
      </c>
      <c r="BI69" s="153" t="str">
        <f t="shared" si="52"/>
        <v>-</v>
      </c>
      <c r="BJ69" s="153" t="str">
        <f t="shared" si="52"/>
        <v>-</v>
      </c>
      <c r="BK69" s="153" t="str">
        <f t="shared" si="52"/>
        <v>-</v>
      </c>
      <c r="BL69" s="153" t="str">
        <f t="shared" ref="BL69" si="53">IF((OR($C79="-",$C79="CET",$C79="")),"-",IF(AND(OR(N77="-",N77=""),OR(N78="-",N78="")),"-",IF(NOT(OR(N77="-",N77="")),N77/N$5,N78/N$5)))</f>
        <v>-</v>
      </c>
    </row>
    <row r="70" spans="1:73" ht="15" customHeight="1" outlineLevel="1" thickBot="1" x14ac:dyDescent="0.3">
      <c r="A70" s="362"/>
      <c r="B70" s="680"/>
      <c r="C70" s="765"/>
      <c r="D70" s="773"/>
      <c r="E70" s="64" t="s">
        <v>97</v>
      </c>
      <c r="F70" s="63" t="str">
        <f t="shared" ref="F70:N70" si="54">IF(OR($C69="-",$C69="CET",$C69=""),"-",IF(AND(NOT(F69="-"),NOT(F$5="-"),NOT(F$5="")),F69/F$5,"-"))</f>
        <v>-</v>
      </c>
      <c r="G70" s="63" t="str">
        <f t="shared" si="54"/>
        <v>-</v>
      </c>
      <c r="H70" s="63" t="str">
        <f t="shared" si="54"/>
        <v>-</v>
      </c>
      <c r="I70" s="63" t="str">
        <f t="shared" si="54"/>
        <v>-</v>
      </c>
      <c r="J70" s="63" t="str">
        <f t="shared" si="54"/>
        <v>-</v>
      </c>
      <c r="K70" s="168" t="str">
        <f t="shared" si="54"/>
        <v>-</v>
      </c>
      <c r="L70" s="168" t="str">
        <f t="shared" si="54"/>
        <v>-</v>
      </c>
      <c r="M70" s="168" t="str">
        <f t="shared" si="54"/>
        <v>-</v>
      </c>
      <c r="N70" s="63" t="str">
        <f t="shared" si="54"/>
        <v>-</v>
      </c>
      <c r="O70" s="749"/>
      <c r="P70" s="750"/>
      <c r="Q70" s="750"/>
      <c r="R70" s="750"/>
      <c r="S70" s="749"/>
      <c r="T70" s="750"/>
      <c r="U70" s="750"/>
      <c r="V70" s="754"/>
      <c r="W70" s="505"/>
      <c r="X70" s="505"/>
      <c r="Y70" s="743"/>
      <c r="Z70" s="743"/>
      <c r="AA70" s="743"/>
      <c r="AB70" s="743"/>
      <c r="AC70" s="743"/>
      <c r="AD70" s="743"/>
      <c r="AE70" s="743"/>
      <c r="AF70" s="743"/>
      <c r="AG70" s="743"/>
      <c r="AH70" s="743"/>
      <c r="BC70" s="155" t="str">
        <f t="shared" si="11"/>
        <v>-</v>
      </c>
      <c r="BD70" s="151" t="str">
        <f>"1st " &amp; B82</f>
        <v>1st Drive Mode 4</v>
      </c>
      <c r="BE70" s="153" t="str">
        <f t="shared" ref="BE70:BK70" si="55">IF((OR($C84="-",$C84="CET",$C84="")),"-",IF(AND(OR(F82="-",F82=""),OR(F83="-",F83="")),"-",IF(NOT(OR(F82="-",F82="")),F82/F$5,F83/F$5)))</f>
        <v>-</v>
      </c>
      <c r="BF70" s="153" t="str">
        <f t="shared" si="55"/>
        <v>-</v>
      </c>
      <c r="BG70" s="153" t="str">
        <f t="shared" si="55"/>
        <v>-</v>
      </c>
      <c r="BH70" s="153" t="str">
        <f t="shared" si="55"/>
        <v>-</v>
      </c>
      <c r="BI70" s="153" t="str">
        <f t="shared" si="55"/>
        <v>-</v>
      </c>
      <c r="BJ70" s="153" t="str">
        <f t="shared" si="55"/>
        <v>-</v>
      </c>
      <c r="BK70" s="153" t="str">
        <f t="shared" si="55"/>
        <v>-</v>
      </c>
      <c r="BL70" s="153" t="str">
        <f t="shared" ref="BL70" si="56">IF((OR($C84="-",$C84="CET",$C84="")),"-",IF(AND(OR(N82="-",N82=""),OR(N83="-",N83="")),"-",IF(NOT(OR(N82="-",N82="")),N82/N$5,N83/N$5)))</f>
        <v>-</v>
      </c>
    </row>
    <row r="71" spans="1:73" ht="15" customHeight="1" outlineLevel="1" thickBot="1" x14ac:dyDescent="0.3">
      <c r="A71" s="362"/>
      <c r="B71" s="681"/>
      <c r="C71" s="771"/>
      <c r="D71" s="774"/>
      <c r="E71" s="68" t="s">
        <v>30</v>
      </c>
      <c r="F71" s="62" t="str">
        <f t="shared" ref="F71:K71" si="57">IF(AND(OR(F67="-",F67=""),OR(F68="-",F68="")),"-",IF(OR($C69="-",$C69="",$C69="CET"),"-",IF($R$63="not listed","-",IF(NOT(F$5="-"),IF(AND(AND(NOT(F67=0),NOT(F67="-"),NOT(F67="")),AND(NOT(F68="-"),NOT(F68=0),NOT(F68=""))),IF(AND((F67+F68)/2&lt;1*F$5*IF(OR($C69="CET",$C69="-",$C69=""),"-",$C69),F67&lt;1.1*F$5*IF(OR($C69="CET",$C69="-",$C69=""),"-",$C69),F68&lt;1.1*F$5*IF(OR($C69="CET",$C69="-",$C69=""),"-",$C69)),"passed","refused"),IF(IF(OR(F67="-",F67=""),F68,F67)&lt;0.7*F$5*IF(OR($C69="CET",$C69="-",$C69=""),"-",$C69),"passed",IF(IF(OR(F67="-",F67=""),F68,F67)&lt;1.1*IF(OR($C69="CET",$C69="-",$C69=""),"-",$C69)*F$5,"failed","refused"))),"-"))))</f>
        <v>-</v>
      </c>
      <c r="G71" s="62" t="str">
        <f t="shared" si="57"/>
        <v>-</v>
      </c>
      <c r="H71" s="62" t="str">
        <f t="shared" si="57"/>
        <v>-</v>
      </c>
      <c r="I71" s="62" t="str">
        <f t="shared" si="57"/>
        <v>-</v>
      </c>
      <c r="J71" s="62" t="str">
        <f t="shared" si="57"/>
        <v>-</v>
      </c>
      <c r="K71" s="169" t="str">
        <f t="shared" si="57"/>
        <v>-</v>
      </c>
      <c r="L71" s="169" t="str">
        <f t="shared" ref="L71:M71" si="58">IF(AND(OR(L67="-",L67=""),OR(L68="-",L68="")),"-",IF(OR($C69="-",$C69="",$C69="CET"),"-",IF($R$63="not listed","-",IF(NOT(L$5="-"),IF(AND(AND(NOT(L67=0),NOT(L67="-"),NOT(L67="")),AND(NOT(L68="-"),NOT(L68=0),NOT(L68=""))),IF(AND((L67+L68)/2&lt;1*L$5*IF(OR($C69="CET",$C69="-",$C69=""),"-",$C69),L67&lt;1.1*L$5*IF(OR($C69="CET",$C69="-",$C69=""),"-",$C69),L68&lt;1.1*L$5*IF(OR($C69="CET",$C69="-",$C69=""),"-",$C69)),"passed","refused"),IF(IF(OR(L67="-",L67=""),L68,L67)&lt;0.7*L$5*IF(OR($C69="CET",$C69="-",$C69=""),"-",$C69),"passed",IF(IF(OR(L67="-",L67=""),L68,L67)&lt;1.1*IF(OR($C69="CET",$C69="-",$C69=""),"-",$C69)*L$5,"failed","refused"))),"-"))))</f>
        <v>-</v>
      </c>
      <c r="M71" s="169" t="str">
        <f t="shared" si="58"/>
        <v>-</v>
      </c>
      <c r="N71" s="62" t="str">
        <f>IF(AND(OR(N67="-",N67=""),OR(N68="-",N68="")),"-",IF(OR($C69="-",$C69="",$C69="CET"),"-",IF($R$63="not listed","-",IF(NOT(N$5="-"),IF(AND(AND(NOT(N67=0),NOT(N67="-"),NOT(N67="")),AND(NOT(N68="-"),NOT(N68=0),NOT(N68=""))),IF(AND((N67+N68)/2&lt;1*N$5*IF(OR($C69="CET",$C69="-",$C69=""),"-",$C69),N67&lt;1.1*N$5*IF(OR($C69="CET",$C69="-",$C69=""),"-",$C69),N68&lt;1.1*N$5*IF(OR($C69="CET",$C69="-",$C69=""),"-",$C69)),"passed","refused"),IF(IF(OR(N67="-",N67=""),N68,N67)&lt;0.7*N$5*IF(OR($C69="CET",$C69="-",$C69=""),"-",$C69),"passed",IF(IF(OR(N67="-",N67=""),N68,N67)&lt;1.1*IF(OR($C69="CET",$C69="-",$C69=""),"-",$C69)*N$5,"failed","refused"))),"-"))))</f>
        <v>-</v>
      </c>
      <c r="O71" s="749"/>
      <c r="P71" s="750"/>
      <c r="Q71" s="750"/>
      <c r="R71" s="750"/>
      <c r="S71" s="749"/>
      <c r="T71" s="750"/>
      <c r="U71" s="750"/>
      <c r="V71" s="754"/>
      <c r="W71" s="505"/>
      <c r="X71" s="505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BC71" s="155" t="str">
        <f t="shared" si="11"/>
        <v>-</v>
      </c>
      <c r="BD71" s="151" t="str">
        <f>"1st " &amp; B87</f>
        <v>1st Drive Mode 5</v>
      </c>
      <c r="BE71" s="153" t="str">
        <f t="shared" ref="BE71:BK71" si="59">IF((OR($C89="-",$C89="CET",$C89="")),"-",IF(AND(OR(F87="-",F87=""),OR(F88="-",F88="")),"-",IF(NOT(OR(F87="-",F87="")),F87/F$5,F88/F$5)))</f>
        <v>-</v>
      </c>
      <c r="BF71" s="153" t="str">
        <f t="shared" si="59"/>
        <v>-</v>
      </c>
      <c r="BG71" s="153" t="str">
        <f t="shared" si="59"/>
        <v>-</v>
      </c>
      <c r="BH71" s="153" t="str">
        <f t="shared" si="59"/>
        <v>-</v>
      </c>
      <c r="BI71" s="153" t="str">
        <f t="shared" si="59"/>
        <v>-</v>
      </c>
      <c r="BJ71" s="153" t="str">
        <f t="shared" si="59"/>
        <v>-</v>
      </c>
      <c r="BK71" s="153" t="str">
        <f t="shared" si="59"/>
        <v>-</v>
      </c>
      <c r="BL71" s="153" t="str">
        <f t="shared" ref="BL71" si="60">IF((OR($C89="-",$C89="CET",$C89="")),"-",IF(AND(OR(N87="-",N87=""),OR(N88="-",N88="")),"-",IF(NOT(OR(N87="-",N87="")),N87/N$5,N88/N$5)))</f>
        <v>-</v>
      </c>
    </row>
    <row r="72" spans="1:73" ht="15" customHeight="1" outlineLevel="1" x14ac:dyDescent="0.25">
      <c r="A72" s="362"/>
      <c r="B72" s="679" t="str">
        <f>'Variant 6 - WLTC'!B72:B76</f>
        <v>Drive Mode 2</v>
      </c>
      <c r="C72" s="770" t="s">
        <v>114</v>
      </c>
      <c r="D72" s="770" t="s">
        <v>113</v>
      </c>
      <c r="E72" s="106" t="s">
        <v>94</v>
      </c>
      <c r="F72" s="98" t="s">
        <v>5</v>
      </c>
      <c r="G72" s="98" t="s">
        <v>5</v>
      </c>
      <c r="H72" s="98" t="s">
        <v>5</v>
      </c>
      <c r="I72" s="98" t="s">
        <v>5</v>
      </c>
      <c r="J72" s="98" t="s">
        <v>5</v>
      </c>
      <c r="K72" s="165" t="s">
        <v>5</v>
      </c>
      <c r="L72" s="165" t="s">
        <v>5</v>
      </c>
      <c r="M72" s="165" t="s">
        <v>5</v>
      </c>
      <c r="N72" s="98" t="s">
        <v>5</v>
      </c>
      <c r="O72" s="749"/>
      <c r="P72" s="750"/>
      <c r="Q72" s="750"/>
      <c r="R72" s="750"/>
      <c r="S72" s="749"/>
      <c r="T72" s="750"/>
      <c r="U72" s="750"/>
      <c r="V72" s="754"/>
      <c r="W72" s="505"/>
      <c r="X72" s="505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BC72" s="155" t="str">
        <f t="shared" si="11"/>
        <v>-</v>
      </c>
      <c r="BD72" s="151" t="str">
        <f>"1st " &amp; B92</f>
        <v>1st Drive Mode 6</v>
      </c>
      <c r="BE72" s="153" t="str">
        <f t="shared" ref="BE72:BK72" si="61">IF((OR($C94="-",$C94="CET",$C94="")),"-",IF(AND(OR(F92="-",F92=""),OR(F93="-",F93="")),"-",IF(NOT(OR(F92="-",F92="")),F92/F$5,F93/F$5)))</f>
        <v>-</v>
      </c>
      <c r="BF72" s="153" t="str">
        <f t="shared" si="61"/>
        <v>-</v>
      </c>
      <c r="BG72" s="153" t="str">
        <f t="shared" si="61"/>
        <v>-</v>
      </c>
      <c r="BH72" s="153" t="str">
        <f t="shared" si="61"/>
        <v>-</v>
      </c>
      <c r="BI72" s="153" t="str">
        <f t="shared" si="61"/>
        <v>-</v>
      </c>
      <c r="BJ72" s="153" t="str">
        <f t="shared" si="61"/>
        <v>-</v>
      </c>
      <c r="BK72" s="153" t="str">
        <f t="shared" si="61"/>
        <v>-</v>
      </c>
      <c r="BL72" s="153" t="str">
        <f t="shared" ref="BL72" si="62">IF((OR($C94="-",$C94="CET",$C94="")),"-",IF(AND(OR(N92="-",N92=""),OR(N93="-",N93="")),"-",IF(NOT(OR(N92="-",N92="")),N92/N$5,N93/N$5)))</f>
        <v>-</v>
      </c>
    </row>
    <row r="73" spans="1:73" s="50" customFormat="1" ht="15" customHeight="1" outlineLevel="1" thickBot="1" x14ac:dyDescent="0.3">
      <c r="A73" s="53"/>
      <c r="B73" s="680"/>
      <c r="C73" s="741"/>
      <c r="D73" s="742"/>
      <c r="E73" s="104" t="s">
        <v>95</v>
      </c>
      <c r="F73" s="97" t="s">
        <v>5</v>
      </c>
      <c r="G73" s="97" t="s">
        <v>5</v>
      </c>
      <c r="H73" s="97" t="s">
        <v>5</v>
      </c>
      <c r="I73" s="97" t="s">
        <v>5</v>
      </c>
      <c r="J73" s="97" t="s">
        <v>5</v>
      </c>
      <c r="K73" s="166" t="s">
        <v>5</v>
      </c>
      <c r="L73" s="166" t="s">
        <v>5</v>
      </c>
      <c r="M73" s="166" t="s">
        <v>5</v>
      </c>
      <c r="N73" s="97" t="s">
        <v>5</v>
      </c>
      <c r="O73" s="749"/>
      <c r="P73" s="750"/>
      <c r="Q73" s="750"/>
      <c r="R73" s="750"/>
      <c r="S73" s="749"/>
      <c r="T73" s="750"/>
      <c r="U73" s="750"/>
      <c r="V73" s="754"/>
      <c r="W73" s="51"/>
      <c r="X73" s="51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BC73" s="155" t="str">
        <f t="shared" si="11"/>
        <v>-</v>
      </c>
      <c r="BD73" s="151" t="str">
        <f>"0.7*IEF " &amp; (B67)</f>
        <v>0.7*IEF Drive Mode 1</v>
      </c>
      <c r="BE73" s="153">
        <f>IF(OR($C69="-",$C69="CET",$C69=""),"-",0.7*$C69)</f>
        <v>0.7</v>
      </c>
      <c r="BF73" s="153">
        <f t="shared" ref="BF73:BL73" si="63">IF(OR($C69="-",$C69="CET",$C69=""),"-",0.7*$C69)</f>
        <v>0.7</v>
      </c>
      <c r="BG73" s="153">
        <f t="shared" si="63"/>
        <v>0.7</v>
      </c>
      <c r="BH73" s="153">
        <f t="shared" si="63"/>
        <v>0.7</v>
      </c>
      <c r="BI73" s="153">
        <f t="shared" si="63"/>
        <v>0.7</v>
      </c>
      <c r="BJ73" s="153">
        <f t="shared" si="63"/>
        <v>0.7</v>
      </c>
      <c r="BK73" s="153">
        <f t="shared" si="63"/>
        <v>0.7</v>
      </c>
      <c r="BL73" s="153">
        <f t="shared" si="63"/>
        <v>0.7</v>
      </c>
      <c r="BM73" s="150"/>
      <c r="BN73" s="150"/>
      <c r="BO73" s="150"/>
      <c r="BP73" s="150"/>
      <c r="BQ73" s="150"/>
      <c r="BR73" s="150"/>
      <c r="BS73" s="150"/>
      <c r="BT73" s="150"/>
      <c r="BU73" s="150"/>
    </row>
    <row r="74" spans="1:73" ht="15" customHeight="1" outlineLevel="1" thickBot="1" x14ac:dyDescent="0.3">
      <c r="A74" s="362"/>
      <c r="B74" s="680"/>
      <c r="C74" s="764">
        <v>1</v>
      </c>
      <c r="D74" s="772" t="str">
        <f>IF(AND(F75="-",G75="-",H75="-",I75="-",J75="-",K75="-",K75="-",L75="-"),"-",MAX(F75,G75,H75,I75,J75,K75,L75,M75))</f>
        <v>-</v>
      </c>
      <c r="E74" s="66" t="s">
        <v>177</v>
      </c>
      <c r="F74" s="65" t="str">
        <f t="shared" ref="F74:N74" si="64">IF(OR(F73="-",F73=""),IF(OR(F72="-",F72=""),"-",F72),IF(OR(F72="-",F72=""),F73,(F72+F73)/2))</f>
        <v>-</v>
      </c>
      <c r="G74" s="65" t="str">
        <f t="shared" si="64"/>
        <v>-</v>
      </c>
      <c r="H74" s="65" t="str">
        <f t="shared" si="64"/>
        <v>-</v>
      </c>
      <c r="I74" s="65" t="str">
        <f t="shared" si="64"/>
        <v>-</v>
      </c>
      <c r="J74" s="65" t="str">
        <f t="shared" si="64"/>
        <v>-</v>
      </c>
      <c r="K74" s="167" t="str">
        <f t="shared" si="64"/>
        <v>-</v>
      </c>
      <c r="L74" s="167" t="str">
        <f t="shared" si="64"/>
        <v>-</v>
      </c>
      <c r="M74" s="167" t="str">
        <f t="shared" si="64"/>
        <v>-</v>
      </c>
      <c r="N74" s="65" t="str">
        <f t="shared" si="64"/>
        <v>-</v>
      </c>
      <c r="O74" s="749"/>
      <c r="P74" s="750"/>
      <c r="Q74" s="750"/>
      <c r="R74" s="750"/>
      <c r="S74" s="749"/>
      <c r="T74" s="750"/>
      <c r="U74" s="750"/>
      <c r="V74" s="754"/>
      <c r="W74" s="505"/>
      <c r="X74" s="505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BC74" s="155" t="str">
        <f t="shared" si="11"/>
        <v>-</v>
      </c>
      <c r="BD74" s="151" t="str">
        <f>"0.7*IEF " &amp; B72</f>
        <v>0.7*IEF Drive Mode 2</v>
      </c>
      <c r="BE74" s="153">
        <f>IF(OR($C74="-",$C74="CET",$C74=""),"-",0.7*$C74)</f>
        <v>0.7</v>
      </c>
      <c r="BF74" s="153">
        <f t="shared" ref="BF74:BL74" si="65">IF(OR($C74="-",$C74="CET",$C74=""),"-",0.7*$C74)</f>
        <v>0.7</v>
      </c>
      <c r="BG74" s="153">
        <f t="shared" si="65"/>
        <v>0.7</v>
      </c>
      <c r="BH74" s="153">
        <f t="shared" si="65"/>
        <v>0.7</v>
      </c>
      <c r="BI74" s="153">
        <f t="shared" si="65"/>
        <v>0.7</v>
      </c>
      <c r="BJ74" s="153">
        <f t="shared" si="65"/>
        <v>0.7</v>
      </c>
      <c r="BK74" s="153">
        <f t="shared" si="65"/>
        <v>0.7</v>
      </c>
      <c r="BL74" s="153">
        <f t="shared" si="65"/>
        <v>0.7</v>
      </c>
    </row>
    <row r="75" spans="1:73" ht="15" customHeight="1" outlineLevel="1" thickBot="1" x14ac:dyDescent="0.3">
      <c r="A75" s="362"/>
      <c r="B75" s="680"/>
      <c r="C75" s="765"/>
      <c r="D75" s="773"/>
      <c r="E75" s="64" t="s">
        <v>97</v>
      </c>
      <c r="F75" s="63" t="str">
        <f t="shared" ref="F75:N75" si="66">IF(OR($C74="-",$C74="CET",$C74=""),"-",IF(AND(NOT(F74="-"),NOT(F$5="-"),NOT(F$5="")),F74/F$5,"-"))</f>
        <v>-</v>
      </c>
      <c r="G75" s="63" t="str">
        <f t="shared" si="66"/>
        <v>-</v>
      </c>
      <c r="H75" s="63" t="str">
        <f t="shared" si="66"/>
        <v>-</v>
      </c>
      <c r="I75" s="63" t="str">
        <f t="shared" si="66"/>
        <v>-</v>
      </c>
      <c r="J75" s="63" t="str">
        <f t="shared" si="66"/>
        <v>-</v>
      </c>
      <c r="K75" s="168" t="str">
        <f t="shared" si="66"/>
        <v>-</v>
      </c>
      <c r="L75" s="168" t="str">
        <f t="shared" si="66"/>
        <v>-</v>
      </c>
      <c r="M75" s="168" t="str">
        <f t="shared" si="66"/>
        <v>-</v>
      </c>
      <c r="N75" s="63" t="str">
        <f t="shared" si="66"/>
        <v>-</v>
      </c>
      <c r="O75" s="749"/>
      <c r="P75" s="750"/>
      <c r="Q75" s="750"/>
      <c r="R75" s="750"/>
      <c r="S75" s="749"/>
      <c r="T75" s="750"/>
      <c r="U75" s="750"/>
      <c r="V75" s="754"/>
      <c r="W75" s="505"/>
      <c r="X75" s="505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BC75" s="155" t="str">
        <f t="shared" si="11"/>
        <v>-</v>
      </c>
      <c r="BD75" s="151" t="str">
        <f>"0.7*IEF " &amp; B77</f>
        <v>0.7*IEF Drive Mode 3</v>
      </c>
      <c r="BE75" s="153">
        <f>IF(OR($C79="-",$C79="CET",$C79=""),"-",0.7*$C79)</f>
        <v>0.7</v>
      </c>
      <c r="BF75" s="153">
        <f t="shared" ref="BF75:BL75" si="67">IF(OR($C79="-",$C79="CET",$C79=""),"-",0.7*$C79)</f>
        <v>0.7</v>
      </c>
      <c r="BG75" s="153">
        <f t="shared" si="67"/>
        <v>0.7</v>
      </c>
      <c r="BH75" s="153">
        <f t="shared" si="67"/>
        <v>0.7</v>
      </c>
      <c r="BI75" s="153">
        <f t="shared" si="67"/>
        <v>0.7</v>
      </c>
      <c r="BJ75" s="153">
        <f t="shared" si="67"/>
        <v>0.7</v>
      </c>
      <c r="BK75" s="153">
        <f t="shared" si="67"/>
        <v>0.7</v>
      </c>
      <c r="BL75" s="153">
        <f t="shared" si="67"/>
        <v>0.7</v>
      </c>
    </row>
    <row r="76" spans="1:73" ht="15" customHeight="1" outlineLevel="1" thickBot="1" x14ac:dyDescent="0.3">
      <c r="A76" s="40"/>
      <c r="B76" s="681"/>
      <c r="C76" s="771"/>
      <c r="D76" s="774"/>
      <c r="E76" s="62" t="s">
        <v>30</v>
      </c>
      <c r="F76" s="62" t="str">
        <f t="shared" ref="F76:K76" si="68">IF(AND(OR(F72="-",F72=""),OR(F73="-",F73="")),"-",IF(OR($C74="-",$C74="",$C74="CET"),"-",IF($R$63="not listed","-",IF(NOT(F$5="-"),IF(AND(AND(NOT(F72=0),NOT(F72="-"),NOT(F72="")),AND(NOT(F73="-"),NOT(F73=0),NOT(F73=""))),IF(AND((F72+F73)/2&lt;1*F$5*IF(OR($C74="CET",$C74="-",$C74=""),"-",$C74),F72&lt;1.1*F$5*IF(OR($C74="CET",$C74="-",$C74=""),"-",$C74),F73&lt;1.1*F$5*IF(OR($C74="CET",$C74="-",$C74=""),"-",$C74)),"passed","refused"),IF(IF(OR(F72="-",F72=""),F73,F72)&lt;0.7*F$5*IF(OR($C74="CET",$C74="-",$C74=""),"-",$C74),"passed",IF(IF(OR(F72="-",F72=""),F73,F72)&lt;1.1*IF(OR($C74="CET",$C74="-",$C74=""),"-",$C74)*F$5,"failed","refused"))),"-"))))</f>
        <v>-</v>
      </c>
      <c r="G76" s="62" t="str">
        <f t="shared" si="68"/>
        <v>-</v>
      </c>
      <c r="H76" s="62" t="str">
        <f t="shared" si="68"/>
        <v>-</v>
      </c>
      <c r="I76" s="62" t="str">
        <f t="shared" si="68"/>
        <v>-</v>
      </c>
      <c r="J76" s="62" t="str">
        <f t="shared" si="68"/>
        <v>-</v>
      </c>
      <c r="K76" s="169" t="str">
        <f t="shared" si="68"/>
        <v>-</v>
      </c>
      <c r="L76" s="169" t="str">
        <f t="shared" ref="L76:M76" si="69">IF(AND(OR(L72="-",L72=""),OR(L73="-",L73="")),"-",IF(OR($C74="-",$C74="",$C74="CET"),"-",IF($R$63="not listed","-",IF(NOT(L$5="-"),IF(AND(AND(NOT(L72=0),NOT(L72="-"),NOT(L72="")),AND(NOT(L73="-"),NOT(L73=0),NOT(L73=""))),IF(AND((L72+L73)/2&lt;1*L$5*IF(OR($C74="CET",$C74="-",$C74=""),"-",$C74),L72&lt;1.1*L$5*IF(OR($C74="CET",$C74="-",$C74=""),"-",$C74),L73&lt;1.1*L$5*IF(OR($C74="CET",$C74="-",$C74=""),"-",$C74)),"passed","refused"),IF(IF(OR(L72="-",L72=""),L73,L72)&lt;0.7*L$5*IF(OR($C74="CET",$C74="-",$C74=""),"-",$C74),"passed",IF(IF(OR(L72="-",L72=""),L73,L72)&lt;1.1*IF(OR($C74="CET",$C74="-",$C74=""),"-",$C74)*L$5,"failed","refused"))),"-"))))</f>
        <v>-</v>
      </c>
      <c r="M76" s="169" t="str">
        <f t="shared" si="69"/>
        <v>-</v>
      </c>
      <c r="N76" s="62" t="str">
        <f>IF(AND(OR(N72="-",N72=""),OR(N73="-",N73="")),"-",IF(OR($C74="-",$C74="",$C74="CET"),"-",IF($R$63="not listed","-",IF(NOT(N$5="-"),IF(AND(AND(NOT(N72=0),NOT(N72="-"),NOT(N72="")),AND(NOT(N73="-"),NOT(N73=0),NOT(N73=""))),IF(AND((N72+N73)/2&lt;1*N$5*IF(OR($C74="CET",$C74="-",$C74=""),"-",$C74),N72&lt;1.1*N$5*IF(OR($C74="CET",$C74="-",$C74=""),"-",$C74),N73&lt;1.1*N$5*IF(OR($C74="CET",$C74="-",$C74=""),"-",$C74)),"passed","refused"),IF(IF(OR(N72="-",N72=""),N73,N72)&lt;0.7*N$5*IF(OR($C74="CET",$C74="-",$C74=""),"-",$C74),"passed",IF(IF(OR(N72="-",N72=""),N73,N72)&lt;1.1*IF(OR($C74="CET",$C74="-",$C74=""),"-",$C74)*N$5,"failed","refused"))),"-"))))</f>
        <v>-</v>
      </c>
      <c r="O76" s="749"/>
      <c r="P76" s="750"/>
      <c r="Q76" s="750"/>
      <c r="R76" s="750"/>
      <c r="S76" s="749"/>
      <c r="T76" s="750"/>
      <c r="U76" s="750"/>
      <c r="V76" s="754"/>
      <c r="W76" s="505"/>
      <c r="X76" s="505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BC76" s="155" t="str">
        <f t="shared" si="11"/>
        <v>-</v>
      </c>
      <c r="BD76" s="151" t="str">
        <f>"0.7*IEF " &amp; B82</f>
        <v>0.7*IEF Drive Mode 4</v>
      </c>
      <c r="BE76" s="153">
        <f>IF(OR($C84="-",$C84="CET",$C84=""),"-",0.7*$C84)</f>
        <v>0.7</v>
      </c>
      <c r="BF76" s="153">
        <f t="shared" ref="BF76:BL76" si="70">IF(OR($C84="-",$C84="CET",$C84=""),"-",0.7*$C84)</f>
        <v>0.7</v>
      </c>
      <c r="BG76" s="153">
        <f t="shared" si="70"/>
        <v>0.7</v>
      </c>
      <c r="BH76" s="153">
        <f t="shared" si="70"/>
        <v>0.7</v>
      </c>
      <c r="BI76" s="153">
        <f t="shared" si="70"/>
        <v>0.7</v>
      </c>
      <c r="BJ76" s="153">
        <f t="shared" si="70"/>
        <v>0.7</v>
      </c>
      <c r="BK76" s="153">
        <f t="shared" si="70"/>
        <v>0.7</v>
      </c>
      <c r="BL76" s="153">
        <f t="shared" si="70"/>
        <v>0.7</v>
      </c>
    </row>
    <row r="77" spans="1:73" ht="15" customHeight="1" outlineLevel="1" x14ac:dyDescent="0.25">
      <c r="A77" s="40"/>
      <c r="B77" s="679" t="str">
        <f>'Variant 6 - WLTC'!B77:B81</f>
        <v>Drive Mode 3</v>
      </c>
      <c r="C77" s="770" t="s">
        <v>114</v>
      </c>
      <c r="D77" s="770" t="s">
        <v>113</v>
      </c>
      <c r="E77" s="106" t="s">
        <v>94</v>
      </c>
      <c r="F77" s="98" t="s">
        <v>5</v>
      </c>
      <c r="G77" s="98" t="s">
        <v>5</v>
      </c>
      <c r="H77" s="98" t="s">
        <v>5</v>
      </c>
      <c r="I77" s="98" t="s">
        <v>5</v>
      </c>
      <c r="J77" s="98" t="s">
        <v>5</v>
      </c>
      <c r="K77" s="165" t="s">
        <v>5</v>
      </c>
      <c r="L77" s="165" t="s">
        <v>5</v>
      </c>
      <c r="M77" s="165" t="s">
        <v>5</v>
      </c>
      <c r="N77" s="98" t="s">
        <v>5</v>
      </c>
      <c r="O77" s="749"/>
      <c r="P77" s="750"/>
      <c r="Q77" s="750"/>
      <c r="R77" s="750"/>
      <c r="S77" s="749"/>
      <c r="T77" s="750"/>
      <c r="U77" s="750"/>
      <c r="V77" s="754"/>
      <c r="W77" s="505"/>
      <c r="X77" s="505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BC77" s="155" t="str">
        <f t="shared" si="11"/>
        <v>-</v>
      </c>
      <c r="BD77" s="151" t="str">
        <f>"0.7*IEF " &amp; B87</f>
        <v>0.7*IEF Drive Mode 5</v>
      </c>
      <c r="BE77" s="153">
        <f>IF(OR($C89="-",$C89="CET",$C89=""),"-",0.7*$C89)</f>
        <v>0.7</v>
      </c>
      <c r="BF77" s="153">
        <f t="shared" ref="BF77:BL77" si="71">IF(OR($C89="-",$C89="CET",$C89=""),"-",0.7*$C89)</f>
        <v>0.7</v>
      </c>
      <c r="BG77" s="153">
        <f t="shared" si="71"/>
        <v>0.7</v>
      </c>
      <c r="BH77" s="153">
        <f t="shared" si="71"/>
        <v>0.7</v>
      </c>
      <c r="BI77" s="153">
        <f t="shared" si="71"/>
        <v>0.7</v>
      </c>
      <c r="BJ77" s="153">
        <f t="shared" si="71"/>
        <v>0.7</v>
      </c>
      <c r="BK77" s="153">
        <f t="shared" si="71"/>
        <v>0.7</v>
      </c>
      <c r="BL77" s="153">
        <f t="shared" si="71"/>
        <v>0.7</v>
      </c>
    </row>
    <row r="78" spans="1:73" s="50" customFormat="1" ht="15" customHeight="1" outlineLevel="1" thickBot="1" x14ac:dyDescent="0.3">
      <c r="A78" s="52"/>
      <c r="B78" s="680"/>
      <c r="C78" s="741"/>
      <c r="D78" s="742"/>
      <c r="E78" s="104" t="s">
        <v>95</v>
      </c>
      <c r="F78" s="97" t="s">
        <v>5</v>
      </c>
      <c r="G78" s="97" t="s">
        <v>5</v>
      </c>
      <c r="H78" s="97" t="s">
        <v>5</v>
      </c>
      <c r="I78" s="97" t="s">
        <v>5</v>
      </c>
      <c r="J78" s="97" t="s">
        <v>5</v>
      </c>
      <c r="K78" s="166" t="s">
        <v>5</v>
      </c>
      <c r="L78" s="166" t="s">
        <v>5</v>
      </c>
      <c r="M78" s="166" t="s">
        <v>5</v>
      </c>
      <c r="N78" s="97" t="s">
        <v>5</v>
      </c>
      <c r="O78" s="749"/>
      <c r="P78" s="750"/>
      <c r="Q78" s="750"/>
      <c r="R78" s="750"/>
      <c r="S78" s="749"/>
      <c r="T78" s="750"/>
      <c r="U78" s="750"/>
      <c r="V78" s="754"/>
      <c r="W78" s="51"/>
      <c r="X78" s="51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BC78" s="155" t="str">
        <f t="shared" si="11"/>
        <v>-</v>
      </c>
      <c r="BD78" s="151" t="str">
        <f>"0.7*IEF " &amp; B92</f>
        <v>0.7*IEF Drive Mode 6</v>
      </c>
      <c r="BE78" s="153">
        <f>IF(OR($C94="-",$C94="CET",$C94=""),"-",0.7*$C94)</f>
        <v>0.7</v>
      </c>
      <c r="BF78" s="153">
        <f t="shared" ref="BF78:BL78" si="72">IF(OR($C94="-",$C94="CET",$C94=""),"-",0.7*$C94)</f>
        <v>0.7</v>
      </c>
      <c r="BG78" s="153">
        <f t="shared" si="72"/>
        <v>0.7</v>
      </c>
      <c r="BH78" s="153">
        <f t="shared" si="72"/>
        <v>0.7</v>
      </c>
      <c r="BI78" s="153">
        <f t="shared" si="72"/>
        <v>0.7</v>
      </c>
      <c r="BJ78" s="153">
        <f t="shared" si="72"/>
        <v>0.7</v>
      </c>
      <c r="BK78" s="153">
        <f t="shared" si="72"/>
        <v>0.7</v>
      </c>
      <c r="BL78" s="153">
        <f t="shared" si="72"/>
        <v>0.7</v>
      </c>
      <c r="BM78" s="150"/>
      <c r="BN78" s="150"/>
      <c r="BO78" s="150"/>
      <c r="BP78" s="150"/>
      <c r="BQ78" s="150"/>
      <c r="BR78" s="150"/>
      <c r="BS78" s="150"/>
      <c r="BT78" s="150"/>
      <c r="BU78" s="150"/>
    </row>
    <row r="79" spans="1:73" ht="15" customHeight="1" outlineLevel="1" thickBot="1" x14ac:dyDescent="0.3">
      <c r="A79" s="40"/>
      <c r="B79" s="680"/>
      <c r="C79" s="764">
        <v>1</v>
      </c>
      <c r="D79" s="772" t="str">
        <f>IF(AND(F80="-",G80="-",H80="-",I80="-",J80="-",K80="-",K80="-",L80="-"),"-",MAX(F80,G80,H80,I80,J80,K80,L80,M80))</f>
        <v>-</v>
      </c>
      <c r="E79" s="66" t="s">
        <v>177</v>
      </c>
      <c r="F79" s="65" t="str">
        <f t="shared" ref="F79:N79" si="73">IF(OR(F78="-",F78=""),IF(OR(F77="-",F77=""),"-",F77),IF(OR(F77="-",F77=""),F78,(F77+F78)/2))</f>
        <v>-</v>
      </c>
      <c r="G79" s="65" t="str">
        <f t="shared" si="73"/>
        <v>-</v>
      </c>
      <c r="H79" s="65" t="str">
        <f t="shared" si="73"/>
        <v>-</v>
      </c>
      <c r="I79" s="65" t="str">
        <f t="shared" si="73"/>
        <v>-</v>
      </c>
      <c r="J79" s="65" t="str">
        <f t="shared" si="73"/>
        <v>-</v>
      </c>
      <c r="K79" s="167" t="str">
        <f t="shared" si="73"/>
        <v>-</v>
      </c>
      <c r="L79" s="167" t="str">
        <f t="shared" si="73"/>
        <v>-</v>
      </c>
      <c r="M79" s="167" t="str">
        <f t="shared" si="73"/>
        <v>-</v>
      </c>
      <c r="N79" s="65" t="str">
        <f t="shared" si="73"/>
        <v>-</v>
      </c>
      <c r="O79" s="749"/>
      <c r="P79" s="750"/>
      <c r="Q79" s="750"/>
      <c r="R79" s="750"/>
      <c r="S79" s="749"/>
      <c r="T79" s="750"/>
      <c r="U79" s="750"/>
      <c r="V79" s="754"/>
      <c r="W79" s="505"/>
      <c r="X79" s="505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BC79" s="155" t="str">
        <f t="shared" si="11"/>
        <v>-</v>
      </c>
      <c r="BD79" s="151" t="str">
        <f>$B67</f>
        <v>Drive Mode 1</v>
      </c>
      <c r="BE79" s="153" t="str">
        <f t="shared" ref="BE79:BK79" si="74">F70</f>
        <v>-</v>
      </c>
      <c r="BF79" s="153" t="str">
        <f t="shared" si="74"/>
        <v>-</v>
      </c>
      <c r="BG79" s="153" t="str">
        <f t="shared" si="74"/>
        <v>-</v>
      </c>
      <c r="BH79" s="153" t="str">
        <f t="shared" si="74"/>
        <v>-</v>
      </c>
      <c r="BI79" s="153" t="str">
        <f t="shared" si="74"/>
        <v>-</v>
      </c>
      <c r="BJ79" s="153" t="str">
        <f t="shared" si="74"/>
        <v>-</v>
      </c>
      <c r="BK79" s="153" t="str">
        <f t="shared" si="74"/>
        <v>-</v>
      </c>
      <c r="BL79" s="153" t="str">
        <f t="shared" ref="BL79" si="75">N70</f>
        <v>-</v>
      </c>
    </row>
    <row r="80" spans="1:73" ht="15" customHeight="1" outlineLevel="1" thickBot="1" x14ac:dyDescent="0.3">
      <c r="A80" s="40"/>
      <c r="B80" s="680"/>
      <c r="C80" s="765"/>
      <c r="D80" s="773"/>
      <c r="E80" s="64" t="s">
        <v>97</v>
      </c>
      <c r="F80" s="63" t="str">
        <f t="shared" ref="F80:N80" si="76">IF(OR($C79="-",$C79="CET",$C79=""),"-",IF(AND(NOT(F79="-"),NOT(F$5="-"),NOT(F$5="")),F79/F$5,"-"))</f>
        <v>-</v>
      </c>
      <c r="G80" s="63" t="str">
        <f t="shared" si="76"/>
        <v>-</v>
      </c>
      <c r="H80" s="63" t="str">
        <f t="shared" si="76"/>
        <v>-</v>
      </c>
      <c r="I80" s="63" t="str">
        <f t="shared" si="76"/>
        <v>-</v>
      </c>
      <c r="J80" s="63" t="str">
        <f t="shared" si="76"/>
        <v>-</v>
      </c>
      <c r="K80" s="168" t="str">
        <f t="shared" si="76"/>
        <v>-</v>
      </c>
      <c r="L80" s="168" t="str">
        <f t="shared" si="76"/>
        <v>-</v>
      </c>
      <c r="M80" s="168" t="str">
        <f t="shared" si="76"/>
        <v>-</v>
      </c>
      <c r="N80" s="63" t="str">
        <f t="shared" si="76"/>
        <v>-</v>
      </c>
      <c r="O80" s="749"/>
      <c r="P80" s="750"/>
      <c r="Q80" s="750"/>
      <c r="R80" s="750"/>
      <c r="S80" s="749"/>
      <c r="T80" s="750"/>
      <c r="U80" s="750"/>
      <c r="V80" s="754"/>
      <c r="W80" s="505"/>
      <c r="X80" s="505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BC80" s="155" t="str">
        <f t="shared" si="11"/>
        <v>-</v>
      </c>
      <c r="BD80" s="151" t="str">
        <f>$B72</f>
        <v>Drive Mode 2</v>
      </c>
      <c r="BE80" s="153" t="str">
        <f t="shared" ref="BE80:BK80" si="77">F75</f>
        <v>-</v>
      </c>
      <c r="BF80" s="153" t="str">
        <f t="shared" si="77"/>
        <v>-</v>
      </c>
      <c r="BG80" s="153" t="str">
        <f t="shared" si="77"/>
        <v>-</v>
      </c>
      <c r="BH80" s="153" t="str">
        <f t="shared" si="77"/>
        <v>-</v>
      </c>
      <c r="BI80" s="153" t="str">
        <f t="shared" si="77"/>
        <v>-</v>
      </c>
      <c r="BJ80" s="153" t="str">
        <f t="shared" si="77"/>
        <v>-</v>
      </c>
      <c r="BK80" s="153" t="str">
        <f t="shared" si="77"/>
        <v>-</v>
      </c>
      <c r="BL80" s="153" t="str">
        <f t="shared" ref="BL80" si="78">N75</f>
        <v>-</v>
      </c>
    </row>
    <row r="81" spans="1:73" ht="15" customHeight="1" outlineLevel="1" thickBot="1" x14ac:dyDescent="0.3">
      <c r="A81" s="40"/>
      <c r="B81" s="681"/>
      <c r="C81" s="771"/>
      <c r="D81" s="774"/>
      <c r="E81" s="62" t="s">
        <v>30</v>
      </c>
      <c r="F81" s="62" t="str">
        <f t="shared" ref="F81:K81" si="79">IF(AND(OR(F77="-",F77=""),OR(F78="-",F78="")),"-",IF(OR($C79="-",$C79="",$C79="CET"),"-",IF($R$63="not listed","-",IF(NOT(F$5="-"),IF(AND(AND(NOT(F77=0),NOT(F77="-"),NOT(F77="")),AND(NOT(F78="-"),NOT(F78=0),NOT(F78=""))),IF(AND((F77+F78)/2&lt;1*F$5*IF(OR($C79="CET",$C79="-",$C79=""),"-",$C79),F77&lt;1.1*F$5*IF(OR($C79="CET",$C79="-",$C79=""),"-",$C79),F78&lt;1.1*F$5*IF(OR($C79="CET",$C79="-",$C79=""),"-",$C79)),"passed","refused"),IF(IF(OR(F77="-",F77=""),F78,F77)&lt;0.7*F$5*IF(OR($C79="CET",$C79="-",$C79=""),"-",$C79),"passed",IF(IF(OR(F77="-",F77=""),F78,F77)&lt;1.1*IF(OR($C79="CET",$C79="-",$C79=""),"-",$C79)*F$5,"failed","refused"))),"-"))))</f>
        <v>-</v>
      </c>
      <c r="G81" s="62" t="str">
        <f t="shared" si="79"/>
        <v>-</v>
      </c>
      <c r="H81" s="62" t="str">
        <f t="shared" si="79"/>
        <v>-</v>
      </c>
      <c r="I81" s="62" t="str">
        <f t="shared" si="79"/>
        <v>-</v>
      </c>
      <c r="J81" s="62" t="str">
        <f t="shared" si="79"/>
        <v>-</v>
      </c>
      <c r="K81" s="169" t="str">
        <f t="shared" si="79"/>
        <v>-</v>
      </c>
      <c r="L81" s="169" t="str">
        <f t="shared" ref="L81:M81" si="80">IF(AND(OR(L77="-",L77=""),OR(L78="-",L78="")),"-",IF(OR($C79="-",$C79="",$C79="CET"),"-",IF($R$63="not listed","-",IF(NOT(L$5="-"),IF(AND(AND(NOT(L77=0),NOT(L77="-"),NOT(L77="")),AND(NOT(L78="-"),NOT(L78=0),NOT(L78=""))),IF(AND((L77+L78)/2&lt;1*L$5*IF(OR($C79="CET",$C79="-",$C79=""),"-",$C79),L77&lt;1.1*L$5*IF(OR($C79="CET",$C79="-",$C79=""),"-",$C79),L78&lt;1.1*L$5*IF(OR($C79="CET",$C79="-",$C79=""),"-",$C79)),"passed","refused"),IF(IF(OR(L77="-",L77=""),L78,L77)&lt;0.7*L$5*IF(OR($C79="CET",$C79="-",$C79=""),"-",$C79),"passed",IF(IF(OR(L77="-",L77=""),L78,L77)&lt;1.1*IF(OR($C79="CET",$C79="-",$C79=""),"-",$C79)*L$5,"failed","refused"))),"-"))))</f>
        <v>-</v>
      </c>
      <c r="M81" s="169" t="str">
        <f t="shared" si="80"/>
        <v>-</v>
      </c>
      <c r="N81" s="62" t="str">
        <f>IF(AND(OR(N77="-",N77=""),OR(N78="-",N78="")),"-",IF(OR($C79="-",$C79="",$C79="CET"),"-",IF($R$63="not listed","-",IF(NOT(N$5="-"),IF(AND(AND(NOT(N77=0),NOT(N77="-"),NOT(N77="")),AND(NOT(N78="-"),NOT(N78=0),NOT(N78=""))),IF(AND((N77+N78)/2&lt;1*N$5*IF(OR($C79="CET",$C79="-",$C79=""),"-",$C79),N77&lt;1.1*N$5*IF(OR($C79="CET",$C79="-",$C79=""),"-",$C79),N78&lt;1.1*N$5*IF(OR($C79="CET",$C79="-",$C79=""),"-",$C79)),"passed","refused"),IF(IF(OR(N77="-",N77=""),N78,N77)&lt;0.7*N$5*IF(OR($C79="CET",$C79="-",$C79=""),"-",$C79),"passed",IF(IF(OR(N77="-",N77=""),N78,N77)&lt;1.1*IF(OR($C79="CET",$C79="-",$C79=""),"-",$C79)*N$5,"failed","refused"))),"-"))))</f>
        <v>-</v>
      </c>
      <c r="O81" s="749"/>
      <c r="P81" s="750"/>
      <c r="Q81" s="750"/>
      <c r="R81" s="750"/>
      <c r="S81" s="749"/>
      <c r="T81" s="750"/>
      <c r="U81" s="750"/>
      <c r="V81" s="754"/>
      <c r="W81" s="505"/>
      <c r="X81" s="505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BC81" s="155" t="str">
        <f t="shared" si="11"/>
        <v>-</v>
      </c>
      <c r="BD81" s="151" t="str">
        <f>$B77</f>
        <v>Drive Mode 3</v>
      </c>
      <c r="BE81" s="153" t="str">
        <f t="shared" ref="BE81:BK81" si="81">F80</f>
        <v>-</v>
      </c>
      <c r="BF81" s="153" t="str">
        <f t="shared" si="81"/>
        <v>-</v>
      </c>
      <c r="BG81" s="153" t="str">
        <f t="shared" si="81"/>
        <v>-</v>
      </c>
      <c r="BH81" s="153" t="str">
        <f t="shared" si="81"/>
        <v>-</v>
      </c>
      <c r="BI81" s="153" t="str">
        <f t="shared" si="81"/>
        <v>-</v>
      </c>
      <c r="BJ81" s="153" t="str">
        <f t="shared" si="81"/>
        <v>-</v>
      </c>
      <c r="BK81" s="153" t="str">
        <f t="shared" si="81"/>
        <v>-</v>
      </c>
      <c r="BL81" s="153" t="str">
        <f t="shared" ref="BL81" si="82">N80</f>
        <v>-</v>
      </c>
    </row>
    <row r="82" spans="1:73" ht="15" customHeight="1" outlineLevel="1" x14ac:dyDescent="0.25">
      <c r="A82" s="40"/>
      <c r="B82" s="679" t="str">
        <f>'Variant 6 - WLTC'!B82:B86</f>
        <v>Drive Mode 4</v>
      </c>
      <c r="C82" s="770" t="s">
        <v>114</v>
      </c>
      <c r="D82" s="770" t="s">
        <v>113</v>
      </c>
      <c r="E82" s="106" t="s">
        <v>94</v>
      </c>
      <c r="F82" s="98" t="s">
        <v>5</v>
      </c>
      <c r="G82" s="98" t="s">
        <v>5</v>
      </c>
      <c r="H82" s="98" t="s">
        <v>5</v>
      </c>
      <c r="I82" s="98" t="s">
        <v>5</v>
      </c>
      <c r="J82" s="98" t="s">
        <v>5</v>
      </c>
      <c r="K82" s="165" t="s">
        <v>5</v>
      </c>
      <c r="L82" s="165" t="s">
        <v>5</v>
      </c>
      <c r="M82" s="165" t="s">
        <v>5</v>
      </c>
      <c r="N82" s="98" t="s">
        <v>5</v>
      </c>
      <c r="O82" s="749"/>
      <c r="P82" s="750"/>
      <c r="Q82" s="750"/>
      <c r="R82" s="750"/>
      <c r="S82" s="749"/>
      <c r="T82" s="750"/>
      <c r="U82" s="750"/>
      <c r="V82" s="754"/>
      <c r="W82" s="505"/>
      <c r="X82" s="505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BC82" s="155" t="str">
        <f t="shared" si="11"/>
        <v>-</v>
      </c>
      <c r="BD82" s="151" t="str">
        <f>$B82</f>
        <v>Drive Mode 4</v>
      </c>
      <c r="BE82" s="153" t="str">
        <f t="shared" ref="BE82:BK82" si="83">F85</f>
        <v>-</v>
      </c>
      <c r="BF82" s="153" t="str">
        <f t="shared" si="83"/>
        <v>-</v>
      </c>
      <c r="BG82" s="153" t="str">
        <f t="shared" si="83"/>
        <v>-</v>
      </c>
      <c r="BH82" s="153" t="str">
        <f t="shared" si="83"/>
        <v>-</v>
      </c>
      <c r="BI82" s="153" t="str">
        <f t="shared" si="83"/>
        <v>-</v>
      </c>
      <c r="BJ82" s="153" t="str">
        <f t="shared" si="83"/>
        <v>-</v>
      </c>
      <c r="BK82" s="153" t="str">
        <f t="shared" si="83"/>
        <v>-</v>
      </c>
      <c r="BL82" s="153" t="str">
        <f t="shared" ref="BL82" si="84">N85</f>
        <v>-</v>
      </c>
    </row>
    <row r="83" spans="1:73" s="50" customFormat="1" ht="15" customHeight="1" outlineLevel="1" thickBot="1" x14ac:dyDescent="0.3">
      <c r="A83" s="52"/>
      <c r="B83" s="680"/>
      <c r="C83" s="741"/>
      <c r="D83" s="742"/>
      <c r="E83" s="104" t="s">
        <v>95</v>
      </c>
      <c r="F83" s="97" t="s">
        <v>5</v>
      </c>
      <c r="G83" s="97" t="s">
        <v>5</v>
      </c>
      <c r="H83" s="97" t="s">
        <v>5</v>
      </c>
      <c r="I83" s="97" t="s">
        <v>5</v>
      </c>
      <c r="J83" s="97" t="s">
        <v>5</v>
      </c>
      <c r="K83" s="166" t="s">
        <v>5</v>
      </c>
      <c r="L83" s="166" t="s">
        <v>5</v>
      </c>
      <c r="M83" s="166" t="s">
        <v>5</v>
      </c>
      <c r="N83" s="97" t="s">
        <v>5</v>
      </c>
      <c r="O83" s="749"/>
      <c r="P83" s="750"/>
      <c r="Q83" s="750"/>
      <c r="R83" s="750"/>
      <c r="S83" s="749"/>
      <c r="T83" s="750"/>
      <c r="U83" s="750"/>
      <c r="V83" s="754"/>
      <c r="W83" s="51"/>
      <c r="X83" s="51"/>
      <c r="Y83" s="743"/>
      <c r="Z83" s="743"/>
      <c r="AA83" s="743"/>
      <c r="AB83" s="743"/>
      <c r="AC83" s="743"/>
      <c r="AD83" s="743"/>
      <c r="AE83" s="743"/>
      <c r="AF83" s="743"/>
      <c r="AG83" s="743"/>
      <c r="AH83" s="743"/>
      <c r="BC83" s="155" t="str">
        <f t="shared" si="11"/>
        <v>-</v>
      </c>
      <c r="BD83" s="151" t="str">
        <f>$B87</f>
        <v>Drive Mode 5</v>
      </c>
      <c r="BE83" s="153" t="str">
        <f t="shared" ref="BE83:BK83" si="85">F90</f>
        <v>-</v>
      </c>
      <c r="BF83" s="153" t="str">
        <f t="shared" si="85"/>
        <v>-</v>
      </c>
      <c r="BG83" s="153" t="str">
        <f t="shared" si="85"/>
        <v>-</v>
      </c>
      <c r="BH83" s="153" t="str">
        <f t="shared" si="85"/>
        <v>-</v>
      </c>
      <c r="BI83" s="153" t="str">
        <f t="shared" si="85"/>
        <v>-</v>
      </c>
      <c r="BJ83" s="153" t="str">
        <f t="shared" si="85"/>
        <v>-</v>
      </c>
      <c r="BK83" s="153" t="str">
        <f t="shared" si="85"/>
        <v>-</v>
      </c>
      <c r="BL83" s="153" t="str">
        <f t="shared" ref="BL83" si="86">N90</f>
        <v>-</v>
      </c>
      <c r="BM83" s="150"/>
      <c r="BN83" s="150"/>
      <c r="BO83" s="150"/>
      <c r="BP83" s="150"/>
      <c r="BQ83" s="150"/>
      <c r="BR83" s="150"/>
      <c r="BS83" s="150"/>
      <c r="BT83" s="150"/>
      <c r="BU83" s="150"/>
    </row>
    <row r="84" spans="1:73" ht="15" customHeight="1" outlineLevel="1" thickBot="1" x14ac:dyDescent="0.3">
      <c r="A84" s="40"/>
      <c r="B84" s="680"/>
      <c r="C84" s="764">
        <v>1</v>
      </c>
      <c r="D84" s="772" t="str">
        <f>IF(AND(F85="-",G85="-",H85="-",I85="-",J85="-",K85="-",K85="-",L85="-"),"-",MAX(F85,G85,H85,I85,J85,K85,L85,M85))</f>
        <v>-</v>
      </c>
      <c r="E84" s="66" t="s">
        <v>177</v>
      </c>
      <c r="F84" s="65" t="str">
        <f t="shared" ref="F84:N84" si="87">IF(OR(F83="-",F83=""),IF(OR(F82="-",F82=""),"-",F82),IF(OR(F82="-",F82=""),F83,(F82+F83)/2))</f>
        <v>-</v>
      </c>
      <c r="G84" s="65" t="str">
        <f t="shared" si="87"/>
        <v>-</v>
      </c>
      <c r="H84" s="65" t="str">
        <f t="shared" si="87"/>
        <v>-</v>
      </c>
      <c r="I84" s="65" t="str">
        <f t="shared" si="87"/>
        <v>-</v>
      </c>
      <c r="J84" s="65" t="str">
        <f t="shared" si="87"/>
        <v>-</v>
      </c>
      <c r="K84" s="167" t="str">
        <f t="shared" si="87"/>
        <v>-</v>
      </c>
      <c r="L84" s="167" t="str">
        <f t="shared" si="87"/>
        <v>-</v>
      </c>
      <c r="M84" s="167" t="str">
        <f t="shared" si="87"/>
        <v>-</v>
      </c>
      <c r="N84" s="65" t="str">
        <f t="shared" si="87"/>
        <v>-</v>
      </c>
      <c r="O84" s="749"/>
      <c r="P84" s="750"/>
      <c r="Q84" s="750"/>
      <c r="R84" s="750"/>
      <c r="S84" s="749"/>
      <c r="T84" s="750"/>
      <c r="U84" s="750"/>
      <c r="V84" s="754"/>
      <c r="W84" s="505"/>
      <c r="X84" s="505"/>
      <c r="Y84" s="743"/>
      <c r="Z84" s="743"/>
      <c r="AA84" s="743"/>
      <c r="AB84" s="743"/>
      <c r="AC84" s="743"/>
      <c r="AD84" s="743"/>
      <c r="AE84" s="743"/>
      <c r="AF84" s="743"/>
      <c r="AG84" s="743"/>
      <c r="AH84" s="743"/>
      <c r="BC84" s="155" t="str">
        <f t="shared" si="11"/>
        <v>-</v>
      </c>
      <c r="BD84" s="151" t="str">
        <f>$B92</f>
        <v>Drive Mode 6</v>
      </c>
      <c r="BE84" s="153" t="str">
        <f t="shared" ref="BE84:BK84" si="88">F95</f>
        <v>-</v>
      </c>
      <c r="BF84" s="153" t="str">
        <f t="shared" si="88"/>
        <v>-</v>
      </c>
      <c r="BG84" s="153" t="str">
        <f t="shared" si="88"/>
        <v>-</v>
      </c>
      <c r="BH84" s="153" t="str">
        <f t="shared" si="88"/>
        <v>-</v>
      </c>
      <c r="BI84" s="153" t="str">
        <f t="shared" si="88"/>
        <v>-</v>
      </c>
      <c r="BJ84" s="153" t="str">
        <f t="shared" si="88"/>
        <v>-</v>
      </c>
      <c r="BK84" s="153" t="str">
        <f t="shared" si="88"/>
        <v>-</v>
      </c>
      <c r="BL84" s="153" t="str">
        <f t="shared" ref="BL84" si="89">N95</f>
        <v>-</v>
      </c>
    </row>
    <row r="85" spans="1:73" ht="15" customHeight="1" outlineLevel="1" thickBot="1" x14ac:dyDescent="0.3">
      <c r="A85" s="40"/>
      <c r="B85" s="680"/>
      <c r="C85" s="765"/>
      <c r="D85" s="773"/>
      <c r="E85" s="64" t="s">
        <v>97</v>
      </c>
      <c r="F85" s="63" t="str">
        <f t="shared" ref="F85:N85" si="90">IF(OR($C84="-",$C84="CET",$C84=""),"-",IF(AND(NOT(F84="-"),NOT(F$5="-"),NOT(F$5="")),F84/F$5,"-"))</f>
        <v>-</v>
      </c>
      <c r="G85" s="63" t="str">
        <f t="shared" si="90"/>
        <v>-</v>
      </c>
      <c r="H85" s="63" t="str">
        <f t="shared" si="90"/>
        <v>-</v>
      </c>
      <c r="I85" s="63" t="str">
        <f t="shared" si="90"/>
        <v>-</v>
      </c>
      <c r="J85" s="63" t="str">
        <f t="shared" si="90"/>
        <v>-</v>
      </c>
      <c r="K85" s="168" t="str">
        <f t="shared" si="90"/>
        <v>-</v>
      </c>
      <c r="L85" s="168" t="str">
        <f t="shared" si="90"/>
        <v>-</v>
      </c>
      <c r="M85" s="168" t="str">
        <f t="shared" si="90"/>
        <v>-</v>
      </c>
      <c r="N85" s="63" t="str">
        <f t="shared" si="90"/>
        <v>-</v>
      </c>
      <c r="O85" s="749"/>
      <c r="P85" s="750"/>
      <c r="Q85" s="750"/>
      <c r="R85" s="750"/>
      <c r="S85" s="749"/>
      <c r="T85" s="750"/>
      <c r="U85" s="750"/>
      <c r="V85" s="754"/>
      <c r="W85" s="505"/>
      <c r="X85" s="505"/>
      <c r="Y85" s="743"/>
      <c r="Z85" s="743"/>
      <c r="AA85" s="743"/>
      <c r="AB85" s="743"/>
      <c r="AC85" s="743"/>
      <c r="AD85" s="743"/>
      <c r="AE85" s="743"/>
      <c r="AF85" s="743"/>
      <c r="AG85" s="743"/>
      <c r="AH85" s="743"/>
      <c r="BC85" s="155" t="str">
        <f t="shared" si="11"/>
        <v>-</v>
      </c>
      <c r="BD85" s="151" t="str">
        <f>"IEF " &amp;B67</f>
        <v>IEF Drive Mode 1</v>
      </c>
      <c r="BE85" s="153">
        <f>IF(OR($C69="CET",$C69="-",$C69=""),"-",$C69)</f>
        <v>1</v>
      </c>
      <c r="BF85" s="153">
        <f t="shared" ref="BF85:BL85" si="91">IF(OR($C69="CET",$C69="-",$C69=""),"-",$C69)</f>
        <v>1</v>
      </c>
      <c r="BG85" s="153">
        <f t="shared" si="91"/>
        <v>1</v>
      </c>
      <c r="BH85" s="153">
        <f t="shared" si="91"/>
        <v>1</v>
      </c>
      <c r="BI85" s="153">
        <f t="shared" si="91"/>
        <v>1</v>
      </c>
      <c r="BJ85" s="153">
        <f t="shared" si="91"/>
        <v>1</v>
      </c>
      <c r="BK85" s="153">
        <f t="shared" si="91"/>
        <v>1</v>
      </c>
      <c r="BL85" s="153">
        <f t="shared" si="91"/>
        <v>1</v>
      </c>
    </row>
    <row r="86" spans="1:73" ht="15" customHeight="1" outlineLevel="1" thickBot="1" x14ac:dyDescent="0.3">
      <c r="A86" s="40"/>
      <c r="B86" s="681"/>
      <c r="C86" s="771"/>
      <c r="D86" s="774"/>
      <c r="E86" s="62" t="s">
        <v>30</v>
      </c>
      <c r="F86" s="62" t="str">
        <f t="shared" ref="F86:K86" si="92">IF(AND(OR(F82="-",F82=""),OR(F83="-",F83="")),"-",IF(OR($C84="-",$C84="",$C84="CET"),"-",IF($R$63="not listed","-",IF(NOT(F$5="-"),IF(AND(AND(NOT(F82=0),NOT(F82="-"),NOT(F82="")),AND(NOT(F83="-"),NOT(F83=0),NOT(F83=""))),IF(AND((F82+F83)/2&lt;1*F$5*IF(OR($C84="CET",$C84="-",$C84=""),"-",$C84),F82&lt;1.1*F$5*IF(OR($C84="CET",$C84="-",$C84=""),"-",$C84),F83&lt;1.1*F$5*IF(OR($C84="CET",$C84="-",$C84=""),"-",$C84)),"passed","refused"),IF(IF(OR(F82="-",F82=""),F83,F82)&lt;0.7*F$5*IF(OR($C84="CET",$C84="-",$C84=""),"-",$C84),"passed",IF(IF(OR(F82="-",F82=""),F83,F82)&lt;1.1*IF(OR($C84="CET",$C84="-",$C84=""),"-",$C84)*F$5,"failed","refused"))),"-"))))</f>
        <v>-</v>
      </c>
      <c r="G86" s="62" t="str">
        <f t="shared" si="92"/>
        <v>-</v>
      </c>
      <c r="H86" s="62" t="str">
        <f t="shared" si="92"/>
        <v>-</v>
      </c>
      <c r="I86" s="62" t="str">
        <f t="shared" si="92"/>
        <v>-</v>
      </c>
      <c r="J86" s="62" t="str">
        <f t="shared" si="92"/>
        <v>-</v>
      </c>
      <c r="K86" s="169" t="str">
        <f t="shared" si="92"/>
        <v>-</v>
      </c>
      <c r="L86" s="169" t="str">
        <f t="shared" ref="L86:M86" si="93">IF(AND(OR(L82="-",L82=""),OR(L83="-",L83="")),"-",IF(OR($C84="-",$C84="",$C84="CET"),"-",IF($R$63="not listed","-",IF(NOT(L$5="-"),IF(AND(AND(NOT(L82=0),NOT(L82="-"),NOT(L82="")),AND(NOT(L83="-"),NOT(L83=0),NOT(L83=""))),IF(AND((L82+L83)/2&lt;1*L$5*IF(OR($C84="CET",$C84="-",$C84=""),"-",$C84),L82&lt;1.1*L$5*IF(OR($C84="CET",$C84="-",$C84=""),"-",$C84),L83&lt;1.1*L$5*IF(OR($C84="CET",$C84="-",$C84=""),"-",$C84)),"passed","refused"),IF(IF(OR(L82="-",L82=""),L83,L82)&lt;0.7*L$5*IF(OR($C84="CET",$C84="-",$C84=""),"-",$C84),"passed",IF(IF(OR(L82="-",L82=""),L83,L82)&lt;1.1*IF(OR($C84="CET",$C84="-",$C84=""),"-",$C84)*L$5,"failed","refused"))),"-"))))</f>
        <v>-</v>
      </c>
      <c r="M86" s="169" t="str">
        <f t="shared" si="93"/>
        <v>-</v>
      </c>
      <c r="N86" s="62" t="str">
        <f>IF(AND(OR(N82="-",N82=""),OR(N83="-",N83="")),"-",IF(OR($C84="-",$C84="",$C84="CET"),"-",IF($R$63="not listed","-",IF(NOT(N$5="-"),IF(AND(AND(NOT(N82=0),NOT(N82="-"),NOT(N82="")),AND(NOT(N83="-"),NOT(N83=0),NOT(N83=""))),IF(AND((N82+N83)/2&lt;1*N$5*IF(OR($C84="CET",$C84="-",$C84=""),"-",$C84),N82&lt;1.1*N$5*IF(OR($C84="CET",$C84="-",$C84=""),"-",$C84),N83&lt;1.1*N$5*IF(OR($C84="CET",$C84="-",$C84=""),"-",$C84)),"passed","refused"),IF(IF(OR(N82="-",N82=""),N83,N82)&lt;0.7*N$5*IF(OR($C84="CET",$C84="-",$C84=""),"-",$C84),"passed",IF(IF(OR(N82="-",N82=""),N83,N82)&lt;1.1*IF(OR($C84="CET",$C84="-",$C84=""),"-",$C84)*N$5,"failed","refused"))),"-"))))</f>
        <v>-</v>
      </c>
      <c r="O86" s="749"/>
      <c r="P86" s="750"/>
      <c r="Q86" s="750"/>
      <c r="R86" s="750"/>
      <c r="S86" s="749"/>
      <c r="T86" s="750"/>
      <c r="U86" s="750"/>
      <c r="V86" s="754"/>
      <c r="W86" s="505"/>
      <c r="X86" s="505"/>
      <c r="Y86" s="743"/>
      <c r="Z86" s="743"/>
      <c r="AA86" s="743"/>
      <c r="AB86" s="743"/>
      <c r="AC86" s="743"/>
      <c r="AD86" s="743"/>
      <c r="AE86" s="743"/>
      <c r="AF86" s="743"/>
      <c r="AG86" s="743"/>
      <c r="AH86" s="743"/>
      <c r="BC86" s="155" t="str">
        <f t="shared" si="11"/>
        <v>-</v>
      </c>
      <c r="BD86" s="151" t="str">
        <f>"IEF " &amp; B72</f>
        <v>IEF Drive Mode 2</v>
      </c>
      <c r="BE86" s="153">
        <f>IF(OR($C74="CET",$C74="-",$C74=""),"-",$C74)</f>
        <v>1</v>
      </c>
      <c r="BF86" s="153">
        <f t="shared" ref="BF86:BL86" si="94">IF(OR($C74="CET",$C74="-",$C74=""),"-",$C74)</f>
        <v>1</v>
      </c>
      <c r="BG86" s="153">
        <f t="shared" si="94"/>
        <v>1</v>
      </c>
      <c r="BH86" s="153">
        <f t="shared" si="94"/>
        <v>1</v>
      </c>
      <c r="BI86" s="153">
        <f t="shared" si="94"/>
        <v>1</v>
      </c>
      <c r="BJ86" s="153">
        <f t="shared" si="94"/>
        <v>1</v>
      </c>
      <c r="BK86" s="153">
        <f t="shared" si="94"/>
        <v>1</v>
      </c>
      <c r="BL86" s="153">
        <f t="shared" si="94"/>
        <v>1</v>
      </c>
    </row>
    <row r="87" spans="1:73" ht="15" customHeight="1" outlineLevel="1" x14ac:dyDescent="0.25">
      <c r="A87" s="40"/>
      <c r="B87" s="679" t="str">
        <f>'Variant 6 - WLTC'!B87:B91</f>
        <v>Drive Mode 5</v>
      </c>
      <c r="C87" s="770" t="s">
        <v>114</v>
      </c>
      <c r="D87" s="770" t="s">
        <v>113</v>
      </c>
      <c r="E87" s="106" t="s">
        <v>94</v>
      </c>
      <c r="F87" s="98" t="s">
        <v>5</v>
      </c>
      <c r="G87" s="98" t="s">
        <v>5</v>
      </c>
      <c r="H87" s="98" t="s">
        <v>5</v>
      </c>
      <c r="I87" s="98" t="s">
        <v>5</v>
      </c>
      <c r="J87" s="98" t="s">
        <v>5</v>
      </c>
      <c r="K87" s="165" t="s">
        <v>5</v>
      </c>
      <c r="L87" s="165" t="s">
        <v>5</v>
      </c>
      <c r="M87" s="165" t="s">
        <v>5</v>
      </c>
      <c r="N87" s="98" t="s">
        <v>5</v>
      </c>
      <c r="O87" s="749"/>
      <c r="P87" s="750"/>
      <c r="Q87" s="750"/>
      <c r="R87" s="750"/>
      <c r="S87" s="749"/>
      <c r="T87" s="750"/>
      <c r="U87" s="750"/>
      <c r="V87" s="754"/>
      <c r="W87" s="505"/>
      <c r="X87" s="505"/>
      <c r="Y87" s="743"/>
      <c r="Z87" s="743"/>
      <c r="AA87" s="743"/>
      <c r="AB87" s="743"/>
      <c r="AC87" s="743"/>
      <c r="AD87" s="743"/>
      <c r="AE87" s="743"/>
      <c r="AF87" s="743"/>
      <c r="AG87" s="743"/>
      <c r="AH87" s="743"/>
      <c r="BC87" s="155" t="str">
        <f t="shared" si="11"/>
        <v>-</v>
      </c>
      <c r="BD87" s="151" t="str">
        <f>"IEF " &amp; B77</f>
        <v>IEF Drive Mode 3</v>
      </c>
      <c r="BE87" s="153">
        <f>IF(OR($C79="CET",$C79="-",$C79=""),"-",$C79)</f>
        <v>1</v>
      </c>
      <c r="BF87" s="153">
        <f t="shared" ref="BF87:BL87" si="95">IF(OR($C79="CET",$C79="-",$C79=""),"-",$C79)</f>
        <v>1</v>
      </c>
      <c r="BG87" s="153">
        <f t="shared" si="95"/>
        <v>1</v>
      </c>
      <c r="BH87" s="153">
        <f t="shared" si="95"/>
        <v>1</v>
      </c>
      <c r="BI87" s="153">
        <f t="shared" si="95"/>
        <v>1</v>
      </c>
      <c r="BJ87" s="153">
        <f t="shared" si="95"/>
        <v>1</v>
      </c>
      <c r="BK87" s="153">
        <f t="shared" si="95"/>
        <v>1</v>
      </c>
      <c r="BL87" s="153">
        <f t="shared" si="95"/>
        <v>1</v>
      </c>
    </row>
    <row r="88" spans="1:73" s="50" customFormat="1" ht="15" customHeight="1" outlineLevel="1" thickBot="1" x14ac:dyDescent="0.3">
      <c r="A88" s="52"/>
      <c r="B88" s="680"/>
      <c r="C88" s="741"/>
      <c r="D88" s="742"/>
      <c r="E88" s="104" t="s">
        <v>95</v>
      </c>
      <c r="F88" s="97" t="s">
        <v>5</v>
      </c>
      <c r="G88" s="97" t="s">
        <v>5</v>
      </c>
      <c r="H88" s="97" t="s">
        <v>5</v>
      </c>
      <c r="I88" s="97" t="s">
        <v>5</v>
      </c>
      <c r="J88" s="97" t="s">
        <v>5</v>
      </c>
      <c r="K88" s="166" t="s">
        <v>5</v>
      </c>
      <c r="L88" s="166" t="s">
        <v>5</v>
      </c>
      <c r="M88" s="166" t="s">
        <v>5</v>
      </c>
      <c r="N88" s="97" t="s">
        <v>5</v>
      </c>
      <c r="O88" s="749"/>
      <c r="P88" s="750"/>
      <c r="Q88" s="750"/>
      <c r="R88" s="750"/>
      <c r="S88" s="749"/>
      <c r="T88" s="750"/>
      <c r="U88" s="750"/>
      <c r="V88" s="754"/>
      <c r="W88" s="51"/>
      <c r="X88" s="51"/>
      <c r="Y88" s="743"/>
      <c r="Z88" s="743"/>
      <c r="AA88" s="743"/>
      <c r="AB88" s="743"/>
      <c r="AC88" s="743"/>
      <c r="AD88" s="743"/>
      <c r="AE88" s="743"/>
      <c r="AF88" s="743"/>
      <c r="AG88" s="743"/>
      <c r="AH88" s="743"/>
      <c r="BC88" s="155" t="str">
        <f t="shared" si="11"/>
        <v>-</v>
      </c>
      <c r="BD88" s="151" t="str">
        <f>"IEF " &amp; B82</f>
        <v>IEF Drive Mode 4</v>
      </c>
      <c r="BE88" s="153">
        <f>IF(OR($C84="CET",$C84="-",$C84=""),"-",$C84)</f>
        <v>1</v>
      </c>
      <c r="BF88" s="153">
        <f t="shared" ref="BF88:BL88" si="96">IF(OR($C84="CET",$C84="-",$C84=""),"-",$C84)</f>
        <v>1</v>
      </c>
      <c r="BG88" s="153">
        <f t="shared" si="96"/>
        <v>1</v>
      </c>
      <c r="BH88" s="153">
        <f t="shared" si="96"/>
        <v>1</v>
      </c>
      <c r="BI88" s="153">
        <f t="shared" si="96"/>
        <v>1</v>
      </c>
      <c r="BJ88" s="153">
        <f t="shared" si="96"/>
        <v>1</v>
      </c>
      <c r="BK88" s="153">
        <f t="shared" si="96"/>
        <v>1</v>
      </c>
      <c r="BL88" s="153">
        <f t="shared" si="96"/>
        <v>1</v>
      </c>
      <c r="BM88" s="150"/>
      <c r="BN88" s="150"/>
      <c r="BO88" s="150"/>
      <c r="BP88" s="150"/>
      <c r="BQ88" s="150"/>
      <c r="BR88" s="150"/>
      <c r="BS88" s="150"/>
      <c r="BT88" s="150"/>
      <c r="BU88" s="150"/>
    </row>
    <row r="89" spans="1:73" ht="15" customHeight="1" outlineLevel="1" thickBot="1" x14ac:dyDescent="0.3">
      <c r="A89" s="40"/>
      <c r="B89" s="680"/>
      <c r="C89" s="764">
        <v>1</v>
      </c>
      <c r="D89" s="772" t="str">
        <f>IF(AND(F90="-",G90="-",H90="-",I90="-",J90="-",K90="-",K90="-",L90="-"),"-",MAX(F90,G90,H90,I90,J90,K90,L90,M90))</f>
        <v>-</v>
      </c>
      <c r="E89" s="66" t="s">
        <v>177</v>
      </c>
      <c r="F89" s="65" t="str">
        <f t="shared" ref="F89:N89" si="97">IF(OR(F88="-",F88=""),IF(OR(F87="-",F87=""),"-",F87),IF(OR(F87="-",F87=""),F88,(F87+F88)/2))</f>
        <v>-</v>
      </c>
      <c r="G89" s="65" t="str">
        <f t="shared" si="97"/>
        <v>-</v>
      </c>
      <c r="H89" s="65" t="str">
        <f t="shared" si="97"/>
        <v>-</v>
      </c>
      <c r="I89" s="65" t="str">
        <f t="shared" si="97"/>
        <v>-</v>
      </c>
      <c r="J89" s="65" t="str">
        <f t="shared" si="97"/>
        <v>-</v>
      </c>
      <c r="K89" s="167" t="str">
        <f t="shared" si="97"/>
        <v>-</v>
      </c>
      <c r="L89" s="167" t="str">
        <f t="shared" si="97"/>
        <v>-</v>
      </c>
      <c r="M89" s="167" t="str">
        <f t="shared" si="97"/>
        <v>-</v>
      </c>
      <c r="N89" s="65" t="str">
        <f t="shared" si="97"/>
        <v>-</v>
      </c>
      <c r="O89" s="749"/>
      <c r="P89" s="750"/>
      <c r="Q89" s="750"/>
      <c r="R89" s="750"/>
      <c r="S89" s="749"/>
      <c r="T89" s="750"/>
      <c r="U89" s="750"/>
      <c r="V89" s="754"/>
      <c r="W89" s="505"/>
      <c r="X89" s="505"/>
      <c r="Y89" s="743"/>
      <c r="Z89" s="743"/>
      <c r="AA89" s="743"/>
      <c r="AB89" s="743"/>
      <c r="AC89" s="743"/>
      <c r="AD89" s="743"/>
      <c r="AE89" s="743"/>
      <c r="AF89" s="743"/>
      <c r="AG89" s="743"/>
      <c r="AH89" s="743"/>
      <c r="BC89" s="155" t="str">
        <f t="shared" si="11"/>
        <v>-</v>
      </c>
      <c r="BD89" s="151" t="str">
        <f>"IEF " &amp; B87</f>
        <v>IEF Drive Mode 5</v>
      </c>
      <c r="BE89" s="153">
        <f>IF(OR($C89="CET",$C89="-",$C89=""),"-",$C89)</f>
        <v>1</v>
      </c>
      <c r="BF89" s="153">
        <f t="shared" ref="BF89:BL89" si="98">IF(OR($C89="CET",$C89="-",$C89=""),"-",$C89)</f>
        <v>1</v>
      </c>
      <c r="BG89" s="153">
        <f t="shared" si="98"/>
        <v>1</v>
      </c>
      <c r="BH89" s="153">
        <f t="shared" si="98"/>
        <v>1</v>
      </c>
      <c r="BI89" s="153">
        <f t="shared" si="98"/>
        <v>1</v>
      </c>
      <c r="BJ89" s="153">
        <f t="shared" si="98"/>
        <v>1</v>
      </c>
      <c r="BK89" s="153">
        <f t="shared" si="98"/>
        <v>1</v>
      </c>
      <c r="BL89" s="153">
        <f t="shared" si="98"/>
        <v>1</v>
      </c>
    </row>
    <row r="90" spans="1:73" ht="15" customHeight="1" outlineLevel="1" thickBot="1" x14ac:dyDescent="0.3">
      <c r="A90" s="40"/>
      <c r="B90" s="680"/>
      <c r="C90" s="765"/>
      <c r="D90" s="773"/>
      <c r="E90" s="64" t="s">
        <v>97</v>
      </c>
      <c r="F90" s="63" t="str">
        <f t="shared" ref="F90:N90" si="99">IF(OR($C89="-",$C89="CET",$C89=""),"-",IF(AND(NOT(F89="-"),NOT(F$5="-"),NOT(F$5="")),F89/F$5,"-"))</f>
        <v>-</v>
      </c>
      <c r="G90" s="63" t="str">
        <f t="shared" si="99"/>
        <v>-</v>
      </c>
      <c r="H90" s="63" t="str">
        <f t="shared" si="99"/>
        <v>-</v>
      </c>
      <c r="I90" s="63" t="str">
        <f t="shared" si="99"/>
        <v>-</v>
      </c>
      <c r="J90" s="63" t="str">
        <f t="shared" si="99"/>
        <v>-</v>
      </c>
      <c r="K90" s="168" t="str">
        <f t="shared" si="99"/>
        <v>-</v>
      </c>
      <c r="L90" s="168" t="str">
        <f t="shared" si="99"/>
        <v>-</v>
      </c>
      <c r="M90" s="168" t="str">
        <f t="shared" si="99"/>
        <v>-</v>
      </c>
      <c r="N90" s="63" t="str">
        <f t="shared" si="99"/>
        <v>-</v>
      </c>
      <c r="O90" s="749"/>
      <c r="P90" s="750"/>
      <c r="Q90" s="750"/>
      <c r="R90" s="750"/>
      <c r="S90" s="749"/>
      <c r="T90" s="750"/>
      <c r="U90" s="750"/>
      <c r="V90" s="754"/>
      <c r="W90" s="505"/>
      <c r="X90" s="505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BC90" s="155" t="str">
        <f t="shared" si="11"/>
        <v>-</v>
      </c>
      <c r="BD90" s="151" t="str">
        <f>"IEF " &amp; B92</f>
        <v>IEF Drive Mode 6</v>
      </c>
      <c r="BE90" s="153">
        <f>IF(OR($C94="CET",$C94="-",$C94=""),"-",$C94)</f>
        <v>1</v>
      </c>
      <c r="BF90" s="153">
        <f t="shared" ref="BF90:BL90" si="100">IF(OR($C94="CET",$C94="-",$C94=""),"-",$C94)</f>
        <v>1</v>
      </c>
      <c r="BG90" s="153">
        <f t="shared" si="100"/>
        <v>1</v>
      </c>
      <c r="BH90" s="153">
        <f t="shared" si="100"/>
        <v>1</v>
      </c>
      <c r="BI90" s="153">
        <f t="shared" si="100"/>
        <v>1</v>
      </c>
      <c r="BJ90" s="153">
        <f t="shared" si="100"/>
        <v>1</v>
      </c>
      <c r="BK90" s="153">
        <f t="shared" si="100"/>
        <v>1</v>
      </c>
      <c r="BL90" s="153">
        <f t="shared" si="100"/>
        <v>1</v>
      </c>
    </row>
    <row r="91" spans="1:73" ht="15" customHeight="1" outlineLevel="1" thickBot="1" x14ac:dyDescent="0.3">
      <c r="A91" s="40"/>
      <c r="B91" s="681"/>
      <c r="C91" s="771"/>
      <c r="D91" s="774"/>
      <c r="E91" s="62" t="s">
        <v>30</v>
      </c>
      <c r="F91" s="62" t="str">
        <f t="shared" ref="F91:K91" si="101">IF(AND(OR(F87="-",F87=""),OR(F88="-",F88="")),"-",IF(OR($C89="-",$C89="",$C89="CET"),"-",IF($R$63="not listed","-",IF(NOT(F$5="-"),IF(AND(AND(NOT(F87=0),NOT(F87="-"),NOT(F87="")),AND(NOT(F88="-"),NOT(F88=0),NOT(F88=""))),IF(AND((F87+F88)/2&lt;1*F$5*IF(OR($C89="CET",$C89="-",$C89=""),"-",$C89),F87&lt;1.1*F$5*IF(OR($C89="CET",$C89="-",$C89=""),"-",$C89),F88&lt;1.1*F$5*IF(OR($C89="CET",$C89="-",$C89=""),"-",$C89)),"passed","refused"),IF(IF(OR(F87="-",F87=""),F88,F87)&lt;0.7*F$5*IF(OR($C89="CET",$C89="-",$C89=""),"-",$C89),"passed",IF(IF(OR(F87="-",F87=""),F88,F87)&lt;1.1*IF(OR($C89="CET",$C89="-",$C89=""),"-",$C89)*F$5,"failed","refused"))),"-"))))</f>
        <v>-</v>
      </c>
      <c r="G91" s="62" t="str">
        <f t="shared" si="101"/>
        <v>-</v>
      </c>
      <c r="H91" s="62" t="str">
        <f t="shared" si="101"/>
        <v>-</v>
      </c>
      <c r="I91" s="62" t="str">
        <f t="shared" si="101"/>
        <v>-</v>
      </c>
      <c r="J91" s="62" t="str">
        <f t="shared" si="101"/>
        <v>-</v>
      </c>
      <c r="K91" s="169" t="str">
        <f t="shared" si="101"/>
        <v>-</v>
      </c>
      <c r="L91" s="169" t="str">
        <f t="shared" ref="L91:M91" si="102">IF(AND(OR(L87="-",L87=""),OR(L88="-",L88="")),"-",IF(OR($C89="-",$C89="",$C89="CET"),"-",IF($R$63="not listed","-",IF(NOT(L$5="-"),IF(AND(AND(NOT(L87=0),NOT(L87="-"),NOT(L87="")),AND(NOT(L88="-"),NOT(L88=0),NOT(L88=""))),IF(AND((L87+L88)/2&lt;1*L$5*IF(OR($C89="CET",$C89="-",$C89=""),"-",$C89),L87&lt;1.1*L$5*IF(OR($C89="CET",$C89="-",$C89=""),"-",$C89),L88&lt;1.1*L$5*IF(OR($C89="CET",$C89="-",$C89=""),"-",$C89)),"passed","refused"),IF(IF(OR(L87="-",L87=""),L88,L87)&lt;0.7*L$5*IF(OR($C89="CET",$C89="-",$C89=""),"-",$C89),"passed",IF(IF(OR(L87="-",L87=""),L88,L87)&lt;1.1*IF(OR($C89="CET",$C89="-",$C89=""),"-",$C89)*L$5,"failed","refused"))),"-"))))</f>
        <v>-</v>
      </c>
      <c r="M91" s="169" t="str">
        <f t="shared" si="102"/>
        <v>-</v>
      </c>
      <c r="N91" s="62" t="str">
        <f>IF(AND(OR(N87="-",N87=""),OR(N88="-",N88="")),"-",IF(OR($C89="-",$C89="",$C89="CET"),"-",IF($R$63="not listed","-",IF(NOT(N$5="-"),IF(AND(AND(NOT(N87=0),NOT(N87="-"),NOT(N87="")),AND(NOT(N88="-"),NOT(N88=0),NOT(N88=""))),IF(AND((N87+N88)/2&lt;1*N$5*IF(OR($C89="CET",$C89="-",$C89=""),"-",$C89),N87&lt;1.1*N$5*IF(OR($C89="CET",$C89="-",$C89=""),"-",$C89),N88&lt;1.1*N$5*IF(OR($C89="CET",$C89="-",$C89=""),"-",$C89)),"passed","refused"),IF(IF(OR(N87="-",N87=""),N88,N87)&lt;0.7*N$5*IF(OR($C89="CET",$C89="-",$C89=""),"-",$C89),"passed",IF(IF(OR(N87="-",N87=""),N88,N87)&lt;1.1*IF(OR($C89="CET",$C89="-",$C89=""),"-",$C89)*N$5,"failed","refused"))),"-"))))</f>
        <v>-</v>
      </c>
      <c r="O91" s="749"/>
      <c r="P91" s="750"/>
      <c r="Q91" s="750"/>
      <c r="R91" s="750"/>
      <c r="S91" s="749"/>
      <c r="T91" s="750"/>
      <c r="U91" s="750"/>
      <c r="V91" s="754"/>
      <c r="W91" s="505"/>
      <c r="X91" s="505"/>
      <c r="Y91" s="743"/>
      <c r="Z91" s="743"/>
      <c r="AA91" s="743"/>
      <c r="AB91" s="743"/>
      <c r="AC91" s="743"/>
      <c r="AD91" s="743"/>
      <c r="AE91" s="743"/>
      <c r="AF91" s="743"/>
      <c r="AG91" s="743"/>
      <c r="AH91" s="743"/>
      <c r="BC91" s="155" t="str">
        <f t="shared" si="11"/>
        <v>-</v>
      </c>
    </row>
    <row r="92" spans="1:73" ht="15" customHeight="1" outlineLevel="1" x14ac:dyDescent="0.25">
      <c r="A92" s="40"/>
      <c r="B92" s="679" t="str">
        <f>'Variant 6 - WLTC'!B92:B96</f>
        <v>Drive Mode 6</v>
      </c>
      <c r="C92" s="814" t="s">
        <v>114</v>
      </c>
      <c r="D92" s="770" t="s">
        <v>113</v>
      </c>
      <c r="E92" s="106" t="s">
        <v>94</v>
      </c>
      <c r="F92" s="98" t="s">
        <v>5</v>
      </c>
      <c r="G92" s="98" t="s">
        <v>5</v>
      </c>
      <c r="H92" s="98" t="s">
        <v>5</v>
      </c>
      <c r="I92" s="98" t="s">
        <v>5</v>
      </c>
      <c r="J92" s="98" t="s">
        <v>5</v>
      </c>
      <c r="K92" s="165" t="s">
        <v>5</v>
      </c>
      <c r="L92" s="165" t="s">
        <v>5</v>
      </c>
      <c r="M92" s="165" t="s">
        <v>5</v>
      </c>
      <c r="N92" s="98" t="s">
        <v>5</v>
      </c>
      <c r="O92" s="749"/>
      <c r="P92" s="750"/>
      <c r="Q92" s="750"/>
      <c r="R92" s="750"/>
      <c r="S92" s="749"/>
      <c r="T92" s="750"/>
      <c r="U92" s="750"/>
      <c r="V92" s="754"/>
      <c r="W92" s="505"/>
      <c r="X92" s="505"/>
      <c r="Y92" s="743"/>
      <c r="Z92" s="743"/>
      <c r="AA92" s="743"/>
      <c r="AB92" s="743"/>
      <c r="AC92" s="743"/>
      <c r="AD92" s="743"/>
      <c r="AE92" s="743"/>
      <c r="AF92" s="743"/>
      <c r="AG92" s="743"/>
      <c r="AH92" s="743"/>
      <c r="BC92" s="155" t="str">
        <f t="shared" si="11"/>
        <v>-</v>
      </c>
      <c r="BD92" s="156"/>
      <c r="BE92" s="156"/>
      <c r="BF92" s="156"/>
      <c r="BG92" s="156"/>
      <c r="BH92" s="156"/>
      <c r="BI92" s="156"/>
      <c r="BJ92" s="156"/>
      <c r="BK92" s="156"/>
      <c r="BL92" s="156"/>
    </row>
    <row r="93" spans="1:73" s="50" customFormat="1" ht="15" customHeight="1" outlineLevel="1" thickBot="1" x14ac:dyDescent="0.3">
      <c r="A93" s="52"/>
      <c r="B93" s="680"/>
      <c r="C93" s="815"/>
      <c r="D93" s="742"/>
      <c r="E93" s="104" t="s">
        <v>95</v>
      </c>
      <c r="F93" s="97" t="s">
        <v>5</v>
      </c>
      <c r="G93" s="97" t="s">
        <v>5</v>
      </c>
      <c r="H93" s="97" t="s">
        <v>5</v>
      </c>
      <c r="I93" s="97" t="s">
        <v>5</v>
      </c>
      <c r="J93" s="97" t="s">
        <v>5</v>
      </c>
      <c r="K93" s="166" t="s">
        <v>5</v>
      </c>
      <c r="L93" s="166" t="s">
        <v>5</v>
      </c>
      <c r="M93" s="166" t="s">
        <v>5</v>
      </c>
      <c r="N93" s="97" t="s">
        <v>5</v>
      </c>
      <c r="O93" s="749"/>
      <c r="P93" s="750"/>
      <c r="Q93" s="750"/>
      <c r="R93" s="750"/>
      <c r="S93" s="749"/>
      <c r="T93" s="750"/>
      <c r="U93" s="750"/>
      <c r="V93" s="754"/>
      <c r="W93" s="51"/>
      <c r="X93" s="51"/>
      <c r="Y93" s="743"/>
      <c r="Z93" s="743"/>
      <c r="AA93" s="743"/>
      <c r="AB93" s="743"/>
      <c r="AC93" s="743"/>
      <c r="AD93" s="743"/>
      <c r="AE93" s="743"/>
      <c r="AF93" s="743"/>
      <c r="AG93" s="743"/>
      <c r="AH93" s="743"/>
      <c r="BC93" s="155" t="str">
        <f t="shared" si="11"/>
        <v>-</v>
      </c>
      <c r="BD93" s="156"/>
      <c r="BE93" s="156"/>
      <c r="BF93" s="156"/>
      <c r="BG93" s="156"/>
      <c r="BH93" s="156"/>
      <c r="BI93" s="156"/>
      <c r="BJ93" s="156"/>
      <c r="BK93" s="156"/>
      <c r="BL93" s="156"/>
      <c r="BM93" s="150"/>
      <c r="BN93" s="150"/>
      <c r="BO93" s="150"/>
      <c r="BP93" s="150"/>
      <c r="BQ93" s="150"/>
      <c r="BR93" s="150"/>
      <c r="BS93" s="150"/>
      <c r="BT93" s="150"/>
      <c r="BU93" s="150"/>
    </row>
    <row r="94" spans="1:73" ht="15" customHeight="1" outlineLevel="1" thickBot="1" x14ac:dyDescent="0.3">
      <c r="A94" s="40"/>
      <c r="B94" s="680"/>
      <c r="C94" s="808">
        <v>1</v>
      </c>
      <c r="D94" s="772" t="str">
        <f>IF(AND(F95="-",G95="-",H95="-",I95="-",J95="-",K95="-",K95="-",L95="-"),"-",MAX(F95,G95,H95,I95,J95,K95,L95,M95))</f>
        <v>-</v>
      </c>
      <c r="E94" s="66" t="s">
        <v>177</v>
      </c>
      <c r="F94" s="65" t="str">
        <f t="shared" ref="F94:N94" si="103">IF(OR(F93="-",F93=""),IF(OR(F92="-",F92=""),"-",F92),IF(OR(F92="-",F92=""),F93,(F92+F93)/2))</f>
        <v>-</v>
      </c>
      <c r="G94" s="65" t="str">
        <f t="shared" si="103"/>
        <v>-</v>
      </c>
      <c r="H94" s="65" t="str">
        <f t="shared" si="103"/>
        <v>-</v>
      </c>
      <c r="I94" s="65" t="str">
        <f t="shared" si="103"/>
        <v>-</v>
      </c>
      <c r="J94" s="65" t="str">
        <f t="shared" si="103"/>
        <v>-</v>
      </c>
      <c r="K94" s="167" t="str">
        <f t="shared" si="103"/>
        <v>-</v>
      </c>
      <c r="L94" s="167" t="str">
        <f t="shared" si="103"/>
        <v>-</v>
      </c>
      <c r="M94" s="167" t="str">
        <f t="shared" si="103"/>
        <v>-</v>
      </c>
      <c r="N94" s="65" t="str">
        <f t="shared" si="103"/>
        <v>-</v>
      </c>
      <c r="O94" s="749"/>
      <c r="P94" s="750"/>
      <c r="Q94" s="750"/>
      <c r="R94" s="750"/>
      <c r="S94" s="749"/>
      <c r="T94" s="750"/>
      <c r="U94" s="750"/>
      <c r="V94" s="754"/>
      <c r="W94" s="505"/>
      <c r="X94" s="505"/>
      <c r="Y94" s="743"/>
      <c r="Z94" s="743"/>
      <c r="AA94" s="743"/>
      <c r="AB94" s="743"/>
      <c r="AC94" s="743"/>
      <c r="AD94" s="743"/>
      <c r="AE94" s="743"/>
      <c r="AF94" s="743"/>
      <c r="AG94" s="743"/>
      <c r="AH94" s="743"/>
      <c r="BC94" s="155" t="str">
        <f t="shared" si="11"/>
        <v>-</v>
      </c>
      <c r="BD94" s="157"/>
      <c r="BE94" s="157"/>
      <c r="BF94" s="157"/>
      <c r="BG94" s="157"/>
      <c r="BH94" s="157"/>
      <c r="BI94" s="157"/>
      <c r="BJ94" s="157"/>
      <c r="BK94" s="157"/>
      <c r="BL94" s="157"/>
    </row>
    <row r="95" spans="1:73" ht="15" customHeight="1" outlineLevel="1" thickBot="1" x14ac:dyDescent="0.3">
      <c r="A95" s="40"/>
      <c r="B95" s="680"/>
      <c r="C95" s="809"/>
      <c r="D95" s="773"/>
      <c r="E95" s="64" t="s">
        <v>97</v>
      </c>
      <c r="F95" s="63" t="str">
        <f t="shared" ref="F95:N95" si="104">IF(OR($C94="-",$C94="CET",$C94=""),"-",IF(AND(NOT(F94="-"),NOT(F$5="-"),NOT(F$5="")),F94/F$5,"-"))</f>
        <v>-</v>
      </c>
      <c r="G95" s="63" t="str">
        <f t="shared" si="104"/>
        <v>-</v>
      </c>
      <c r="H95" s="63" t="str">
        <f t="shared" si="104"/>
        <v>-</v>
      </c>
      <c r="I95" s="63" t="str">
        <f t="shared" si="104"/>
        <v>-</v>
      </c>
      <c r="J95" s="63" t="str">
        <f t="shared" si="104"/>
        <v>-</v>
      </c>
      <c r="K95" s="168" t="str">
        <f t="shared" si="104"/>
        <v>-</v>
      </c>
      <c r="L95" s="168" t="str">
        <f t="shared" si="104"/>
        <v>-</v>
      </c>
      <c r="M95" s="168" t="str">
        <f t="shared" si="104"/>
        <v>-</v>
      </c>
      <c r="N95" s="63" t="str">
        <f t="shared" si="104"/>
        <v>-</v>
      </c>
      <c r="O95" s="749"/>
      <c r="P95" s="750"/>
      <c r="Q95" s="750"/>
      <c r="R95" s="750"/>
      <c r="S95" s="749"/>
      <c r="T95" s="750"/>
      <c r="U95" s="750"/>
      <c r="V95" s="754"/>
      <c r="W95" s="505"/>
      <c r="X95" s="505"/>
      <c r="Y95" s="743"/>
      <c r="Z95" s="743"/>
      <c r="AA95" s="743"/>
      <c r="AB95" s="743"/>
      <c r="AC95" s="743"/>
      <c r="AD95" s="743"/>
      <c r="AE95" s="743"/>
      <c r="AF95" s="743"/>
      <c r="AG95" s="743"/>
      <c r="AH95" s="743"/>
      <c r="BC95" s="155" t="str">
        <f t="shared" si="11"/>
        <v>-</v>
      </c>
      <c r="BD95" s="157"/>
      <c r="BE95" s="157"/>
      <c r="BF95" s="157"/>
      <c r="BG95" s="157"/>
      <c r="BH95" s="157"/>
      <c r="BI95" s="157"/>
      <c r="BJ95" s="157"/>
      <c r="BK95" s="157"/>
      <c r="BL95" s="157"/>
    </row>
    <row r="96" spans="1:73" ht="15.75" outlineLevel="1" thickBot="1" x14ac:dyDescent="0.3">
      <c r="B96" s="681"/>
      <c r="C96" s="810"/>
      <c r="D96" s="774"/>
      <c r="E96" s="62" t="s">
        <v>30</v>
      </c>
      <c r="F96" s="62" t="str">
        <f t="shared" ref="F96:K96" si="105">IF(AND(OR(F92="-",F92=""),OR(F93="-",F93="")),"-",IF(OR($C94="-",$C94="",$C94="CET"),"-",IF($R$63="not listed","-",IF(NOT(F$5="-"),IF(AND(AND(NOT(F92=0),NOT(F92="-"),NOT(F92="")),AND(NOT(F93="-"),NOT(F93=0),NOT(F93=""))),IF(AND((F92+F93)/2&lt;1*F$5*IF(OR($C94="CET",$C94="-",$C94=""),"-",$C94),F92&lt;1.1*F$5*IF(OR($C94="CET",$C94="-",$C94=""),"-",$C94),F93&lt;1.1*F$5*IF(OR($C94="CET",$C94="-",$C94=""),"-",$C94)),"passed","refused"),IF(IF(OR(F92="-",F92=""),F93,F92)&lt;0.7*F$5*IF(OR($C94="CET",$C94="-",$C94=""),"-",$C94),"passed",IF(IF(OR(F92="-",F92=""),F93,F92)&lt;1.1*IF(OR($C94="CET",$C94="-",$C94=""),"-",$C94)*F$5,"failed","refused"))),"-"))))</f>
        <v>-</v>
      </c>
      <c r="G96" s="62" t="str">
        <f t="shared" si="105"/>
        <v>-</v>
      </c>
      <c r="H96" s="62" t="str">
        <f t="shared" si="105"/>
        <v>-</v>
      </c>
      <c r="I96" s="62" t="str">
        <f t="shared" si="105"/>
        <v>-</v>
      </c>
      <c r="J96" s="62" t="str">
        <f t="shared" si="105"/>
        <v>-</v>
      </c>
      <c r="K96" s="169" t="str">
        <f t="shared" si="105"/>
        <v>-</v>
      </c>
      <c r="L96" s="169" t="str">
        <f t="shared" ref="L96:M96" si="106">IF(AND(OR(L92="-",L92=""),OR(L93="-",L93="")),"-",IF(OR($C94="-",$C94="",$C94="CET"),"-",IF($R$63="not listed","-",IF(NOT(L$5="-"),IF(AND(AND(NOT(L92=0),NOT(L92="-"),NOT(L92="")),AND(NOT(L93="-"),NOT(L93=0),NOT(L93=""))),IF(AND((L92+L93)/2&lt;1*L$5*IF(OR($C94="CET",$C94="-",$C94=""),"-",$C94),L92&lt;1.1*L$5*IF(OR($C94="CET",$C94="-",$C94=""),"-",$C94),L93&lt;1.1*L$5*IF(OR($C94="CET",$C94="-",$C94=""),"-",$C94)),"passed","refused"),IF(IF(OR(L92="-",L92=""),L93,L92)&lt;0.7*L$5*IF(OR($C94="CET",$C94="-",$C94=""),"-",$C94),"passed",IF(IF(OR(L92="-",L92=""),L93,L92)&lt;1.1*IF(OR($C94="CET",$C94="-",$C94=""),"-",$C94)*L$5,"failed","refused"))),"-"))))</f>
        <v>-</v>
      </c>
      <c r="M96" s="169" t="str">
        <f t="shared" si="106"/>
        <v>-</v>
      </c>
      <c r="N96" s="62" t="str">
        <f>IF(AND(OR(N92="-",N92=""),OR(N93="-",N93="")),"-",IF(OR($C94="-",$C94="",$C94="CET"),"-",IF($R$63="not listed","-",IF(NOT(N$5="-"),IF(AND(AND(NOT(N92=0),NOT(N92="-"),NOT(N92="")),AND(NOT(N93="-"),NOT(N93=0),NOT(N93=""))),IF(AND((N92+N93)/2&lt;1*N$5*IF(OR($C94="CET",$C94="-",$C94=""),"-",$C94),N92&lt;1.1*N$5*IF(OR($C94="CET",$C94="-",$C94=""),"-",$C94),N93&lt;1.1*N$5*IF(OR($C94="CET",$C94="-",$C94=""),"-",$C94)),"passed","refused"),IF(IF(OR(N92="-",N92=""),N93,N92)&lt;0.7*N$5*IF(OR($C94="CET",$C94="-",$C94=""),"-",$C94),"passed",IF(IF(OR(N92="-",N92=""),N93,N92)&lt;1.1*IF(OR($C94="CET",$C94="-",$C94=""),"-",$C94)*N$5,"failed","refused"))),"-"))))</f>
        <v>-</v>
      </c>
      <c r="O96" s="751"/>
      <c r="P96" s="752"/>
      <c r="Q96" s="752"/>
      <c r="R96" s="752"/>
      <c r="S96" s="751"/>
      <c r="T96" s="752"/>
      <c r="U96" s="752"/>
      <c r="V96" s="755"/>
      <c r="BC96" s="155" t="str">
        <f t="shared" si="11"/>
        <v>-</v>
      </c>
      <c r="BD96" s="157"/>
      <c r="BE96" s="157"/>
      <c r="BF96" s="157"/>
      <c r="BG96" s="157"/>
      <c r="BH96" s="157"/>
      <c r="BI96" s="157"/>
      <c r="BJ96" s="157"/>
      <c r="BK96" s="157"/>
      <c r="BL96" s="157"/>
    </row>
    <row r="97" spans="1:75" ht="15" customHeight="1" x14ac:dyDescent="0.25">
      <c r="BC97" s="155" t="str">
        <f t="shared" si="11"/>
        <v>-</v>
      </c>
      <c r="BD97" s="156"/>
      <c r="BE97" s="156"/>
      <c r="BF97" s="156"/>
      <c r="BG97" s="156"/>
      <c r="BH97" s="156"/>
      <c r="BI97" s="156"/>
      <c r="BJ97" s="156"/>
      <c r="BK97" s="156"/>
      <c r="BL97" s="156"/>
    </row>
    <row r="98" spans="1:75" ht="15" customHeight="1" x14ac:dyDescent="0.25">
      <c r="BC98" s="155" t="str">
        <f t="shared" si="11"/>
        <v>-</v>
      </c>
      <c r="BD98" s="156"/>
      <c r="BE98" s="156"/>
      <c r="BF98" s="156"/>
      <c r="BG98" s="156"/>
      <c r="BH98" s="156"/>
      <c r="BI98" s="156"/>
      <c r="BJ98" s="156"/>
      <c r="BK98" s="156"/>
      <c r="BL98" s="156"/>
    </row>
    <row r="99" spans="1:75" ht="15" customHeight="1" thickBot="1" x14ac:dyDescent="0.3">
      <c r="A99" s="36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BC99" s="155" t="str">
        <f t="shared" si="11"/>
        <v>-</v>
      </c>
      <c r="BD99" s="156"/>
      <c r="BE99" s="156"/>
      <c r="BF99" s="156"/>
      <c r="BG99" s="156"/>
      <c r="BH99" s="156"/>
      <c r="BI99" s="156"/>
      <c r="BJ99" s="156"/>
      <c r="BK99" s="156"/>
      <c r="BL99" s="156"/>
    </row>
    <row r="100" spans="1:75" ht="24.95" customHeight="1" thickBot="1" x14ac:dyDescent="0.3">
      <c r="A100" s="362"/>
      <c r="B100" s="185">
        <v>3</v>
      </c>
      <c r="C100" s="757" t="s">
        <v>103</v>
      </c>
      <c r="D100" s="758"/>
      <c r="E100" s="758"/>
      <c r="F100" s="758"/>
      <c r="G100" s="758"/>
      <c r="H100" s="758"/>
      <c r="I100" s="758"/>
      <c r="J100" s="758"/>
      <c r="K100" s="758"/>
      <c r="L100" s="758"/>
      <c r="M100" s="758"/>
      <c r="N100" s="759"/>
      <c r="O100" s="49" t="s">
        <v>117</v>
      </c>
      <c r="P100" s="71" t="str">
        <f>IF(COUNTIF(F105:M109,"refused")&gt;0,"refused",IF(COUNTIF(F105:M109,"failed")&gt;0,"failed",IF(COUNTIF(F105:M109,"passed")&gt;0,"passed","-")))</f>
        <v>-</v>
      </c>
      <c r="Q100" s="70" t="s">
        <v>80</v>
      </c>
      <c r="R100" s="70" t="str">
        <f>IF(COUNT(F105:M106)&gt;0,"listed","not listed")</f>
        <v>not listed</v>
      </c>
      <c r="S100" s="504"/>
      <c r="T100" s="43"/>
      <c r="U100" s="43"/>
      <c r="V100" s="44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BC100" s="155" t="str">
        <f t="shared" ref="BC100:BC127" si="107">IF(COUNTIF(F100:M100,"refused")&gt;0,"refused",IF(COUNTIF(F100:M100,"failed")&gt;0,"failed",IF(COUNTIF(F100:M100,"passed")&gt;0,"passed","-")))</f>
        <v>-</v>
      </c>
    </row>
    <row r="101" spans="1:75" ht="15" customHeight="1" outlineLevel="1" thickBot="1" x14ac:dyDescent="0.3">
      <c r="A101" s="362"/>
      <c r="B101" s="506"/>
      <c r="C101" s="507"/>
      <c r="D101" s="507"/>
      <c r="E101" s="507"/>
      <c r="F101" s="507"/>
      <c r="G101" s="507"/>
      <c r="H101" s="507"/>
      <c r="I101" s="507"/>
      <c r="J101" s="507"/>
      <c r="K101" s="162"/>
      <c r="L101" s="162"/>
      <c r="M101" s="162"/>
      <c r="N101" s="507"/>
      <c r="O101" s="507"/>
      <c r="P101" s="507"/>
      <c r="Q101" s="507"/>
      <c r="R101" s="507"/>
      <c r="S101" s="507"/>
      <c r="T101" s="45"/>
      <c r="U101" s="45"/>
      <c r="V101" s="46"/>
      <c r="W101" s="47"/>
      <c r="X101" s="47"/>
      <c r="Y101" s="756"/>
      <c r="Z101" s="756"/>
      <c r="AA101" s="756"/>
      <c r="AB101" s="756"/>
      <c r="AC101" s="756"/>
      <c r="AD101" s="756"/>
      <c r="AE101" s="756"/>
      <c r="AF101" s="756"/>
      <c r="AG101" s="756"/>
      <c r="AH101" s="756"/>
      <c r="BC101" s="155" t="str">
        <f t="shared" si="107"/>
        <v>-</v>
      </c>
    </row>
    <row r="102" spans="1:75" ht="15" customHeight="1" outlineLevel="1" thickBot="1" x14ac:dyDescent="0.3">
      <c r="A102" s="362"/>
      <c r="B102" s="744" t="s">
        <v>81</v>
      </c>
      <c r="C102" s="745"/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6"/>
      <c r="O102" s="744" t="s">
        <v>82</v>
      </c>
      <c r="P102" s="745"/>
      <c r="Q102" s="745"/>
      <c r="R102" s="746"/>
      <c r="S102" s="744" t="s">
        <v>83</v>
      </c>
      <c r="T102" s="745"/>
      <c r="U102" s="745"/>
      <c r="V102" s="746"/>
      <c r="W102" s="505"/>
      <c r="X102" s="505"/>
      <c r="Y102" s="743"/>
      <c r="Z102" s="743"/>
      <c r="AA102" s="743"/>
      <c r="AB102" s="743"/>
      <c r="AC102" s="743"/>
      <c r="AD102" s="743"/>
      <c r="AE102" s="743"/>
      <c r="AF102" s="743"/>
      <c r="AG102" s="743"/>
      <c r="AH102" s="743"/>
      <c r="BC102" s="155" t="str">
        <f t="shared" si="107"/>
        <v>-</v>
      </c>
    </row>
    <row r="103" spans="1:75" ht="35.1" customHeight="1" outlineLevel="1" thickBot="1" x14ac:dyDescent="0.3">
      <c r="A103" s="362"/>
      <c r="B103" s="767" t="s">
        <v>84</v>
      </c>
      <c r="C103" s="768"/>
      <c r="D103" s="768"/>
      <c r="E103" s="769"/>
      <c r="F103" s="69" t="str">
        <f>F$4</f>
        <v>NMHC 
[g/km]</v>
      </c>
      <c r="G103" s="69" t="str">
        <f t="shared" ref="G103:N103" si="108">G$4</f>
        <v>THC
[g/km]</v>
      </c>
      <c r="H103" s="69" t="str">
        <f t="shared" si="108"/>
        <v>CO
[g/km]</v>
      </c>
      <c r="I103" s="69" t="str">
        <f t="shared" si="108"/>
        <v>NOx
[g/km]</v>
      </c>
      <c r="J103" s="69" t="str">
        <f t="shared" si="108"/>
        <v>PM
[mg/km]</v>
      </c>
      <c r="K103" s="69" t="str">
        <f t="shared" si="108"/>
        <v>PN
[#/km]</v>
      </c>
      <c r="L103" s="366" t="str">
        <f t="shared" si="108"/>
        <v>Additional
component</v>
      </c>
      <c r="M103" s="366" t="str">
        <f t="shared" si="108"/>
        <v>Additional
component 2</v>
      </c>
      <c r="N103" s="69" t="str">
        <f t="shared" si="108"/>
        <v>CO2
[g/km]</v>
      </c>
      <c r="O103" s="747"/>
      <c r="P103" s="748"/>
      <c r="Q103" s="748"/>
      <c r="R103" s="753"/>
      <c r="S103" s="747"/>
      <c r="T103" s="748"/>
      <c r="U103" s="748"/>
      <c r="V103" s="753"/>
      <c r="W103" s="505"/>
      <c r="X103" s="505"/>
      <c r="Y103" s="743"/>
      <c r="Z103" s="743"/>
      <c r="AA103" s="743"/>
      <c r="AB103" s="743"/>
      <c r="AC103" s="743"/>
      <c r="AD103" s="743"/>
      <c r="AE103" s="743"/>
      <c r="AF103" s="743"/>
      <c r="AG103" s="743"/>
      <c r="AH103" s="743"/>
      <c r="BC103" s="155" t="str">
        <f t="shared" si="107"/>
        <v>-</v>
      </c>
    </row>
    <row r="104" spans="1:75" ht="15" customHeight="1" outlineLevel="1" thickBot="1" x14ac:dyDescent="0.3">
      <c r="A104" s="362"/>
      <c r="B104" s="806" t="s">
        <v>103</v>
      </c>
      <c r="C104" s="508" t="s">
        <v>64</v>
      </c>
      <c r="D104" s="767" t="s">
        <v>119</v>
      </c>
      <c r="E104" s="769"/>
      <c r="F104" s="107" t="s">
        <v>64</v>
      </c>
      <c r="G104" s="107" t="s">
        <v>64</v>
      </c>
      <c r="H104" s="107" t="s">
        <v>64</v>
      </c>
      <c r="I104" s="107" t="s">
        <v>64</v>
      </c>
      <c r="J104" s="107" t="s">
        <v>64</v>
      </c>
      <c r="K104" s="164" t="s">
        <v>64</v>
      </c>
      <c r="L104" s="164" t="s">
        <v>64</v>
      </c>
      <c r="M104" s="164" t="s">
        <v>64</v>
      </c>
      <c r="N104" s="107" t="s">
        <v>64</v>
      </c>
      <c r="O104" s="749"/>
      <c r="P104" s="750"/>
      <c r="Q104" s="750"/>
      <c r="R104" s="754"/>
      <c r="S104" s="749"/>
      <c r="T104" s="750"/>
      <c r="U104" s="750"/>
      <c r="V104" s="754"/>
      <c r="W104" s="505"/>
      <c r="X104" s="505"/>
      <c r="Y104" s="743"/>
      <c r="Z104" s="743"/>
      <c r="AA104" s="743"/>
      <c r="AB104" s="743"/>
      <c r="AC104" s="743"/>
      <c r="AD104" s="743"/>
      <c r="AE104" s="743"/>
      <c r="AF104" s="743"/>
      <c r="AG104" s="743"/>
      <c r="AH104" s="743"/>
      <c r="BC104" s="155" t="str">
        <f t="shared" si="107"/>
        <v>-</v>
      </c>
    </row>
    <row r="105" spans="1:75" s="50" customFormat="1" ht="15" customHeight="1" outlineLevel="1" x14ac:dyDescent="0.25">
      <c r="A105" s="53"/>
      <c r="B105" s="807"/>
      <c r="C105" s="770" t="s">
        <v>114</v>
      </c>
      <c r="D105" s="770" t="s">
        <v>113</v>
      </c>
      <c r="E105" s="106" t="s">
        <v>94</v>
      </c>
      <c r="F105" s="105" t="s">
        <v>5</v>
      </c>
      <c r="G105" s="105" t="s">
        <v>5</v>
      </c>
      <c r="H105" s="105" t="s">
        <v>5</v>
      </c>
      <c r="I105" s="105" t="s">
        <v>5</v>
      </c>
      <c r="J105" s="105" t="s">
        <v>5</v>
      </c>
      <c r="K105" s="173" t="s">
        <v>5</v>
      </c>
      <c r="L105" s="173" t="s">
        <v>5</v>
      </c>
      <c r="M105" s="173" t="s">
        <v>5</v>
      </c>
      <c r="N105" s="105" t="s">
        <v>5</v>
      </c>
      <c r="O105" s="749"/>
      <c r="P105" s="750"/>
      <c r="Q105" s="750"/>
      <c r="R105" s="754"/>
      <c r="S105" s="749"/>
      <c r="T105" s="750"/>
      <c r="U105" s="750"/>
      <c r="V105" s="754"/>
      <c r="W105" s="51"/>
      <c r="X105" s="51"/>
      <c r="Y105" s="743"/>
      <c r="Z105" s="743"/>
      <c r="AA105" s="743"/>
      <c r="AB105" s="743"/>
      <c r="AC105" s="743"/>
      <c r="AD105" s="743"/>
      <c r="AE105" s="743"/>
      <c r="AF105" s="743"/>
      <c r="AG105" s="743"/>
      <c r="AH105" s="743"/>
      <c r="BC105" s="155" t="str">
        <f t="shared" si="107"/>
        <v>-</v>
      </c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  <c r="BS105" s="150"/>
      <c r="BT105" s="150"/>
      <c r="BU105" s="150"/>
    </row>
    <row r="106" spans="1:75" ht="15" customHeight="1" outlineLevel="1" thickBot="1" x14ac:dyDescent="0.3">
      <c r="A106" s="362"/>
      <c r="B106" s="807"/>
      <c r="C106" s="742"/>
      <c r="D106" s="742"/>
      <c r="E106" s="104" t="s">
        <v>95</v>
      </c>
      <c r="F106" s="103" t="s">
        <v>5</v>
      </c>
      <c r="G106" s="103" t="s">
        <v>5</v>
      </c>
      <c r="H106" s="103" t="s">
        <v>5</v>
      </c>
      <c r="I106" s="103" t="s">
        <v>5</v>
      </c>
      <c r="J106" s="103" t="s">
        <v>5</v>
      </c>
      <c r="K106" s="174" t="s">
        <v>5</v>
      </c>
      <c r="L106" s="174" t="s">
        <v>5</v>
      </c>
      <c r="M106" s="174" t="s">
        <v>5</v>
      </c>
      <c r="N106" s="103" t="s">
        <v>5</v>
      </c>
      <c r="O106" s="749"/>
      <c r="P106" s="750"/>
      <c r="Q106" s="750"/>
      <c r="R106" s="754"/>
      <c r="S106" s="749"/>
      <c r="T106" s="750"/>
      <c r="U106" s="750"/>
      <c r="V106" s="754"/>
      <c r="W106" s="505"/>
      <c r="X106" s="505"/>
      <c r="Y106" s="743"/>
      <c r="Z106" s="743"/>
      <c r="AA106" s="743"/>
      <c r="AB106" s="743"/>
      <c r="AC106" s="743"/>
      <c r="AD106" s="743"/>
      <c r="AE106" s="743"/>
      <c r="AF106" s="743"/>
      <c r="AG106" s="743"/>
      <c r="AH106" s="743"/>
      <c r="BC106" s="155" t="str">
        <f t="shared" si="107"/>
        <v>-</v>
      </c>
    </row>
    <row r="107" spans="1:75" ht="15" customHeight="1" outlineLevel="1" thickBot="1" x14ac:dyDescent="0.3">
      <c r="A107" s="362"/>
      <c r="B107" s="807"/>
      <c r="C107" s="854">
        <v>1</v>
      </c>
      <c r="D107" s="772" t="str">
        <f>IF(AND(F108="-",G108="-",H108="-",I108="-",J108="-",K108="-",K108="-",L108="-"),"-",MAX(F108,G108,H108,I108,J108,K108,L108,M108))</f>
        <v>-</v>
      </c>
      <c r="E107" s="66" t="s">
        <v>177</v>
      </c>
      <c r="F107" s="65" t="str">
        <f t="shared" ref="F107:N107" si="109">IF(OR(F106="-",F106=""),IF(OR(F105="-",F105=""),"-",F105),IF(OR(F105="-",F105=""),F106,(F105+F106)/2))</f>
        <v>-</v>
      </c>
      <c r="G107" s="65" t="str">
        <f t="shared" si="109"/>
        <v>-</v>
      </c>
      <c r="H107" s="65" t="str">
        <f t="shared" si="109"/>
        <v>-</v>
      </c>
      <c r="I107" s="65" t="str">
        <f t="shared" si="109"/>
        <v>-</v>
      </c>
      <c r="J107" s="65" t="str">
        <f t="shared" si="109"/>
        <v>-</v>
      </c>
      <c r="K107" s="167" t="str">
        <f t="shared" si="109"/>
        <v>-</v>
      </c>
      <c r="L107" s="167" t="str">
        <f t="shared" si="109"/>
        <v>-</v>
      </c>
      <c r="M107" s="167" t="str">
        <f t="shared" si="109"/>
        <v>-</v>
      </c>
      <c r="N107" s="65" t="str">
        <f t="shared" si="109"/>
        <v>-</v>
      </c>
      <c r="O107" s="749"/>
      <c r="P107" s="750"/>
      <c r="Q107" s="750"/>
      <c r="R107" s="754"/>
      <c r="S107" s="749"/>
      <c r="T107" s="750"/>
      <c r="U107" s="750"/>
      <c r="V107" s="754"/>
      <c r="W107" s="505"/>
      <c r="X107" s="505"/>
      <c r="Y107" s="743"/>
      <c r="Z107" s="743"/>
      <c r="AA107" s="743"/>
      <c r="AB107" s="743"/>
      <c r="AC107" s="743"/>
      <c r="AD107" s="743"/>
      <c r="AE107" s="743"/>
      <c r="AF107" s="743"/>
      <c r="AG107" s="743"/>
      <c r="AH107" s="743"/>
      <c r="BC107" s="155" t="str">
        <f t="shared" si="107"/>
        <v>-</v>
      </c>
    </row>
    <row r="108" spans="1:75" ht="15" customHeight="1" outlineLevel="1" thickBot="1" x14ac:dyDescent="0.3">
      <c r="A108" s="362"/>
      <c r="B108" s="807"/>
      <c r="C108" s="855"/>
      <c r="D108" s="773"/>
      <c r="E108" s="64" t="s">
        <v>97</v>
      </c>
      <c r="F108" s="63" t="str">
        <f>IF(AND(OR($C107="-",$C107="CET",$C107=""),OR(F104="-",F104="CET",F104="")),"-",IF(AND(NOT(F107="-"),NOT(F$6="-"),NOT(F$6="")),F107/F$6,"-"))</f>
        <v>-</v>
      </c>
      <c r="G108" s="63" t="str">
        <f t="shared" ref="G108:N108" si="110">IF(AND(OR($C107="-",$C107="CET",$C107=""),OR(G104="-",G104="CET",G104="")),"-",IF(AND(NOT(G107="-"),NOT(G$6="-"),NOT(G$6="")),G107/G$6,"-"))</f>
        <v>-</v>
      </c>
      <c r="H108" s="63" t="str">
        <f t="shared" si="110"/>
        <v>-</v>
      </c>
      <c r="I108" s="63" t="str">
        <f t="shared" si="110"/>
        <v>-</v>
      </c>
      <c r="J108" s="63" t="str">
        <f t="shared" si="110"/>
        <v>-</v>
      </c>
      <c r="K108" s="168" t="str">
        <f t="shared" si="110"/>
        <v>-</v>
      </c>
      <c r="L108" s="168" t="str">
        <f t="shared" si="110"/>
        <v>-</v>
      </c>
      <c r="M108" s="168" t="str">
        <f t="shared" si="110"/>
        <v>-</v>
      </c>
      <c r="N108" s="63" t="str">
        <f t="shared" si="110"/>
        <v>-</v>
      </c>
      <c r="O108" s="749"/>
      <c r="P108" s="750"/>
      <c r="Q108" s="750"/>
      <c r="R108" s="754"/>
      <c r="S108" s="749"/>
      <c r="T108" s="750"/>
      <c r="U108" s="750"/>
      <c r="V108" s="754"/>
      <c r="W108" s="505"/>
      <c r="X108" s="505"/>
      <c r="Y108" s="743"/>
      <c r="Z108" s="743"/>
      <c r="AA108" s="743"/>
      <c r="AB108" s="743"/>
      <c r="AC108" s="743"/>
      <c r="AD108" s="743"/>
      <c r="AE108" s="743"/>
      <c r="AF108" s="743"/>
      <c r="AG108" s="743"/>
      <c r="AH108" s="743"/>
      <c r="BC108" s="155" t="str">
        <f t="shared" si="107"/>
        <v>-</v>
      </c>
      <c r="BM108" s="151" t="s">
        <v>85</v>
      </c>
      <c r="BN108" s="152" t="str">
        <f>F$4</f>
        <v>NMHC 
[g/km]</v>
      </c>
      <c r="BO108" s="152" t="str">
        <f t="shared" ref="BO108:BU108" si="111">G$4</f>
        <v>THC
[g/km]</v>
      </c>
      <c r="BP108" s="152" t="str">
        <f t="shared" si="111"/>
        <v>CO
[g/km]</v>
      </c>
      <c r="BQ108" s="152" t="str">
        <f t="shared" si="111"/>
        <v>NOx
[g/km]</v>
      </c>
      <c r="BR108" s="152" t="str">
        <f t="shared" si="111"/>
        <v>PM
[mg/km]</v>
      </c>
      <c r="BS108" s="152" t="str">
        <f t="shared" si="111"/>
        <v>PN
[#/km]</v>
      </c>
      <c r="BT108" s="152" t="str">
        <f t="shared" si="111"/>
        <v>Additional
component</v>
      </c>
      <c r="BU108" s="152" t="str">
        <f t="shared" si="111"/>
        <v>Additional
component 2</v>
      </c>
      <c r="BV108" s="152"/>
      <c r="BW108" s="152"/>
    </row>
    <row r="109" spans="1:75" ht="15" customHeight="1" outlineLevel="1" thickBot="1" x14ac:dyDescent="0.3">
      <c r="A109" s="362"/>
      <c r="B109" s="853"/>
      <c r="C109" s="856"/>
      <c r="D109" s="774"/>
      <c r="E109" s="62" t="s">
        <v>30</v>
      </c>
      <c r="F109" s="62" t="str">
        <f t="shared" ref="F109:N109" si="112">IF(AND(OR(F105="-",F105=""),OR(F106="-",F106="")),"-",IF(AND(OR(F104="CET",F104="-",F104=""),OR($C107="CET",$C107="-",$C107="")),"-",IF($R$100="not listed","-",IF(AND(NOT(F$6="-"),NOT(F$6="")),IF(AND(AND(NOT(F105=0),NOT(F105="-"),NOT(F105="")),AND(NOT(F106="-"),NOT(F106=0),NOT(F106=""))),IF(AND((F105+F106)/2&lt;1*F$6*IF(OR(F104="CET",F104="-",F104=""),IF(OR($C107="CET",$C107="-",$C107=""),"-",$C107),F104),F105&lt;1.1*F$6*IF(OR(F104="CET",F104="-",F104=""),IF(OR($C107="CET",$C107="-",$C107=""),"-",$C107),F104),F106&lt;1.1*F$6*IF(OR(F104="CET",F104="-",F104=""),IF($C107="CET","-",$C107),F104)),"passed","refused"),IF(IF(OR(F105="-",F105=""),F106,F105)&lt;0.7*F$6*IF(OR(F104="CET",F104="-",F104=""),IF($C107="CET","-",$C107),F104),"passed",IF(IF(OR(F105="-",F105=""),F106,F105)&lt;1.1*IF(OR(F104="CET",F104="-",F104=""),IF($C107="CET","-",$C107),F104)*F$6,"failed","refused"))),"-"))))</f>
        <v>-</v>
      </c>
      <c r="G109" s="62" t="str">
        <f t="shared" si="112"/>
        <v>-</v>
      </c>
      <c r="H109" s="62" t="str">
        <f t="shared" si="112"/>
        <v>-</v>
      </c>
      <c r="I109" s="62" t="str">
        <f t="shared" si="112"/>
        <v>-</v>
      </c>
      <c r="J109" s="62" t="str">
        <f t="shared" si="112"/>
        <v>-</v>
      </c>
      <c r="K109" s="62" t="str">
        <f t="shared" si="112"/>
        <v>-</v>
      </c>
      <c r="L109" s="62" t="str">
        <f t="shared" si="112"/>
        <v>-</v>
      </c>
      <c r="M109" s="62" t="str">
        <f t="shared" si="112"/>
        <v>-</v>
      </c>
      <c r="N109" s="62" t="str">
        <f t="shared" si="112"/>
        <v>-</v>
      </c>
      <c r="O109" s="749"/>
      <c r="P109" s="750"/>
      <c r="Q109" s="750"/>
      <c r="R109" s="754"/>
      <c r="S109" s="749"/>
      <c r="T109" s="750"/>
      <c r="U109" s="750"/>
      <c r="V109" s="754"/>
      <c r="W109" s="505"/>
      <c r="X109" s="505"/>
      <c r="Y109" s="743"/>
      <c r="Z109" s="743"/>
      <c r="AA109" s="743"/>
      <c r="AB109" s="743"/>
      <c r="AC109" s="743"/>
      <c r="AD109" s="743"/>
      <c r="AE109" s="743"/>
      <c r="AF109" s="743"/>
      <c r="AG109" s="743"/>
      <c r="AH109" s="743"/>
      <c r="BC109" s="155" t="str">
        <f t="shared" si="107"/>
        <v>-</v>
      </c>
      <c r="BM109" s="151" t="str">
        <f>$E$4</f>
        <v>Euro 6d</v>
      </c>
      <c r="BN109" s="153">
        <v>1</v>
      </c>
      <c r="BO109" s="153">
        <v>1</v>
      </c>
      <c r="BP109" s="153">
        <v>1</v>
      </c>
      <c r="BQ109" s="153">
        <v>1</v>
      </c>
      <c r="BR109" s="153">
        <v>1</v>
      </c>
      <c r="BS109" s="153">
        <v>1</v>
      </c>
      <c r="BT109" s="153">
        <v>1</v>
      </c>
      <c r="BU109" s="153">
        <v>1</v>
      </c>
    </row>
    <row r="110" spans="1:75" ht="15" customHeight="1" outlineLevel="1" x14ac:dyDescent="0.25">
      <c r="A110" s="362"/>
      <c r="B110" s="762"/>
      <c r="C110" s="763"/>
      <c r="D110" s="503"/>
      <c r="E110" s="503"/>
      <c r="F110" s="520"/>
      <c r="G110" s="520"/>
      <c r="H110" s="520"/>
      <c r="I110" s="520"/>
      <c r="J110" s="520"/>
      <c r="K110" s="171"/>
      <c r="L110" s="171"/>
      <c r="M110" s="171"/>
      <c r="N110" s="57"/>
      <c r="O110" s="749"/>
      <c r="P110" s="750"/>
      <c r="Q110" s="750"/>
      <c r="R110" s="754"/>
      <c r="S110" s="749"/>
      <c r="T110" s="750"/>
      <c r="U110" s="750"/>
      <c r="V110" s="754"/>
      <c r="W110" s="505"/>
      <c r="X110" s="505"/>
      <c r="Y110" s="743"/>
      <c r="Z110" s="743"/>
      <c r="AA110" s="743"/>
      <c r="AB110" s="743"/>
      <c r="AC110" s="743"/>
      <c r="AD110" s="743"/>
      <c r="AE110" s="743"/>
      <c r="AF110" s="743"/>
      <c r="AG110" s="743"/>
      <c r="AH110" s="743"/>
      <c r="BC110" s="155" t="str">
        <f t="shared" si="107"/>
        <v>-</v>
      </c>
      <c r="BM110" s="151" t="str">
        <f>"1st " &amp;  B104</f>
        <v>1st ECE -7°C</v>
      </c>
      <c r="BN110" s="153" t="str">
        <f t="shared" ref="BN110:BS110" si="113">IF(AND((OR($C107="-",$C107="CET",$C107="")),OR(F104="CET",F104="-",F104="")),"-",IF(AND(OR(F105="-",F105=""),OR(F106="-",F106="")),"-",IF(NOT(OR(F105="-",F105="")),F105/F$6,F106/F$6)))</f>
        <v>-</v>
      </c>
      <c r="BO110" s="153" t="str">
        <f t="shared" si="113"/>
        <v>-</v>
      </c>
      <c r="BP110" s="153" t="str">
        <f t="shared" si="113"/>
        <v>-</v>
      </c>
      <c r="BQ110" s="153" t="str">
        <f t="shared" si="113"/>
        <v>-</v>
      </c>
      <c r="BR110" s="153" t="str">
        <f t="shared" si="113"/>
        <v>-</v>
      </c>
      <c r="BS110" s="153" t="str">
        <f t="shared" si="113"/>
        <v>-</v>
      </c>
      <c r="BT110" s="153" t="str">
        <f t="shared" ref="BT110:BU110" si="114">IF(AND((OR($C107="-",$C107="CET",$C107="")),OR(L104="CET",L104="-",L104="")),"-",IF(AND(OR(L105="-",L105=""),OR(L106="-",L106="")),"-",IF(NOT(OR(L105="-",L105="")),L105/L$6,L106/L$6)))</f>
        <v>-</v>
      </c>
      <c r="BU110" s="153" t="str">
        <f t="shared" si="114"/>
        <v>-</v>
      </c>
    </row>
    <row r="111" spans="1:75" ht="15" customHeight="1" outlineLevel="1" x14ac:dyDescent="0.25">
      <c r="A111" s="362"/>
      <c r="B111" s="761"/>
      <c r="C111" s="760"/>
      <c r="D111" s="503"/>
      <c r="E111" s="503"/>
      <c r="F111" s="520"/>
      <c r="G111" s="520"/>
      <c r="H111" s="520"/>
      <c r="I111" s="520"/>
      <c r="J111" s="520"/>
      <c r="K111" s="171"/>
      <c r="L111" s="171"/>
      <c r="M111" s="171"/>
      <c r="N111" s="57"/>
      <c r="O111" s="749"/>
      <c r="P111" s="750"/>
      <c r="Q111" s="750"/>
      <c r="R111" s="754"/>
      <c r="S111" s="749"/>
      <c r="T111" s="750"/>
      <c r="U111" s="750"/>
      <c r="V111" s="754"/>
      <c r="W111" s="505"/>
      <c r="X111" s="505"/>
      <c r="Y111" s="743"/>
      <c r="Z111" s="743"/>
      <c r="AA111" s="743"/>
      <c r="AB111" s="743"/>
      <c r="AC111" s="743"/>
      <c r="AD111" s="743"/>
      <c r="AE111" s="743"/>
      <c r="AF111" s="743"/>
      <c r="AG111" s="743"/>
      <c r="AH111" s="743"/>
      <c r="BC111" s="155" t="str">
        <f t="shared" si="107"/>
        <v>-</v>
      </c>
      <c r="BM111" s="151"/>
      <c r="BN111" s="153"/>
      <c r="BO111" s="153"/>
      <c r="BP111" s="153"/>
      <c r="BQ111" s="153"/>
      <c r="BR111" s="153"/>
      <c r="BS111" s="153"/>
      <c r="BT111" s="153"/>
      <c r="BU111" s="153"/>
    </row>
    <row r="112" spans="1:75" ht="15" customHeight="1" outlineLevel="1" x14ac:dyDescent="0.25">
      <c r="A112" s="362"/>
      <c r="B112" s="761"/>
      <c r="C112" s="760"/>
      <c r="D112" s="503"/>
      <c r="E112" s="503"/>
      <c r="F112" s="56"/>
      <c r="G112" s="56"/>
      <c r="H112" s="56"/>
      <c r="I112" s="56"/>
      <c r="J112" s="56"/>
      <c r="K112" s="171"/>
      <c r="L112" s="171"/>
      <c r="M112" s="171"/>
      <c r="N112" s="55"/>
      <c r="O112" s="749"/>
      <c r="P112" s="750"/>
      <c r="Q112" s="750"/>
      <c r="R112" s="754"/>
      <c r="S112" s="749"/>
      <c r="T112" s="750"/>
      <c r="U112" s="750"/>
      <c r="V112" s="754"/>
      <c r="W112" s="505"/>
      <c r="X112" s="505"/>
      <c r="Y112" s="743"/>
      <c r="Z112" s="743"/>
      <c r="AA112" s="743"/>
      <c r="AB112" s="743"/>
      <c r="AC112" s="743"/>
      <c r="AD112" s="743"/>
      <c r="AE112" s="743"/>
      <c r="AF112" s="743"/>
      <c r="AG112" s="743"/>
      <c r="AH112" s="743"/>
      <c r="BC112" s="155" t="str">
        <f t="shared" si="107"/>
        <v>-</v>
      </c>
      <c r="BM112" s="151"/>
      <c r="BN112" s="153"/>
      <c r="BO112" s="153"/>
      <c r="BP112" s="153"/>
      <c r="BQ112" s="153"/>
      <c r="BR112" s="153"/>
      <c r="BS112" s="153"/>
      <c r="BT112" s="153"/>
      <c r="BU112" s="153"/>
    </row>
    <row r="113" spans="1:73" ht="15" customHeight="1" outlineLevel="1" x14ac:dyDescent="0.25">
      <c r="A113" s="40"/>
      <c r="B113" s="761"/>
      <c r="C113" s="760"/>
      <c r="D113" s="503"/>
      <c r="E113" s="503"/>
      <c r="F113" s="56"/>
      <c r="G113" s="56"/>
      <c r="H113" s="56"/>
      <c r="I113" s="56"/>
      <c r="J113" s="56"/>
      <c r="K113" s="171"/>
      <c r="L113" s="171"/>
      <c r="M113" s="171"/>
      <c r="N113" s="55"/>
      <c r="O113" s="749"/>
      <c r="P113" s="750"/>
      <c r="Q113" s="750"/>
      <c r="R113" s="754"/>
      <c r="S113" s="749"/>
      <c r="T113" s="750"/>
      <c r="U113" s="750"/>
      <c r="V113" s="754"/>
      <c r="W113" s="505"/>
      <c r="X113" s="505"/>
      <c r="Y113" s="743"/>
      <c r="Z113" s="743"/>
      <c r="AA113" s="743"/>
      <c r="AB113" s="743"/>
      <c r="AC113" s="743"/>
      <c r="AD113" s="743"/>
      <c r="AE113" s="743"/>
      <c r="AF113" s="743"/>
      <c r="AG113" s="743"/>
      <c r="AH113" s="743"/>
      <c r="BC113" s="155" t="str">
        <f t="shared" si="107"/>
        <v>-</v>
      </c>
      <c r="BM113" s="151"/>
      <c r="BN113" s="153"/>
      <c r="BO113" s="153"/>
      <c r="BP113" s="153"/>
      <c r="BQ113" s="153"/>
      <c r="BR113" s="153"/>
      <c r="BS113" s="153"/>
      <c r="BT113" s="153"/>
      <c r="BU113" s="153"/>
    </row>
    <row r="114" spans="1:73" ht="15" customHeight="1" outlineLevel="1" x14ac:dyDescent="0.25">
      <c r="A114" s="40"/>
      <c r="B114" s="761"/>
      <c r="C114" s="760"/>
      <c r="D114" s="503"/>
      <c r="E114" s="503"/>
      <c r="F114" s="503"/>
      <c r="G114" s="503"/>
      <c r="H114" s="503"/>
      <c r="I114" s="503"/>
      <c r="J114" s="503"/>
      <c r="K114" s="171"/>
      <c r="L114" s="171"/>
      <c r="M114" s="171"/>
      <c r="N114" s="59"/>
      <c r="O114" s="749"/>
      <c r="P114" s="750"/>
      <c r="Q114" s="750"/>
      <c r="R114" s="754"/>
      <c r="S114" s="749"/>
      <c r="T114" s="750"/>
      <c r="U114" s="750"/>
      <c r="V114" s="754"/>
      <c r="W114" s="505"/>
      <c r="X114" s="505"/>
      <c r="Y114" s="743"/>
      <c r="Z114" s="743"/>
      <c r="AA114" s="743"/>
      <c r="AB114" s="743"/>
      <c r="AC114" s="743"/>
      <c r="AD114" s="743"/>
      <c r="AE114" s="743"/>
      <c r="AF114" s="743"/>
      <c r="AG114" s="743"/>
      <c r="AH114" s="743"/>
      <c r="BC114" s="155" t="str">
        <f t="shared" si="107"/>
        <v>-</v>
      </c>
      <c r="BM114" s="151" t="str">
        <f>"0.7*IEF " &amp; (B104)</f>
        <v>0.7*IEF ECE -7°C</v>
      </c>
      <c r="BN114" s="153">
        <f t="shared" ref="BN114:BS114" si="115">IF(AND(OR($C107="-",$C107="CET",$C107=""),OR(F104="-",F104="CET",F104="")),"-",0.7*IF(OR(F104="CET",F104="-",F104=""),IF(OR($C107="CET",$C107="-",$C107=""),"-",$C107),F104))</f>
        <v>0.7</v>
      </c>
      <c r="BO114" s="153">
        <f t="shared" si="115"/>
        <v>0.7</v>
      </c>
      <c r="BP114" s="153">
        <f t="shared" si="115"/>
        <v>0.7</v>
      </c>
      <c r="BQ114" s="153">
        <f t="shared" si="115"/>
        <v>0.7</v>
      </c>
      <c r="BR114" s="153">
        <f t="shared" si="115"/>
        <v>0.7</v>
      </c>
      <c r="BS114" s="153">
        <f t="shared" si="115"/>
        <v>0.7</v>
      </c>
      <c r="BT114" s="153">
        <f t="shared" ref="BT114:BU114" si="116">IF(AND(OR($C107="-",$C107="CET",$C107=""),OR(L104="-",L104="CET",L104="")),"-",0.7*IF(OR(L104="CET",L104="-",L104=""),IF(OR($C107="CET",$C107="-",$C107=""),"-",$C107),L104))</f>
        <v>0.7</v>
      </c>
      <c r="BU114" s="153">
        <f t="shared" si="116"/>
        <v>0.7</v>
      </c>
    </row>
    <row r="115" spans="1:73" ht="15" customHeight="1" outlineLevel="1" x14ac:dyDescent="0.25">
      <c r="A115" s="40"/>
      <c r="B115" s="761"/>
      <c r="C115" s="760"/>
      <c r="D115" s="503"/>
      <c r="E115" s="503"/>
      <c r="F115" s="520"/>
      <c r="G115" s="520"/>
      <c r="H115" s="520"/>
      <c r="I115" s="520"/>
      <c r="J115" s="520"/>
      <c r="K115" s="171"/>
      <c r="L115" s="171"/>
      <c r="M115" s="171"/>
      <c r="N115" s="57"/>
      <c r="O115" s="749"/>
      <c r="P115" s="750"/>
      <c r="Q115" s="750"/>
      <c r="R115" s="754"/>
      <c r="S115" s="749"/>
      <c r="T115" s="750"/>
      <c r="U115" s="750"/>
      <c r="V115" s="754"/>
      <c r="W115" s="505"/>
      <c r="X115" s="505"/>
      <c r="Y115" s="743"/>
      <c r="Z115" s="743"/>
      <c r="AA115" s="743"/>
      <c r="AB115" s="743"/>
      <c r="AC115" s="743"/>
      <c r="AD115" s="743"/>
      <c r="AE115" s="743"/>
      <c r="AF115" s="743"/>
      <c r="AG115" s="743"/>
      <c r="AH115" s="743"/>
      <c r="BC115" s="155" t="str">
        <f t="shared" si="107"/>
        <v>-</v>
      </c>
      <c r="BM115" s="151"/>
      <c r="BN115" s="153"/>
      <c r="BO115" s="153"/>
      <c r="BP115" s="153"/>
      <c r="BQ115" s="153"/>
      <c r="BR115" s="153"/>
      <c r="BS115" s="153"/>
      <c r="BT115" s="153"/>
      <c r="BU115" s="153"/>
    </row>
    <row r="116" spans="1:73" ht="15" customHeight="1" outlineLevel="1" x14ac:dyDescent="0.25">
      <c r="A116" s="40"/>
      <c r="B116" s="761"/>
      <c r="C116" s="760"/>
      <c r="D116" s="503"/>
      <c r="E116" s="503"/>
      <c r="F116" s="520"/>
      <c r="G116" s="520"/>
      <c r="H116" s="520"/>
      <c r="I116" s="520"/>
      <c r="J116" s="520"/>
      <c r="K116" s="171"/>
      <c r="L116" s="171"/>
      <c r="M116" s="171"/>
      <c r="N116" s="57"/>
      <c r="O116" s="749"/>
      <c r="P116" s="750"/>
      <c r="Q116" s="750"/>
      <c r="R116" s="754"/>
      <c r="S116" s="749"/>
      <c r="T116" s="750"/>
      <c r="U116" s="750"/>
      <c r="V116" s="754"/>
      <c r="W116" s="505"/>
      <c r="X116" s="505"/>
      <c r="Y116" s="743"/>
      <c r="Z116" s="743"/>
      <c r="AA116" s="743"/>
      <c r="AB116" s="743"/>
      <c r="AC116" s="743"/>
      <c r="AD116" s="743"/>
      <c r="AE116" s="743"/>
      <c r="AF116" s="743"/>
      <c r="AG116" s="743"/>
      <c r="AH116" s="743"/>
      <c r="BC116" s="155" t="str">
        <f t="shared" si="107"/>
        <v>-</v>
      </c>
      <c r="BM116" s="151"/>
      <c r="BN116" s="153"/>
      <c r="BO116" s="153"/>
      <c r="BP116" s="153"/>
      <c r="BQ116" s="153"/>
      <c r="BR116" s="153"/>
      <c r="BS116" s="153"/>
      <c r="BT116" s="153"/>
      <c r="BU116" s="153"/>
    </row>
    <row r="117" spans="1:73" ht="15" customHeight="1" outlineLevel="1" x14ac:dyDescent="0.25">
      <c r="A117" s="40"/>
      <c r="B117" s="761"/>
      <c r="C117" s="760"/>
      <c r="D117" s="503"/>
      <c r="E117" s="503"/>
      <c r="F117" s="56"/>
      <c r="G117" s="56"/>
      <c r="H117" s="56"/>
      <c r="I117" s="56"/>
      <c r="J117" s="56"/>
      <c r="K117" s="171"/>
      <c r="L117" s="171"/>
      <c r="M117" s="171"/>
      <c r="N117" s="55"/>
      <c r="O117" s="749"/>
      <c r="P117" s="750"/>
      <c r="Q117" s="750"/>
      <c r="R117" s="754"/>
      <c r="S117" s="749"/>
      <c r="T117" s="750"/>
      <c r="U117" s="750"/>
      <c r="V117" s="754"/>
      <c r="W117" s="505"/>
      <c r="X117" s="505"/>
      <c r="Y117" s="743"/>
      <c r="Z117" s="743"/>
      <c r="AA117" s="743"/>
      <c r="AB117" s="743"/>
      <c r="AC117" s="743"/>
      <c r="AD117" s="743"/>
      <c r="AE117" s="743"/>
      <c r="AF117" s="743"/>
      <c r="AG117" s="743"/>
      <c r="AH117" s="743"/>
      <c r="BC117" s="155" t="str">
        <f t="shared" si="107"/>
        <v>-</v>
      </c>
      <c r="BM117" s="151"/>
      <c r="BN117" s="153"/>
      <c r="BO117" s="153"/>
      <c r="BP117" s="153"/>
      <c r="BQ117" s="153"/>
      <c r="BR117" s="153"/>
      <c r="BS117" s="153"/>
      <c r="BT117" s="153"/>
      <c r="BU117" s="153"/>
    </row>
    <row r="118" spans="1:73" ht="15" customHeight="1" outlineLevel="1" x14ac:dyDescent="0.25">
      <c r="A118" s="40"/>
      <c r="B118" s="761"/>
      <c r="C118" s="760"/>
      <c r="D118" s="503"/>
      <c r="E118" s="503"/>
      <c r="F118" s="56"/>
      <c r="G118" s="56"/>
      <c r="H118" s="56"/>
      <c r="I118" s="56"/>
      <c r="J118" s="56"/>
      <c r="K118" s="171"/>
      <c r="L118" s="171"/>
      <c r="M118" s="171"/>
      <c r="N118" s="55"/>
      <c r="O118" s="749"/>
      <c r="P118" s="750"/>
      <c r="Q118" s="750"/>
      <c r="R118" s="754"/>
      <c r="S118" s="749"/>
      <c r="T118" s="750"/>
      <c r="U118" s="750"/>
      <c r="V118" s="754"/>
      <c r="W118" s="505"/>
      <c r="X118" s="505"/>
      <c r="Y118" s="743"/>
      <c r="Z118" s="743"/>
      <c r="AA118" s="743"/>
      <c r="AB118" s="743"/>
      <c r="AC118" s="743"/>
      <c r="AD118" s="743"/>
      <c r="AE118" s="743"/>
      <c r="AF118" s="743"/>
      <c r="AG118" s="743"/>
      <c r="AH118" s="743"/>
      <c r="BC118" s="155" t="str">
        <f t="shared" si="107"/>
        <v>-</v>
      </c>
      <c r="BM118" s="151" t="str">
        <f>B104</f>
        <v>ECE -7°C</v>
      </c>
      <c r="BN118" s="153" t="str">
        <f t="shared" ref="BN118:BS118" si="117">F108</f>
        <v>-</v>
      </c>
      <c r="BO118" s="153" t="str">
        <f t="shared" si="117"/>
        <v>-</v>
      </c>
      <c r="BP118" s="153" t="str">
        <f t="shared" si="117"/>
        <v>-</v>
      </c>
      <c r="BQ118" s="153" t="str">
        <f t="shared" si="117"/>
        <v>-</v>
      </c>
      <c r="BR118" s="153" t="str">
        <f t="shared" si="117"/>
        <v>-</v>
      </c>
      <c r="BS118" s="153" t="str">
        <f t="shared" si="117"/>
        <v>-</v>
      </c>
      <c r="BT118" s="153" t="str">
        <f t="shared" ref="BT118:BU118" si="118">L108</f>
        <v>-</v>
      </c>
      <c r="BU118" s="153" t="str">
        <f t="shared" si="118"/>
        <v>-</v>
      </c>
    </row>
    <row r="119" spans="1:73" ht="15" customHeight="1" outlineLevel="1" x14ac:dyDescent="0.25">
      <c r="A119" s="40"/>
      <c r="B119" s="761"/>
      <c r="C119" s="760"/>
      <c r="D119" s="503"/>
      <c r="E119" s="503"/>
      <c r="F119" s="503"/>
      <c r="G119" s="503"/>
      <c r="H119" s="503"/>
      <c r="I119" s="503"/>
      <c r="J119" s="503"/>
      <c r="K119" s="171"/>
      <c r="L119" s="171"/>
      <c r="M119" s="171"/>
      <c r="N119" s="59"/>
      <c r="O119" s="749"/>
      <c r="P119" s="750"/>
      <c r="Q119" s="750"/>
      <c r="R119" s="754"/>
      <c r="S119" s="749"/>
      <c r="T119" s="750"/>
      <c r="U119" s="750"/>
      <c r="V119" s="754"/>
      <c r="W119" s="505"/>
      <c r="X119" s="505"/>
      <c r="Y119" s="743"/>
      <c r="Z119" s="743"/>
      <c r="AA119" s="743"/>
      <c r="AB119" s="743"/>
      <c r="AC119" s="743"/>
      <c r="AD119" s="743"/>
      <c r="AE119" s="743"/>
      <c r="AF119" s="743"/>
      <c r="AG119" s="743"/>
      <c r="AH119" s="743"/>
      <c r="BC119" s="155" t="str">
        <f t="shared" si="107"/>
        <v>-</v>
      </c>
      <c r="BM119" s="151"/>
      <c r="BN119" s="153"/>
      <c r="BO119" s="153"/>
      <c r="BP119" s="153"/>
      <c r="BQ119" s="153"/>
      <c r="BR119" s="153"/>
      <c r="BS119" s="153"/>
      <c r="BT119" s="153"/>
      <c r="BU119" s="153"/>
    </row>
    <row r="120" spans="1:73" ht="15" customHeight="1" outlineLevel="1" x14ac:dyDescent="0.25">
      <c r="A120" s="40"/>
      <c r="B120" s="761"/>
      <c r="C120" s="760"/>
      <c r="D120" s="503"/>
      <c r="E120" s="503"/>
      <c r="F120" s="520"/>
      <c r="G120" s="520"/>
      <c r="H120" s="520"/>
      <c r="I120" s="520"/>
      <c r="J120" s="520"/>
      <c r="K120" s="171"/>
      <c r="L120" s="171"/>
      <c r="M120" s="171"/>
      <c r="N120" s="57"/>
      <c r="O120" s="749"/>
      <c r="P120" s="750"/>
      <c r="Q120" s="750"/>
      <c r="R120" s="754"/>
      <c r="S120" s="749"/>
      <c r="T120" s="750"/>
      <c r="U120" s="750"/>
      <c r="V120" s="754"/>
      <c r="W120" s="505"/>
      <c r="X120" s="505"/>
      <c r="Y120" s="743"/>
      <c r="Z120" s="743"/>
      <c r="AA120" s="743"/>
      <c r="AB120" s="743"/>
      <c r="AC120" s="743"/>
      <c r="AD120" s="743"/>
      <c r="AE120" s="743"/>
      <c r="AF120" s="743"/>
      <c r="AG120" s="743"/>
      <c r="AH120" s="743"/>
      <c r="BC120" s="155" t="str">
        <f t="shared" si="107"/>
        <v>-</v>
      </c>
      <c r="BM120" s="151"/>
      <c r="BN120" s="153"/>
      <c r="BO120" s="153"/>
      <c r="BP120" s="153"/>
      <c r="BQ120" s="153"/>
      <c r="BR120" s="153"/>
      <c r="BS120" s="153"/>
      <c r="BT120" s="153"/>
      <c r="BU120" s="153"/>
    </row>
    <row r="121" spans="1:73" ht="15" customHeight="1" outlineLevel="1" x14ac:dyDescent="0.25">
      <c r="A121" s="40"/>
      <c r="B121" s="761"/>
      <c r="C121" s="760"/>
      <c r="D121" s="503"/>
      <c r="E121" s="503"/>
      <c r="F121" s="520"/>
      <c r="G121" s="520"/>
      <c r="H121" s="520"/>
      <c r="I121" s="520"/>
      <c r="J121" s="520"/>
      <c r="K121" s="171"/>
      <c r="L121" s="171"/>
      <c r="M121" s="171"/>
      <c r="N121" s="57"/>
      <c r="O121" s="749"/>
      <c r="P121" s="750"/>
      <c r="Q121" s="750"/>
      <c r="R121" s="754"/>
      <c r="S121" s="749"/>
      <c r="T121" s="750"/>
      <c r="U121" s="750"/>
      <c r="V121" s="754"/>
      <c r="W121" s="505"/>
      <c r="X121" s="505"/>
      <c r="Y121" s="743"/>
      <c r="Z121" s="743"/>
      <c r="AA121" s="743"/>
      <c r="AB121" s="743"/>
      <c r="AC121" s="743"/>
      <c r="AD121" s="743"/>
      <c r="AE121" s="743"/>
      <c r="AF121" s="743"/>
      <c r="AG121" s="743"/>
      <c r="AH121" s="743"/>
      <c r="BC121" s="155" t="str">
        <f t="shared" si="107"/>
        <v>-</v>
      </c>
      <c r="BM121" s="151"/>
      <c r="BN121" s="153"/>
      <c r="BO121" s="153"/>
      <c r="BP121" s="153"/>
      <c r="BQ121" s="153"/>
      <c r="BR121" s="153"/>
      <c r="BS121" s="153"/>
      <c r="BT121" s="153"/>
      <c r="BU121" s="153"/>
    </row>
    <row r="122" spans="1:73" ht="15" customHeight="1" outlineLevel="1" x14ac:dyDescent="0.25">
      <c r="A122" s="40"/>
      <c r="B122" s="761"/>
      <c r="C122" s="760"/>
      <c r="D122" s="503"/>
      <c r="E122" s="503"/>
      <c r="F122" s="56"/>
      <c r="G122" s="56"/>
      <c r="H122" s="56"/>
      <c r="I122" s="56"/>
      <c r="J122" s="56"/>
      <c r="K122" s="171"/>
      <c r="L122" s="171"/>
      <c r="M122" s="171"/>
      <c r="N122" s="55"/>
      <c r="O122" s="749"/>
      <c r="P122" s="750"/>
      <c r="Q122" s="750"/>
      <c r="R122" s="754"/>
      <c r="S122" s="749"/>
      <c r="T122" s="750"/>
      <c r="U122" s="750"/>
      <c r="V122" s="754"/>
      <c r="W122" s="505"/>
      <c r="X122" s="505"/>
      <c r="Y122" s="743"/>
      <c r="Z122" s="743"/>
      <c r="AA122" s="743"/>
      <c r="AB122" s="743"/>
      <c r="AC122" s="743"/>
      <c r="AD122" s="743"/>
      <c r="AE122" s="743"/>
      <c r="AF122" s="743"/>
      <c r="AG122" s="743"/>
      <c r="AH122" s="743"/>
      <c r="BC122" s="155" t="str">
        <f t="shared" si="107"/>
        <v>-</v>
      </c>
      <c r="BM122" s="151" t="str">
        <f>"IEF " &amp;B104</f>
        <v>IEF ECE -7°C</v>
      </c>
      <c r="BN122" s="153">
        <f t="shared" ref="BN122:BS122" si="119">IF(AND(OR($C107="-",$C107="CET",$C107=""),OR(F104="-",F104="CET",F104="")),"-",IF(OR(F104="CET",F104="-",F104=""),IF(OR($C107="CET",$C107="-",$C107=""),"-",$C107),F104))</f>
        <v>1</v>
      </c>
      <c r="BO122" s="153">
        <f t="shared" si="119"/>
        <v>1</v>
      </c>
      <c r="BP122" s="153">
        <f t="shared" si="119"/>
        <v>1</v>
      </c>
      <c r="BQ122" s="153">
        <f t="shared" si="119"/>
        <v>1</v>
      </c>
      <c r="BR122" s="153">
        <f t="shared" si="119"/>
        <v>1</v>
      </c>
      <c r="BS122" s="153">
        <f t="shared" si="119"/>
        <v>1</v>
      </c>
      <c r="BT122" s="153">
        <f t="shared" ref="BT122:BU122" si="120">IF(AND(OR($C107="-",$C107="CET",$C107=""),OR(L104="-",L104="CET",L104="")),"-",IF(OR(L104="CET",L104="-",L104=""),IF(OR($C107="CET",$C107="-",$C107=""),"-",$C107),L104))</f>
        <v>1</v>
      </c>
      <c r="BU122" s="153">
        <f t="shared" si="120"/>
        <v>1</v>
      </c>
    </row>
    <row r="123" spans="1:73" outlineLevel="1" x14ac:dyDescent="0.25">
      <c r="B123" s="761"/>
      <c r="C123" s="760"/>
      <c r="D123" s="503"/>
      <c r="E123" s="503"/>
      <c r="F123" s="56"/>
      <c r="G123" s="56"/>
      <c r="H123" s="56"/>
      <c r="I123" s="56"/>
      <c r="J123" s="56"/>
      <c r="K123" s="171"/>
      <c r="L123" s="171"/>
      <c r="M123" s="171"/>
      <c r="N123" s="55"/>
      <c r="O123" s="749"/>
      <c r="P123" s="750"/>
      <c r="Q123" s="750"/>
      <c r="R123" s="754"/>
      <c r="S123" s="749"/>
      <c r="T123" s="750"/>
      <c r="U123" s="750"/>
      <c r="V123" s="754"/>
      <c r="BC123" s="155" t="str">
        <f t="shared" si="107"/>
        <v>-</v>
      </c>
      <c r="BD123" s="156"/>
      <c r="BE123" s="156"/>
      <c r="BF123" s="156"/>
      <c r="BG123" s="156"/>
      <c r="BH123" s="156"/>
      <c r="BI123" s="156"/>
      <c r="BJ123" s="156"/>
      <c r="BK123" s="156"/>
      <c r="BL123" s="156"/>
    </row>
    <row r="124" spans="1:73" ht="15.75" outlineLevel="1" thickBot="1" x14ac:dyDescent="0.3">
      <c r="B124" s="796"/>
      <c r="C124" s="778"/>
      <c r="D124" s="509"/>
      <c r="E124" s="509"/>
      <c r="F124" s="509"/>
      <c r="G124" s="509"/>
      <c r="H124" s="509"/>
      <c r="I124" s="509"/>
      <c r="J124" s="509"/>
      <c r="K124" s="172"/>
      <c r="L124" s="172"/>
      <c r="M124" s="172"/>
      <c r="N124" s="54"/>
      <c r="O124" s="751"/>
      <c r="P124" s="752"/>
      <c r="Q124" s="752"/>
      <c r="R124" s="755"/>
      <c r="S124" s="751"/>
      <c r="T124" s="752"/>
      <c r="U124" s="752"/>
      <c r="V124" s="755"/>
      <c r="BC124" s="155" t="str">
        <f t="shared" si="107"/>
        <v>-</v>
      </c>
      <c r="BD124" s="156"/>
      <c r="BE124" s="156"/>
      <c r="BF124" s="156"/>
      <c r="BG124" s="156"/>
      <c r="BH124" s="156"/>
      <c r="BI124" s="156"/>
      <c r="BJ124" s="156"/>
      <c r="BK124" s="156"/>
      <c r="BL124" s="156"/>
    </row>
    <row r="125" spans="1:73" ht="15" customHeight="1" x14ac:dyDescent="0.25">
      <c r="A125" s="36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BC125" s="155" t="str">
        <f t="shared" si="107"/>
        <v>-</v>
      </c>
      <c r="BD125" s="156"/>
      <c r="BE125" s="156"/>
      <c r="BF125" s="156"/>
      <c r="BG125" s="156"/>
      <c r="BH125" s="156"/>
      <c r="BI125" s="156"/>
      <c r="BJ125" s="156"/>
      <c r="BK125" s="156"/>
      <c r="BL125" s="156"/>
    </row>
    <row r="126" spans="1:73" ht="15" customHeight="1" x14ac:dyDescent="0.25">
      <c r="A126" s="36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BC126" s="155" t="str">
        <f t="shared" si="107"/>
        <v>-</v>
      </c>
      <c r="BD126" s="156"/>
      <c r="BE126" s="156"/>
      <c r="BF126" s="156"/>
      <c r="BG126" s="156"/>
      <c r="BH126" s="156"/>
      <c r="BI126" s="156"/>
      <c r="BJ126" s="156"/>
      <c r="BK126" s="156"/>
      <c r="BL126" s="156"/>
    </row>
    <row r="127" spans="1:73" ht="15" customHeight="1" thickBot="1" x14ac:dyDescent="0.3">
      <c r="A127" s="36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BC127" s="155" t="str">
        <f t="shared" si="107"/>
        <v>-</v>
      </c>
    </row>
    <row r="128" spans="1:73" ht="24.95" customHeight="1" thickBot="1" x14ac:dyDescent="0.3">
      <c r="A128" s="362"/>
      <c r="B128" s="185">
        <v>5</v>
      </c>
      <c r="C128" s="757" t="s">
        <v>180</v>
      </c>
      <c r="D128" s="758"/>
      <c r="E128" s="758"/>
      <c r="F128" s="758"/>
      <c r="G128" s="758"/>
      <c r="H128" s="758"/>
      <c r="I128" s="758"/>
      <c r="J128" s="758"/>
      <c r="K128" s="758"/>
      <c r="L128" s="758"/>
      <c r="M128" s="758"/>
      <c r="N128" s="759"/>
      <c r="O128" s="49" t="s">
        <v>79</v>
      </c>
      <c r="P128" s="71" t="str">
        <f>IF(COUNTIF(F132:M155,"refused")&gt;0,"refused",IF(COUNTIF(F132:M155,"failed")&gt;0,"failed",IF(COUNTIF(F132:M155,"passed")&gt;0,"passed","-")))</f>
        <v>-</v>
      </c>
      <c r="Q128" s="70" t="s">
        <v>80</v>
      </c>
      <c r="R128" s="70" t="str">
        <f>IF(COUNT(F133:M134,F139:M140,F145:M146,F151:M152,)&gt;0,"listed","not listed")</f>
        <v>listed</v>
      </c>
      <c r="S128" s="504"/>
      <c r="T128" s="43"/>
      <c r="U128" s="43"/>
      <c r="V128" s="44"/>
      <c r="W128" s="47"/>
      <c r="X128" s="47"/>
      <c r="Y128" s="756"/>
      <c r="Z128" s="756"/>
      <c r="AA128" s="756"/>
      <c r="AB128" s="756"/>
      <c r="AC128" s="756"/>
      <c r="AD128" s="756"/>
      <c r="AE128" s="756"/>
      <c r="AF128" s="756"/>
      <c r="AG128" s="756"/>
      <c r="AH128" s="756"/>
      <c r="BC128" s="155" t="str">
        <f t="shared" ref="BC128:BC155" si="121">IF(COUNTIF(F128:M128,"refused")&gt;0,"refused",IF(COUNTIF(F128:M128,"failed")&gt;0,"failed",IF(COUNTIF(F128:M128,"passed")&gt;0,"passed","-")))</f>
        <v>-</v>
      </c>
    </row>
    <row r="129" spans="1:73" ht="15" customHeight="1" outlineLevel="1" thickBot="1" x14ac:dyDescent="0.3">
      <c r="A129" s="362"/>
      <c r="B129" s="506"/>
      <c r="C129" s="507"/>
      <c r="D129" s="507"/>
      <c r="E129" s="507"/>
      <c r="F129" s="507"/>
      <c r="G129" s="507"/>
      <c r="H129" s="507"/>
      <c r="I129" s="507"/>
      <c r="J129" s="507"/>
      <c r="K129" s="162"/>
      <c r="L129" s="162"/>
      <c r="M129" s="162"/>
      <c r="N129" s="507"/>
      <c r="O129" s="507"/>
      <c r="P129" s="507"/>
      <c r="Q129" s="507"/>
      <c r="R129" s="507"/>
      <c r="S129" s="507"/>
      <c r="T129" s="45"/>
      <c r="U129" s="45"/>
      <c r="V129" s="46"/>
      <c r="W129" s="505"/>
      <c r="X129" s="505"/>
      <c r="Y129" s="743"/>
      <c r="Z129" s="743"/>
      <c r="AA129" s="743"/>
      <c r="AB129" s="743"/>
      <c r="AC129" s="743"/>
      <c r="AD129" s="743"/>
      <c r="AE129" s="743"/>
      <c r="AF129" s="743"/>
      <c r="AG129" s="743"/>
      <c r="AH129" s="743"/>
      <c r="BC129" s="155" t="str">
        <f t="shared" si="121"/>
        <v>-</v>
      </c>
      <c r="BD129" s="151" t="s">
        <v>85</v>
      </c>
      <c r="BE129" s="152" t="str">
        <f>F$4</f>
        <v>NMHC 
[g/km]</v>
      </c>
      <c r="BF129" s="152" t="str">
        <f t="shared" ref="BF129:BL129" si="122">G$4</f>
        <v>THC
[g/km]</v>
      </c>
      <c r="BG129" s="152" t="str">
        <f t="shared" si="122"/>
        <v>CO
[g/km]</v>
      </c>
      <c r="BH129" s="152" t="str">
        <f t="shared" si="122"/>
        <v>NOx
[g/km]</v>
      </c>
      <c r="BI129" s="152" t="str">
        <f t="shared" si="122"/>
        <v>PM
[mg/km]</v>
      </c>
      <c r="BJ129" s="152" t="str">
        <f t="shared" si="122"/>
        <v>PN
[#/km]</v>
      </c>
      <c r="BK129" s="152" t="str">
        <f t="shared" si="122"/>
        <v>Additional
component</v>
      </c>
      <c r="BL129" s="152" t="str">
        <f t="shared" si="122"/>
        <v>Additional
component 2</v>
      </c>
    </row>
    <row r="130" spans="1:73" ht="15" customHeight="1" outlineLevel="1" thickBot="1" x14ac:dyDescent="0.3">
      <c r="A130" s="362"/>
      <c r="B130" s="744" t="s">
        <v>81</v>
      </c>
      <c r="C130" s="745"/>
      <c r="D130" s="745"/>
      <c r="E130" s="745"/>
      <c r="F130" s="745"/>
      <c r="G130" s="745"/>
      <c r="H130" s="745"/>
      <c r="I130" s="745"/>
      <c r="J130" s="745"/>
      <c r="K130" s="745"/>
      <c r="L130" s="745"/>
      <c r="M130" s="745"/>
      <c r="N130" s="746"/>
      <c r="O130" s="744" t="s">
        <v>82</v>
      </c>
      <c r="P130" s="745"/>
      <c r="Q130" s="745"/>
      <c r="R130" s="746"/>
      <c r="S130" s="744" t="s">
        <v>83</v>
      </c>
      <c r="T130" s="745"/>
      <c r="U130" s="745"/>
      <c r="V130" s="746"/>
      <c r="W130" s="505"/>
      <c r="X130" s="505"/>
      <c r="Y130" s="743"/>
      <c r="Z130" s="743"/>
      <c r="AA130" s="743"/>
      <c r="AB130" s="743"/>
      <c r="AC130" s="743"/>
      <c r="AD130" s="743"/>
      <c r="AE130" s="743"/>
      <c r="AF130" s="743"/>
      <c r="AG130" s="743"/>
      <c r="AH130" s="743"/>
      <c r="BC130" s="155" t="str">
        <f t="shared" si="121"/>
        <v>-</v>
      </c>
      <c r="BD130" s="151" t="str">
        <f>$E$4</f>
        <v>Euro 6d</v>
      </c>
      <c r="BE130" s="153">
        <v>1</v>
      </c>
      <c r="BF130" s="153">
        <v>1</v>
      </c>
      <c r="BG130" s="153">
        <v>1</v>
      </c>
      <c r="BH130" s="153">
        <v>1</v>
      </c>
      <c r="BI130" s="153">
        <v>1</v>
      </c>
      <c r="BJ130" s="153">
        <v>1</v>
      </c>
      <c r="BK130" s="153">
        <v>1</v>
      </c>
      <c r="BL130" s="153">
        <v>1</v>
      </c>
    </row>
    <row r="131" spans="1:73" ht="35.1" customHeight="1" outlineLevel="1" collapsed="1" thickBot="1" x14ac:dyDescent="0.3">
      <c r="A131" s="362"/>
      <c r="B131" s="767" t="s">
        <v>84</v>
      </c>
      <c r="C131" s="768"/>
      <c r="D131" s="768"/>
      <c r="E131" s="769"/>
      <c r="F131" s="69" t="str">
        <f>F$4</f>
        <v>NMHC 
[g/km]</v>
      </c>
      <c r="G131" s="69" t="str">
        <f t="shared" ref="G131:N131" si="123">G$4</f>
        <v>THC
[g/km]</v>
      </c>
      <c r="H131" s="69" t="str">
        <f t="shared" si="123"/>
        <v>CO
[g/km]</v>
      </c>
      <c r="I131" s="69" t="str">
        <f t="shared" si="123"/>
        <v>NOx
[g/km]</v>
      </c>
      <c r="J131" s="69" t="str">
        <f t="shared" si="123"/>
        <v>PM
[mg/km]</v>
      </c>
      <c r="K131" s="69" t="str">
        <f t="shared" si="123"/>
        <v>PN
[#/km]</v>
      </c>
      <c r="L131" s="366" t="str">
        <f t="shared" si="123"/>
        <v>Additional
component</v>
      </c>
      <c r="M131" s="366" t="str">
        <f t="shared" si="123"/>
        <v>Additional
component 2</v>
      </c>
      <c r="N131" s="69" t="str">
        <f t="shared" si="123"/>
        <v>CO2
[g/km]</v>
      </c>
      <c r="O131" s="881"/>
      <c r="P131" s="882"/>
      <c r="Q131" s="882"/>
      <c r="R131" s="883"/>
      <c r="S131" s="747"/>
      <c r="T131" s="748"/>
      <c r="U131" s="748"/>
      <c r="V131" s="753"/>
      <c r="W131" s="505"/>
      <c r="X131" s="505"/>
      <c r="Y131" s="743"/>
      <c r="Z131" s="743"/>
      <c r="AA131" s="743"/>
      <c r="AB131" s="743"/>
      <c r="AC131" s="743"/>
      <c r="AD131" s="743"/>
      <c r="AE131" s="743"/>
      <c r="AF131" s="743"/>
      <c r="AG131" s="743"/>
      <c r="AH131" s="743"/>
      <c r="BC131" s="155" t="str">
        <f t="shared" si="121"/>
        <v>-</v>
      </c>
      <c r="BD131" s="151" t="str">
        <f>"1st " &amp;  B132</f>
        <v>1st aggressive @ minimum moderate temperature limit</v>
      </c>
      <c r="BE131" s="153" t="str">
        <f>IF(AND(OR($C135="-",$C135="CET",$C135=""),OR(F132="-",F132="CET",F132="")),"-",IF(AND(OR(F133="-",F133=""),OR(F134="-",F134="")),"-",IF(NOT(OR(F133="-",F133="")),F133/F$5,F134/F$5)))</f>
        <v>-</v>
      </c>
      <c r="BF131" s="153" t="str">
        <f t="shared" ref="BF131:BL131" si="124">IF(AND(OR($C135="-",$C135="CET",$C135=""),OR(G132="-",G132="CET",G132="")),"-",IF(AND(OR(G133="-",G133=""),OR(G134="-",G134="")),"-",IF(NOT(OR(G133="-",G133="")),G133/G$5,G134/G$5)))</f>
        <v>-</v>
      </c>
      <c r="BG131" s="153" t="str">
        <f t="shared" si="124"/>
        <v>-</v>
      </c>
      <c r="BH131" s="153" t="str">
        <f t="shared" si="124"/>
        <v>-</v>
      </c>
      <c r="BI131" s="153" t="str">
        <f t="shared" si="124"/>
        <v>-</v>
      </c>
      <c r="BJ131" s="153" t="str">
        <f t="shared" si="124"/>
        <v>-</v>
      </c>
      <c r="BK131" s="153" t="str">
        <f t="shared" si="124"/>
        <v>-</v>
      </c>
      <c r="BL131" s="153" t="str">
        <f t="shared" si="124"/>
        <v>-</v>
      </c>
    </row>
    <row r="132" spans="1:73" s="50" customFormat="1" ht="15" customHeight="1" outlineLevel="1" thickBot="1" x14ac:dyDescent="0.3">
      <c r="A132" s="53"/>
      <c r="B132" s="872" t="s">
        <v>343</v>
      </c>
      <c r="C132" s="508" t="s">
        <v>64</v>
      </c>
      <c r="D132" s="767" t="s">
        <v>119</v>
      </c>
      <c r="E132" s="769"/>
      <c r="F132" s="107" t="s">
        <v>64</v>
      </c>
      <c r="G132" s="107" t="s">
        <v>64</v>
      </c>
      <c r="H132" s="107" t="s">
        <v>64</v>
      </c>
      <c r="I132" s="107" t="s">
        <v>64</v>
      </c>
      <c r="J132" s="107" t="s">
        <v>64</v>
      </c>
      <c r="K132" s="164" t="s">
        <v>64</v>
      </c>
      <c r="L132" s="164" t="s">
        <v>64</v>
      </c>
      <c r="M132" s="164" t="s">
        <v>64</v>
      </c>
      <c r="N132" s="107" t="s">
        <v>64</v>
      </c>
      <c r="O132" s="884"/>
      <c r="P132" s="885"/>
      <c r="Q132" s="885"/>
      <c r="R132" s="886"/>
      <c r="S132" s="749"/>
      <c r="T132" s="750"/>
      <c r="U132" s="750"/>
      <c r="V132" s="754"/>
      <c r="W132" s="51"/>
      <c r="X132" s="51"/>
      <c r="Y132" s="743"/>
      <c r="Z132" s="743"/>
      <c r="AA132" s="743"/>
      <c r="AB132" s="743"/>
      <c r="AC132" s="743"/>
      <c r="AD132" s="743"/>
      <c r="AE132" s="743"/>
      <c r="AF132" s="743"/>
      <c r="AG132" s="743"/>
      <c r="AH132" s="743"/>
      <c r="BC132" s="155" t="str">
        <f t="shared" si="121"/>
        <v>-</v>
      </c>
      <c r="BD132" s="151" t="str">
        <f>"1st " &amp; B138</f>
        <v>1st aggressive @ maximum moderate temperature limitt</v>
      </c>
      <c r="BE132" s="153" t="str">
        <f>IF(AND(OR($C141="-",$C141="CET",$C141=""),OR(F138="-",F138="CET",F138="")),"-",IF(AND(OR(F139="-",F139=""),OR(F140="-",F140="")),"-",IF(NOT(OR(F139="-",F139="")),F139/F$5,F140/F$5)))</f>
        <v>-</v>
      </c>
      <c r="BF132" s="153" t="str">
        <f t="shared" ref="BF132:BL132" si="125">IF(AND(OR($C141="-",$C141="CET",$C141=""),OR(G138="-",G138="CET",G138="")),"-",IF(AND(OR(G139="-",G139=""),OR(G140="-",G140="")),"-",IF(NOT(OR(G139="-",G139="")),G139/G$5,G140/G$5)))</f>
        <v>-</v>
      </c>
      <c r="BG132" s="153" t="str">
        <f t="shared" si="125"/>
        <v>-</v>
      </c>
      <c r="BH132" s="153" t="str">
        <f t="shared" si="125"/>
        <v>-</v>
      </c>
      <c r="BI132" s="153" t="str">
        <f t="shared" si="125"/>
        <v>-</v>
      </c>
      <c r="BJ132" s="153" t="str">
        <f t="shared" si="125"/>
        <v>-</v>
      </c>
      <c r="BK132" s="153" t="str">
        <f t="shared" si="125"/>
        <v>-</v>
      </c>
      <c r="BL132" s="153" t="str">
        <f t="shared" si="125"/>
        <v>-</v>
      </c>
      <c r="BM132" s="150"/>
      <c r="BN132" s="150"/>
      <c r="BO132" s="150"/>
      <c r="BP132" s="150"/>
      <c r="BQ132" s="150"/>
      <c r="BR132" s="150"/>
      <c r="BS132" s="150"/>
      <c r="BT132" s="150"/>
      <c r="BU132" s="150"/>
    </row>
    <row r="133" spans="1:73" ht="15" customHeight="1" outlineLevel="1" x14ac:dyDescent="0.25">
      <c r="A133" s="362"/>
      <c r="B133" s="873"/>
      <c r="C133" s="770" t="s">
        <v>114</v>
      </c>
      <c r="D133" s="770" t="s">
        <v>113</v>
      </c>
      <c r="E133" s="106" t="s">
        <v>94</v>
      </c>
      <c r="F133" s="105" t="s">
        <v>5</v>
      </c>
      <c r="G133" s="105" t="s">
        <v>5</v>
      </c>
      <c r="H133" s="105" t="s">
        <v>5</v>
      </c>
      <c r="I133" s="105" t="s">
        <v>5</v>
      </c>
      <c r="J133" s="105" t="s">
        <v>5</v>
      </c>
      <c r="K133" s="173" t="s">
        <v>5</v>
      </c>
      <c r="L133" s="173" t="s">
        <v>5</v>
      </c>
      <c r="M133" s="173" t="s">
        <v>5</v>
      </c>
      <c r="N133" s="105" t="s">
        <v>5</v>
      </c>
      <c r="O133" s="884"/>
      <c r="P133" s="885"/>
      <c r="Q133" s="885"/>
      <c r="R133" s="886"/>
      <c r="S133" s="749"/>
      <c r="T133" s="750"/>
      <c r="U133" s="750"/>
      <c r="V133" s="754"/>
      <c r="W133" s="505"/>
      <c r="X133" s="505"/>
      <c r="Y133" s="743"/>
      <c r="Z133" s="743"/>
      <c r="AA133" s="743"/>
      <c r="AB133" s="743"/>
      <c r="AC133" s="743"/>
      <c r="AD133" s="743"/>
      <c r="AE133" s="743"/>
      <c r="AF133" s="743"/>
      <c r="AG133" s="743"/>
      <c r="AH133" s="743"/>
      <c r="BC133" s="155" t="str">
        <f t="shared" si="121"/>
        <v>-</v>
      </c>
      <c r="BD133" s="151" t="str">
        <f>"1st " &amp; B144</f>
        <v>1st aggressive @ maximum moderate temperature limit and extended altitude</v>
      </c>
      <c r="BE133" s="153" t="str">
        <f>IF(AND(OR($C147="-",$C147="CET",$C147=""),OR(F144="-",F144="CET",F144="")),"-",IF(AND(OR(F145="-",F145=""),OR(F146="-",F146="")),"-",IF(NOT(OR(F145="-",F145="")),F145/F$5,F146/F$5)))</f>
        <v>-</v>
      </c>
      <c r="BF133" s="153" t="str">
        <f t="shared" ref="BF133:BL133" si="126">IF(AND(OR($C147="-",$C147="CET",$C147=""),OR(G144="-",G144="CET",G144="")),"-",IF(AND(OR(G145="-",G145=""),OR(G146="-",G146="")),"-",IF(NOT(OR(G145="-",G145="")),G145/G$5,G146/G$5)))</f>
        <v>-</v>
      </c>
      <c r="BG133" s="153" t="str">
        <f t="shared" si="126"/>
        <v>-</v>
      </c>
      <c r="BH133" s="153" t="str">
        <f t="shared" si="126"/>
        <v>-</v>
      </c>
      <c r="BI133" s="153" t="str">
        <f t="shared" si="126"/>
        <v>-</v>
      </c>
      <c r="BJ133" s="153" t="str">
        <f t="shared" si="126"/>
        <v>-</v>
      </c>
      <c r="BK133" s="153" t="str">
        <f t="shared" si="126"/>
        <v>-</v>
      </c>
      <c r="BL133" s="153" t="str">
        <f t="shared" si="126"/>
        <v>-</v>
      </c>
    </row>
    <row r="134" spans="1:73" ht="15" customHeight="1" outlineLevel="1" thickBot="1" x14ac:dyDescent="0.3">
      <c r="A134" s="362"/>
      <c r="B134" s="873"/>
      <c r="C134" s="742"/>
      <c r="D134" s="742"/>
      <c r="E134" s="104" t="s">
        <v>95</v>
      </c>
      <c r="F134" s="103" t="s">
        <v>5</v>
      </c>
      <c r="G134" s="103" t="s">
        <v>5</v>
      </c>
      <c r="H134" s="103" t="s">
        <v>5</v>
      </c>
      <c r="I134" s="103" t="s">
        <v>5</v>
      </c>
      <c r="J134" s="103" t="s">
        <v>5</v>
      </c>
      <c r="K134" s="174" t="s">
        <v>5</v>
      </c>
      <c r="L134" s="174" t="s">
        <v>5</v>
      </c>
      <c r="M134" s="174" t="s">
        <v>5</v>
      </c>
      <c r="N134" s="103" t="s">
        <v>5</v>
      </c>
      <c r="O134" s="884"/>
      <c r="P134" s="885"/>
      <c r="Q134" s="885"/>
      <c r="R134" s="886"/>
      <c r="S134" s="749"/>
      <c r="T134" s="750"/>
      <c r="U134" s="750"/>
      <c r="V134" s="754"/>
      <c r="W134" s="505"/>
      <c r="X134" s="505"/>
      <c r="Y134" s="743"/>
      <c r="Z134" s="743"/>
      <c r="AA134" s="743"/>
      <c r="AB134" s="743"/>
      <c r="AC134" s="743"/>
      <c r="AD134" s="743"/>
      <c r="AE134" s="743"/>
      <c r="AF134" s="743"/>
      <c r="AG134" s="743"/>
      <c r="AH134" s="743"/>
      <c r="BC134" s="155" t="str">
        <f t="shared" si="121"/>
        <v>-</v>
      </c>
      <c r="BD134" s="151" t="str">
        <f>"1st " &amp; B150</f>
        <v xml:space="preserve">1st </v>
      </c>
      <c r="BE134" s="153" t="str">
        <f>IF(AND(OR($C153="-",$C153="CET",$C153=""),OR(F150="-",F150="CET",F150="")),"-",IF(AND(OR(F151="-",F151=""),OR(F152="-",F152="")),"-",IF(NOT(OR(F151="-",F151="")),F151/F$5,F152/F$5)))</f>
        <v>-</v>
      </c>
      <c r="BF134" s="153" t="str">
        <f t="shared" ref="BF134:BL134" si="127">IF(AND(OR($C153="-",$C153="CET",$C153=""),OR(G150="-",G150="CET",G150="")),"-",IF(AND(OR(G151="-",G151=""),OR(G152="-",G152="")),"-",IF(NOT(OR(G151="-",G151="")),G151/G$5,G152/G$5)))</f>
        <v>-</v>
      </c>
      <c r="BG134" s="153" t="str">
        <f t="shared" si="127"/>
        <v>-</v>
      </c>
      <c r="BH134" s="153" t="str">
        <f t="shared" si="127"/>
        <v>-</v>
      </c>
      <c r="BI134" s="153" t="str">
        <f t="shared" si="127"/>
        <v>-</v>
      </c>
      <c r="BJ134" s="153" t="str">
        <f t="shared" si="127"/>
        <v>-</v>
      </c>
      <c r="BK134" s="153" t="str">
        <f t="shared" si="127"/>
        <v>-</v>
      </c>
      <c r="BL134" s="153" t="str">
        <f t="shared" si="127"/>
        <v>-</v>
      </c>
    </row>
    <row r="135" spans="1:73" ht="15" customHeight="1" outlineLevel="1" thickBot="1" x14ac:dyDescent="0.3">
      <c r="A135" s="362"/>
      <c r="B135" s="873"/>
      <c r="C135" s="854" t="s">
        <v>64</v>
      </c>
      <c r="D135" s="772" t="str">
        <f>IF(AND(F136="-",G136="-",H136="-",I136="-",J136="-",K136="-",K136="-",L136="-"),"-",MAX(F136,G136,H136,I136,J136,K136,L136,M136))</f>
        <v>-</v>
      </c>
      <c r="E135" s="66" t="s">
        <v>177</v>
      </c>
      <c r="F135" s="65" t="str">
        <f>IF(OR(F134="-",F134=""),IF(OR(F133="-",F133=""),"-",F133),IF(OR(F133="-",F133=""),F134,(F133+F134)/2))</f>
        <v>-</v>
      </c>
      <c r="G135" s="65" t="str">
        <f t="shared" ref="G135:N135" si="128">IF(OR(G134="-",G134=""),IF(OR(G133="-",G133=""),"-",G133),IF(OR(G133="-",G133=""),G134,(G133+G134)/2))</f>
        <v>-</v>
      </c>
      <c r="H135" s="65" t="str">
        <f t="shared" si="128"/>
        <v>-</v>
      </c>
      <c r="I135" s="65" t="str">
        <f t="shared" si="128"/>
        <v>-</v>
      </c>
      <c r="J135" s="65" t="str">
        <f t="shared" si="128"/>
        <v>-</v>
      </c>
      <c r="K135" s="167" t="str">
        <f t="shared" si="128"/>
        <v>-</v>
      </c>
      <c r="L135" s="167" t="str">
        <f t="shared" si="128"/>
        <v>-</v>
      </c>
      <c r="M135" s="167" t="str">
        <f t="shared" si="128"/>
        <v>-</v>
      </c>
      <c r="N135" s="65" t="str">
        <f t="shared" si="128"/>
        <v>-</v>
      </c>
      <c r="O135" s="884"/>
      <c r="P135" s="885"/>
      <c r="Q135" s="885"/>
      <c r="R135" s="886"/>
      <c r="S135" s="749"/>
      <c r="T135" s="750"/>
      <c r="U135" s="750"/>
      <c r="V135" s="754"/>
      <c r="W135" s="505"/>
      <c r="X135" s="505"/>
      <c r="Y135" s="743"/>
      <c r="Z135" s="743"/>
      <c r="AA135" s="743"/>
      <c r="AB135" s="743"/>
      <c r="AC135" s="743"/>
      <c r="AD135" s="743"/>
      <c r="AE135" s="743"/>
      <c r="AF135" s="743"/>
      <c r="AG135" s="743"/>
      <c r="AH135" s="743"/>
      <c r="BC135" s="155" t="str">
        <f t="shared" si="121"/>
        <v>-</v>
      </c>
      <c r="BD135" s="151"/>
      <c r="BE135" s="153"/>
      <c r="BF135" s="153"/>
      <c r="BG135" s="153"/>
      <c r="BH135" s="153"/>
      <c r="BI135" s="153"/>
      <c r="BJ135" s="153"/>
      <c r="BK135" s="153"/>
      <c r="BL135" s="153"/>
    </row>
    <row r="136" spans="1:73" ht="15" customHeight="1" outlineLevel="1" thickBot="1" x14ac:dyDescent="0.3">
      <c r="A136" s="362"/>
      <c r="B136" s="873"/>
      <c r="C136" s="855"/>
      <c r="D136" s="773"/>
      <c r="E136" s="64" t="s">
        <v>97</v>
      </c>
      <c r="F136" s="63" t="str">
        <f>IF(AND(OR($C135="-",$C135="CET",$C135=""),OR(F132="-",F132="CET",F132="")),"-",IF(AND(NOT(F135="-"),NOT(F$5="-"),NOT(F$5="")),F135/F$5,"-"))</f>
        <v>-</v>
      </c>
      <c r="G136" s="63" t="str">
        <f t="shared" ref="G136:N136" si="129">IF(AND(OR($C135="-",$C135="CET",$C135=""),OR(G132="-",G132="CET",G132="")),"-",IF(AND(NOT(G135="-"),NOT(G$5="-"),NOT(G$5="")),G135/G$5,"-"))</f>
        <v>-</v>
      </c>
      <c r="H136" s="63" t="str">
        <f t="shared" si="129"/>
        <v>-</v>
      </c>
      <c r="I136" s="63" t="str">
        <f t="shared" si="129"/>
        <v>-</v>
      </c>
      <c r="J136" s="63" t="str">
        <f t="shared" si="129"/>
        <v>-</v>
      </c>
      <c r="K136" s="168" t="str">
        <f t="shared" si="129"/>
        <v>-</v>
      </c>
      <c r="L136" s="168" t="str">
        <f t="shared" si="129"/>
        <v>-</v>
      </c>
      <c r="M136" s="168" t="str">
        <f t="shared" si="129"/>
        <v>-</v>
      </c>
      <c r="N136" s="63" t="str">
        <f t="shared" si="129"/>
        <v>-</v>
      </c>
      <c r="O136" s="884"/>
      <c r="P136" s="885"/>
      <c r="Q136" s="885"/>
      <c r="R136" s="886"/>
      <c r="S136" s="749"/>
      <c r="T136" s="750"/>
      <c r="U136" s="750"/>
      <c r="V136" s="754"/>
      <c r="W136" s="505"/>
      <c r="X136" s="505"/>
      <c r="Y136" s="743"/>
      <c r="Z136" s="743"/>
      <c r="AA136" s="743"/>
      <c r="AB136" s="743"/>
      <c r="AC136" s="743"/>
      <c r="AD136" s="743"/>
      <c r="AE136" s="743"/>
      <c r="AF136" s="743"/>
      <c r="AG136" s="743"/>
      <c r="AH136" s="743"/>
      <c r="BC136" s="155" t="str">
        <f t="shared" si="121"/>
        <v>-</v>
      </c>
      <c r="BD136" s="151"/>
      <c r="BE136" s="153"/>
      <c r="BF136" s="153"/>
      <c r="BG136" s="153"/>
      <c r="BH136" s="153"/>
      <c r="BI136" s="153"/>
      <c r="BJ136" s="153"/>
      <c r="BK136" s="153"/>
      <c r="BL136" s="153"/>
    </row>
    <row r="137" spans="1:73" s="50" customFormat="1" ht="15" customHeight="1" outlineLevel="1" thickBot="1" x14ac:dyDescent="0.3">
      <c r="A137" s="53"/>
      <c r="B137" s="874"/>
      <c r="C137" s="856"/>
      <c r="D137" s="774"/>
      <c r="E137" s="62" t="s">
        <v>30</v>
      </c>
      <c r="F137" s="62" t="str">
        <f t="shared" ref="F137:N137" si="130">IF(AND(OR(F133="-",F133=""),OR(F134="-",F134="")),"-",IF(AND(OR(F132="CET",F132="-",F132=""),OR($C135="CET",$C135="-",$C135="")),"-",IF($R$128="not listed","-",IF(AND(NOT(F$5="-"),NOT(F$5="")),IF(AND(AND(NOT(F133=0),NOT(F133="-"),NOT(F133="")),AND(NOT(F134="-"),NOT(F134=0),NOT(F134=""))),IF(AND((F133+F134)/2&lt;1*F$5*IF(OR(F132="CET",F132="-",F132=""),IF(OR($C135="CET",$C135="-",$C135=""),"-",$C135),F132),F133&lt;1.1*F$5*IF(OR(F132="CET",F132="-",F132=""),IF(OR($C135="CET",$C135="-",$C135=""),"-",$C135),F132),F134&lt;1.1*F$5*IF(OR(F132="CET",F132="-",F132=""),IF($C135="CET","-",$C135),F132)),"passed","refused"),IF(IF(OR(F133="-",F133=""),F134,F133)&lt;0.7*F$5*IF(OR(F132="CET",F132="-",F132=""),IF($C135="CET","-",$C135),F132),"passed",IF(IF(OR(F133="-",F133=""),F134,F133)&lt;1.1*IF(OR(F132="CET",F132="-",F132=""),IF($C135="CET","-",$C135),F132)*F$5,"failed","refused"))),"-"))))</f>
        <v>-</v>
      </c>
      <c r="G137" s="62" t="str">
        <f t="shared" si="130"/>
        <v>-</v>
      </c>
      <c r="H137" s="62" t="str">
        <f t="shared" si="130"/>
        <v>-</v>
      </c>
      <c r="I137" s="62" t="str">
        <f t="shared" si="130"/>
        <v>-</v>
      </c>
      <c r="J137" s="62" t="str">
        <f t="shared" si="130"/>
        <v>-</v>
      </c>
      <c r="K137" s="169" t="str">
        <f t="shared" si="130"/>
        <v>-</v>
      </c>
      <c r="L137" s="169" t="str">
        <f t="shared" si="130"/>
        <v>-</v>
      </c>
      <c r="M137" s="169" t="str">
        <f t="shared" si="130"/>
        <v>-</v>
      </c>
      <c r="N137" s="62" t="str">
        <f t="shared" si="130"/>
        <v>-</v>
      </c>
      <c r="O137" s="884"/>
      <c r="P137" s="885"/>
      <c r="Q137" s="885"/>
      <c r="R137" s="886"/>
      <c r="S137" s="749"/>
      <c r="T137" s="750"/>
      <c r="U137" s="750"/>
      <c r="V137" s="754"/>
      <c r="W137" s="51"/>
      <c r="X137" s="51"/>
      <c r="Y137" s="743"/>
      <c r="Z137" s="743"/>
      <c r="AA137" s="743"/>
      <c r="AB137" s="743"/>
      <c r="AC137" s="743"/>
      <c r="AD137" s="743"/>
      <c r="AE137" s="743"/>
      <c r="AF137" s="743"/>
      <c r="AG137" s="743"/>
      <c r="AH137" s="743"/>
      <c r="BC137" s="155" t="str">
        <f t="shared" si="121"/>
        <v>-</v>
      </c>
      <c r="BD137" s="151" t="str">
        <f>"0.7*IEF " &amp; (B132)</f>
        <v>0.7*IEF aggressive @ minimum moderate temperature limit</v>
      </c>
      <c r="BE137" s="153" t="str">
        <f>IF(AND(OR($C135="-",$C135="CET",$C135=""),OR(F132="-",F132="CET",F132="")),"-",0.7*IF(OR(F132="CET",F132="-",F132=""),IF(OR($C135="CET",$C135="-",$C135=""),"-",$C135),F132))</f>
        <v>-</v>
      </c>
      <c r="BF137" s="153" t="str">
        <f t="shared" ref="BF137:BL137" si="131">IF(AND(OR($C135="-",$C135="CET",$C135=""),OR(G132="-",G132="CET",G132="")),"-",0.7*IF(OR(G132="CET",G132="-",G132=""),IF(OR($C135="CET",$C135="-",$C135=""),"-",$C135),G132))</f>
        <v>-</v>
      </c>
      <c r="BG137" s="153" t="str">
        <f t="shared" si="131"/>
        <v>-</v>
      </c>
      <c r="BH137" s="153" t="str">
        <f t="shared" si="131"/>
        <v>-</v>
      </c>
      <c r="BI137" s="153" t="str">
        <f t="shared" si="131"/>
        <v>-</v>
      </c>
      <c r="BJ137" s="153" t="str">
        <f t="shared" si="131"/>
        <v>-</v>
      </c>
      <c r="BK137" s="153" t="str">
        <f t="shared" si="131"/>
        <v>-</v>
      </c>
      <c r="BL137" s="153" t="str">
        <f t="shared" si="131"/>
        <v>-</v>
      </c>
      <c r="BM137" s="150"/>
      <c r="BN137" s="150"/>
      <c r="BO137" s="150"/>
      <c r="BP137" s="150"/>
      <c r="BQ137" s="150"/>
      <c r="BR137" s="150"/>
      <c r="BS137" s="150"/>
      <c r="BT137" s="150"/>
      <c r="BU137" s="150"/>
    </row>
    <row r="138" spans="1:73" ht="15" customHeight="1" outlineLevel="1" thickBot="1" x14ac:dyDescent="0.3">
      <c r="A138" s="362"/>
      <c r="B138" s="872" t="s">
        <v>344</v>
      </c>
      <c r="C138" s="508" t="s">
        <v>64</v>
      </c>
      <c r="D138" s="767" t="s">
        <v>119</v>
      </c>
      <c r="E138" s="769"/>
      <c r="F138" s="107" t="s">
        <v>64</v>
      </c>
      <c r="G138" s="107" t="s">
        <v>64</v>
      </c>
      <c r="H138" s="107" t="s">
        <v>64</v>
      </c>
      <c r="I138" s="107" t="s">
        <v>64</v>
      </c>
      <c r="J138" s="107" t="s">
        <v>64</v>
      </c>
      <c r="K138" s="164" t="s">
        <v>64</v>
      </c>
      <c r="L138" s="164" t="s">
        <v>64</v>
      </c>
      <c r="M138" s="164" t="s">
        <v>64</v>
      </c>
      <c r="N138" s="107" t="s">
        <v>64</v>
      </c>
      <c r="O138" s="884"/>
      <c r="P138" s="885"/>
      <c r="Q138" s="885"/>
      <c r="R138" s="886"/>
      <c r="S138" s="749"/>
      <c r="T138" s="750"/>
      <c r="U138" s="750"/>
      <c r="V138" s="754"/>
      <c r="W138" s="505"/>
      <c r="X138" s="505"/>
      <c r="Y138" s="743"/>
      <c r="Z138" s="743"/>
      <c r="AA138" s="743"/>
      <c r="AB138" s="743"/>
      <c r="AC138" s="743"/>
      <c r="AD138" s="743"/>
      <c r="AE138" s="743"/>
      <c r="AF138" s="743"/>
      <c r="AG138" s="743"/>
      <c r="AH138" s="743"/>
      <c r="BC138" s="155" t="str">
        <f t="shared" si="121"/>
        <v>-</v>
      </c>
      <c r="BD138" s="151" t="str">
        <f>"0.7*IEF " &amp; B138</f>
        <v>0.7*IEF aggressive @ maximum moderate temperature limitt</v>
      </c>
      <c r="BE138" s="153" t="str">
        <f>IF(AND(OR($C141="-",$C141="CET",$C141=""),OR(F138="-",F138="CET",F138="")),"-",0.7*IF(OR(F138="CET",F138="-",F138=""),IF(OR($C141="CET",$C141="-",$C141=""),"-",$C141),F138))</f>
        <v>-</v>
      </c>
      <c r="BF138" s="153" t="str">
        <f t="shared" ref="BF138:BL138" si="132">IF(AND(OR($C141="-",$C141="CET",$C141=""),OR(G138="-",G138="CET",G138="")),"-",0.7*IF(OR(G138="CET",G138="-",G138=""),IF(OR($C141="CET",$C141="-",$C141=""),"-",$C141),G138))</f>
        <v>-</v>
      </c>
      <c r="BG138" s="153" t="str">
        <f t="shared" si="132"/>
        <v>-</v>
      </c>
      <c r="BH138" s="153" t="str">
        <f t="shared" si="132"/>
        <v>-</v>
      </c>
      <c r="BI138" s="153" t="str">
        <f t="shared" si="132"/>
        <v>-</v>
      </c>
      <c r="BJ138" s="153" t="str">
        <f t="shared" si="132"/>
        <v>-</v>
      </c>
      <c r="BK138" s="153" t="str">
        <f t="shared" si="132"/>
        <v>-</v>
      </c>
      <c r="BL138" s="153" t="str">
        <f t="shared" si="132"/>
        <v>-</v>
      </c>
    </row>
    <row r="139" spans="1:73" ht="15" customHeight="1" outlineLevel="1" x14ac:dyDescent="0.25">
      <c r="A139" s="362"/>
      <c r="B139" s="873"/>
      <c r="C139" s="770" t="s">
        <v>114</v>
      </c>
      <c r="D139" s="770" t="s">
        <v>113</v>
      </c>
      <c r="E139" s="106" t="s">
        <v>94</v>
      </c>
      <c r="F139" s="105" t="s">
        <v>5</v>
      </c>
      <c r="G139" s="105" t="s">
        <v>5</v>
      </c>
      <c r="H139" s="105" t="s">
        <v>5</v>
      </c>
      <c r="I139" s="105" t="s">
        <v>5</v>
      </c>
      <c r="J139" s="105" t="s">
        <v>5</v>
      </c>
      <c r="K139" s="173" t="s">
        <v>5</v>
      </c>
      <c r="L139" s="173" t="s">
        <v>5</v>
      </c>
      <c r="M139" s="173" t="s">
        <v>5</v>
      </c>
      <c r="N139" s="105" t="s">
        <v>5</v>
      </c>
      <c r="O139" s="884"/>
      <c r="P139" s="885"/>
      <c r="Q139" s="885"/>
      <c r="R139" s="886"/>
      <c r="S139" s="749"/>
      <c r="T139" s="750"/>
      <c r="U139" s="750"/>
      <c r="V139" s="754"/>
      <c r="W139" s="505"/>
      <c r="X139" s="505"/>
      <c r="Y139" s="743"/>
      <c r="Z139" s="743"/>
      <c r="AA139" s="743"/>
      <c r="AB139" s="743"/>
      <c r="AC139" s="743"/>
      <c r="AD139" s="743"/>
      <c r="AE139" s="743"/>
      <c r="AF139" s="743"/>
      <c r="AG139" s="743"/>
      <c r="AH139" s="743"/>
      <c r="BC139" s="155" t="str">
        <f t="shared" si="121"/>
        <v>-</v>
      </c>
      <c r="BD139" s="151" t="str">
        <f>"0.7*IEF " &amp; B144</f>
        <v>0.7*IEF aggressive @ maximum moderate temperature limit and extended altitude</v>
      </c>
      <c r="BE139" s="153" t="str">
        <f>IF(AND(OR($C147="-",$C147="CET",$C147=""),OR(F144="-",F144="CET",F144="")),"-",0.7*IF(OR(F144="CET",F144="-",F144=""),IF(OR($C147="CET",$C147="-",$C147=""),"-",$C147),F144))</f>
        <v>-</v>
      </c>
      <c r="BF139" s="153" t="str">
        <f t="shared" ref="BF139:BL139" si="133">IF(AND(OR($C147="-",$C147="CET",$C147=""),OR(G144="-",G144="CET",G144="")),"-",0.7*IF(OR(G144="CET",G144="-",G144=""),IF(OR($C147="CET",$C147="-",$C147=""),"-",$C147),G144))</f>
        <v>-</v>
      </c>
      <c r="BG139" s="153" t="str">
        <f t="shared" si="133"/>
        <v>-</v>
      </c>
      <c r="BH139" s="153" t="str">
        <f t="shared" si="133"/>
        <v>-</v>
      </c>
      <c r="BI139" s="153" t="str">
        <f t="shared" si="133"/>
        <v>-</v>
      </c>
      <c r="BJ139" s="153" t="str">
        <f t="shared" si="133"/>
        <v>-</v>
      </c>
      <c r="BK139" s="153" t="str">
        <f t="shared" si="133"/>
        <v>-</v>
      </c>
      <c r="BL139" s="153" t="str">
        <f t="shared" si="133"/>
        <v>-</v>
      </c>
    </row>
    <row r="140" spans="1:73" ht="15" customHeight="1" outlineLevel="1" thickBot="1" x14ac:dyDescent="0.3">
      <c r="A140" s="40"/>
      <c r="B140" s="873"/>
      <c r="C140" s="742"/>
      <c r="D140" s="742"/>
      <c r="E140" s="104" t="s">
        <v>95</v>
      </c>
      <c r="F140" s="103" t="s">
        <v>5</v>
      </c>
      <c r="G140" s="103" t="s">
        <v>5</v>
      </c>
      <c r="H140" s="103" t="s">
        <v>5</v>
      </c>
      <c r="I140" s="103" t="s">
        <v>5</v>
      </c>
      <c r="J140" s="103" t="s">
        <v>5</v>
      </c>
      <c r="K140" s="174" t="s">
        <v>5</v>
      </c>
      <c r="L140" s="174" t="s">
        <v>5</v>
      </c>
      <c r="M140" s="174" t="s">
        <v>5</v>
      </c>
      <c r="N140" s="103" t="s">
        <v>5</v>
      </c>
      <c r="O140" s="884"/>
      <c r="P140" s="885"/>
      <c r="Q140" s="885"/>
      <c r="R140" s="886"/>
      <c r="S140" s="749"/>
      <c r="T140" s="750"/>
      <c r="U140" s="750"/>
      <c r="V140" s="754"/>
      <c r="W140" s="505"/>
      <c r="X140" s="505"/>
      <c r="Y140" s="743"/>
      <c r="Z140" s="743"/>
      <c r="AA140" s="743"/>
      <c r="AB140" s="743"/>
      <c r="AC140" s="743"/>
      <c r="AD140" s="743"/>
      <c r="AE140" s="743"/>
      <c r="AF140" s="743"/>
      <c r="AG140" s="743"/>
      <c r="AH140" s="743"/>
      <c r="BC140" s="155" t="str">
        <f t="shared" si="121"/>
        <v>-</v>
      </c>
      <c r="BD140" s="151" t="str">
        <f>"0.7*IEF " &amp; B150</f>
        <v xml:space="preserve">0.7*IEF </v>
      </c>
      <c r="BE140" s="153" t="str">
        <f>IF(AND(OR($C153="-",$C153="CET",$C153=""),OR(F150="-",F150="CET",F150="")),"-",0.7*IF(OR(F150="CET",F150="-",F150=""),IF(OR($C153="CET",$C153="-",$C153=""),"-",$C153),F150))</f>
        <v>-</v>
      </c>
      <c r="BF140" s="153" t="str">
        <f t="shared" ref="BF140:BL140" si="134">IF(AND(OR($C153="-",$C153="CET",$C153=""),OR(G150="-",G150="CET",G150="")),"-",0.7*IF(OR(G150="CET",G150="-",G150=""),IF(OR($C153="CET",$C153="-",$C153=""),"-",$C153),G150))</f>
        <v>-</v>
      </c>
      <c r="BG140" s="153" t="str">
        <f t="shared" si="134"/>
        <v>-</v>
      </c>
      <c r="BH140" s="153" t="str">
        <f t="shared" si="134"/>
        <v>-</v>
      </c>
      <c r="BI140" s="153" t="str">
        <f t="shared" si="134"/>
        <v>-</v>
      </c>
      <c r="BJ140" s="153" t="str">
        <f t="shared" si="134"/>
        <v>-</v>
      </c>
      <c r="BK140" s="153" t="str">
        <f t="shared" si="134"/>
        <v>-</v>
      </c>
      <c r="BL140" s="153" t="str">
        <f t="shared" si="134"/>
        <v>-</v>
      </c>
    </row>
    <row r="141" spans="1:73" ht="15" customHeight="1" outlineLevel="1" thickBot="1" x14ac:dyDescent="0.3">
      <c r="A141" s="40"/>
      <c r="B141" s="873"/>
      <c r="C141" s="854" t="s">
        <v>64</v>
      </c>
      <c r="D141" s="772" t="str">
        <f>IF(AND(F142="-",G142="-",H142="-",I142="-",J142="-",K142="-",K142="-",L142="-"),"-",MAX(F142,G142,H142,I142,J142,K142,L142,M142))</f>
        <v>-</v>
      </c>
      <c r="E141" s="66" t="s">
        <v>177</v>
      </c>
      <c r="F141" s="65" t="str">
        <f>IF(OR(F140="-",F140=""),IF(OR(F139="-",F139=""),"-",F139),IF(OR(F139="-",F139=""),F140,(F139+F140)/2))</f>
        <v>-</v>
      </c>
      <c r="G141" s="65" t="str">
        <f t="shared" ref="G141:N141" si="135">IF(OR(G140="-",G140=""),IF(OR(G139="-",G139=""),"-",G139),IF(OR(G139="-",G139=""),G140,(G139+G140)/2))</f>
        <v>-</v>
      </c>
      <c r="H141" s="65" t="str">
        <f t="shared" si="135"/>
        <v>-</v>
      </c>
      <c r="I141" s="65" t="str">
        <f t="shared" si="135"/>
        <v>-</v>
      </c>
      <c r="J141" s="65" t="str">
        <f t="shared" si="135"/>
        <v>-</v>
      </c>
      <c r="K141" s="167" t="str">
        <f t="shared" si="135"/>
        <v>-</v>
      </c>
      <c r="L141" s="167" t="str">
        <f t="shared" si="135"/>
        <v>-</v>
      </c>
      <c r="M141" s="167" t="str">
        <f t="shared" si="135"/>
        <v>-</v>
      </c>
      <c r="N141" s="65" t="str">
        <f t="shared" si="135"/>
        <v>-</v>
      </c>
      <c r="O141" s="884"/>
      <c r="P141" s="885"/>
      <c r="Q141" s="885"/>
      <c r="R141" s="886"/>
      <c r="S141" s="749"/>
      <c r="T141" s="750"/>
      <c r="U141" s="750"/>
      <c r="V141" s="754"/>
      <c r="W141" s="505"/>
      <c r="X141" s="505"/>
      <c r="Y141" s="743"/>
      <c r="Z141" s="743"/>
      <c r="AA141" s="743"/>
      <c r="AB141" s="743"/>
      <c r="AC141" s="743"/>
      <c r="AD141" s="743"/>
      <c r="AE141" s="743"/>
      <c r="AF141" s="743"/>
      <c r="AG141" s="743"/>
      <c r="AH141" s="743"/>
      <c r="BC141" s="155" t="str">
        <f t="shared" si="121"/>
        <v>-</v>
      </c>
      <c r="BD141" s="151"/>
      <c r="BE141" s="153"/>
      <c r="BF141" s="153"/>
      <c r="BG141" s="153"/>
      <c r="BH141" s="153"/>
      <c r="BI141" s="153"/>
      <c r="BJ141" s="153"/>
      <c r="BK141" s="153"/>
      <c r="BL141" s="153"/>
    </row>
    <row r="142" spans="1:73" s="50" customFormat="1" ht="15" customHeight="1" outlineLevel="1" thickBot="1" x14ac:dyDescent="0.3">
      <c r="A142" s="52"/>
      <c r="B142" s="873"/>
      <c r="C142" s="855"/>
      <c r="D142" s="773"/>
      <c r="E142" s="64" t="s">
        <v>97</v>
      </c>
      <c r="F142" s="63" t="str">
        <f>IF(AND(OR($C141="-",$C141="CET",$C141=""),OR(F138="-",F138="CET",F138="")),"-",IF(AND(NOT(F141="-"),NOT(F$5="-"),NOT(F$5="")),F141/F$5,"-"))</f>
        <v>-</v>
      </c>
      <c r="G142" s="63" t="str">
        <f t="shared" ref="G142:N142" si="136">IF(AND(OR($C141="-",$C141="CET",$C141=""),OR(G138="-",G138="CET",G138="")),"-",IF(AND(NOT(G141="-"),NOT(G$5="-"),NOT(G$5="")),G141/G$5,"-"))</f>
        <v>-</v>
      </c>
      <c r="H142" s="63" t="str">
        <f t="shared" si="136"/>
        <v>-</v>
      </c>
      <c r="I142" s="63" t="str">
        <f t="shared" si="136"/>
        <v>-</v>
      </c>
      <c r="J142" s="63" t="str">
        <f t="shared" si="136"/>
        <v>-</v>
      </c>
      <c r="K142" s="168" t="str">
        <f t="shared" si="136"/>
        <v>-</v>
      </c>
      <c r="L142" s="168" t="str">
        <f t="shared" si="136"/>
        <v>-</v>
      </c>
      <c r="M142" s="168" t="str">
        <f t="shared" si="136"/>
        <v>-</v>
      </c>
      <c r="N142" s="63" t="str">
        <f t="shared" si="136"/>
        <v>-</v>
      </c>
      <c r="O142" s="884"/>
      <c r="P142" s="885"/>
      <c r="Q142" s="885"/>
      <c r="R142" s="886"/>
      <c r="S142" s="749"/>
      <c r="T142" s="750"/>
      <c r="U142" s="750"/>
      <c r="V142" s="754"/>
      <c r="W142" s="51"/>
      <c r="X142" s="51"/>
      <c r="Y142" s="743"/>
      <c r="Z142" s="743"/>
      <c r="AA142" s="743"/>
      <c r="AB142" s="743"/>
      <c r="AC142" s="743"/>
      <c r="AD142" s="743"/>
      <c r="AE142" s="743"/>
      <c r="AF142" s="743"/>
      <c r="AG142" s="743"/>
      <c r="AH142" s="743"/>
      <c r="BC142" s="155" t="str">
        <f t="shared" si="121"/>
        <v>-</v>
      </c>
      <c r="BD142" s="151"/>
      <c r="BE142" s="153"/>
      <c r="BF142" s="153"/>
      <c r="BG142" s="153"/>
      <c r="BH142" s="153"/>
      <c r="BI142" s="153"/>
      <c r="BJ142" s="153"/>
      <c r="BK142" s="153"/>
      <c r="BL142" s="153"/>
      <c r="BM142" s="150"/>
      <c r="BN142" s="150"/>
      <c r="BO142" s="150"/>
      <c r="BP142" s="150"/>
      <c r="BQ142" s="150"/>
      <c r="BR142" s="150"/>
      <c r="BS142" s="150"/>
      <c r="BT142" s="150"/>
      <c r="BU142" s="150"/>
    </row>
    <row r="143" spans="1:73" ht="15" customHeight="1" outlineLevel="1" thickBot="1" x14ac:dyDescent="0.3">
      <c r="A143" s="40"/>
      <c r="B143" s="874"/>
      <c r="C143" s="856"/>
      <c r="D143" s="774"/>
      <c r="E143" s="62" t="s">
        <v>30</v>
      </c>
      <c r="F143" s="62" t="str">
        <f t="shared" ref="F143:N143" si="137">IF(AND(OR(F139="-",F139=""),OR(F140="-",F140="")),"-",IF(AND(OR(F138="CET",F138="-",F138=""),OR($C141="CET",$C141="-",$C141="")),"-",IF($R$128="not listed","-",IF(AND(NOT(F$5="-"),NOT(F$5="")),IF(AND(AND(NOT(F139=0),NOT(F139="-"),NOT(F139="")),AND(NOT(F140="-"),NOT(F140=0),NOT(F140=""))),IF(AND((F139+F140)/2&lt;1*F$5*IF(OR(F138="CET",F138="-",F138=""),IF(OR($C141="CET",$C141="-",$C141=""),"-",$C141),F138),F139&lt;1.1*F$5*IF(OR(F138="CET",F138="-",F138=""),IF(OR($C141="CET",$C141="-",$C141=""),"-",$C141),F138),F140&lt;1.1*F$5*IF(OR(F138="CET",F138="-",F138=""),IF($C141="CET","-",$C141),F138)),"passed","refused"),IF(IF(OR(F139="-",F139=""),F140,F139)&lt;0.7*F$5*IF(OR(F138="CET",F138="-",F138=""),IF($C141="CET","-",$C141),F138),"passed",IF(IF(OR(F139="-",F139=""),F140,F139)&lt;1.1*IF(OR(F138="CET",F138="-",F138=""),IF($C141="CET","-",$C141),F138)*F$5,"failed","refused"))),"-"))))</f>
        <v>-</v>
      </c>
      <c r="G143" s="62" t="str">
        <f t="shared" si="137"/>
        <v>-</v>
      </c>
      <c r="H143" s="62" t="str">
        <f t="shared" si="137"/>
        <v>-</v>
      </c>
      <c r="I143" s="62" t="str">
        <f t="shared" si="137"/>
        <v>-</v>
      </c>
      <c r="J143" s="62" t="str">
        <f t="shared" si="137"/>
        <v>-</v>
      </c>
      <c r="K143" s="169" t="str">
        <f t="shared" si="137"/>
        <v>-</v>
      </c>
      <c r="L143" s="169" t="str">
        <f t="shared" si="137"/>
        <v>-</v>
      </c>
      <c r="M143" s="169" t="str">
        <f t="shared" si="137"/>
        <v>-</v>
      </c>
      <c r="N143" s="62" t="str">
        <f t="shared" si="137"/>
        <v>-</v>
      </c>
      <c r="O143" s="884"/>
      <c r="P143" s="885"/>
      <c r="Q143" s="885"/>
      <c r="R143" s="886"/>
      <c r="S143" s="749"/>
      <c r="T143" s="750"/>
      <c r="U143" s="750"/>
      <c r="V143" s="754"/>
      <c r="W143" s="505"/>
      <c r="X143" s="505"/>
      <c r="Y143" s="743"/>
      <c r="Z143" s="743"/>
      <c r="AA143" s="743"/>
      <c r="AB143" s="743"/>
      <c r="AC143" s="743"/>
      <c r="AD143" s="743"/>
      <c r="AE143" s="743"/>
      <c r="AF143" s="743"/>
      <c r="AG143" s="743"/>
      <c r="AH143" s="743"/>
      <c r="BC143" s="155" t="str">
        <f t="shared" si="121"/>
        <v>-</v>
      </c>
      <c r="BD143" s="151" t="str">
        <f>$B132</f>
        <v>aggressive @ minimum moderate temperature limit</v>
      </c>
      <c r="BE143" s="153" t="str">
        <f>F136</f>
        <v>-</v>
      </c>
      <c r="BF143" s="153" t="str">
        <f t="shared" ref="BF143:BL143" si="138">G136</f>
        <v>-</v>
      </c>
      <c r="BG143" s="153" t="str">
        <f t="shared" si="138"/>
        <v>-</v>
      </c>
      <c r="BH143" s="153" t="str">
        <f t="shared" si="138"/>
        <v>-</v>
      </c>
      <c r="BI143" s="153" t="str">
        <f t="shared" si="138"/>
        <v>-</v>
      </c>
      <c r="BJ143" s="153" t="str">
        <f t="shared" si="138"/>
        <v>-</v>
      </c>
      <c r="BK143" s="153" t="str">
        <f t="shared" si="138"/>
        <v>-</v>
      </c>
      <c r="BL143" s="153" t="str">
        <f t="shared" si="138"/>
        <v>-</v>
      </c>
    </row>
    <row r="144" spans="1:73" ht="15" customHeight="1" outlineLevel="1" thickBot="1" x14ac:dyDescent="0.3">
      <c r="A144" s="40"/>
      <c r="B144" s="872" t="s">
        <v>345</v>
      </c>
      <c r="C144" s="508" t="s">
        <v>64</v>
      </c>
      <c r="D144" s="767" t="s">
        <v>119</v>
      </c>
      <c r="E144" s="769"/>
      <c r="F144" s="107" t="s">
        <v>64</v>
      </c>
      <c r="G144" s="107" t="s">
        <v>64</v>
      </c>
      <c r="H144" s="107" t="s">
        <v>64</v>
      </c>
      <c r="I144" s="107" t="s">
        <v>64</v>
      </c>
      <c r="J144" s="107" t="s">
        <v>64</v>
      </c>
      <c r="K144" s="164" t="s">
        <v>64</v>
      </c>
      <c r="L144" s="164" t="s">
        <v>64</v>
      </c>
      <c r="M144" s="164" t="s">
        <v>64</v>
      </c>
      <c r="N144" s="107" t="s">
        <v>64</v>
      </c>
      <c r="O144" s="884"/>
      <c r="P144" s="885"/>
      <c r="Q144" s="885"/>
      <c r="R144" s="886"/>
      <c r="S144" s="749"/>
      <c r="T144" s="750"/>
      <c r="U144" s="750"/>
      <c r="V144" s="754"/>
      <c r="W144" s="505"/>
      <c r="X144" s="505"/>
      <c r="Y144" s="743"/>
      <c r="Z144" s="743"/>
      <c r="AA144" s="743"/>
      <c r="AB144" s="743"/>
      <c r="AC144" s="743"/>
      <c r="AD144" s="743"/>
      <c r="AE144" s="743"/>
      <c r="AF144" s="743"/>
      <c r="AG144" s="743"/>
      <c r="AH144" s="743"/>
      <c r="BC144" s="155" t="str">
        <f t="shared" si="121"/>
        <v>-</v>
      </c>
      <c r="BD144" s="151" t="str">
        <f>$B138</f>
        <v>aggressive @ maximum moderate temperature limitt</v>
      </c>
      <c r="BE144" s="153" t="str">
        <f>F142</f>
        <v>-</v>
      </c>
      <c r="BF144" s="153" t="str">
        <f t="shared" ref="BF144:BL144" si="139">G142</f>
        <v>-</v>
      </c>
      <c r="BG144" s="153" t="str">
        <f t="shared" si="139"/>
        <v>-</v>
      </c>
      <c r="BH144" s="153" t="str">
        <f t="shared" si="139"/>
        <v>-</v>
      </c>
      <c r="BI144" s="153" t="str">
        <f t="shared" si="139"/>
        <v>-</v>
      </c>
      <c r="BJ144" s="153" t="str">
        <f t="shared" si="139"/>
        <v>-</v>
      </c>
      <c r="BK144" s="153" t="str">
        <f t="shared" si="139"/>
        <v>-</v>
      </c>
      <c r="BL144" s="153" t="str">
        <f t="shared" si="139"/>
        <v>-</v>
      </c>
    </row>
    <row r="145" spans="1:73" ht="15" customHeight="1" outlineLevel="1" x14ac:dyDescent="0.25">
      <c r="A145" s="40"/>
      <c r="B145" s="873"/>
      <c r="C145" s="770" t="s">
        <v>114</v>
      </c>
      <c r="D145" s="770" t="s">
        <v>113</v>
      </c>
      <c r="E145" s="106" t="s">
        <v>94</v>
      </c>
      <c r="F145" s="105" t="s">
        <v>5</v>
      </c>
      <c r="G145" s="105" t="s">
        <v>5</v>
      </c>
      <c r="H145" s="105" t="s">
        <v>5</v>
      </c>
      <c r="I145" s="105" t="s">
        <v>5</v>
      </c>
      <c r="J145" s="105" t="s">
        <v>5</v>
      </c>
      <c r="K145" s="173" t="s">
        <v>5</v>
      </c>
      <c r="L145" s="173" t="s">
        <v>5</v>
      </c>
      <c r="M145" s="173" t="s">
        <v>5</v>
      </c>
      <c r="N145" s="105" t="s">
        <v>5</v>
      </c>
      <c r="O145" s="884"/>
      <c r="P145" s="885"/>
      <c r="Q145" s="885"/>
      <c r="R145" s="886"/>
      <c r="S145" s="749"/>
      <c r="T145" s="750"/>
      <c r="U145" s="750"/>
      <c r="V145" s="754"/>
      <c r="W145" s="505"/>
      <c r="X145" s="505"/>
      <c r="Y145" s="743"/>
      <c r="Z145" s="743"/>
      <c r="AA145" s="743"/>
      <c r="AB145" s="743"/>
      <c r="AC145" s="743"/>
      <c r="AD145" s="743"/>
      <c r="AE145" s="743"/>
      <c r="AF145" s="743"/>
      <c r="AG145" s="743"/>
      <c r="AH145" s="743"/>
      <c r="BC145" s="155" t="str">
        <f t="shared" si="121"/>
        <v>-</v>
      </c>
      <c r="BD145" s="151" t="str">
        <f>$B144</f>
        <v>aggressive @ maximum moderate temperature limit and extended altitude</v>
      </c>
      <c r="BE145" s="153" t="str">
        <f>F148</f>
        <v>-</v>
      </c>
      <c r="BF145" s="153" t="str">
        <f t="shared" ref="BF145:BL145" si="140">G148</f>
        <v>-</v>
      </c>
      <c r="BG145" s="153" t="str">
        <f t="shared" si="140"/>
        <v>-</v>
      </c>
      <c r="BH145" s="153" t="str">
        <f t="shared" si="140"/>
        <v>-</v>
      </c>
      <c r="BI145" s="153" t="str">
        <f t="shared" si="140"/>
        <v>-</v>
      </c>
      <c r="BJ145" s="153" t="str">
        <f t="shared" si="140"/>
        <v>-</v>
      </c>
      <c r="BK145" s="153" t="str">
        <f t="shared" si="140"/>
        <v>-</v>
      </c>
      <c r="BL145" s="153" t="str">
        <f t="shared" si="140"/>
        <v>-</v>
      </c>
    </row>
    <row r="146" spans="1:73" ht="15" customHeight="1" outlineLevel="1" thickBot="1" x14ac:dyDescent="0.3">
      <c r="A146" s="40"/>
      <c r="B146" s="873"/>
      <c r="C146" s="742"/>
      <c r="D146" s="742"/>
      <c r="E146" s="104" t="s">
        <v>95</v>
      </c>
      <c r="F146" s="103" t="s">
        <v>5</v>
      </c>
      <c r="G146" s="103" t="s">
        <v>5</v>
      </c>
      <c r="H146" s="103" t="s">
        <v>5</v>
      </c>
      <c r="I146" s="103" t="s">
        <v>5</v>
      </c>
      <c r="J146" s="103" t="s">
        <v>5</v>
      </c>
      <c r="K146" s="174" t="s">
        <v>5</v>
      </c>
      <c r="L146" s="174" t="s">
        <v>5</v>
      </c>
      <c r="M146" s="174" t="s">
        <v>5</v>
      </c>
      <c r="N146" s="103" t="s">
        <v>5</v>
      </c>
      <c r="O146" s="884"/>
      <c r="P146" s="885"/>
      <c r="Q146" s="885"/>
      <c r="R146" s="886"/>
      <c r="S146" s="749"/>
      <c r="T146" s="750"/>
      <c r="U146" s="750"/>
      <c r="V146" s="754"/>
      <c r="W146" s="505"/>
      <c r="X146" s="505"/>
      <c r="Y146" s="743"/>
      <c r="Z146" s="743"/>
      <c r="AA146" s="743"/>
      <c r="AB146" s="743"/>
      <c r="AC146" s="743"/>
      <c r="AD146" s="743"/>
      <c r="AE146" s="743"/>
      <c r="AF146" s="743"/>
      <c r="AG146" s="743"/>
      <c r="AH146" s="743"/>
      <c r="BC146" s="155" t="str">
        <f t="shared" si="121"/>
        <v>-</v>
      </c>
      <c r="BD146" s="151">
        <f>$B150</f>
        <v>0</v>
      </c>
      <c r="BE146" s="153">
        <f>F154</f>
        <v>0</v>
      </c>
      <c r="BF146" s="153">
        <f t="shared" ref="BF146:BL146" si="141">G154</f>
        <v>0</v>
      </c>
      <c r="BG146" s="153">
        <f t="shared" si="141"/>
        <v>0</v>
      </c>
      <c r="BH146" s="153">
        <f t="shared" si="141"/>
        <v>0</v>
      </c>
      <c r="BI146" s="153">
        <f t="shared" si="141"/>
        <v>0</v>
      </c>
      <c r="BJ146" s="153">
        <f t="shared" si="141"/>
        <v>0</v>
      </c>
      <c r="BK146" s="153">
        <f t="shared" si="141"/>
        <v>0</v>
      </c>
      <c r="BL146" s="153">
        <f t="shared" si="141"/>
        <v>0</v>
      </c>
    </row>
    <row r="147" spans="1:73" s="50" customFormat="1" ht="15" customHeight="1" outlineLevel="1" thickBot="1" x14ac:dyDescent="0.3">
      <c r="A147" s="52"/>
      <c r="B147" s="873"/>
      <c r="C147" s="879" t="s">
        <v>64</v>
      </c>
      <c r="D147" s="772" t="str">
        <f>IF(AND(F148="-",G148="-",H148="-",I148="-",J148="-",K148="-",K148="-",L148="-"),"-",MAX(F148,G148,H148,I148,J148,K148,L148,M148))</f>
        <v>-</v>
      </c>
      <c r="E147" s="66" t="s">
        <v>177</v>
      </c>
      <c r="F147" s="65" t="str">
        <f>IF(OR(F146="-",F146=""),IF(OR(F145="-",F145=""),"-",F145),IF(OR(F145="-",F145=""),F146,(F145+F146)/2))</f>
        <v>-</v>
      </c>
      <c r="G147" s="65" t="str">
        <f t="shared" ref="G147:N147" si="142">IF(OR(G146="-",G146=""),IF(OR(G145="-",G145=""),"-",G145),IF(OR(G145="-",G145=""),G146,(G145+G146)/2))</f>
        <v>-</v>
      </c>
      <c r="H147" s="65" t="str">
        <f t="shared" si="142"/>
        <v>-</v>
      </c>
      <c r="I147" s="65" t="str">
        <f t="shared" si="142"/>
        <v>-</v>
      </c>
      <c r="J147" s="65" t="str">
        <f t="shared" si="142"/>
        <v>-</v>
      </c>
      <c r="K147" s="167" t="str">
        <f t="shared" si="142"/>
        <v>-</v>
      </c>
      <c r="L147" s="167" t="str">
        <f t="shared" si="142"/>
        <v>-</v>
      </c>
      <c r="M147" s="167" t="str">
        <f t="shared" si="142"/>
        <v>-</v>
      </c>
      <c r="N147" s="65" t="str">
        <f t="shared" si="142"/>
        <v>-</v>
      </c>
      <c r="O147" s="884"/>
      <c r="P147" s="885"/>
      <c r="Q147" s="885"/>
      <c r="R147" s="886"/>
      <c r="S147" s="749"/>
      <c r="T147" s="750"/>
      <c r="U147" s="750"/>
      <c r="V147" s="754"/>
      <c r="W147" s="51"/>
      <c r="X147" s="51"/>
      <c r="Y147" s="743"/>
      <c r="Z147" s="743"/>
      <c r="AA147" s="743"/>
      <c r="AB147" s="743"/>
      <c r="AC147" s="743"/>
      <c r="AD147" s="743"/>
      <c r="AE147" s="743"/>
      <c r="AF147" s="743"/>
      <c r="AG147" s="743"/>
      <c r="AH147" s="743"/>
      <c r="BC147" s="155" t="str">
        <f t="shared" si="121"/>
        <v>-</v>
      </c>
      <c r="BD147" s="151"/>
      <c r="BE147" s="153"/>
      <c r="BF147" s="153"/>
      <c r="BG147" s="153"/>
      <c r="BH147" s="153"/>
      <c r="BI147" s="153"/>
      <c r="BJ147" s="153"/>
      <c r="BK147" s="153"/>
      <c r="BL147" s="153"/>
      <c r="BM147" s="150"/>
      <c r="BN147" s="150"/>
      <c r="BO147" s="150"/>
      <c r="BP147" s="150"/>
      <c r="BQ147" s="150"/>
      <c r="BR147" s="150"/>
      <c r="BS147" s="150"/>
      <c r="BT147" s="150"/>
      <c r="BU147" s="150"/>
    </row>
    <row r="148" spans="1:73" ht="15" customHeight="1" outlineLevel="1" thickBot="1" x14ac:dyDescent="0.3">
      <c r="A148" s="40"/>
      <c r="B148" s="873"/>
      <c r="C148" s="880"/>
      <c r="D148" s="773"/>
      <c r="E148" s="64" t="s">
        <v>97</v>
      </c>
      <c r="F148" s="63" t="str">
        <f>IF(AND(OR($C147="-",$C147="CET",$C147=""),OR(F144="-",F144="CET",F144="")),"-",IF(AND(NOT(F147="-"),NOT(F$5="-"),NOT(F$5="")),F147/F$5,"-"))</f>
        <v>-</v>
      </c>
      <c r="G148" s="63" t="str">
        <f t="shared" ref="G148:N148" si="143">IF(AND(OR($C147="-",$C147="CET",$C147=""),OR(G144="-",G144="CET",G144="")),"-",IF(AND(NOT(G147="-"),NOT(G$5="-"),NOT(G$5="")),G147/G$5,"-"))</f>
        <v>-</v>
      </c>
      <c r="H148" s="63" t="str">
        <f t="shared" si="143"/>
        <v>-</v>
      </c>
      <c r="I148" s="63" t="str">
        <f t="shared" si="143"/>
        <v>-</v>
      </c>
      <c r="J148" s="63" t="str">
        <f t="shared" si="143"/>
        <v>-</v>
      </c>
      <c r="K148" s="168" t="str">
        <f t="shared" si="143"/>
        <v>-</v>
      </c>
      <c r="L148" s="168" t="str">
        <f t="shared" si="143"/>
        <v>-</v>
      </c>
      <c r="M148" s="168" t="str">
        <f t="shared" si="143"/>
        <v>-</v>
      </c>
      <c r="N148" s="63" t="str">
        <f t="shared" si="143"/>
        <v>-</v>
      </c>
      <c r="O148" s="884"/>
      <c r="P148" s="885"/>
      <c r="Q148" s="885"/>
      <c r="R148" s="886"/>
      <c r="S148" s="749"/>
      <c r="T148" s="750"/>
      <c r="U148" s="750"/>
      <c r="V148" s="754"/>
      <c r="W148" s="505"/>
      <c r="X148" s="505"/>
      <c r="Y148" s="743"/>
      <c r="Z148" s="743"/>
      <c r="AA148" s="743"/>
      <c r="AB148" s="743"/>
      <c r="AC148" s="743"/>
      <c r="AD148" s="743"/>
      <c r="AE148" s="743"/>
      <c r="AF148" s="743"/>
      <c r="AG148" s="743"/>
      <c r="AH148" s="743"/>
      <c r="BC148" s="155" t="str">
        <f t="shared" si="121"/>
        <v>-</v>
      </c>
      <c r="BD148" s="151"/>
      <c r="BE148" s="153"/>
      <c r="BF148" s="153"/>
      <c r="BG148" s="153"/>
      <c r="BH148" s="153"/>
      <c r="BI148" s="153"/>
      <c r="BJ148" s="153"/>
      <c r="BK148" s="153"/>
      <c r="BL148" s="153"/>
    </row>
    <row r="149" spans="1:73" ht="15" customHeight="1" outlineLevel="1" thickBot="1" x14ac:dyDescent="0.3">
      <c r="A149" s="40"/>
      <c r="B149" s="873"/>
      <c r="C149" s="880"/>
      <c r="D149" s="773"/>
      <c r="E149" s="68" t="s">
        <v>30</v>
      </c>
      <c r="F149" s="68" t="str">
        <f t="shared" ref="F149:N149" si="144">IF(AND(OR(F145="-",F145=""),OR(F146="-",F146="")),"-",IF(AND(OR(F144="CET",F144="-",F144=""),OR($C147="CET",$C147="-",$C147="")),"-",IF($R$128="not listed","-",IF(AND(NOT(F$5="-"),NOT(F$5="")),IF(AND(AND(NOT(F145=0),NOT(F145="-"),NOT(F145="")),AND(NOT(F146="-"),NOT(F146=0),NOT(F146=""))),IF(AND((F145+F146)/2&lt;1*F$5*IF(OR(F144="CET",F144="-",F144=""),IF(OR($C147="CET",$C147="-",$C147=""),"-",$C147),F144),F145&lt;1.1*F$5*IF(OR(F144="CET",F144="-",F144=""),IF(OR($C147="CET",$C147="-",$C147=""),"-",$C147),F144),F146&lt;1.1*F$5*IF(OR(F144="CET",F144="-",F144=""),IF($C147="CET","-",$C147),F144)),"passed","refused"),IF(IF(OR(F145="-",F145=""),F146,F145)&lt;0.7*F$5*IF(OR(F144="CET",F144="-",F144=""),IF($C147="CET","-",$C147),F144),"passed",IF(IF(OR(F145="-",F145=""),F146,F145)&lt;1.1*IF(OR(F144="CET",F144="-",F144=""),IF($C147="CET","-",$C147),F144)*F$5,"failed","refused"))),"-"))))</f>
        <v>-</v>
      </c>
      <c r="G149" s="68" t="str">
        <f t="shared" si="144"/>
        <v>-</v>
      </c>
      <c r="H149" s="68" t="str">
        <f t="shared" si="144"/>
        <v>-</v>
      </c>
      <c r="I149" s="68" t="str">
        <f t="shared" si="144"/>
        <v>-</v>
      </c>
      <c r="J149" s="68" t="str">
        <f t="shared" si="144"/>
        <v>-</v>
      </c>
      <c r="K149" s="341" t="str">
        <f t="shared" si="144"/>
        <v>-</v>
      </c>
      <c r="L149" s="341" t="str">
        <f t="shared" si="144"/>
        <v>-</v>
      </c>
      <c r="M149" s="341" t="str">
        <f t="shared" si="144"/>
        <v>-</v>
      </c>
      <c r="N149" s="68" t="str">
        <f t="shared" si="144"/>
        <v>-</v>
      </c>
      <c r="O149" s="884"/>
      <c r="P149" s="885"/>
      <c r="Q149" s="885"/>
      <c r="R149" s="886"/>
      <c r="S149" s="749"/>
      <c r="T149" s="750"/>
      <c r="U149" s="750"/>
      <c r="V149" s="754"/>
      <c r="W149" s="505"/>
      <c r="X149" s="505"/>
      <c r="Y149" s="743"/>
      <c r="Z149" s="743"/>
      <c r="AA149" s="743"/>
      <c r="AB149" s="743"/>
      <c r="AC149" s="743"/>
      <c r="AD149" s="743"/>
      <c r="AE149" s="743"/>
      <c r="AF149" s="743"/>
      <c r="AG149" s="743"/>
      <c r="AH149" s="743"/>
      <c r="BC149" s="155" t="str">
        <f t="shared" si="121"/>
        <v>-</v>
      </c>
      <c r="BD149" s="151" t="str">
        <f>"IEF " &amp;B132</f>
        <v>IEF aggressive @ minimum moderate temperature limit</v>
      </c>
      <c r="BE149" s="153" t="str">
        <f>IF(AND(OR($C135="-",$C135="CET",$C135=""),OR(F132="-",F132="CET",F132="")),"-",IF(OR(F132="CET",F132="-",F132=""),IF(OR($C135="CET",$C135="-",$C135=""),"-",$C135),F132))</f>
        <v>-</v>
      </c>
      <c r="BF149" s="153" t="str">
        <f t="shared" ref="BF149:BL149" si="145">IF(AND(OR($C135="-",$C135="CET",$C135=""),OR(G132="-",G132="CET",G132="")),"-",IF(OR(G132="CET",G132="-",G132=""),IF(OR($C135="CET",$C135="-",$C135=""),"-",$C135),G132))</f>
        <v>-</v>
      </c>
      <c r="BG149" s="153" t="str">
        <f t="shared" si="145"/>
        <v>-</v>
      </c>
      <c r="BH149" s="153" t="str">
        <f t="shared" si="145"/>
        <v>-</v>
      </c>
      <c r="BI149" s="153" t="str">
        <f t="shared" si="145"/>
        <v>-</v>
      </c>
      <c r="BJ149" s="153" t="str">
        <f t="shared" si="145"/>
        <v>-</v>
      </c>
      <c r="BK149" s="153" t="str">
        <f t="shared" si="145"/>
        <v>-</v>
      </c>
      <c r="BL149" s="153" t="str">
        <f t="shared" si="145"/>
        <v>-</v>
      </c>
    </row>
    <row r="150" spans="1:73" ht="15" customHeight="1" outlineLevel="1" x14ac:dyDescent="0.25">
      <c r="A150" s="40"/>
      <c r="B150" s="889"/>
      <c r="C150" s="561"/>
      <c r="D150" s="892"/>
      <c r="E150" s="892"/>
      <c r="F150" s="562"/>
      <c r="G150" s="562"/>
      <c r="H150" s="562"/>
      <c r="I150" s="562"/>
      <c r="J150" s="562"/>
      <c r="K150" s="563"/>
      <c r="L150" s="563"/>
      <c r="M150" s="563"/>
      <c r="N150" s="564"/>
      <c r="O150" s="885"/>
      <c r="P150" s="885"/>
      <c r="Q150" s="885"/>
      <c r="R150" s="886"/>
      <c r="S150" s="749"/>
      <c r="T150" s="750"/>
      <c r="U150" s="750"/>
      <c r="V150" s="754"/>
      <c r="W150" s="505"/>
      <c r="X150" s="505"/>
      <c r="Y150" s="743"/>
      <c r="Z150" s="743"/>
      <c r="AA150" s="743"/>
      <c r="AB150" s="743"/>
      <c r="AC150" s="743"/>
      <c r="AD150" s="743"/>
      <c r="AE150" s="743"/>
      <c r="AF150" s="743"/>
      <c r="AG150" s="743"/>
      <c r="AH150" s="743"/>
      <c r="BC150" s="155" t="str">
        <f t="shared" si="121"/>
        <v>-</v>
      </c>
      <c r="BD150" s="151" t="str">
        <f>"IEF " &amp; B138</f>
        <v>IEF aggressive @ maximum moderate temperature limitt</v>
      </c>
      <c r="BE150" s="153" t="str">
        <f>IF(AND(OR($C141="-",$C141="CET",$C141=""),OR(F138="-",F138="CET",F138="")),"-",IF(OR(F138="CET",F138="-",F138=""),IF(OR($C141="CET",$C141="-",$C141=""),"-",$C141),F138))</f>
        <v>-</v>
      </c>
      <c r="BF150" s="153" t="str">
        <f t="shared" ref="BF150:BL150" si="146">IF(AND(OR($C141="-",$C141="CET",$C141=""),OR(G138="-",G138="CET",G138="")),"-",IF(OR(G138="CET",G138="-",G138=""),IF(OR($C141="CET",$C141="-",$C141=""),"-",$C141),G138))</f>
        <v>-</v>
      </c>
      <c r="BG150" s="153" t="str">
        <f t="shared" si="146"/>
        <v>-</v>
      </c>
      <c r="BH150" s="153" t="str">
        <f t="shared" si="146"/>
        <v>-</v>
      </c>
      <c r="BI150" s="153" t="str">
        <f t="shared" si="146"/>
        <v>-</v>
      </c>
      <c r="BJ150" s="153" t="str">
        <f t="shared" si="146"/>
        <v>-</v>
      </c>
      <c r="BK150" s="153" t="str">
        <f t="shared" si="146"/>
        <v>-</v>
      </c>
      <c r="BL150" s="153" t="str">
        <f t="shared" si="146"/>
        <v>-</v>
      </c>
    </row>
    <row r="151" spans="1:73" ht="15" customHeight="1" outlineLevel="1" x14ac:dyDescent="0.25">
      <c r="A151" s="40"/>
      <c r="B151" s="890"/>
      <c r="C151" s="893"/>
      <c r="D151" s="893"/>
      <c r="E151" s="554"/>
      <c r="F151" s="555"/>
      <c r="G151" s="555"/>
      <c r="H151" s="555"/>
      <c r="I151" s="555"/>
      <c r="J151" s="555"/>
      <c r="K151" s="556"/>
      <c r="L151" s="556"/>
      <c r="M151" s="556"/>
      <c r="N151" s="565"/>
      <c r="O151" s="885"/>
      <c r="P151" s="885"/>
      <c r="Q151" s="885"/>
      <c r="R151" s="886"/>
      <c r="S151" s="749"/>
      <c r="T151" s="750"/>
      <c r="U151" s="750"/>
      <c r="V151" s="754"/>
      <c r="W151" s="505"/>
      <c r="X151" s="505"/>
      <c r="Y151" s="743"/>
      <c r="Z151" s="743"/>
      <c r="AA151" s="743"/>
      <c r="AB151" s="743"/>
      <c r="AC151" s="743"/>
      <c r="AD151" s="743"/>
      <c r="AE151" s="743"/>
      <c r="AF151" s="743"/>
      <c r="AG151" s="743"/>
      <c r="AH151" s="743"/>
      <c r="BC151" s="155" t="str">
        <f t="shared" si="121"/>
        <v>-</v>
      </c>
      <c r="BD151" s="151" t="str">
        <f>"IEF " &amp; B144</f>
        <v>IEF aggressive @ maximum moderate temperature limit and extended altitude</v>
      </c>
      <c r="BE151" s="153" t="str">
        <f>IF(AND(OR($C147="-",$C147="CET",$C147=""),OR(F144="-",F144="CET",F144="")),"-",IF(OR(F144="CET",F144="-",F144=""),IF(OR($C147="CET",$C147="-",$C147=""),"-",$C147),F144))</f>
        <v>-</v>
      </c>
      <c r="BF151" s="153" t="str">
        <f t="shared" ref="BF151:BL151" si="147">IF(AND(OR($C147="-",$C147="CET",$C147=""),OR(G144="-",G144="CET",G144="")),"-",IF(OR(G144="CET",G144="-",G144=""),IF(OR($C147="CET",$C147="-",$C147=""),"-",$C147),G144))</f>
        <v>-</v>
      </c>
      <c r="BG151" s="153" t="str">
        <f t="shared" si="147"/>
        <v>-</v>
      </c>
      <c r="BH151" s="153" t="str">
        <f t="shared" si="147"/>
        <v>-</v>
      </c>
      <c r="BI151" s="153" t="str">
        <f t="shared" si="147"/>
        <v>-</v>
      </c>
      <c r="BJ151" s="153" t="str">
        <f t="shared" si="147"/>
        <v>-</v>
      </c>
      <c r="BK151" s="153" t="str">
        <f t="shared" si="147"/>
        <v>-</v>
      </c>
      <c r="BL151" s="153" t="str">
        <f t="shared" si="147"/>
        <v>-</v>
      </c>
    </row>
    <row r="152" spans="1:73" s="50" customFormat="1" ht="15" customHeight="1" outlineLevel="1" x14ac:dyDescent="0.25">
      <c r="A152" s="52"/>
      <c r="B152" s="890"/>
      <c r="C152" s="893"/>
      <c r="D152" s="893"/>
      <c r="E152" s="554"/>
      <c r="F152" s="555"/>
      <c r="G152" s="555"/>
      <c r="H152" s="555"/>
      <c r="I152" s="555"/>
      <c r="J152" s="555"/>
      <c r="K152" s="556"/>
      <c r="L152" s="556"/>
      <c r="M152" s="556"/>
      <c r="N152" s="565"/>
      <c r="O152" s="885"/>
      <c r="P152" s="885"/>
      <c r="Q152" s="885"/>
      <c r="R152" s="886"/>
      <c r="S152" s="749"/>
      <c r="T152" s="750"/>
      <c r="U152" s="750"/>
      <c r="V152" s="754"/>
      <c r="W152" s="51"/>
      <c r="X152" s="51"/>
      <c r="Y152" s="743"/>
      <c r="Z152" s="743"/>
      <c r="AA152" s="743"/>
      <c r="AB152" s="743"/>
      <c r="AC152" s="743"/>
      <c r="AD152" s="743"/>
      <c r="AE152" s="743"/>
      <c r="AF152" s="743"/>
      <c r="AG152" s="743"/>
      <c r="AH152" s="743"/>
      <c r="BC152" s="155" t="str">
        <f t="shared" si="121"/>
        <v>-</v>
      </c>
      <c r="BD152" s="151" t="str">
        <f>"IEF " &amp; B150</f>
        <v xml:space="preserve">IEF </v>
      </c>
      <c r="BE152" s="153" t="str">
        <f>IF(AND(OR($C153="-",$C153="CET",$C153=""),OR(F150="-",F150="CET",F150="")),"-",IF(OR(F150="CET",F150="-",F150=""),IF(OR($C153="CET",$C153="-",$C153=""),"-",$C153),F150))</f>
        <v>-</v>
      </c>
      <c r="BF152" s="153" t="str">
        <f t="shared" ref="BF152:BL152" si="148">IF(AND(OR($C153="-",$C153="CET",$C153=""),OR(G150="-",G150="CET",G150="")),"-",IF(OR(G150="CET",G150="-",G150=""),IF(OR($C153="CET",$C153="-",$C153=""),"-",$C153),G150))</f>
        <v>-</v>
      </c>
      <c r="BG152" s="153" t="str">
        <f t="shared" si="148"/>
        <v>-</v>
      </c>
      <c r="BH152" s="153" t="str">
        <f t="shared" si="148"/>
        <v>-</v>
      </c>
      <c r="BI152" s="153" t="str">
        <f t="shared" si="148"/>
        <v>-</v>
      </c>
      <c r="BJ152" s="153" t="str">
        <f t="shared" si="148"/>
        <v>-</v>
      </c>
      <c r="BK152" s="153" t="str">
        <f t="shared" si="148"/>
        <v>-</v>
      </c>
      <c r="BL152" s="153" t="str">
        <f t="shared" si="148"/>
        <v>-</v>
      </c>
      <c r="BM152" s="150"/>
      <c r="BN152" s="150"/>
      <c r="BO152" s="150"/>
      <c r="BP152" s="150"/>
      <c r="BQ152" s="150"/>
      <c r="BR152" s="150"/>
      <c r="BS152" s="150"/>
      <c r="BT152" s="150"/>
      <c r="BU152" s="150"/>
    </row>
    <row r="153" spans="1:73" ht="15" customHeight="1" outlineLevel="1" x14ac:dyDescent="0.25">
      <c r="A153" s="40"/>
      <c r="B153" s="890"/>
      <c r="C153" s="875"/>
      <c r="D153" s="877"/>
      <c r="E153" s="557"/>
      <c r="F153" s="557"/>
      <c r="G153" s="557"/>
      <c r="H153" s="557"/>
      <c r="I153" s="557"/>
      <c r="J153" s="557"/>
      <c r="K153" s="558"/>
      <c r="L153" s="558"/>
      <c r="M153" s="558"/>
      <c r="N153" s="566"/>
      <c r="O153" s="885"/>
      <c r="P153" s="885"/>
      <c r="Q153" s="885"/>
      <c r="R153" s="886"/>
      <c r="S153" s="749"/>
      <c r="T153" s="750"/>
      <c r="U153" s="750"/>
      <c r="V153" s="754"/>
      <c r="W153" s="505"/>
      <c r="X153" s="505"/>
      <c r="Y153" s="743"/>
      <c r="Z153" s="743"/>
      <c r="AA153" s="743"/>
      <c r="AB153" s="743"/>
      <c r="AC153" s="743"/>
      <c r="AD153" s="743"/>
      <c r="AE153" s="743"/>
      <c r="AF153" s="743"/>
      <c r="AG153" s="743"/>
      <c r="AH153" s="743"/>
      <c r="BC153" s="155" t="str">
        <f t="shared" si="121"/>
        <v>-</v>
      </c>
      <c r="BD153" s="151"/>
      <c r="BE153" s="153"/>
      <c r="BF153" s="153"/>
      <c r="BG153" s="153"/>
      <c r="BH153" s="153"/>
      <c r="BI153" s="153"/>
      <c r="BJ153" s="153"/>
      <c r="BK153" s="153"/>
      <c r="BL153" s="153"/>
    </row>
    <row r="154" spans="1:73" ht="15" customHeight="1" outlineLevel="1" x14ac:dyDescent="0.25">
      <c r="A154" s="40"/>
      <c r="B154" s="890"/>
      <c r="C154" s="875"/>
      <c r="D154" s="877"/>
      <c r="E154" s="559"/>
      <c r="F154" s="560"/>
      <c r="G154" s="560"/>
      <c r="H154" s="560"/>
      <c r="I154" s="560"/>
      <c r="J154" s="560"/>
      <c r="K154" s="558"/>
      <c r="L154" s="558"/>
      <c r="M154" s="558"/>
      <c r="N154" s="567"/>
      <c r="O154" s="885"/>
      <c r="P154" s="885"/>
      <c r="Q154" s="885"/>
      <c r="R154" s="886"/>
      <c r="S154" s="749"/>
      <c r="T154" s="750"/>
      <c r="U154" s="750"/>
      <c r="V154" s="754"/>
      <c r="W154" s="505"/>
      <c r="X154" s="505"/>
      <c r="Y154" s="743"/>
      <c r="Z154" s="743"/>
      <c r="AA154" s="743"/>
      <c r="AB154" s="743"/>
      <c r="AC154" s="743"/>
      <c r="AD154" s="743"/>
      <c r="AE154" s="743"/>
      <c r="AF154" s="743"/>
      <c r="AG154" s="743"/>
      <c r="AH154" s="743"/>
      <c r="BC154" s="155" t="str">
        <f t="shared" si="121"/>
        <v>-</v>
      </c>
      <c r="BD154" s="151"/>
      <c r="BE154" s="153"/>
      <c r="BF154" s="153"/>
      <c r="BG154" s="153"/>
      <c r="BH154" s="153"/>
      <c r="BI154" s="153"/>
      <c r="BJ154" s="153"/>
      <c r="BK154" s="153"/>
      <c r="BL154" s="153"/>
    </row>
    <row r="155" spans="1:73" ht="15" customHeight="1" outlineLevel="1" thickBot="1" x14ac:dyDescent="0.3">
      <c r="A155" s="40"/>
      <c r="B155" s="891"/>
      <c r="C155" s="876"/>
      <c r="D155" s="878"/>
      <c r="E155" s="568"/>
      <c r="F155" s="568"/>
      <c r="G155" s="568"/>
      <c r="H155" s="568"/>
      <c r="I155" s="568"/>
      <c r="J155" s="568"/>
      <c r="K155" s="569"/>
      <c r="L155" s="569"/>
      <c r="M155" s="569"/>
      <c r="N155" s="570"/>
      <c r="O155" s="887"/>
      <c r="P155" s="887"/>
      <c r="Q155" s="887"/>
      <c r="R155" s="888"/>
      <c r="S155" s="751"/>
      <c r="T155" s="752"/>
      <c r="U155" s="752"/>
      <c r="V155" s="755"/>
      <c r="W155" s="505"/>
      <c r="X155" s="505"/>
      <c r="Y155" s="743"/>
      <c r="Z155" s="743"/>
      <c r="AA155" s="743"/>
      <c r="AB155" s="743"/>
      <c r="AC155" s="743"/>
      <c r="AD155" s="743"/>
      <c r="AE155" s="743"/>
      <c r="AF155" s="743"/>
      <c r="AG155" s="743"/>
      <c r="AH155" s="743"/>
      <c r="BC155" s="155" t="str">
        <f t="shared" si="121"/>
        <v>-</v>
      </c>
    </row>
    <row r="156" spans="1:73" x14ac:dyDescent="0.25">
      <c r="BC156" s="155" t="str">
        <f t="shared" ref="BC156:BC223" si="149">IF(COUNTIF(F156:M156,"refused")&gt;0,"refused",IF(COUNTIF(F156:M156,"failed")&gt;0,"failed",IF(COUNTIF(F156:M156,"passed")&gt;0,"passed","-")))</f>
        <v>-</v>
      </c>
    </row>
    <row r="157" spans="1:73" x14ac:dyDescent="0.25">
      <c r="BC157" s="155" t="str">
        <f t="shared" si="149"/>
        <v>-</v>
      </c>
    </row>
    <row r="158" spans="1:73" ht="15.75" thickBot="1" x14ac:dyDescent="0.3">
      <c r="BC158" s="155" t="str">
        <f t="shared" si="149"/>
        <v>-</v>
      </c>
    </row>
    <row r="159" spans="1:73" ht="24.95" customHeight="1" thickBot="1" x14ac:dyDescent="0.3">
      <c r="A159" s="362"/>
      <c r="B159" s="185">
        <v>6</v>
      </c>
      <c r="C159" s="757" t="s">
        <v>109</v>
      </c>
      <c r="D159" s="758"/>
      <c r="E159" s="758"/>
      <c r="F159" s="758"/>
      <c r="G159" s="758"/>
      <c r="H159" s="758"/>
      <c r="I159" s="758"/>
      <c r="J159" s="758"/>
      <c r="K159" s="758"/>
      <c r="L159" s="758"/>
      <c r="M159" s="758"/>
      <c r="N159" s="759"/>
      <c r="O159" s="49" t="s">
        <v>117</v>
      </c>
      <c r="P159" s="71" t="str">
        <f>IF(COUNTIF(F163:M167,"refused")&gt;0,"refused",IF(COUNTIF(F163:M167,"failed")&gt;0,"failed",IF(COUNTIF(F163:M167,"passed")&gt;0,"passed","-")))</f>
        <v>-</v>
      </c>
      <c r="Q159" s="70" t="s">
        <v>80</v>
      </c>
      <c r="R159" s="70" t="str">
        <f>IF(AND(OR(F164="-",F164=""),OR(G163="-",G163=""),OR(G164="-",G164=""),OR(H163="-",H163=""),OR(H164="-",H164=""),OR(I163="-",I163=""),OR(I164="-",I164=""),OR(J163="-",J163=""),OR(J164="-",J164=""),OR(K163="-",K163=""),OR(K164="-",K164=""),OR(N163="-",N163=""),OR(N164="-",N164=""),OR(F163="-",F163="")),"not listed","listed")</f>
        <v>not listed</v>
      </c>
      <c r="S159" s="504"/>
      <c r="T159" s="43"/>
      <c r="U159" s="43"/>
      <c r="V159" s="44"/>
      <c r="W159" s="47"/>
      <c r="X159" s="47"/>
      <c r="Y159" s="756"/>
      <c r="Z159" s="756"/>
      <c r="AA159" s="756"/>
      <c r="AB159" s="756"/>
      <c r="AC159" s="756"/>
      <c r="AD159" s="756"/>
      <c r="AE159" s="756"/>
      <c r="AF159" s="756"/>
      <c r="AG159" s="756"/>
      <c r="AH159" s="756"/>
      <c r="BC159" s="155" t="str">
        <f t="shared" ref="BC159:BC185" si="150">IF(COUNTIF(F159:M159,"refused")&gt;0,"refused",IF(COUNTIF(F159:M159,"failed")&gt;0,"failed",IF(COUNTIF(F159:M159,"passed")&gt;0,"passed","-")))</f>
        <v>-</v>
      </c>
    </row>
    <row r="160" spans="1:73" ht="15" customHeight="1" outlineLevel="1" thickBot="1" x14ac:dyDescent="0.3">
      <c r="A160" s="362"/>
      <c r="B160" s="506"/>
      <c r="C160" s="507"/>
      <c r="D160" s="507"/>
      <c r="E160" s="507"/>
      <c r="F160" s="507"/>
      <c r="G160" s="507"/>
      <c r="H160" s="507"/>
      <c r="I160" s="507"/>
      <c r="J160" s="507"/>
      <c r="K160" s="162"/>
      <c r="L160" s="162"/>
      <c r="M160" s="162"/>
      <c r="N160" s="507"/>
      <c r="O160" s="507"/>
      <c r="P160" s="507"/>
      <c r="Q160" s="507"/>
      <c r="R160" s="507"/>
      <c r="S160" s="507"/>
      <c r="T160" s="45"/>
      <c r="U160" s="45"/>
      <c r="V160" s="46"/>
      <c r="W160" s="505"/>
      <c r="X160" s="505"/>
      <c r="Y160" s="743"/>
      <c r="Z160" s="743"/>
      <c r="AA160" s="743"/>
      <c r="AB160" s="743"/>
      <c r="AC160" s="743"/>
      <c r="AD160" s="743"/>
      <c r="AE160" s="743"/>
      <c r="AF160" s="743"/>
      <c r="AG160" s="743"/>
      <c r="AH160" s="743"/>
      <c r="BC160" s="155" t="str">
        <f t="shared" si="150"/>
        <v>-</v>
      </c>
    </row>
    <row r="161" spans="1:73" ht="15" customHeight="1" outlineLevel="1" thickBot="1" x14ac:dyDescent="0.3">
      <c r="A161" s="362"/>
      <c r="B161" s="744" t="s">
        <v>81</v>
      </c>
      <c r="C161" s="745"/>
      <c r="D161" s="745"/>
      <c r="E161" s="745"/>
      <c r="F161" s="745"/>
      <c r="G161" s="745"/>
      <c r="H161" s="745"/>
      <c r="I161" s="745"/>
      <c r="J161" s="745"/>
      <c r="K161" s="745"/>
      <c r="L161" s="745"/>
      <c r="M161" s="745"/>
      <c r="N161" s="746"/>
      <c r="O161" s="744" t="s">
        <v>82</v>
      </c>
      <c r="P161" s="745"/>
      <c r="Q161" s="745"/>
      <c r="R161" s="746"/>
      <c r="S161" s="744" t="s">
        <v>83</v>
      </c>
      <c r="T161" s="745"/>
      <c r="U161" s="745"/>
      <c r="V161" s="746"/>
      <c r="W161" s="505"/>
      <c r="X161" s="505"/>
      <c r="Y161" s="743"/>
      <c r="Z161" s="743"/>
      <c r="AA161" s="743"/>
      <c r="AB161" s="743"/>
      <c r="AC161" s="743"/>
      <c r="AD161" s="743"/>
      <c r="AE161" s="743"/>
      <c r="AF161" s="743"/>
      <c r="AG161" s="743"/>
      <c r="AH161" s="743"/>
      <c r="BC161" s="155" t="str">
        <f t="shared" si="150"/>
        <v>-</v>
      </c>
    </row>
    <row r="162" spans="1:73" ht="35.1" customHeight="1" outlineLevel="1" thickBot="1" x14ac:dyDescent="0.3">
      <c r="A162" s="362"/>
      <c r="B162" s="767" t="s">
        <v>84</v>
      </c>
      <c r="C162" s="768"/>
      <c r="D162" s="768"/>
      <c r="E162" s="769"/>
      <c r="F162" s="69" t="str">
        <f>F$4</f>
        <v>NMHC 
[g/km]</v>
      </c>
      <c r="G162" s="69" t="str">
        <f t="shared" ref="G162:N162" si="151">G$4</f>
        <v>THC
[g/km]</v>
      </c>
      <c r="H162" s="69" t="str">
        <f t="shared" si="151"/>
        <v>CO
[g/km]</v>
      </c>
      <c r="I162" s="69" t="str">
        <f t="shared" si="151"/>
        <v>NOx
[g/km]</v>
      </c>
      <c r="J162" s="69" t="str">
        <f t="shared" si="151"/>
        <v>PM
[mg/km]</v>
      </c>
      <c r="K162" s="69" t="str">
        <f t="shared" si="151"/>
        <v>PN
[#/km]</v>
      </c>
      <c r="L162" s="366" t="str">
        <f t="shared" si="151"/>
        <v>Additional
component</v>
      </c>
      <c r="M162" s="366" t="str">
        <f t="shared" si="151"/>
        <v>Additional
component 2</v>
      </c>
      <c r="N162" s="69" t="str">
        <f t="shared" si="151"/>
        <v>CO2
[g/km]</v>
      </c>
      <c r="O162" s="747"/>
      <c r="P162" s="748"/>
      <c r="Q162" s="748"/>
      <c r="R162" s="753"/>
      <c r="S162" s="747"/>
      <c r="T162" s="748"/>
      <c r="U162" s="748"/>
      <c r="V162" s="753"/>
      <c r="W162" s="505"/>
      <c r="X162" s="505"/>
      <c r="Y162" s="743"/>
      <c r="Z162" s="743"/>
      <c r="AA162" s="743"/>
      <c r="AB162" s="743"/>
      <c r="AC162" s="743"/>
      <c r="AD162" s="743"/>
      <c r="AE162" s="743"/>
      <c r="AF162" s="743"/>
      <c r="AG162" s="743"/>
      <c r="AH162" s="743"/>
      <c r="BC162" s="155" t="str">
        <f t="shared" si="150"/>
        <v>-</v>
      </c>
    </row>
    <row r="163" spans="1:73" s="50" customFormat="1" ht="15" customHeight="1" outlineLevel="1" x14ac:dyDescent="0.25">
      <c r="A163" s="53"/>
      <c r="B163" s="797" t="s">
        <v>108</v>
      </c>
      <c r="C163" s="770" t="s">
        <v>114</v>
      </c>
      <c r="D163" s="770" t="s">
        <v>113</v>
      </c>
      <c r="E163" s="106" t="s">
        <v>94</v>
      </c>
      <c r="F163" s="105" t="s">
        <v>5</v>
      </c>
      <c r="G163" s="105" t="s">
        <v>5</v>
      </c>
      <c r="H163" s="105" t="s">
        <v>5</v>
      </c>
      <c r="I163" s="105" t="s">
        <v>5</v>
      </c>
      <c r="J163" s="105" t="s">
        <v>5</v>
      </c>
      <c r="K163" s="173" t="s">
        <v>5</v>
      </c>
      <c r="L163" s="173" t="s">
        <v>5</v>
      </c>
      <c r="M163" s="173" t="s">
        <v>5</v>
      </c>
      <c r="N163" s="105" t="s">
        <v>5</v>
      </c>
      <c r="O163" s="749"/>
      <c r="P163" s="750"/>
      <c r="Q163" s="750"/>
      <c r="R163" s="754"/>
      <c r="S163" s="749"/>
      <c r="T163" s="750"/>
      <c r="U163" s="750"/>
      <c r="V163" s="754"/>
      <c r="W163" s="51"/>
      <c r="X163" s="51"/>
      <c r="Y163" s="743"/>
      <c r="Z163" s="743"/>
      <c r="AA163" s="743"/>
      <c r="AB163" s="743"/>
      <c r="AC163" s="743"/>
      <c r="AD163" s="743"/>
      <c r="AE163" s="743"/>
      <c r="AF163" s="743"/>
      <c r="AG163" s="743"/>
      <c r="AH163" s="743"/>
      <c r="BC163" s="155" t="str">
        <f t="shared" si="150"/>
        <v>-</v>
      </c>
      <c r="BD163" s="150"/>
      <c r="BE163" s="150"/>
      <c r="BF163" s="150"/>
      <c r="BG163" s="150"/>
      <c r="BH163" s="150"/>
      <c r="BI163" s="150"/>
      <c r="BJ163" s="150"/>
      <c r="BK163" s="150"/>
      <c r="BL163" s="150"/>
      <c r="BM163" s="150"/>
      <c r="BN163" s="150"/>
      <c r="BO163" s="150"/>
      <c r="BP163" s="150"/>
      <c r="BQ163" s="150"/>
      <c r="BR163" s="150"/>
      <c r="BS163" s="150"/>
      <c r="BT163" s="150"/>
      <c r="BU163" s="150"/>
    </row>
    <row r="164" spans="1:73" ht="15" customHeight="1" outlineLevel="1" thickBot="1" x14ac:dyDescent="0.3">
      <c r="A164" s="362"/>
      <c r="B164" s="798"/>
      <c r="C164" s="741"/>
      <c r="D164" s="742"/>
      <c r="E164" s="104" t="s">
        <v>95</v>
      </c>
      <c r="F164" s="103" t="s">
        <v>5</v>
      </c>
      <c r="G164" s="103" t="s">
        <v>5</v>
      </c>
      <c r="H164" s="103" t="s">
        <v>5</v>
      </c>
      <c r="I164" s="103" t="s">
        <v>5</v>
      </c>
      <c r="J164" s="103" t="s">
        <v>5</v>
      </c>
      <c r="K164" s="174" t="s">
        <v>5</v>
      </c>
      <c r="L164" s="174" t="s">
        <v>5</v>
      </c>
      <c r="M164" s="174" t="s">
        <v>5</v>
      </c>
      <c r="N164" s="103" t="s">
        <v>5</v>
      </c>
      <c r="O164" s="749"/>
      <c r="P164" s="750"/>
      <c r="Q164" s="750"/>
      <c r="R164" s="754"/>
      <c r="S164" s="749"/>
      <c r="T164" s="750"/>
      <c r="U164" s="750"/>
      <c r="V164" s="754"/>
      <c r="W164" s="505"/>
      <c r="X164" s="505"/>
      <c r="Y164" s="743"/>
      <c r="Z164" s="743"/>
      <c r="AA164" s="743"/>
      <c r="AB164" s="743"/>
      <c r="AC164" s="743"/>
      <c r="AD164" s="743"/>
      <c r="AE164" s="743"/>
      <c r="AF164" s="743"/>
      <c r="AG164" s="743"/>
      <c r="AH164" s="743"/>
      <c r="BC164" s="155" t="str">
        <f t="shared" si="150"/>
        <v>-</v>
      </c>
    </row>
    <row r="165" spans="1:73" ht="15" customHeight="1" outlineLevel="1" thickBot="1" x14ac:dyDescent="0.3">
      <c r="A165" s="362"/>
      <c r="B165" s="798"/>
      <c r="C165" s="764" t="s">
        <v>5</v>
      </c>
      <c r="D165" s="772" t="str">
        <f>IF(AND(F166="-",G166="-",H166="-",I166="-",J166="-",K166="-",K166="-",L166="-"),"-",MAX(F166,G166,H166,I166,J166,K166,L166,M166))</f>
        <v>-</v>
      </c>
      <c r="E165" s="66" t="s">
        <v>177</v>
      </c>
      <c r="F165" s="65" t="str">
        <f>IF(OR(F164="-",F164=""),IF(OR(F163="-",F163=""),"-",F163),IF(OR(F163="-",F163=""),F164,(F163+F164)/2))</f>
        <v>-</v>
      </c>
      <c r="G165" s="65" t="str">
        <f t="shared" ref="G165:N165" si="152">IF(OR(G164="-",G164=""),IF(OR(G163="-",G163=""),"-",G163),IF(OR(G163="-",G163=""),G164,(G163+G164)/2))</f>
        <v>-</v>
      </c>
      <c r="H165" s="65" t="str">
        <f t="shared" si="152"/>
        <v>-</v>
      </c>
      <c r="I165" s="65" t="str">
        <f t="shared" si="152"/>
        <v>-</v>
      </c>
      <c r="J165" s="65" t="str">
        <f t="shared" si="152"/>
        <v>-</v>
      </c>
      <c r="K165" s="167" t="str">
        <f t="shared" si="152"/>
        <v>-</v>
      </c>
      <c r="L165" s="167" t="str">
        <f t="shared" si="152"/>
        <v>-</v>
      </c>
      <c r="M165" s="167" t="str">
        <f t="shared" si="152"/>
        <v>-</v>
      </c>
      <c r="N165" s="65" t="str">
        <f t="shared" si="152"/>
        <v>-</v>
      </c>
      <c r="O165" s="749"/>
      <c r="P165" s="750"/>
      <c r="Q165" s="750"/>
      <c r="R165" s="754"/>
      <c r="S165" s="749"/>
      <c r="T165" s="750"/>
      <c r="U165" s="750"/>
      <c r="V165" s="754"/>
      <c r="W165" s="505"/>
      <c r="X165" s="505"/>
      <c r="Y165" s="743"/>
      <c r="Z165" s="743"/>
      <c r="AA165" s="743"/>
      <c r="AB165" s="743"/>
      <c r="AC165" s="743"/>
      <c r="AD165" s="743"/>
      <c r="AE165" s="743"/>
      <c r="AF165" s="743"/>
      <c r="AG165" s="743"/>
      <c r="AH165" s="743"/>
      <c r="BC165" s="155" t="str">
        <f t="shared" si="150"/>
        <v>-</v>
      </c>
    </row>
    <row r="166" spans="1:73" ht="15" customHeight="1" outlineLevel="1" thickBot="1" x14ac:dyDescent="0.3">
      <c r="A166" s="362"/>
      <c r="B166" s="798"/>
      <c r="C166" s="765"/>
      <c r="D166" s="773"/>
      <c r="E166" s="64" t="s">
        <v>97</v>
      </c>
      <c r="F166" s="63" t="str">
        <f t="shared" ref="F166:N166" si="153">IF(OR($C165="-",$C165="CET",$C165=""),"-",IF(AND(NOT(F165="-"),NOT(F$5="-"),NOT(F$5="")),F165/F$5,"-"))</f>
        <v>-</v>
      </c>
      <c r="G166" s="63" t="str">
        <f t="shared" si="153"/>
        <v>-</v>
      </c>
      <c r="H166" s="63" t="str">
        <f t="shared" si="153"/>
        <v>-</v>
      </c>
      <c r="I166" s="63" t="str">
        <f t="shared" si="153"/>
        <v>-</v>
      </c>
      <c r="J166" s="63" t="str">
        <f t="shared" si="153"/>
        <v>-</v>
      </c>
      <c r="K166" s="168" t="str">
        <f t="shared" si="153"/>
        <v>-</v>
      </c>
      <c r="L166" s="168" t="str">
        <f t="shared" si="153"/>
        <v>-</v>
      </c>
      <c r="M166" s="168" t="str">
        <f t="shared" si="153"/>
        <v>-</v>
      </c>
      <c r="N166" s="63" t="str">
        <f t="shared" si="153"/>
        <v>-</v>
      </c>
      <c r="O166" s="749"/>
      <c r="P166" s="750"/>
      <c r="Q166" s="750"/>
      <c r="R166" s="754"/>
      <c r="S166" s="749"/>
      <c r="T166" s="750"/>
      <c r="U166" s="750"/>
      <c r="V166" s="754"/>
      <c r="W166" s="505"/>
      <c r="X166" s="505"/>
      <c r="Y166" s="743"/>
      <c r="Z166" s="743"/>
      <c r="AA166" s="743"/>
      <c r="AB166" s="743"/>
      <c r="AC166" s="743"/>
      <c r="AD166" s="743"/>
      <c r="AE166" s="743"/>
      <c r="AF166" s="743"/>
      <c r="AG166" s="743"/>
      <c r="AH166" s="743"/>
      <c r="BC166" s="155" t="str">
        <f t="shared" si="150"/>
        <v>-</v>
      </c>
      <c r="BD166" s="151" t="s">
        <v>85</v>
      </c>
      <c r="BE166" s="152" t="str">
        <f>F$4</f>
        <v>NMHC 
[g/km]</v>
      </c>
      <c r="BF166" s="152" t="str">
        <f t="shared" ref="BF166:BL166" si="154">G$4</f>
        <v>THC
[g/km]</v>
      </c>
      <c r="BG166" s="152" t="str">
        <f t="shared" si="154"/>
        <v>CO
[g/km]</v>
      </c>
      <c r="BH166" s="152" t="str">
        <f t="shared" si="154"/>
        <v>NOx
[g/km]</v>
      </c>
      <c r="BI166" s="152" t="str">
        <f t="shared" si="154"/>
        <v>PM
[mg/km]</v>
      </c>
      <c r="BJ166" s="152" t="str">
        <f t="shared" si="154"/>
        <v>PN
[#/km]</v>
      </c>
      <c r="BK166" s="152" t="str">
        <f t="shared" si="154"/>
        <v>Additional
component</v>
      </c>
      <c r="BL166" s="152" t="str">
        <f t="shared" si="154"/>
        <v>Additional
component 2</v>
      </c>
    </row>
    <row r="167" spans="1:73" ht="15" customHeight="1" outlineLevel="1" thickBot="1" x14ac:dyDescent="0.3">
      <c r="A167" s="362"/>
      <c r="B167" s="799"/>
      <c r="C167" s="771"/>
      <c r="D167" s="774"/>
      <c r="E167" s="62" t="s">
        <v>30</v>
      </c>
      <c r="F167" s="62" t="str">
        <f t="shared" ref="F167:N167" si="155">IF(AND(OR(F163="-",F163=""),OR(F164="-",F164="")),"-",IF(OR($C165="-",$C165="",$C165="CET"),"-",IF($R$159="not listed","-",IF(NOT(F$5="-"),IF(AND(AND(NOT(F163=0),NOT(F163="-"),NOT(F163="")),AND(NOT(F164="-"),NOT(F164=0),NOT(F164=""))),IF(AND((F163+F164)/2&lt;1*F$5*IF(OR($C165="CET",$C165="-",$C165=""),"-",$C165),F163&lt;1.1*F$5*IF(OR($C165="CET",$C165="-",$C165=""),"-",$C165),F164&lt;1.1*F$5*IF(OR($C165="CET",$C165="-",$C165=""),"-",$C165)),"passed","refused"),IF(IF(OR(F163="-",F163=""),F164,F163)&lt;0.7*F$5*IF(OR($C165="CET",$C165="-",$C165=""),"-",$C165),"passed",IF(IF(OR(F163="-",F163=""),F164,F163)&lt;1.1*IF(OR($C165="CET",$C165="-",$C165=""),"-",$C165)*F$5,"failed","refused"))),"-"))))</f>
        <v>-</v>
      </c>
      <c r="G167" s="62" t="str">
        <f t="shared" si="155"/>
        <v>-</v>
      </c>
      <c r="H167" s="62" t="str">
        <f t="shared" si="155"/>
        <v>-</v>
      </c>
      <c r="I167" s="62" t="str">
        <f t="shared" si="155"/>
        <v>-</v>
      </c>
      <c r="J167" s="62" t="str">
        <f t="shared" si="155"/>
        <v>-</v>
      </c>
      <c r="K167" s="169" t="str">
        <f t="shared" si="155"/>
        <v>-</v>
      </c>
      <c r="L167" s="169" t="str">
        <f t="shared" si="155"/>
        <v>-</v>
      </c>
      <c r="M167" s="169" t="str">
        <f t="shared" si="155"/>
        <v>-</v>
      </c>
      <c r="N167" s="62" t="str">
        <f t="shared" si="155"/>
        <v>-</v>
      </c>
      <c r="O167" s="749"/>
      <c r="P167" s="750"/>
      <c r="Q167" s="750"/>
      <c r="R167" s="754"/>
      <c r="S167" s="749"/>
      <c r="T167" s="750"/>
      <c r="U167" s="750"/>
      <c r="V167" s="754"/>
      <c r="W167" s="505"/>
      <c r="X167" s="505"/>
      <c r="Y167" s="743"/>
      <c r="Z167" s="743"/>
      <c r="AA167" s="743"/>
      <c r="AB167" s="743"/>
      <c r="AC167" s="743"/>
      <c r="AD167" s="743"/>
      <c r="AE167" s="743"/>
      <c r="AF167" s="743"/>
      <c r="AG167" s="743"/>
      <c r="AH167" s="743"/>
      <c r="BC167" s="155" t="str">
        <f t="shared" si="150"/>
        <v>-</v>
      </c>
      <c r="BD167" s="151" t="str">
        <f>$E$4</f>
        <v>Euro 6d</v>
      </c>
      <c r="BE167" s="153">
        <v>1</v>
      </c>
      <c r="BF167" s="153">
        <v>1</v>
      </c>
      <c r="BG167" s="153">
        <v>1</v>
      </c>
      <c r="BH167" s="153">
        <v>1</v>
      </c>
      <c r="BI167" s="153">
        <v>1</v>
      </c>
      <c r="BJ167" s="153">
        <v>1</v>
      </c>
      <c r="BK167" s="153">
        <v>1</v>
      </c>
      <c r="BL167" s="153">
        <v>1</v>
      </c>
    </row>
    <row r="168" spans="1:73" ht="15" customHeight="1" outlineLevel="1" x14ac:dyDescent="0.25">
      <c r="A168" s="362"/>
      <c r="B168" s="761"/>
      <c r="C168" s="760"/>
      <c r="D168" s="503"/>
      <c r="E168" s="503"/>
      <c r="F168" s="520"/>
      <c r="G168" s="520"/>
      <c r="H168" s="520"/>
      <c r="I168" s="520"/>
      <c r="J168" s="520"/>
      <c r="K168" s="171"/>
      <c r="L168" s="171"/>
      <c r="M168" s="171"/>
      <c r="N168" s="57"/>
      <c r="O168" s="749"/>
      <c r="P168" s="750"/>
      <c r="Q168" s="750"/>
      <c r="R168" s="754"/>
      <c r="S168" s="749"/>
      <c r="T168" s="750"/>
      <c r="U168" s="750"/>
      <c r="V168" s="754"/>
      <c r="W168" s="505"/>
      <c r="X168" s="505"/>
      <c r="Y168" s="743"/>
      <c r="Z168" s="743"/>
      <c r="AA168" s="743"/>
      <c r="AB168" s="743"/>
      <c r="AC168" s="743"/>
      <c r="AD168" s="743"/>
      <c r="AE168" s="743"/>
      <c r="AF168" s="743"/>
      <c r="AG168" s="743"/>
      <c r="AH168" s="743"/>
      <c r="BC168" s="155" t="str">
        <f t="shared" si="150"/>
        <v>-</v>
      </c>
      <c r="BD168" s="151" t="str">
        <f>"1st " &amp;  B163</f>
        <v>1st s.s.e.t.</v>
      </c>
      <c r="BE168" s="153" t="str">
        <f t="shared" ref="BE168:BL168" si="156">IF((OR($C165="-",$C165="CET",$C165="")),"-",IF(AND(OR(F163="-",F163=""),OR(F164="-",F164="")),"-",IF(NOT(OR(F163="-",F163="")),F163/F$5,F164/F$5)))</f>
        <v>-</v>
      </c>
      <c r="BF168" s="153" t="str">
        <f t="shared" si="156"/>
        <v>-</v>
      </c>
      <c r="BG168" s="153" t="str">
        <f t="shared" si="156"/>
        <v>-</v>
      </c>
      <c r="BH168" s="153" t="str">
        <f t="shared" si="156"/>
        <v>-</v>
      </c>
      <c r="BI168" s="153" t="str">
        <f t="shared" si="156"/>
        <v>-</v>
      </c>
      <c r="BJ168" s="153" t="str">
        <f t="shared" si="156"/>
        <v>-</v>
      </c>
      <c r="BK168" s="153" t="str">
        <f t="shared" si="156"/>
        <v>-</v>
      </c>
      <c r="BL168" s="153" t="str">
        <f t="shared" si="156"/>
        <v>-</v>
      </c>
    </row>
    <row r="169" spans="1:73" ht="15" customHeight="1" outlineLevel="1" x14ac:dyDescent="0.25">
      <c r="A169" s="362"/>
      <c r="B169" s="761"/>
      <c r="C169" s="760"/>
      <c r="D169" s="503"/>
      <c r="E169" s="503"/>
      <c r="F169" s="520"/>
      <c r="G169" s="520"/>
      <c r="H169" s="520"/>
      <c r="I169" s="520"/>
      <c r="J169" s="520"/>
      <c r="K169" s="171"/>
      <c r="L169" s="171"/>
      <c r="M169" s="171"/>
      <c r="N169" s="57"/>
      <c r="O169" s="749"/>
      <c r="P169" s="750"/>
      <c r="Q169" s="750"/>
      <c r="R169" s="754"/>
      <c r="S169" s="749"/>
      <c r="T169" s="750"/>
      <c r="U169" s="750"/>
      <c r="V169" s="754"/>
      <c r="W169" s="505"/>
      <c r="X169" s="505"/>
      <c r="Y169" s="743"/>
      <c r="Z169" s="743"/>
      <c r="AA169" s="743"/>
      <c r="AB169" s="743"/>
      <c r="AC169" s="743"/>
      <c r="AD169" s="743"/>
      <c r="AE169" s="743"/>
      <c r="AF169" s="743"/>
      <c r="AG169" s="743"/>
      <c r="AH169" s="743"/>
      <c r="BC169" s="155" t="str">
        <f t="shared" si="150"/>
        <v>-</v>
      </c>
      <c r="BD169" s="151"/>
      <c r="BE169" s="153"/>
      <c r="BF169" s="153"/>
      <c r="BG169" s="153"/>
      <c r="BH169" s="153"/>
      <c r="BI169" s="153"/>
      <c r="BJ169" s="153"/>
      <c r="BK169" s="153"/>
      <c r="BL169" s="153"/>
    </row>
    <row r="170" spans="1:73" ht="15" customHeight="1" outlineLevel="1" x14ac:dyDescent="0.25">
      <c r="A170" s="362"/>
      <c r="B170" s="761"/>
      <c r="C170" s="760"/>
      <c r="D170" s="503"/>
      <c r="E170" s="503"/>
      <c r="F170" s="56"/>
      <c r="G170" s="56"/>
      <c r="H170" s="56"/>
      <c r="I170" s="56"/>
      <c r="J170" s="56"/>
      <c r="K170" s="171"/>
      <c r="L170" s="171"/>
      <c r="M170" s="171"/>
      <c r="N170" s="55"/>
      <c r="O170" s="749"/>
      <c r="P170" s="750"/>
      <c r="Q170" s="750"/>
      <c r="R170" s="754"/>
      <c r="S170" s="749"/>
      <c r="T170" s="750"/>
      <c r="U170" s="750"/>
      <c r="V170" s="754"/>
      <c r="W170" s="505"/>
      <c r="X170" s="505"/>
      <c r="Y170" s="743"/>
      <c r="Z170" s="743"/>
      <c r="AA170" s="743"/>
      <c r="AB170" s="743"/>
      <c r="AC170" s="743"/>
      <c r="AD170" s="743"/>
      <c r="AE170" s="743"/>
      <c r="AF170" s="743"/>
      <c r="AG170" s="743"/>
      <c r="AH170" s="743"/>
      <c r="BC170" s="155" t="str">
        <f t="shared" si="150"/>
        <v>-</v>
      </c>
      <c r="BD170" s="151"/>
      <c r="BE170" s="153"/>
      <c r="BF170" s="153"/>
      <c r="BG170" s="153"/>
      <c r="BH170" s="153"/>
      <c r="BI170" s="153"/>
      <c r="BJ170" s="153"/>
      <c r="BK170" s="153"/>
      <c r="BL170" s="153"/>
    </row>
    <row r="171" spans="1:73" ht="15" customHeight="1" outlineLevel="1" x14ac:dyDescent="0.25">
      <c r="A171" s="40"/>
      <c r="B171" s="761"/>
      <c r="C171" s="760"/>
      <c r="D171" s="503"/>
      <c r="E171" s="503"/>
      <c r="F171" s="56"/>
      <c r="G171" s="56"/>
      <c r="H171" s="56"/>
      <c r="I171" s="56"/>
      <c r="J171" s="56"/>
      <c r="K171" s="171"/>
      <c r="L171" s="171"/>
      <c r="M171" s="171"/>
      <c r="N171" s="55"/>
      <c r="O171" s="749"/>
      <c r="P171" s="750"/>
      <c r="Q171" s="750"/>
      <c r="R171" s="754"/>
      <c r="S171" s="749"/>
      <c r="T171" s="750"/>
      <c r="U171" s="750"/>
      <c r="V171" s="754"/>
      <c r="W171" s="505"/>
      <c r="X171" s="505"/>
      <c r="Y171" s="743"/>
      <c r="Z171" s="743"/>
      <c r="AA171" s="743"/>
      <c r="AB171" s="743"/>
      <c r="AC171" s="743"/>
      <c r="AD171" s="743"/>
      <c r="AE171" s="743"/>
      <c r="AF171" s="743"/>
      <c r="AG171" s="743"/>
      <c r="AH171" s="743"/>
      <c r="BC171" s="155" t="str">
        <f t="shared" si="150"/>
        <v>-</v>
      </c>
      <c r="BD171" s="151"/>
      <c r="BE171" s="153"/>
      <c r="BF171" s="153"/>
      <c r="BG171" s="153"/>
      <c r="BH171" s="153"/>
      <c r="BI171" s="153"/>
      <c r="BJ171" s="153"/>
      <c r="BK171" s="153"/>
      <c r="BL171" s="153"/>
    </row>
    <row r="172" spans="1:73" ht="15" customHeight="1" outlineLevel="1" x14ac:dyDescent="0.25">
      <c r="A172" s="40"/>
      <c r="B172" s="761"/>
      <c r="C172" s="760"/>
      <c r="D172" s="503"/>
      <c r="E172" s="503"/>
      <c r="F172" s="503"/>
      <c r="G172" s="503"/>
      <c r="H172" s="503"/>
      <c r="I172" s="503"/>
      <c r="J172" s="503"/>
      <c r="K172" s="171"/>
      <c r="L172" s="171"/>
      <c r="M172" s="171"/>
      <c r="N172" s="59"/>
      <c r="O172" s="749"/>
      <c r="P172" s="750"/>
      <c r="Q172" s="750"/>
      <c r="R172" s="754"/>
      <c r="S172" s="749"/>
      <c r="T172" s="750"/>
      <c r="U172" s="750"/>
      <c r="V172" s="754"/>
      <c r="W172" s="505"/>
      <c r="X172" s="505"/>
      <c r="Y172" s="743"/>
      <c r="Z172" s="743"/>
      <c r="AA172" s="743"/>
      <c r="AB172" s="743"/>
      <c r="AC172" s="743"/>
      <c r="AD172" s="743"/>
      <c r="AE172" s="743"/>
      <c r="AF172" s="743"/>
      <c r="AG172" s="743"/>
      <c r="AH172" s="743"/>
      <c r="BC172" s="155" t="str">
        <f t="shared" si="150"/>
        <v>-</v>
      </c>
      <c r="BD172" s="151" t="str">
        <f>"0.7*IEF " &amp; (B163)</f>
        <v>0.7*IEF s.s.e.t.</v>
      </c>
      <c r="BE172" s="153" t="str">
        <f t="shared" ref="BE172:BL172" si="157">IF(OR($C165="-",$C165="CET",$C165=""),"-",0.7*$C165)</f>
        <v>-</v>
      </c>
      <c r="BF172" s="153" t="str">
        <f t="shared" si="157"/>
        <v>-</v>
      </c>
      <c r="BG172" s="153" t="str">
        <f t="shared" si="157"/>
        <v>-</v>
      </c>
      <c r="BH172" s="153" t="str">
        <f t="shared" si="157"/>
        <v>-</v>
      </c>
      <c r="BI172" s="153" t="str">
        <f t="shared" si="157"/>
        <v>-</v>
      </c>
      <c r="BJ172" s="153" t="str">
        <f t="shared" si="157"/>
        <v>-</v>
      </c>
      <c r="BK172" s="153" t="str">
        <f t="shared" si="157"/>
        <v>-</v>
      </c>
      <c r="BL172" s="153" t="str">
        <f t="shared" si="157"/>
        <v>-</v>
      </c>
    </row>
    <row r="173" spans="1:73" ht="15" customHeight="1" outlineLevel="1" x14ac:dyDescent="0.25">
      <c r="A173" s="40"/>
      <c r="B173" s="761"/>
      <c r="C173" s="760"/>
      <c r="D173" s="503"/>
      <c r="E173" s="503"/>
      <c r="F173" s="520"/>
      <c r="G173" s="520"/>
      <c r="H173" s="520"/>
      <c r="I173" s="520"/>
      <c r="J173" s="520"/>
      <c r="K173" s="171"/>
      <c r="L173" s="171"/>
      <c r="M173" s="171"/>
      <c r="N173" s="57"/>
      <c r="O173" s="749"/>
      <c r="P173" s="750"/>
      <c r="Q173" s="750"/>
      <c r="R173" s="754"/>
      <c r="S173" s="749"/>
      <c r="T173" s="750"/>
      <c r="U173" s="750"/>
      <c r="V173" s="754"/>
      <c r="W173" s="505"/>
      <c r="X173" s="505"/>
      <c r="Y173" s="743"/>
      <c r="Z173" s="743"/>
      <c r="AA173" s="743"/>
      <c r="AB173" s="743"/>
      <c r="AC173" s="743"/>
      <c r="AD173" s="743"/>
      <c r="AE173" s="743"/>
      <c r="AF173" s="743"/>
      <c r="AG173" s="743"/>
      <c r="AH173" s="743"/>
      <c r="BC173" s="155" t="str">
        <f t="shared" si="150"/>
        <v>-</v>
      </c>
      <c r="BD173" s="151"/>
      <c r="BE173" s="153"/>
      <c r="BF173" s="153"/>
      <c r="BG173" s="153"/>
      <c r="BH173" s="153"/>
      <c r="BI173" s="153"/>
      <c r="BJ173" s="153"/>
      <c r="BK173" s="153"/>
      <c r="BL173" s="153"/>
    </row>
    <row r="174" spans="1:73" ht="15" customHeight="1" outlineLevel="1" x14ac:dyDescent="0.25">
      <c r="A174" s="40"/>
      <c r="B174" s="761"/>
      <c r="C174" s="760"/>
      <c r="D174" s="503"/>
      <c r="E174" s="503"/>
      <c r="F174" s="520"/>
      <c r="G174" s="520"/>
      <c r="H174" s="520"/>
      <c r="I174" s="520"/>
      <c r="J174" s="520"/>
      <c r="K174" s="171"/>
      <c r="L174" s="171"/>
      <c r="M174" s="171"/>
      <c r="N174" s="57"/>
      <c r="O174" s="749"/>
      <c r="P174" s="750"/>
      <c r="Q174" s="750"/>
      <c r="R174" s="754"/>
      <c r="S174" s="749"/>
      <c r="T174" s="750"/>
      <c r="U174" s="750"/>
      <c r="V174" s="754"/>
      <c r="W174" s="505"/>
      <c r="X174" s="505"/>
      <c r="Y174" s="743"/>
      <c r="Z174" s="743"/>
      <c r="AA174" s="743"/>
      <c r="AB174" s="743"/>
      <c r="AC174" s="743"/>
      <c r="AD174" s="743"/>
      <c r="AE174" s="743"/>
      <c r="AF174" s="743"/>
      <c r="AG174" s="743"/>
      <c r="AH174" s="743"/>
      <c r="BC174" s="155" t="str">
        <f t="shared" si="150"/>
        <v>-</v>
      </c>
      <c r="BD174" s="151"/>
      <c r="BE174" s="153"/>
      <c r="BF174" s="153"/>
      <c r="BG174" s="153"/>
      <c r="BH174" s="153"/>
      <c r="BI174" s="153"/>
      <c r="BJ174" s="153"/>
      <c r="BK174" s="153"/>
      <c r="BL174" s="153"/>
    </row>
    <row r="175" spans="1:73" ht="15" customHeight="1" outlineLevel="1" x14ac:dyDescent="0.25">
      <c r="A175" s="40"/>
      <c r="B175" s="761"/>
      <c r="C175" s="760"/>
      <c r="D175" s="503"/>
      <c r="E175" s="503"/>
      <c r="F175" s="56"/>
      <c r="G175" s="56"/>
      <c r="H175" s="56"/>
      <c r="I175" s="56"/>
      <c r="J175" s="56"/>
      <c r="K175" s="171"/>
      <c r="L175" s="171"/>
      <c r="M175" s="171"/>
      <c r="N175" s="55"/>
      <c r="O175" s="749"/>
      <c r="P175" s="750"/>
      <c r="Q175" s="750"/>
      <c r="R175" s="754"/>
      <c r="S175" s="749"/>
      <c r="T175" s="750"/>
      <c r="U175" s="750"/>
      <c r="V175" s="754"/>
      <c r="W175" s="505"/>
      <c r="X175" s="505"/>
      <c r="Y175" s="743"/>
      <c r="Z175" s="743"/>
      <c r="AA175" s="743"/>
      <c r="AB175" s="743"/>
      <c r="AC175" s="743"/>
      <c r="AD175" s="743"/>
      <c r="AE175" s="743"/>
      <c r="AF175" s="743"/>
      <c r="AG175" s="743"/>
      <c r="AH175" s="743"/>
      <c r="BC175" s="155" t="str">
        <f t="shared" si="150"/>
        <v>-</v>
      </c>
      <c r="BD175" s="151"/>
      <c r="BE175" s="153"/>
      <c r="BF175" s="153"/>
      <c r="BG175" s="153"/>
      <c r="BH175" s="153"/>
      <c r="BI175" s="153"/>
      <c r="BJ175" s="153"/>
      <c r="BK175" s="153"/>
      <c r="BL175" s="153"/>
    </row>
    <row r="176" spans="1:73" ht="15" customHeight="1" outlineLevel="1" x14ac:dyDescent="0.25">
      <c r="A176" s="40"/>
      <c r="B176" s="761"/>
      <c r="C176" s="760"/>
      <c r="D176" s="503"/>
      <c r="E176" s="503"/>
      <c r="F176" s="56"/>
      <c r="G176" s="56"/>
      <c r="H176" s="56"/>
      <c r="I176" s="56"/>
      <c r="J176" s="56"/>
      <c r="K176" s="171"/>
      <c r="L176" s="171"/>
      <c r="M176" s="171"/>
      <c r="N176" s="55"/>
      <c r="O176" s="749"/>
      <c r="P176" s="750"/>
      <c r="Q176" s="750"/>
      <c r="R176" s="754"/>
      <c r="S176" s="749"/>
      <c r="T176" s="750"/>
      <c r="U176" s="750"/>
      <c r="V176" s="754"/>
      <c r="W176" s="505"/>
      <c r="X176" s="505"/>
      <c r="Y176" s="743"/>
      <c r="Z176" s="743"/>
      <c r="AA176" s="743"/>
      <c r="AB176" s="743"/>
      <c r="AC176" s="743"/>
      <c r="AD176" s="743"/>
      <c r="AE176" s="743"/>
      <c r="AF176" s="743"/>
      <c r="AG176" s="743"/>
      <c r="AH176" s="743"/>
      <c r="BC176" s="155" t="str">
        <f t="shared" si="150"/>
        <v>-</v>
      </c>
      <c r="BD176" s="151" t="str">
        <f>B163</f>
        <v>s.s.e.t.</v>
      </c>
      <c r="BE176" s="153" t="str">
        <f>F166</f>
        <v>-</v>
      </c>
      <c r="BF176" s="153" t="str">
        <f t="shared" ref="BF176:BL176" si="158">G166</f>
        <v>-</v>
      </c>
      <c r="BG176" s="153" t="str">
        <f t="shared" si="158"/>
        <v>-</v>
      </c>
      <c r="BH176" s="153" t="str">
        <f t="shared" si="158"/>
        <v>-</v>
      </c>
      <c r="BI176" s="153" t="str">
        <f t="shared" si="158"/>
        <v>-</v>
      </c>
      <c r="BJ176" s="153" t="str">
        <f t="shared" si="158"/>
        <v>-</v>
      </c>
      <c r="BK176" s="153" t="str">
        <f t="shared" si="158"/>
        <v>-</v>
      </c>
      <c r="BL176" s="153" t="str">
        <f t="shared" si="158"/>
        <v>-</v>
      </c>
    </row>
    <row r="177" spans="1:73" ht="15" customHeight="1" outlineLevel="1" x14ac:dyDescent="0.25">
      <c r="A177" s="40"/>
      <c r="B177" s="761"/>
      <c r="C177" s="760"/>
      <c r="D177" s="503"/>
      <c r="E177" s="503"/>
      <c r="F177" s="503"/>
      <c r="G177" s="503"/>
      <c r="H177" s="503"/>
      <c r="I177" s="503"/>
      <c r="J177" s="503"/>
      <c r="K177" s="171"/>
      <c r="L177" s="171"/>
      <c r="M177" s="171"/>
      <c r="N177" s="59"/>
      <c r="O177" s="749"/>
      <c r="P177" s="750"/>
      <c r="Q177" s="750"/>
      <c r="R177" s="754"/>
      <c r="S177" s="749"/>
      <c r="T177" s="750"/>
      <c r="U177" s="750"/>
      <c r="V177" s="754"/>
      <c r="W177" s="505"/>
      <c r="X177" s="505"/>
      <c r="Y177" s="743"/>
      <c r="Z177" s="743"/>
      <c r="AA177" s="743"/>
      <c r="AB177" s="743"/>
      <c r="AC177" s="743"/>
      <c r="AD177" s="743"/>
      <c r="AE177" s="743"/>
      <c r="AF177" s="743"/>
      <c r="AG177" s="743"/>
      <c r="AH177" s="743"/>
      <c r="BC177" s="155" t="str">
        <f t="shared" si="150"/>
        <v>-</v>
      </c>
      <c r="BD177" s="151"/>
      <c r="BE177" s="153"/>
      <c r="BF177" s="153"/>
      <c r="BG177" s="153"/>
      <c r="BH177" s="153"/>
      <c r="BI177" s="153"/>
      <c r="BJ177" s="153"/>
      <c r="BK177" s="153"/>
      <c r="BL177" s="153"/>
    </row>
    <row r="178" spans="1:73" ht="15" customHeight="1" outlineLevel="1" x14ac:dyDescent="0.25">
      <c r="A178" s="40"/>
      <c r="B178" s="761"/>
      <c r="C178" s="760"/>
      <c r="D178" s="503"/>
      <c r="E178" s="503"/>
      <c r="F178" s="520"/>
      <c r="G178" s="520"/>
      <c r="H178" s="520"/>
      <c r="I178" s="520"/>
      <c r="J178" s="520"/>
      <c r="K178" s="171"/>
      <c r="L178" s="171"/>
      <c r="M178" s="171"/>
      <c r="N178" s="57"/>
      <c r="O178" s="749"/>
      <c r="P178" s="750"/>
      <c r="Q178" s="750"/>
      <c r="R178" s="754"/>
      <c r="S178" s="749"/>
      <c r="T178" s="750"/>
      <c r="U178" s="750"/>
      <c r="V178" s="754"/>
      <c r="W178" s="505"/>
      <c r="X178" s="505"/>
      <c r="Y178" s="743"/>
      <c r="Z178" s="743"/>
      <c r="AA178" s="743"/>
      <c r="AB178" s="743"/>
      <c r="AC178" s="743"/>
      <c r="AD178" s="743"/>
      <c r="AE178" s="743"/>
      <c r="AF178" s="743"/>
      <c r="AG178" s="743"/>
      <c r="AH178" s="743"/>
      <c r="BC178" s="155" t="str">
        <f t="shared" si="150"/>
        <v>-</v>
      </c>
      <c r="BD178" s="151"/>
      <c r="BE178" s="153"/>
      <c r="BF178" s="153"/>
      <c r="BG178" s="153"/>
      <c r="BH178" s="153"/>
      <c r="BI178" s="153"/>
      <c r="BJ178" s="153"/>
      <c r="BK178" s="153"/>
      <c r="BL178" s="153"/>
    </row>
    <row r="179" spans="1:73" ht="15" customHeight="1" outlineLevel="1" x14ac:dyDescent="0.25">
      <c r="A179" s="40"/>
      <c r="B179" s="761"/>
      <c r="C179" s="760"/>
      <c r="D179" s="503"/>
      <c r="E179" s="503"/>
      <c r="F179" s="520"/>
      <c r="G179" s="520"/>
      <c r="H179" s="520"/>
      <c r="I179" s="520"/>
      <c r="J179" s="520"/>
      <c r="K179" s="171"/>
      <c r="L179" s="171"/>
      <c r="M179" s="171"/>
      <c r="N179" s="57"/>
      <c r="O179" s="749"/>
      <c r="P179" s="750"/>
      <c r="Q179" s="750"/>
      <c r="R179" s="754"/>
      <c r="S179" s="749"/>
      <c r="T179" s="750"/>
      <c r="U179" s="750"/>
      <c r="V179" s="754"/>
      <c r="W179" s="505"/>
      <c r="X179" s="505"/>
      <c r="Y179" s="743"/>
      <c r="Z179" s="743"/>
      <c r="AA179" s="743"/>
      <c r="AB179" s="743"/>
      <c r="AC179" s="743"/>
      <c r="AD179" s="743"/>
      <c r="AE179" s="743"/>
      <c r="AF179" s="743"/>
      <c r="AG179" s="743"/>
      <c r="AH179" s="743"/>
      <c r="BC179" s="155" t="str">
        <f t="shared" si="150"/>
        <v>-</v>
      </c>
      <c r="BD179" s="151"/>
      <c r="BE179" s="153"/>
      <c r="BF179" s="153"/>
      <c r="BG179" s="153"/>
      <c r="BH179" s="153"/>
      <c r="BI179" s="153"/>
      <c r="BJ179" s="153"/>
      <c r="BK179" s="153"/>
      <c r="BL179" s="153"/>
    </row>
    <row r="180" spans="1:73" ht="15" customHeight="1" outlineLevel="1" x14ac:dyDescent="0.25">
      <c r="A180" s="40"/>
      <c r="B180" s="761"/>
      <c r="C180" s="760"/>
      <c r="D180" s="503"/>
      <c r="E180" s="503"/>
      <c r="F180" s="56"/>
      <c r="G180" s="56"/>
      <c r="H180" s="56"/>
      <c r="I180" s="56"/>
      <c r="J180" s="56"/>
      <c r="K180" s="171"/>
      <c r="L180" s="171"/>
      <c r="M180" s="171"/>
      <c r="N180" s="55"/>
      <c r="O180" s="749"/>
      <c r="P180" s="750"/>
      <c r="Q180" s="750"/>
      <c r="R180" s="754"/>
      <c r="S180" s="749"/>
      <c r="T180" s="750"/>
      <c r="U180" s="750"/>
      <c r="V180" s="754"/>
      <c r="W180" s="505"/>
      <c r="X180" s="505"/>
      <c r="Y180" s="743"/>
      <c r="Z180" s="743"/>
      <c r="AA180" s="743"/>
      <c r="AB180" s="743"/>
      <c r="AC180" s="743"/>
      <c r="AD180" s="743"/>
      <c r="AE180" s="743"/>
      <c r="AF180" s="743"/>
      <c r="AG180" s="743"/>
      <c r="AH180" s="743"/>
      <c r="BC180" s="155" t="str">
        <f t="shared" si="150"/>
        <v>-</v>
      </c>
      <c r="BD180" s="151" t="str">
        <f>"IEF " &amp;B163</f>
        <v>IEF s.s.e.t.</v>
      </c>
      <c r="BE180" s="153" t="str">
        <f t="shared" ref="BE180:BL180" si="159">IF(OR($C173="-",$C173="CET",$C173=""),"-",$C173)</f>
        <v>-</v>
      </c>
      <c r="BF180" s="153" t="str">
        <f t="shared" si="159"/>
        <v>-</v>
      </c>
      <c r="BG180" s="153" t="str">
        <f t="shared" si="159"/>
        <v>-</v>
      </c>
      <c r="BH180" s="153" t="str">
        <f t="shared" si="159"/>
        <v>-</v>
      </c>
      <c r="BI180" s="153" t="str">
        <f t="shared" si="159"/>
        <v>-</v>
      </c>
      <c r="BJ180" s="153" t="str">
        <f t="shared" si="159"/>
        <v>-</v>
      </c>
      <c r="BK180" s="153" t="str">
        <f t="shared" si="159"/>
        <v>-</v>
      </c>
      <c r="BL180" s="153" t="str">
        <f t="shared" si="159"/>
        <v>-</v>
      </c>
    </row>
    <row r="181" spans="1:73" outlineLevel="1" x14ac:dyDescent="0.25">
      <c r="B181" s="761"/>
      <c r="C181" s="760"/>
      <c r="D181" s="503"/>
      <c r="E181" s="503"/>
      <c r="F181" s="56"/>
      <c r="G181" s="56"/>
      <c r="H181" s="56"/>
      <c r="I181" s="56"/>
      <c r="J181" s="56"/>
      <c r="K181" s="171"/>
      <c r="L181" s="171"/>
      <c r="M181" s="171"/>
      <c r="N181" s="55"/>
      <c r="O181" s="749"/>
      <c r="P181" s="750"/>
      <c r="Q181" s="750"/>
      <c r="R181" s="754"/>
      <c r="S181" s="749"/>
      <c r="T181" s="750"/>
      <c r="U181" s="750"/>
      <c r="V181" s="754"/>
      <c r="Y181" s="743"/>
      <c r="Z181" s="743"/>
      <c r="AA181" s="743"/>
      <c r="AB181" s="743"/>
      <c r="AC181" s="743"/>
      <c r="AD181" s="743"/>
      <c r="AE181" s="743"/>
      <c r="AF181" s="743"/>
      <c r="AG181" s="743"/>
      <c r="AH181" s="743"/>
      <c r="BC181" s="155" t="str">
        <f t="shared" si="150"/>
        <v>-</v>
      </c>
      <c r="BD181" s="156"/>
      <c r="BE181" s="156"/>
      <c r="BF181" s="156"/>
      <c r="BG181" s="156"/>
      <c r="BH181" s="156"/>
      <c r="BI181" s="156"/>
      <c r="BJ181" s="156"/>
      <c r="BK181" s="156"/>
      <c r="BL181" s="156"/>
    </row>
    <row r="182" spans="1:73" ht="15.75" outlineLevel="1" thickBot="1" x14ac:dyDescent="0.3">
      <c r="B182" s="796"/>
      <c r="C182" s="778"/>
      <c r="D182" s="509"/>
      <c r="E182" s="509"/>
      <c r="F182" s="509"/>
      <c r="G182" s="509"/>
      <c r="H182" s="509"/>
      <c r="I182" s="509"/>
      <c r="J182" s="509"/>
      <c r="K182" s="172"/>
      <c r="L182" s="172"/>
      <c r="M182" s="172"/>
      <c r="N182" s="54"/>
      <c r="O182" s="751"/>
      <c r="P182" s="752"/>
      <c r="Q182" s="752"/>
      <c r="R182" s="755"/>
      <c r="S182" s="751"/>
      <c r="T182" s="752"/>
      <c r="U182" s="752"/>
      <c r="V182" s="755"/>
      <c r="Y182" s="743"/>
      <c r="Z182" s="743"/>
      <c r="AA182" s="743"/>
      <c r="AB182" s="743"/>
      <c r="AC182" s="743"/>
      <c r="AD182" s="743"/>
      <c r="AE182" s="743"/>
      <c r="AF182" s="743"/>
      <c r="AG182" s="743"/>
      <c r="AH182" s="743"/>
      <c r="BC182" s="155" t="str">
        <f t="shared" si="150"/>
        <v>-</v>
      </c>
      <c r="BD182" s="156"/>
      <c r="BE182" s="156"/>
      <c r="BF182" s="156"/>
      <c r="BG182" s="156"/>
      <c r="BH182" s="156"/>
      <c r="BI182" s="156"/>
      <c r="BJ182" s="156"/>
      <c r="BK182" s="156"/>
      <c r="BL182" s="156"/>
    </row>
    <row r="183" spans="1:73" s="50" customFormat="1" ht="15" customHeight="1" x14ac:dyDescent="0.25">
      <c r="A183" s="52"/>
      <c r="B183" s="76"/>
      <c r="C183" s="78"/>
      <c r="D183" s="78"/>
      <c r="E183" s="77"/>
      <c r="F183" s="520"/>
      <c r="G183" s="520"/>
      <c r="H183" s="520"/>
      <c r="I183" s="520"/>
      <c r="J183" s="520"/>
      <c r="K183" s="171"/>
      <c r="L183" s="171"/>
      <c r="M183" s="171"/>
      <c r="N183" s="520"/>
      <c r="O183" s="72"/>
      <c r="P183" s="72"/>
      <c r="Q183" s="72"/>
      <c r="R183" s="72"/>
      <c r="S183" s="72"/>
      <c r="T183" s="72"/>
      <c r="U183" s="72"/>
      <c r="V183" s="72"/>
      <c r="W183" s="51"/>
      <c r="X183" s="51"/>
      <c r="Y183" s="743"/>
      <c r="Z183" s="743"/>
      <c r="AA183" s="743"/>
      <c r="AB183" s="743"/>
      <c r="AC183" s="743"/>
      <c r="AD183" s="743"/>
      <c r="AE183" s="743"/>
      <c r="AF183" s="743"/>
      <c r="AG183" s="743"/>
      <c r="AH183" s="743"/>
      <c r="BC183" s="155" t="str">
        <f t="shared" si="150"/>
        <v>-</v>
      </c>
      <c r="BD183" s="156"/>
      <c r="BE183" s="156"/>
      <c r="BF183" s="156"/>
      <c r="BG183" s="156"/>
      <c r="BH183" s="156"/>
      <c r="BI183" s="156"/>
      <c r="BJ183" s="156"/>
      <c r="BK183" s="156"/>
      <c r="BL183" s="156"/>
      <c r="BM183" s="150"/>
      <c r="BN183" s="150"/>
      <c r="BO183" s="150"/>
      <c r="BP183" s="150"/>
      <c r="BQ183" s="150"/>
      <c r="BR183" s="150"/>
      <c r="BS183" s="150"/>
      <c r="BT183" s="150"/>
      <c r="BU183" s="150"/>
    </row>
    <row r="184" spans="1:73" ht="15" customHeight="1" x14ac:dyDescent="0.25">
      <c r="A184" s="40"/>
      <c r="B184" s="76"/>
      <c r="C184" s="78"/>
      <c r="D184" s="78"/>
      <c r="E184" s="77"/>
      <c r="F184" s="520"/>
      <c r="G184" s="520"/>
      <c r="H184" s="520"/>
      <c r="I184" s="520"/>
      <c r="J184" s="520"/>
      <c r="K184" s="171"/>
      <c r="L184" s="171"/>
      <c r="M184" s="171"/>
      <c r="N184" s="520"/>
      <c r="O184" s="72"/>
      <c r="P184" s="72"/>
      <c r="Q184" s="72"/>
      <c r="R184" s="72"/>
      <c r="S184" s="72"/>
      <c r="T184" s="72"/>
      <c r="U184" s="72"/>
      <c r="V184" s="72"/>
      <c r="W184" s="505"/>
      <c r="X184" s="505"/>
      <c r="Y184" s="743"/>
      <c r="Z184" s="743"/>
      <c r="AA184" s="743"/>
      <c r="AB184" s="743"/>
      <c r="AC184" s="743"/>
      <c r="AD184" s="743"/>
      <c r="AE184" s="743"/>
      <c r="AF184" s="743"/>
      <c r="AG184" s="743"/>
      <c r="AH184" s="743"/>
      <c r="BC184" s="155" t="str">
        <f t="shared" si="150"/>
        <v>-</v>
      </c>
      <c r="BD184" s="156"/>
      <c r="BE184" s="156"/>
      <c r="BF184" s="156"/>
      <c r="BG184" s="156"/>
      <c r="BH184" s="156"/>
      <c r="BI184" s="156"/>
      <c r="BJ184" s="156"/>
      <c r="BK184" s="156"/>
      <c r="BL184" s="156"/>
    </row>
    <row r="185" spans="1:73" ht="15" customHeight="1" thickBot="1" x14ac:dyDescent="0.3">
      <c r="A185" s="40"/>
      <c r="B185" s="76"/>
      <c r="C185" s="75"/>
      <c r="D185" s="74"/>
      <c r="E185" s="518"/>
      <c r="F185" s="518"/>
      <c r="G185" s="518"/>
      <c r="H185" s="518"/>
      <c r="I185" s="518"/>
      <c r="J185" s="518"/>
      <c r="K185" s="177"/>
      <c r="L185" s="177"/>
      <c r="M185" s="177"/>
      <c r="N185" s="518"/>
      <c r="O185" s="72"/>
      <c r="P185" s="72"/>
      <c r="Q185" s="72"/>
      <c r="R185" s="72"/>
      <c r="S185" s="72"/>
      <c r="T185" s="72"/>
      <c r="U185" s="72"/>
      <c r="V185" s="72"/>
      <c r="W185" s="505"/>
      <c r="X185" s="505"/>
      <c r="Y185" s="743"/>
      <c r="Z185" s="743"/>
      <c r="AA185" s="743"/>
      <c r="AB185" s="743"/>
      <c r="AC185" s="743"/>
      <c r="AD185" s="743"/>
      <c r="AE185" s="743"/>
      <c r="AF185" s="743"/>
      <c r="AG185" s="743"/>
      <c r="AH185" s="743"/>
      <c r="BC185" s="155" t="str">
        <f t="shared" si="150"/>
        <v>-</v>
      </c>
      <c r="BD185" s="156"/>
      <c r="BE185" s="156"/>
      <c r="BF185" s="156"/>
      <c r="BG185" s="156"/>
      <c r="BH185" s="156"/>
      <c r="BI185" s="156"/>
      <c r="BJ185" s="156"/>
      <c r="BK185" s="156"/>
      <c r="BL185" s="156"/>
    </row>
    <row r="186" spans="1:73" ht="24.95" customHeight="1" thickBot="1" x14ac:dyDescent="0.3">
      <c r="A186" s="362"/>
      <c r="B186" s="185">
        <v>7</v>
      </c>
      <c r="C186" s="757" t="s">
        <v>52</v>
      </c>
      <c r="D186" s="758"/>
      <c r="E186" s="758"/>
      <c r="F186" s="758"/>
      <c r="G186" s="758"/>
      <c r="H186" s="758"/>
      <c r="I186" s="758"/>
      <c r="J186" s="758"/>
      <c r="K186" s="758"/>
      <c r="L186" s="758"/>
      <c r="M186" s="758"/>
      <c r="N186" s="759"/>
      <c r="O186" s="49" t="s">
        <v>79</v>
      </c>
      <c r="P186" s="71" t="str">
        <f>IF(COUNTIF(F190:M220,"refused")&gt;0,"refused",IF(COUNTIF(F190:M220,"failed")&gt;0,"failed",IF(COUNTIF(F190:M220,"passed")&gt;0,"passed","-")))</f>
        <v>-</v>
      </c>
      <c r="Q186" s="70" t="s">
        <v>80</v>
      </c>
      <c r="R186" s="70" t="str">
        <f>IF(COUNT(F191:M192,F196:M197,F201:M202,F206:M207,F211:M212,F216:M217)&gt;0,"listed","not listed")</f>
        <v>not listed</v>
      </c>
      <c r="S186" s="504"/>
      <c r="T186" s="43"/>
      <c r="U186" s="43"/>
      <c r="V186" s="44"/>
      <c r="W186" s="47"/>
      <c r="X186" s="47"/>
      <c r="Y186" s="756"/>
      <c r="Z186" s="756"/>
      <c r="AA186" s="756"/>
      <c r="AB186" s="756"/>
      <c r="AC186" s="756"/>
      <c r="AD186" s="756"/>
      <c r="AE186" s="756"/>
      <c r="AF186" s="756"/>
      <c r="AG186" s="756"/>
      <c r="AH186" s="756"/>
      <c r="BC186" s="155" t="str">
        <f t="shared" si="149"/>
        <v>-</v>
      </c>
    </row>
    <row r="187" spans="1:73" ht="15" customHeight="1" outlineLevel="2" thickBot="1" x14ac:dyDescent="0.3">
      <c r="A187" s="362"/>
      <c r="B187" s="506"/>
      <c r="C187" s="507"/>
      <c r="D187" s="507"/>
      <c r="E187" s="507"/>
      <c r="F187" s="507"/>
      <c r="G187" s="507"/>
      <c r="H187" s="507"/>
      <c r="I187" s="507"/>
      <c r="J187" s="507"/>
      <c r="K187" s="162"/>
      <c r="L187" s="162"/>
      <c r="M187" s="162"/>
      <c r="N187" s="507"/>
      <c r="O187" s="507"/>
      <c r="P187" s="507"/>
      <c r="Q187" s="507"/>
      <c r="R187" s="507"/>
      <c r="S187" s="507"/>
      <c r="T187" s="45"/>
      <c r="U187" s="45"/>
      <c r="V187" s="46"/>
      <c r="W187" s="505"/>
      <c r="X187" s="505"/>
      <c r="Y187" s="743"/>
      <c r="Z187" s="743"/>
      <c r="AA187" s="743"/>
      <c r="AB187" s="743"/>
      <c r="AC187" s="743"/>
      <c r="AD187" s="743"/>
      <c r="AE187" s="743"/>
      <c r="AF187" s="743"/>
      <c r="AG187" s="743"/>
      <c r="AH187" s="743"/>
      <c r="BC187" s="155" t="str">
        <f t="shared" si="149"/>
        <v>-</v>
      </c>
      <c r="BD187" s="151" t="s">
        <v>85</v>
      </c>
      <c r="BE187" s="152" t="str">
        <f>F$4</f>
        <v>NMHC 
[g/km]</v>
      </c>
      <c r="BF187" s="152" t="str">
        <f t="shared" ref="BF187:BL187" si="160">G$4</f>
        <v>THC
[g/km]</v>
      </c>
      <c r="BG187" s="152" t="str">
        <f t="shared" si="160"/>
        <v>CO
[g/km]</v>
      </c>
      <c r="BH187" s="152" t="str">
        <f t="shared" si="160"/>
        <v>NOx
[g/km]</v>
      </c>
      <c r="BI187" s="152" t="str">
        <f t="shared" si="160"/>
        <v>PM
[mg/km]</v>
      </c>
      <c r="BJ187" s="152" t="str">
        <f t="shared" si="160"/>
        <v>PN
[#/km]</v>
      </c>
      <c r="BK187" s="152" t="str">
        <f t="shared" si="160"/>
        <v>Additional
component</v>
      </c>
      <c r="BL187" s="152" t="str">
        <f t="shared" si="160"/>
        <v>Additional
component 2</v>
      </c>
    </row>
    <row r="188" spans="1:73" ht="15" customHeight="1" outlineLevel="2" thickBot="1" x14ac:dyDescent="0.3">
      <c r="A188" s="362"/>
      <c r="B188" s="744" t="s">
        <v>81</v>
      </c>
      <c r="C188" s="745"/>
      <c r="D188" s="745"/>
      <c r="E188" s="745"/>
      <c r="F188" s="745"/>
      <c r="G188" s="745"/>
      <c r="H188" s="745"/>
      <c r="I188" s="745"/>
      <c r="J188" s="745"/>
      <c r="K188" s="745"/>
      <c r="L188" s="745"/>
      <c r="M188" s="745"/>
      <c r="N188" s="746"/>
      <c r="O188" s="869" t="s">
        <v>82</v>
      </c>
      <c r="P188" s="870"/>
      <c r="Q188" s="870"/>
      <c r="R188" s="871"/>
      <c r="S188" s="869" t="s">
        <v>83</v>
      </c>
      <c r="T188" s="870"/>
      <c r="U188" s="870"/>
      <c r="V188" s="871"/>
      <c r="W188" s="505"/>
      <c r="X188" s="505"/>
      <c r="Y188" s="743"/>
      <c r="Z188" s="743"/>
      <c r="AA188" s="743"/>
      <c r="AB188" s="743"/>
      <c r="AC188" s="743"/>
      <c r="AD188" s="743"/>
      <c r="AE188" s="743"/>
      <c r="AF188" s="743"/>
      <c r="AG188" s="743"/>
      <c r="AH188" s="743"/>
      <c r="BC188" s="155" t="str">
        <f t="shared" si="149"/>
        <v>-</v>
      </c>
      <c r="BD188" s="151" t="str">
        <f>$E$4</f>
        <v>Euro 6d</v>
      </c>
      <c r="BE188" s="153">
        <v>1</v>
      </c>
      <c r="BF188" s="153">
        <v>1</v>
      </c>
      <c r="BG188" s="153">
        <v>1</v>
      </c>
      <c r="BH188" s="153">
        <v>1</v>
      </c>
      <c r="BI188" s="153">
        <v>1</v>
      </c>
      <c r="BJ188" s="153">
        <v>1</v>
      </c>
      <c r="BK188" s="153">
        <v>1</v>
      </c>
      <c r="BL188" s="153">
        <v>1</v>
      </c>
    </row>
    <row r="189" spans="1:73" ht="35.1" customHeight="1" outlineLevel="2" thickBot="1" x14ac:dyDescent="0.3">
      <c r="A189" s="362"/>
      <c r="B189" s="767" t="s">
        <v>84</v>
      </c>
      <c r="C189" s="768"/>
      <c r="D189" s="768"/>
      <c r="E189" s="769"/>
      <c r="F189" s="69" t="str">
        <f>F$4</f>
        <v>NMHC 
[g/km]</v>
      </c>
      <c r="G189" s="69" t="str">
        <f t="shared" ref="G189:N189" si="161">G$4</f>
        <v>THC
[g/km]</v>
      </c>
      <c r="H189" s="69" t="str">
        <f t="shared" si="161"/>
        <v>CO
[g/km]</v>
      </c>
      <c r="I189" s="69" t="str">
        <f t="shared" si="161"/>
        <v>NOx
[g/km]</v>
      </c>
      <c r="J189" s="69" t="str">
        <f t="shared" si="161"/>
        <v>PM
[mg/km]</v>
      </c>
      <c r="K189" s="69" t="str">
        <f t="shared" si="161"/>
        <v>PN
[#/km]</v>
      </c>
      <c r="L189" s="366" t="str">
        <f t="shared" si="161"/>
        <v>Additional
component</v>
      </c>
      <c r="M189" s="366" t="str">
        <f t="shared" si="161"/>
        <v>Additional
component 2</v>
      </c>
      <c r="N189" s="69" t="str">
        <f t="shared" si="161"/>
        <v>CO2
[g/km]</v>
      </c>
      <c r="O189" s="747"/>
      <c r="P189" s="748"/>
      <c r="Q189" s="748"/>
      <c r="R189" s="753"/>
      <c r="S189" s="747"/>
      <c r="T189" s="748"/>
      <c r="U189" s="748"/>
      <c r="V189" s="753"/>
      <c r="W189" s="505"/>
      <c r="X189" s="505"/>
      <c r="Y189" s="743"/>
      <c r="Z189" s="743"/>
      <c r="AA189" s="743"/>
      <c r="AB189" s="743"/>
      <c r="AC189" s="743"/>
      <c r="AD189" s="743"/>
      <c r="AE189" s="743"/>
      <c r="AF189" s="743"/>
      <c r="AG189" s="743"/>
      <c r="AH189" s="743"/>
      <c r="BC189" s="155" t="str">
        <f t="shared" si="149"/>
        <v>-</v>
      </c>
      <c r="BD189" s="151" t="str">
        <f>"1st " &amp;  B191</f>
        <v>1st City (unweighted)</v>
      </c>
      <c r="BE189" s="153" t="str">
        <f t="shared" ref="BE189:BL189" si="162">IF(AND(OR($C193="-",$C193="CET",$C193=""),OR(F$190="-",F$190="CET",F$190="")),"-",IF(AND(OR(F191="-",F191=""),OR(F192="-",F192="")),"-",IF(NOT(OR(F191="-",F191="")),F191/F$5,F192/F$5)))</f>
        <v>-</v>
      </c>
      <c r="BF189" s="153" t="str">
        <f t="shared" si="162"/>
        <v>-</v>
      </c>
      <c r="BG189" s="153" t="str">
        <f t="shared" si="162"/>
        <v>-</v>
      </c>
      <c r="BH189" s="153" t="str">
        <f t="shared" si="162"/>
        <v>-</v>
      </c>
      <c r="BI189" s="153" t="str">
        <f t="shared" si="162"/>
        <v>-</v>
      </c>
      <c r="BJ189" s="153" t="str">
        <f t="shared" si="162"/>
        <v>-</v>
      </c>
      <c r="BK189" s="153" t="str">
        <f t="shared" si="162"/>
        <v>-</v>
      </c>
      <c r="BL189" s="153" t="str">
        <f t="shared" si="162"/>
        <v>-</v>
      </c>
    </row>
    <row r="190" spans="1:73" s="50" customFormat="1" ht="15" customHeight="1" outlineLevel="2" thickBot="1" x14ac:dyDescent="0.3">
      <c r="A190" s="53"/>
      <c r="B190" s="767" t="s">
        <v>64</v>
      </c>
      <c r="C190" s="769"/>
      <c r="D190" s="767" t="s">
        <v>119</v>
      </c>
      <c r="E190" s="769"/>
      <c r="F190" s="107" t="s">
        <v>64</v>
      </c>
      <c r="G190" s="107" t="s">
        <v>64</v>
      </c>
      <c r="H190" s="107" t="s">
        <v>64</v>
      </c>
      <c r="I190" s="107" t="s">
        <v>64</v>
      </c>
      <c r="J190" s="107" t="s">
        <v>64</v>
      </c>
      <c r="K190" s="164" t="s">
        <v>64</v>
      </c>
      <c r="L190" s="164" t="s">
        <v>64</v>
      </c>
      <c r="M190" s="164" t="s">
        <v>64</v>
      </c>
      <c r="N190" s="130" t="s">
        <v>64</v>
      </c>
      <c r="O190" s="749"/>
      <c r="P190" s="750"/>
      <c r="Q190" s="750"/>
      <c r="R190" s="754"/>
      <c r="S190" s="749"/>
      <c r="T190" s="750"/>
      <c r="U190" s="750"/>
      <c r="V190" s="754"/>
      <c r="W190" s="51"/>
      <c r="X190" s="51"/>
      <c r="Y190" s="743"/>
      <c r="Z190" s="743"/>
      <c r="AA190" s="743"/>
      <c r="AB190" s="743"/>
      <c r="AC190" s="743"/>
      <c r="AD190" s="743"/>
      <c r="AE190" s="743"/>
      <c r="AF190" s="743"/>
      <c r="AG190" s="743"/>
      <c r="AH190" s="743"/>
      <c r="BC190" s="155" t="str">
        <f t="shared" si="149"/>
        <v>-</v>
      </c>
      <c r="BD190" s="151" t="str">
        <f>"1st " &amp; B196</f>
        <v>1st City (EMROAD)</v>
      </c>
      <c r="BE190" s="153" t="str">
        <f t="shared" ref="BE190:BL190" si="163">IF(AND(OR($C198="-",$C198="CET",$C198=""),OR(F$190="-",F$190="CET",F$190="")),"-",IF(AND(OR(F196="-",F196=""),OR(F197="-",F197="")),"-",IF(NOT(OR(F196="-",F196="")),F196/F$5,F197/F$5)))</f>
        <v>-</v>
      </c>
      <c r="BF190" s="153" t="str">
        <f t="shared" si="163"/>
        <v>-</v>
      </c>
      <c r="BG190" s="153" t="str">
        <f t="shared" si="163"/>
        <v>-</v>
      </c>
      <c r="BH190" s="153" t="str">
        <f t="shared" si="163"/>
        <v>-</v>
      </c>
      <c r="BI190" s="153" t="str">
        <f t="shared" si="163"/>
        <v>-</v>
      </c>
      <c r="BJ190" s="153" t="str">
        <f t="shared" si="163"/>
        <v>-</v>
      </c>
      <c r="BK190" s="153" t="str">
        <f t="shared" si="163"/>
        <v>-</v>
      </c>
      <c r="BL190" s="153" t="str">
        <f t="shared" si="163"/>
        <v>-</v>
      </c>
      <c r="BM190" s="150"/>
      <c r="BN190" s="150"/>
      <c r="BO190" s="150"/>
      <c r="BP190" s="150"/>
      <c r="BQ190" s="150"/>
      <c r="BR190" s="150"/>
      <c r="BS190" s="150"/>
      <c r="BT190" s="150"/>
      <c r="BU190" s="150"/>
    </row>
    <row r="191" spans="1:73" ht="15" customHeight="1" outlineLevel="2" x14ac:dyDescent="0.25">
      <c r="A191" s="362"/>
      <c r="B191" s="872" t="s">
        <v>107</v>
      </c>
      <c r="C191" s="770" t="s">
        <v>114</v>
      </c>
      <c r="D191" s="770" t="s">
        <v>113</v>
      </c>
      <c r="E191" s="106" t="s">
        <v>94</v>
      </c>
      <c r="F191" s="105" t="s">
        <v>5</v>
      </c>
      <c r="G191" s="105" t="s">
        <v>5</v>
      </c>
      <c r="H191" s="105" t="s">
        <v>5</v>
      </c>
      <c r="I191" s="105" t="s">
        <v>5</v>
      </c>
      <c r="J191" s="105" t="s">
        <v>5</v>
      </c>
      <c r="K191" s="173" t="s">
        <v>5</v>
      </c>
      <c r="L191" s="173" t="s">
        <v>5</v>
      </c>
      <c r="M191" s="173" t="s">
        <v>5</v>
      </c>
      <c r="N191" s="131" t="s">
        <v>5</v>
      </c>
      <c r="O191" s="749"/>
      <c r="P191" s="750"/>
      <c r="Q191" s="750"/>
      <c r="R191" s="754"/>
      <c r="S191" s="749"/>
      <c r="T191" s="750"/>
      <c r="U191" s="750"/>
      <c r="V191" s="754"/>
      <c r="W191" s="505"/>
      <c r="X191" s="505"/>
      <c r="Y191" s="743"/>
      <c r="Z191" s="743"/>
      <c r="AA191" s="743"/>
      <c r="AB191" s="743"/>
      <c r="AC191" s="743"/>
      <c r="AD191" s="743"/>
      <c r="AE191" s="743"/>
      <c r="AF191" s="743"/>
      <c r="AG191" s="743"/>
      <c r="AH191" s="743"/>
      <c r="BC191" s="155" t="str">
        <f t="shared" si="149"/>
        <v>-</v>
      </c>
      <c r="BD191" s="151" t="str">
        <f>"1st " &amp; B201</f>
        <v>1st City (SPF)</v>
      </c>
      <c r="BE191" s="153" t="str">
        <f t="shared" ref="BE191:BL191" si="164">IF(AND(OR($C203="-",$C203="CET",$C203=""),OR(F$190="-",F$190="CET",F$190="")),"-",IF(AND(OR(F201="-",F201=""),OR(F202="-",F202="")),"-",IF(NOT(OR(F201="-",F201="")),F201/F$5,F202/F$5)))</f>
        <v>-</v>
      </c>
      <c r="BF191" s="153" t="str">
        <f t="shared" si="164"/>
        <v>-</v>
      </c>
      <c r="BG191" s="153" t="str">
        <f t="shared" si="164"/>
        <v>-</v>
      </c>
      <c r="BH191" s="153" t="str">
        <f t="shared" si="164"/>
        <v>-</v>
      </c>
      <c r="BI191" s="153" t="str">
        <f t="shared" si="164"/>
        <v>-</v>
      </c>
      <c r="BJ191" s="153" t="str">
        <f t="shared" si="164"/>
        <v>-</v>
      </c>
      <c r="BK191" s="153" t="str">
        <f t="shared" si="164"/>
        <v>-</v>
      </c>
      <c r="BL191" s="153" t="str">
        <f t="shared" si="164"/>
        <v>-</v>
      </c>
    </row>
    <row r="192" spans="1:73" ht="15" customHeight="1" outlineLevel="2" thickBot="1" x14ac:dyDescent="0.3">
      <c r="A192" s="362"/>
      <c r="B192" s="873"/>
      <c r="C192" s="742"/>
      <c r="D192" s="742"/>
      <c r="E192" s="104" t="s">
        <v>95</v>
      </c>
      <c r="F192" s="103" t="s">
        <v>5</v>
      </c>
      <c r="G192" s="103" t="s">
        <v>5</v>
      </c>
      <c r="H192" s="103" t="s">
        <v>5</v>
      </c>
      <c r="I192" s="103" t="s">
        <v>5</v>
      </c>
      <c r="J192" s="103" t="s">
        <v>5</v>
      </c>
      <c r="K192" s="174" t="s">
        <v>5</v>
      </c>
      <c r="L192" s="174" t="s">
        <v>5</v>
      </c>
      <c r="M192" s="174" t="s">
        <v>5</v>
      </c>
      <c r="N192" s="132" t="s">
        <v>5</v>
      </c>
      <c r="O192" s="749"/>
      <c r="P192" s="750"/>
      <c r="Q192" s="750"/>
      <c r="R192" s="754"/>
      <c r="S192" s="749"/>
      <c r="T192" s="750"/>
      <c r="U192" s="750"/>
      <c r="V192" s="754"/>
      <c r="W192" s="505"/>
      <c r="X192" s="505"/>
      <c r="Y192" s="743"/>
      <c r="Z192" s="743"/>
      <c r="AA192" s="743"/>
      <c r="AB192" s="743"/>
      <c r="AC192" s="743"/>
      <c r="AD192" s="743"/>
      <c r="AE192" s="743"/>
      <c r="AF192" s="743"/>
      <c r="AG192" s="743"/>
      <c r="AH192" s="743"/>
      <c r="BC192" s="155" t="str">
        <f t="shared" si="149"/>
        <v>-</v>
      </c>
      <c r="BD192" s="151" t="str">
        <f>"1st " &amp; B206</f>
        <v>1st Total (unweighted)</v>
      </c>
      <c r="BE192" s="153" t="str">
        <f t="shared" ref="BE192:BL192" si="165">IF(AND(OR($C208="-",$C208="CET",$C208=""),OR(F$190="-",F$190="CET",F$190="")),"-",IF(AND(OR(F206="-",F206=""),OR(F207="-",F207="")),"-",IF(NOT(OR(F206="-",F206="")),F206/F$5,F207/F$5)))</f>
        <v>-</v>
      </c>
      <c r="BF192" s="153" t="str">
        <f t="shared" si="165"/>
        <v>-</v>
      </c>
      <c r="BG192" s="153" t="str">
        <f t="shared" si="165"/>
        <v>-</v>
      </c>
      <c r="BH192" s="153" t="str">
        <f t="shared" si="165"/>
        <v>-</v>
      </c>
      <c r="BI192" s="153" t="str">
        <f t="shared" si="165"/>
        <v>-</v>
      </c>
      <c r="BJ192" s="153" t="str">
        <f t="shared" si="165"/>
        <v>-</v>
      </c>
      <c r="BK192" s="153" t="str">
        <f t="shared" si="165"/>
        <v>-</v>
      </c>
      <c r="BL192" s="153" t="str">
        <f t="shared" si="165"/>
        <v>-</v>
      </c>
    </row>
    <row r="193" spans="1:73" ht="15" customHeight="1" outlineLevel="2" thickBot="1" x14ac:dyDescent="0.3">
      <c r="A193" s="362"/>
      <c r="B193" s="873"/>
      <c r="C193" s="854" t="s">
        <v>64</v>
      </c>
      <c r="D193" s="772" t="str">
        <f>IF(AND(F194="-",G194="-",H194="-",I194="-",J194="-",K194="-",K194="-",L194="-"),"-",MAX(F194,G194,H194,I194,J194,K194,L194,M194))</f>
        <v>-</v>
      </c>
      <c r="E193" s="66" t="s">
        <v>177</v>
      </c>
      <c r="F193" s="65" t="str">
        <f>IF(OR(F192="-",F192=""),IF(OR(F191="-",F191=""),"-",F191),IF(OR(F191="-",F191=""),F192,(F191+F192)/2))</f>
        <v>-</v>
      </c>
      <c r="G193" s="65" t="str">
        <f t="shared" ref="G193:N193" si="166">IF(OR(G192="-",G192=""),IF(OR(G191="-",G191=""),"-",G191),IF(OR(G191="-",G191=""),G192,(G191+G192)/2))</f>
        <v>-</v>
      </c>
      <c r="H193" s="65" t="str">
        <f t="shared" si="166"/>
        <v>-</v>
      </c>
      <c r="I193" s="65" t="str">
        <f t="shared" si="166"/>
        <v>-</v>
      </c>
      <c r="J193" s="65" t="str">
        <f t="shared" si="166"/>
        <v>-</v>
      </c>
      <c r="K193" s="167" t="str">
        <f t="shared" si="166"/>
        <v>-</v>
      </c>
      <c r="L193" s="167" t="str">
        <f t="shared" si="166"/>
        <v>-</v>
      </c>
      <c r="M193" s="167" t="str">
        <f t="shared" si="166"/>
        <v>-</v>
      </c>
      <c r="N193" s="133" t="str">
        <f t="shared" si="166"/>
        <v>-</v>
      </c>
      <c r="O193" s="749"/>
      <c r="P193" s="750"/>
      <c r="Q193" s="750"/>
      <c r="R193" s="754"/>
      <c r="S193" s="749"/>
      <c r="T193" s="750"/>
      <c r="U193" s="750"/>
      <c r="V193" s="754"/>
      <c r="W193" s="505"/>
      <c r="X193" s="505"/>
      <c r="Y193" s="743"/>
      <c r="Z193" s="743"/>
      <c r="AA193" s="743"/>
      <c r="AB193" s="743"/>
      <c r="AC193" s="743"/>
      <c r="AD193" s="743"/>
      <c r="AE193" s="743"/>
      <c r="AF193" s="743"/>
      <c r="AG193" s="743"/>
      <c r="AH193" s="743"/>
      <c r="BC193" s="155" t="str">
        <f t="shared" si="149"/>
        <v>-</v>
      </c>
      <c r="BD193" s="151" t="str">
        <f>"1st " &amp; B211</f>
        <v>1st Total (EMROAD)</v>
      </c>
      <c r="BE193" s="153" t="str">
        <f t="shared" ref="BE193:BL193" si="167">IF(AND(OR($C213="-",$C213="CET",$C213=""),OR(F$190="-",F$190="CET",F$190="")),"-",IF(AND(OR(F211="-",F211=""),OR(F212="-",F212="")),"-",IF(NOT(OR(F211="-",F211="")),F211/F$5,F212/F$5)))</f>
        <v>-</v>
      </c>
      <c r="BF193" s="153" t="str">
        <f t="shared" si="167"/>
        <v>-</v>
      </c>
      <c r="BG193" s="153" t="str">
        <f t="shared" si="167"/>
        <v>-</v>
      </c>
      <c r="BH193" s="153" t="str">
        <f t="shared" si="167"/>
        <v>-</v>
      </c>
      <c r="BI193" s="153" t="str">
        <f t="shared" si="167"/>
        <v>-</v>
      </c>
      <c r="BJ193" s="153" t="str">
        <f t="shared" si="167"/>
        <v>-</v>
      </c>
      <c r="BK193" s="153" t="str">
        <f t="shared" si="167"/>
        <v>-</v>
      </c>
      <c r="BL193" s="153" t="str">
        <f t="shared" si="167"/>
        <v>-</v>
      </c>
    </row>
    <row r="194" spans="1:73" ht="15" customHeight="1" outlineLevel="2" thickBot="1" x14ac:dyDescent="0.3">
      <c r="A194" s="362"/>
      <c r="B194" s="873"/>
      <c r="C194" s="855"/>
      <c r="D194" s="773"/>
      <c r="E194" s="64" t="s">
        <v>97</v>
      </c>
      <c r="F194" s="63" t="str">
        <f>IF(AND(OR($C193="-",$C193="CET",$C193=""),OR(F190="-",F190="CET",F190="")),"-",IF(AND(NOT(F193="-"),NOT(F$5="-"),NOT(F$5="")),F193/F$5,"-"))</f>
        <v>-</v>
      </c>
      <c r="G194" s="63" t="str">
        <f t="shared" ref="G194:N194" si="168">IF(AND(OR($C193="-",$C193="CET",$C193=""),OR(G190="-",G190="CET",G190="")),"-",IF(AND(NOT(G193="-"),NOT(G$5="-"),NOT(G$5="")),G193/G$5,"-"))</f>
        <v>-</v>
      </c>
      <c r="H194" s="63" t="str">
        <f t="shared" si="168"/>
        <v>-</v>
      </c>
      <c r="I194" s="63" t="str">
        <f t="shared" si="168"/>
        <v>-</v>
      </c>
      <c r="J194" s="63" t="str">
        <f t="shared" si="168"/>
        <v>-</v>
      </c>
      <c r="K194" s="168" t="str">
        <f t="shared" si="168"/>
        <v>-</v>
      </c>
      <c r="L194" s="168" t="str">
        <f t="shared" si="168"/>
        <v>-</v>
      </c>
      <c r="M194" s="168" t="str">
        <f t="shared" si="168"/>
        <v>-</v>
      </c>
      <c r="N194" s="134" t="str">
        <f t="shared" si="168"/>
        <v>-</v>
      </c>
      <c r="O194" s="749"/>
      <c r="P194" s="750"/>
      <c r="Q194" s="750"/>
      <c r="R194" s="754"/>
      <c r="S194" s="749"/>
      <c r="T194" s="750"/>
      <c r="U194" s="750"/>
      <c r="V194" s="754"/>
      <c r="W194" s="505"/>
      <c r="X194" s="505"/>
      <c r="Y194" s="743"/>
      <c r="Z194" s="743"/>
      <c r="AA194" s="743"/>
      <c r="AB194" s="743"/>
      <c r="AC194" s="743"/>
      <c r="AD194" s="743"/>
      <c r="AE194" s="743"/>
      <c r="AF194" s="743"/>
      <c r="AG194" s="743"/>
      <c r="AH194" s="743"/>
      <c r="BC194" s="155" t="str">
        <f t="shared" si="149"/>
        <v>-</v>
      </c>
      <c r="BD194" s="151" t="str">
        <f>"1st " &amp; B216</f>
        <v>1st Total (SPF)</v>
      </c>
      <c r="BE194" s="153" t="str">
        <f t="shared" ref="BE194:BL194" si="169">IF(AND(OR($C218="-",$C218="CET",$C218=""),OR(F$190="-",F$190="CET",F$190="")),"-",IF(AND(OR(F216="-",F216=""),OR(F217="-",F217="")),"-",IF(NOT(OR(F216="-",F216="")),F216/F$5,F217/F$5)))</f>
        <v>-</v>
      </c>
      <c r="BF194" s="153" t="str">
        <f t="shared" si="169"/>
        <v>-</v>
      </c>
      <c r="BG194" s="153" t="str">
        <f t="shared" si="169"/>
        <v>-</v>
      </c>
      <c r="BH194" s="153" t="str">
        <f t="shared" si="169"/>
        <v>-</v>
      </c>
      <c r="BI194" s="153" t="str">
        <f t="shared" si="169"/>
        <v>-</v>
      </c>
      <c r="BJ194" s="153" t="str">
        <f t="shared" si="169"/>
        <v>-</v>
      </c>
      <c r="BK194" s="153" t="str">
        <f t="shared" si="169"/>
        <v>-</v>
      </c>
      <c r="BL194" s="153" t="str">
        <f t="shared" si="169"/>
        <v>-</v>
      </c>
    </row>
    <row r="195" spans="1:73" s="50" customFormat="1" ht="15" customHeight="1" outlineLevel="2" thickBot="1" x14ac:dyDescent="0.3">
      <c r="A195" s="53"/>
      <c r="B195" s="874"/>
      <c r="C195" s="856"/>
      <c r="D195" s="774"/>
      <c r="E195" s="62" t="s">
        <v>30</v>
      </c>
      <c r="F195" s="62" t="str">
        <f t="shared" ref="F195:N195" si="170">IF(AND(OR(F191="-",F191=""),OR(F192="-",F192="")),"-",IF(AND(OR(F$190="CET",F$190="-",F$190=""),OR($C193="CET",$C193="-",$C193="")),"-",IF($R$186="not listed","-",IF(AND(NOT(F$5="-"),NOT(F$5="")),IF(AND(AND(NOT(F191=0),NOT(F191="-"),NOT(F191="")),AND(NOT(F192="-"),NOT(F192=0),NOT(F192=""))),IF(AND((F191+F192)/2&lt;1*F$5*IF(OR(F$190="CET",F$190="-",F$190=""),IF(OR($C193="CET",$C193="-",$C193=""),"-",$C193),F$190),F191&lt;1.1*F$5*IF(OR(F$190="CET",F$190="-",F$190=""),IF(OR($C193="CET",$C193="-",$C193=""),"-",$C193),F$190),F192&lt;1.1*F$5*IF(OR(F$190="CET",F$190="-",F$190=""),IF($C193="CET","-",$C193),F$190)),"passed","refused"),IF(IF(OR(F191="-",F191=""),F192,F191)&lt;0.7*F$5*IF(OR(F$190="CET",F$190="-",F$190=""),IF($C193="CET","-",$C193),F$190),"passed",IF(IF(OR(F191="-",F191=""),F192,F191)&lt;1.1*IF(OR(F$190="CET",F$190="-",F$190=""),IF($C193="CET","-",$C193),F$190)*F$5,"failed","refused"))),"-"))))</f>
        <v>-</v>
      </c>
      <c r="G195" s="62" t="str">
        <f t="shared" si="170"/>
        <v>-</v>
      </c>
      <c r="H195" s="62" t="str">
        <f t="shared" si="170"/>
        <v>-</v>
      </c>
      <c r="I195" s="62" t="str">
        <f t="shared" si="170"/>
        <v>-</v>
      </c>
      <c r="J195" s="62" t="str">
        <f t="shared" si="170"/>
        <v>-</v>
      </c>
      <c r="K195" s="169" t="str">
        <f t="shared" si="170"/>
        <v>-</v>
      </c>
      <c r="L195" s="169" t="str">
        <f t="shared" si="170"/>
        <v>-</v>
      </c>
      <c r="M195" s="169" t="str">
        <f t="shared" si="170"/>
        <v>-</v>
      </c>
      <c r="N195" s="62" t="str">
        <f t="shared" si="170"/>
        <v>-</v>
      </c>
      <c r="O195" s="749"/>
      <c r="P195" s="750"/>
      <c r="Q195" s="750"/>
      <c r="R195" s="754"/>
      <c r="S195" s="749"/>
      <c r="T195" s="750"/>
      <c r="U195" s="750"/>
      <c r="V195" s="754"/>
      <c r="W195" s="51"/>
      <c r="X195" s="51"/>
      <c r="Y195" s="743"/>
      <c r="Z195" s="743"/>
      <c r="AA195" s="743"/>
      <c r="AB195" s="743"/>
      <c r="AC195" s="743"/>
      <c r="AD195" s="743"/>
      <c r="AE195" s="743"/>
      <c r="AF195" s="743"/>
      <c r="AG195" s="743"/>
      <c r="AH195" s="743"/>
      <c r="BC195" s="155" t="str">
        <f t="shared" si="149"/>
        <v>-</v>
      </c>
      <c r="BD195" s="151" t="str">
        <f>"0.7*IEF " &amp; (B191)</f>
        <v>0.7*IEF City (unweighted)</v>
      </c>
      <c r="BE195" s="153" t="str">
        <f>IF(AND(OR($C193="-",$C193="CET",$C193=""),OR(F$190="-",F$190="CET",F$190="")),"-",0.7*IF(OR(F$190="CET",F$190="-",F$190=""),IF(OR($C193="CET",$C193="-",$C193=""),"-",$C193),F$190))</f>
        <v>-</v>
      </c>
      <c r="BF195" s="153" t="str">
        <f t="shared" ref="BF195:BL195" si="171">IF(AND(OR($C193="-",$C193="CET",$C193=""),OR(G$190="-",G$190="CET",G$190="")),"-",0.7*IF(OR(G$190="CET",G$190="-",G$190=""),IF(OR($C193="CET",$C193="-",$C193=""),"-",$C193),G$190))</f>
        <v>-</v>
      </c>
      <c r="BG195" s="153" t="str">
        <f t="shared" si="171"/>
        <v>-</v>
      </c>
      <c r="BH195" s="153" t="str">
        <f t="shared" si="171"/>
        <v>-</v>
      </c>
      <c r="BI195" s="153" t="str">
        <f t="shared" si="171"/>
        <v>-</v>
      </c>
      <c r="BJ195" s="153" t="str">
        <f t="shared" si="171"/>
        <v>-</v>
      </c>
      <c r="BK195" s="153" t="str">
        <f t="shared" si="171"/>
        <v>-</v>
      </c>
      <c r="BL195" s="153" t="str">
        <f t="shared" si="171"/>
        <v>-</v>
      </c>
      <c r="BM195" s="150"/>
      <c r="BN195" s="150"/>
      <c r="BO195" s="150"/>
      <c r="BP195" s="150"/>
      <c r="BQ195" s="150"/>
      <c r="BR195" s="150"/>
      <c r="BS195" s="150"/>
      <c r="BT195" s="150"/>
      <c r="BU195" s="150"/>
    </row>
    <row r="196" spans="1:73" ht="15" customHeight="1" outlineLevel="2" x14ac:dyDescent="0.25">
      <c r="A196" s="362"/>
      <c r="B196" s="806" t="s">
        <v>106</v>
      </c>
      <c r="C196" s="770" t="s">
        <v>114</v>
      </c>
      <c r="D196" s="770" t="s">
        <v>113</v>
      </c>
      <c r="E196" s="106" t="s">
        <v>94</v>
      </c>
      <c r="F196" s="105" t="s">
        <v>5</v>
      </c>
      <c r="G196" s="105" t="s">
        <v>5</v>
      </c>
      <c r="H196" s="105" t="s">
        <v>5</v>
      </c>
      <c r="I196" s="105" t="s">
        <v>5</v>
      </c>
      <c r="J196" s="105" t="s">
        <v>5</v>
      </c>
      <c r="K196" s="173" t="s">
        <v>5</v>
      </c>
      <c r="L196" s="173" t="s">
        <v>5</v>
      </c>
      <c r="M196" s="173" t="s">
        <v>5</v>
      </c>
      <c r="N196" s="131" t="s">
        <v>5</v>
      </c>
      <c r="O196" s="749"/>
      <c r="P196" s="750"/>
      <c r="Q196" s="750"/>
      <c r="R196" s="754"/>
      <c r="S196" s="749"/>
      <c r="T196" s="750"/>
      <c r="U196" s="750"/>
      <c r="V196" s="754"/>
      <c r="W196" s="505"/>
      <c r="X196" s="505"/>
      <c r="Y196" s="743"/>
      <c r="Z196" s="743"/>
      <c r="AA196" s="743"/>
      <c r="AB196" s="743"/>
      <c r="AC196" s="743"/>
      <c r="AD196" s="743"/>
      <c r="AE196" s="743"/>
      <c r="AF196" s="743"/>
      <c r="AG196" s="743"/>
      <c r="AH196" s="743"/>
      <c r="BC196" s="155" t="str">
        <f t="shared" si="149"/>
        <v>-</v>
      </c>
      <c r="BD196" s="151" t="str">
        <f>"0.7*IEF " &amp; B196</f>
        <v>0.7*IEF City (EMROAD)</v>
      </c>
      <c r="BE196" s="153" t="str">
        <f>IF(AND(OR($C198="-",$C198="CET",$C198=""),OR(F$190="-",F$190="CET",F$190="")),"-",0.7*IF(OR(F$190="CET",F$190="-",F$190=""),IF(OR($C198="CET",$C198="-",$C198=""),"-",$C198),F$190))</f>
        <v>-</v>
      </c>
      <c r="BF196" s="153" t="str">
        <f t="shared" ref="BF196:BL196" si="172">IF(AND(OR($C198="-",$C198="CET",$C198=""),OR(G$190="-",G$190="CET",G$190="")),"-",0.7*IF(OR(G$190="CET",G$190="-",G$190=""),IF(OR($C198="CET",$C198="-",$C198=""),"-",$C198),G$190))</f>
        <v>-</v>
      </c>
      <c r="BG196" s="153" t="str">
        <f t="shared" si="172"/>
        <v>-</v>
      </c>
      <c r="BH196" s="153" t="str">
        <f t="shared" si="172"/>
        <v>-</v>
      </c>
      <c r="BI196" s="153" t="str">
        <f t="shared" si="172"/>
        <v>-</v>
      </c>
      <c r="BJ196" s="153" t="str">
        <f t="shared" si="172"/>
        <v>-</v>
      </c>
      <c r="BK196" s="153" t="str">
        <f t="shared" si="172"/>
        <v>-</v>
      </c>
      <c r="BL196" s="153" t="str">
        <f t="shared" si="172"/>
        <v>-</v>
      </c>
    </row>
    <row r="197" spans="1:73" ht="15" customHeight="1" outlineLevel="2" thickBot="1" x14ac:dyDescent="0.3">
      <c r="A197" s="362"/>
      <c r="B197" s="807"/>
      <c r="C197" s="742"/>
      <c r="D197" s="742"/>
      <c r="E197" s="104" t="s">
        <v>95</v>
      </c>
      <c r="F197" s="103" t="s">
        <v>5</v>
      </c>
      <c r="G197" s="103" t="s">
        <v>5</v>
      </c>
      <c r="H197" s="103" t="s">
        <v>5</v>
      </c>
      <c r="I197" s="103" t="s">
        <v>5</v>
      </c>
      <c r="J197" s="103" t="s">
        <v>5</v>
      </c>
      <c r="K197" s="174" t="s">
        <v>5</v>
      </c>
      <c r="L197" s="174" t="s">
        <v>5</v>
      </c>
      <c r="M197" s="174" t="s">
        <v>5</v>
      </c>
      <c r="N197" s="132" t="s">
        <v>5</v>
      </c>
      <c r="O197" s="749"/>
      <c r="P197" s="750"/>
      <c r="Q197" s="750"/>
      <c r="R197" s="754"/>
      <c r="S197" s="749"/>
      <c r="T197" s="750"/>
      <c r="U197" s="750"/>
      <c r="V197" s="754"/>
      <c r="W197" s="505"/>
      <c r="X197" s="505"/>
      <c r="Y197" s="743"/>
      <c r="Z197" s="743"/>
      <c r="AA197" s="743"/>
      <c r="AB197" s="743"/>
      <c r="AC197" s="743"/>
      <c r="AD197" s="743"/>
      <c r="AE197" s="743"/>
      <c r="AF197" s="743"/>
      <c r="AG197" s="743"/>
      <c r="AH197" s="743"/>
      <c r="BC197" s="155" t="str">
        <f t="shared" si="149"/>
        <v>-</v>
      </c>
      <c r="BD197" s="151" t="str">
        <f>"0.7*IEF " &amp; B201</f>
        <v>0.7*IEF City (SPF)</v>
      </c>
      <c r="BE197" s="153" t="str">
        <f>IF(AND(OR($C203="-",$C203="CET",$C203=""),OR(F$190="-",F$190="CET",F$190="")),"-",0.7*IF(OR(F$190="CET",F$190="-",F$190=""),IF(OR($C203="CET",$C203="-",$C203=""),"-",$C203),F$190))</f>
        <v>-</v>
      </c>
      <c r="BF197" s="153" t="str">
        <f t="shared" ref="BF197:BL197" si="173">IF(AND(OR($C203="-",$C203="CET",$C203=""),OR(G$190="-",G$190="CET",G$190="")),"-",0.7*IF(OR(G$190="CET",G$190="-",G$190=""),IF(OR($C203="CET",$C203="-",$C203=""),"-",$C203),G$190))</f>
        <v>-</v>
      </c>
      <c r="BG197" s="153" t="str">
        <f t="shared" si="173"/>
        <v>-</v>
      </c>
      <c r="BH197" s="153" t="str">
        <f t="shared" si="173"/>
        <v>-</v>
      </c>
      <c r="BI197" s="153" t="str">
        <f t="shared" si="173"/>
        <v>-</v>
      </c>
      <c r="BJ197" s="153" t="str">
        <f t="shared" si="173"/>
        <v>-</v>
      </c>
      <c r="BK197" s="153" t="str">
        <f t="shared" si="173"/>
        <v>-</v>
      </c>
      <c r="BL197" s="153" t="str">
        <f t="shared" si="173"/>
        <v>-</v>
      </c>
    </row>
    <row r="198" spans="1:73" ht="15" customHeight="1" outlineLevel="2" thickBot="1" x14ac:dyDescent="0.3">
      <c r="A198" s="40"/>
      <c r="B198" s="807"/>
      <c r="C198" s="854" t="s">
        <v>64</v>
      </c>
      <c r="D198" s="772" t="str">
        <f>IF(AND(F199="-",G199="-",H199="-",I199="-",J199="-",K199="-",K199="-",L199="-"),"-",MAX(F199,G199,H199,I199,J199,K199,L199,M199))</f>
        <v>-</v>
      </c>
      <c r="E198" s="66" t="s">
        <v>177</v>
      </c>
      <c r="F198" s="65" t="str">
        <f>IF(OR(F197="-",F197=""),IF(OR(F196="-",F196=""),"-",F196),IF(OR(F196="-",F196=""),F197,(F196+F197)/2))</f>
        <v>-</v>
      </c>
      <c r="G198" s="65" t="str">
        <f t="shared" ref="G198:N198" si="174">IF(OR(G197="-",G197=""),IF(OR(G196="-",G196=""),"-",G196),IF(OR(G196="-",G196=""),G197,(G196+G197)/2))</f>
        <v>-</v>
      </c>
      <c r="H198" s="65" t="str">
        <f t="shared" si="174"/>
        <v>-</v>
      </c>
      <c r="I198" s="65" t="str">
        <f t="shared" si="174"/>
        <v>-</v>
      </c>
      <c r="J198" s="65" t="str">
        <f t="shared" si="174"/>
        <v>-</v>
      </c>
      <c r="K198" s="167" t="str">
        <f t="shared" si="174"/>
        <v>-</v>
      </c>
      <c r="L198" s="167" t="str">
        <f t="shared" si="174"/>
        <v>-</v>
      </c>
      <c r="M198" s="167" t="str">
        <f t="shared" si="174"/>
        <v>-</v>
      </c>
      <c r="N198" s="133" t="str">
        <f t="shared" si="174"/>
        <v>-</v>
      </c>
      <c r="O198" s="749"/>
      <c r="P198" s="750"/>
      <c r="Q198" s="750"/>
      <c r="R198" s="754"/>
      <c r="S198" s="749"/>
      <c r="T198" s="750"/>
      <c r="U198" s="750"/>
      <c r="V198" s="754"/>
      <c r="W198" s="505"/>
      <c r="X198" s="505"/>
      <c r="Y198" s="743"/>
      <c r="Z198" s="743"/>
      <c r="AA198" s="743"/>
      <c r="AB198" s="743"/>
      <c r="AC198" s="743"/>
      <c r="AD198" s="743"/>
      <c r="AE198" s="743"/>
      <c r="AF198" s="743"/>
      <c r="AG198" s="743"/>
      <c r="AH198" s="743"/>
      <c r="BC198" s="155" t="str">
        <f t="shared" si="149"/>
        <v>-</v>
      </c>
      <c r="BD198" s="151" t="str">
        <f>"0.7*IEF " &amp; B206</f>
        <v>0.7*IEF Total (unweighted)</v>
      </c>
      <c r="BE198" s="153" t="str">
        <f>IF(AND(OR($C208="-",$C208="CET",$C208=""),OR(F$190="-",F$190="CET",F$190="")),"-",0.7*IF(OR(F$190="CET",F$190="-",F$190=""),IF(OR($C208="CET",$C208="-",$C208=""),"-",$C208),F$190))</f>
        <v>-</v>
      </c>
      <c r="BF198" s="153" t="str">
        <f t="shared" ref="BF198:BL198" si="175">IF(AND(OR($C208="-",$C208="CET",$C208=""),OR(G$190="-",G$190="CET",G$190="")),"-",0.7*IF(OR(G$190="CET",G$190="-",G$190=""),IF(OR($C208="CET",$C208="-",$C208=""),"-",$C208),G$190))</f>
        <v>-</v>
      </c>
      <c r="BG198" s="153" t="str">
        <f t="shared" si="175"/>
        <v>-</v>
      </c>
      <c r="BH198" s="153" t="str">
        <f t="shared" si="175"/>
        <v>-</v>
      </c>
      <c r="BI198" s="153" t="str">
        <f t="shared" si="175"/>
        <v>-</v>
      </c>
      <c r="BJ198" s="153" t="str">
        <f t="shared" si="175"/>
        <v>-</v>
      </c>
      <c r="BK198" s="153" t="str">
        <f t="shared" si="175"/>
        <v>-</v>
      </c>
      <c r="BL198" s="153" t="str">
        <f t="shared" si="175"/>
        <v>-</v>
      </c>
    </row>
    <row r="199" spans="1:73" ht="15" customHeight="1" outlineLevel="2" thickBot="1" x14ac:dyDescent="0.3">
      <c r="A199" s="40"/>
      <c r="B199" s="807"/>
      <c r="C199" s="855"/>
      <c r="D199" s="773"/>
      <c r="E199" s="64" t="s">
        <v>97</v>
      </c>
      <c r="F199" s="63" t="str">
        <f t="shared" ref="F199:N199" si="176">IF(AND(OR($C198="-",$C198="CET",$C198=""),OR(F$190="-",F$190="CET",F$190="")),"-",IF(AND(NOT(F198="-"),NOT(F$5="-"),NOT(F$5="")),F198/F$5,"-"))</f>
        <v>-</v>
      </c>
      <c r="G199" s="63" t="str">
        <f t="shared" si="176"/>
        <v>-</v>
      </c>
      <c r="H199" s="63" t="str">
        <f t="shared" si="176"/>
        <v>-</v>
      </c>
      <c r="I199" s="63" t="str">
        <f t="shared" si="176"/>
        <v>-</v>
      </c>
      <c r="J199" s="63" t="str">
        <f t="shared" si="176"/>
        <v>-</v>
      </c>
      <c r="K199" s="168" t="str">
        <f t="shared" si="176"/>
        <v>-</v>
      </c>
      <c r="L199" s="168" t="str">
        <f t="shared" si="176"/>
        <v>-</v>
      </c>
      <c r="M199" s="168" t="str">
        <f t="shared" si="176"/>
        <v>-</v>
      </c>
      <c r="N199" s="63" t="str">
        <f t="shared" si="176"/>
        <v>-</v>
      </c>
      <c r="O199" s="749"/>
      <c r="P199" s="750"/>
      <c r="Q199" s="750"/>
      <c r="R199" s="754"/>
      <c r="S199" s="749"/>
      <c r="T199" s="750"/>
      <c r="U199" s="750"/>
      <c r="V199" s="754"/>
      <c r="W199" s="505"/>
      <c r="X199" s="505"/>
      <c r="Y199" s="743"/>
      <c r="Z199" s="743"/>
      <c r="AA199" s="743"/>
      <c r="AB199" s="743"/>
      <c r="AC199" s="743"/>
      <c r="AD199" s="743"/>
      <c r="AE199" s="743"/>
      <c r="AF199" s="743"/>
      <c r="AG199" s="743"/>
      <c r="AH199" s="743"/>
      <c r="BC199" s="155" t="str">
        <f t="shared" si="149"/>
        <v>-</v>
      </c>
      <c r="BD199" s="151" t="str">
        <f>"0.7*IEF " &amp; B211</f>
        <v>0.7*IEF Total (EMROAD)</v>
      </c>
      <c r="BE199" s="153" t="str">
        <f>IF(AND(OR($C213="-",$C213="CET",$C213=""),OR(F$190="-",F$190="CET",F$190="")),"-",0.7*IF(OR(F$190="CET",F$190="-",F$190=""),IF(OR($C213="CET",$C213="-",$C213=""),"-",$C213),F$190))</f>
        <v>-</v>
      </c>
      <c r="BF199" s="153" t="str">
        <f t="shared" ref="BF199:BL199" si="177">IF(AND(OR($C213="-",$C213="CET",$C213=""),OR(G$190="-",G$190="CET",G$190="")),"-",0.7*IF(OR(G$190="CET",G$190="-",G$190=""),IF(OR($C213="CET",$C213="-",$C213=""),"-",$C213),G$190))</f>
        <v>-</v>
      </c>
      <c r="BG199" s="153" t="str">
        <f t="shared" si="177"/>
        <v>-</v>
      </c>
      <c r="BH199" s="153" t="str">
        <f t="shared" si="177"/>
        <v>-</v>
      </c>
      <c r="BI199" s="153" t="str">
        <f t="shared" si="177"/>
        <v>-</v>
      </c>
      <c r="BJ199" s="153" t="str">
        <f t="shared" si="177"/>
        <v>-</v>
      </c>
      <c r="BK199" s="153" t="str">
        <f t="shared" si="177"/>
        <v>-</v>
      </c>
      <c r="BL199" s="153" t="str">
        <f t="shared" si="177"/>
        <v>-</v>
      </c>
    </row>
    <row r="200" spans="1:73" s="50" customFormat="1" ht="15" customHeight="1" outlineLevel="2" thickBot="1" x14ac:dyDescent="0.3">
      <c r="A200" s="52"/>
      <c r="B200" s="853"/>
      <c r="C200" s="856"/>
      <c r="D200" s="774"/>
      <c r="E200" s="62" t="s">
        <v>30</v>
      </c>
      <c r="F200" s="62" t="str">
        <f t="shared" ref="F200:N200" si="178">IF(AND(OR(F196="-",F196=""),OR(F197="-",F197="")),"-",IF(AND(OR(F$190="CET",F$190="-",F$190=""),OR($C198="CET",$C198="-",$C198="")),"-",IF($R$186="not listed","-",IF(AND(NOT(F$5="-"),NOT(F$5="")),IF(AND(AND(NOT(F196=0),NOT(F196="-"),NOT(F196="")),AND(NOT(F197="-"),NOT(F197=0),NOT(F197=""))),IF(AND((F196+F197)/2&lt;1*F$5*IF(OR(F$190="CET",F$190="-",F$190=""),IF(OR($C198="CET",$C198="-",$C198=""),"-",$C198),F$190),F196&lt;1.1*F$5*IF(OR(F$190="CET",F$190="-",F$190=""),IF(OR($C198="CET",$C198="-",$C198=""),"-",$C198),F$190),F197&lt;1.1*F$5*IF(OR(F$190="CET",F$190="-",F$190=""),IF($C198="CET","-",$C198),F$190)),"passed","refused"),IF(IF(OR(F196="-",F196=""),F197,F196)&lt;0.7*F$5*IF(OR(F$190="CET",F$190="-",F$190=""),IF($C198="CET","-",$C198),F$190),"passed",IF(IF(OR(F196="-",F196=""),F197,F196)&lt;1.1*IF(OR(F$190="CET",F$190="-",F$190=""),IF($C198="CET","-",$C198),F$190)*F$5,"failed","refused"))),"-"))))</f>
        <v>-</v>
      </c>
      <c r="G200" s="62" t="str">
        <f t="shared" si="178"/>
        <v>-</v>
      </c>
      <c r="H200" s="62" t="str">
        <f t="shared" si="178"/>
        <v>-</v>
      </c>
      <c r="I200" s="62" t="str">
        <f t="shared" si="178"/>
        <v>-</v>
      </c>
      <c r="J200" s="62" t="str">
        <f t="shared" si="178"/>
        <v>-</v>
      </c>
      <c r="K200" s="169" t="str">
        <f t="shared" si="178"/>
        <v>-</v>
      </c>
      <c r="L200" s="169" t="str">
        <f t="shared" si="178"/>
        <v>-</v>
      </c>
      <c r="M200" s="169" t="str">
        <f t="shared" si="178"/>
        <v>-</v>
      </c>
      <c r="N200" s="62" t="str">
        <f t="shared" si="178"/>
        <v>-</v>
      </c>
      <c r="O200" s="749"/>
      <c r="P200" s="750"/>
      <c r="Q200" s="750"/>
      <c r="R200" s="754"/>
      <c r="S200" s="749"/>
      <c r="T200" s="750"/>
      <c r="U200" s="750"/>
      <c r="V200" s="754"/>
      <c r="W200" s="51"/>
      <c r="X200" s="51"/>
      <c r="Y200" s="743"/>
      <c r="Z200" s="743"/>
      <c r="AA200" s="743"/>
      <c r="AB200" s="743"/>
      <c r="AC200" s="743"/>
      <c r="AD200" s="743"/>
      <c r="AE200" s="743"/>
      <c r="AF200" s="743"/>
      <c r="AG200" s="743"/>
      <c r="AH200" s="743"/>
      <c r="BC200" s="155" t="str">
        <f t="shared" si="149"/>
        <v>-</v>
      </c>
      <c r="BD200" s="151" t="str">
        <f>"0.7*IEF " &amp; B216</f>
        <v>0.7*IEF Total (SPF)</v>
      </c>
      <c r="BE200" s="153" t="str">
        <f>IF(AND(OR($C218="-",$C218="CET",$C218=""),OR(F$190="-",F$190="CET",F$190="")),"-",0.7*IF(OR(F$190="CET",F$190="-",F$190=""),IF(OR($C218="CET",$C218="-",$C218=""),"-",$C218),F$190))</f>
        <v>-</v>
      </c>
      <c r="BF200" s="153" t="str">
        <f t="shared" ref="BF200:BL200" si="179">IF(AND(OR($C218="-",$C218="CET",$C218=""),OR(G$190="-",G$190="CET",G$190="")),"-",0.7*IF(OR(G$190="CET",G$190="-",G$190=""),IF(OR($C218="CET",$C218="-",$C218=""),"-",$C218),G$190))</f>
        <v>-</v>
      </c>
      <c r="BG200" s="153" t="str">
        <f t="shared" si="179"/>
        <v>-</v>
      </c>
      <c r="BH200" s="153" t="str">
        <f t="shared" si="179"/>
        <v>-</v>
      </c>
      <c r="BI200" s="153" t="str">
        <f t="shared" si="179"/>
        <v>-</v>
      </c>
      <c r="BJ200" s="153" t="str">
        <f t="shared" si="179"/>
        <v>-</v>
      </c>
      <c r="BK200" s="153" t="str">
        <f t="shared" si="179"/>
        <v>-</v>
      </c>
      <c r="BL200" s="153" t="str">
        <f t="shared" si="179"/>
        <v>-</v>
      </c>
      <c r="BM200" s="150"/>
      <c r="BN200" s="150"/>
      <c r="BO200" s="150"/>
      <c r="BP200" s="150"/>
      <c r="BQ200" s="150"/>
      <c r="BR200" s="150"/>
      <c r="BS200" s="150"/>
      <c r="BT200" s="150"/>
      <c r="BU200" s="150"/>
    </row>
    <row r="201" spans="1:73" ht="15" customHeight="1" outlineLevel="2" x14ac:dyDescent="0.25">
      <c r="A201" s="40"/>
      <c r="B201" s="872" t="s">
        <v>181</v>
      </c>
      <c r="C201" s="770" t="s">
        <v>114</v>
      </c>
      <c r="D201" s="770" t="s">
        <v>113</v>
      </c>
      <c r="E201" s="106" t="s">
        <v>94</v>
      </c>
      <c r="F201" s="105" t="s">
        <v>5</v>
      </c>
      <c r="G201" s="105" t="s">
        <v>5</v>
      </c>
      <c r="H201" s="105" t="s">
        <v>5</v>
      </c>
      <c r="I201" s="105" t="s">
        <v>5</v>
      </c>
      <c r="J201" s="105" t="s">
        <v>5</v>
      </c>
      <c r="K201" s="173" t="s">
        <v>5</v>
      </c>
      <c r="L201" s="173" t="s">
        <v>5</v>
      </c>
      <c r="M201" s="173" t="s">
        <v>5</v>
      </c>
      <c r="N201" s="131" t="s">
        <v>5</v>
      </c>
      <c r="O201" s="749"/>
      <c r="P201" s="750"/>
      <c r="Q201" s="750"/>
      <c r="R201" s="754"/>
      <c r="S201" s="749"/>
      <c r="T201" s="750"/>
      <c r="U201" s="750"/>
      <c r="V201" s="754"/>
      <c r="W201" s="505"/>
      <c r="X201" s="505"/>
      <c r="Y201" s="743"/>
      <c r="Z201" s="743"/>
      <c r="AA201" s="743"/>
      <c r="AB201" s="743"/>
      <c r="AC201" s="743"/>
      <c r="AD201" s="743"/>
      <c r="AE201" s="743"/>
      <c r="AF201" s="743"/>
      <c r="AG201" s="743"/>
      <c r="AH201" s="743"/>
      <c r="BC201" s="155" t="str">
        <f t="shared" si="149"/>
        <v>-</v>
      </c>
      <c r="BD201" s="151" t="str">
        <f>$B191</f>
        <v>City (unweighted)</v>
      </c>
      <c r="BE201" s="153" t="str">
        <f>F194</f>
        <v>-</v>
      </c>
      <c r="BF201" s="153" t="str">
        <f t="shared" ref="BF201:BL201" si="180">G194</f>
        <v>-</v>
      </c>
      <c r="BG201" s="153" t="str">
        <f t="shared" si="180"/>
        <v>-</v>
      </c>
      <c r="BH201" s="153" t="str">
        <f t="shared" si="180"/>
        <v>-</v>
      </c>
      <c r="BI201" s="153" t="str">
        <f t="shared" si="180"/>
        <v>-</v>
      </c>
      <c r="BJ201" s="153" t="str">
        <f t="shared" si="180"/>
        <v>-</v>
      </c>
      <c r="BK201" s="153" t="str">
        <f t="shared" si="180"/>
        <v>-</v>
      </c>
      <c r="BL201" s="153" t="str">
        <f t="shared" si="180"/>
        <v>-</v>
      </c>
    </row>
    <row r="202" spans="1:73" ht="15" customHeight="1" outlineLevel="2" thickBot="1" x14ac:dyDescent="0.3">
      <c r="A202" s="40"/>
      <c r="B202" s="873"/>
      <c r="C202" s="742"/>
      <c r="D202" s="742"/>
      <c r="E202" s="104" t="s">
        <v>95</v>
      </c>
      <c r="F202" s="103" t="s">
        <v>5</v>
      </c>
      <c r="G202" s="103" t="s">
        <v>5</v>
      </c>
      <c r="H202" s="103" t="s">
        <v>5</v>
      </c>
      <c r="I202" s="103" t="s">
        <v>5</v>
      </c>
      <c r="J202" s="103" t="s">
        <v>5</v>
      </c>
      <c r="K202" s="174" t="s">
        <v>5</v>
      </c>
      <c r="L202" s="174" t="s">
        <v>5</v>
      </c>
      <c r="M202" s="174" t="s">
        <v>5</v>
      </c>
      <c r="N202" s="132" t="s">
        <v>5</v>
      </c>
      <c r="O202" s="749"/>
      <c r="P202" s="750"/>
      <c r="Q202" s="750"/>
      <c r="R202" s="754"/>
      <c r="S202" s="749"/>
      <c r="T202" s="750"/>
      <c r="U202" s="750"/>
      <c r="V202" s="754"/>
      <c r="W202" s="505"/>
      <c r="X202" s="505"/>
      <c r="Y202" s="743"/>
      <c r="Z202" s="743"/>
      <c r="AA202" s="743"/>
      <c r="AB202" s="743"/>
      <c r="AC202" s="743"/>
      <c r="AD202" s="743"/>
      <c r="AE202" s="743"/>
      <c r="AF202" s="743"/>
      <c r="AG202" s="743"/>
      <c r="AH202" s="743"/>
      <c r="BC202" s="155" t="str">
        <f t="shared" si="149"/>
        <v>-</v>
      </c>
      <c r="BD202" s="151" t="str">
        <f>$B196</f>
        <v>City (EMROAD)</v>
      </c>
      <c r="BE202" s="153" t="str">
        <f>F199</f>
        <v>-</v>
      </c>
      <c r="BF202" s="153" t="str">
        <f t="shared" ref="BF202:BL202" si="181">G199</f>
        <v>-</v>
      </c>
      <c r="BG202" s="153" t="str">
        <f t="shared" si="181"/>
        <v>-</v>
      </c>
      <c r="BH202" s="153" t="str">
        <f t="shared" si="181"/>
        <v>-</v>
      </c>
      <c r="BI202" s="153" t="str">
        <f t="shared" si="181"/>
        <v>-</v>
      </c>
      <c r="BJ202" s="153" t="str">
        <f t="shared" si="181"/>
        <v>-</v>
      </c>
      <c r="BK202" s="153" t="str">
        <f t="shared" si="181"/>
        <v>-</v>
      </c>
      <c r="BL202" s="153" t="str">
        <f t="shared" si="181"/>
        <v>-</v>
      </c>
    </row>
    <row r="203" spans="1:73" ht="15" customHeight="1" outlineLevel="2" thickBot="1" x14ac:dyDescent="0.3">
      <c r="A203" s="40"/>
      <c r="B203" s="873"/>
      <c r="C203" s="854" t="s">
        <v>64</v>
      </c>
      <c r="D203" s="772" t="str">
        <f>IF(AND(F204="-",G204="-",H204="-",I204="-",J204="-",K204="-",K204="-",L204="-"),"-",MAX(F204,G204,H204,I204,J204,K204,L204,M204))</f>
        <v>-</v>
      </c>
      <c r="E203" s="66" t="s">
        <v>177</v>
      </c>
      <c r="F203" s="65" t="str">
        <f>IF(OR(F202="-",F202=""),IF(OR(F201="-",F201=""),"-",F201),IF(OR(F201="-",F201=""),F202,(F201+F202)/2))</f>
        <v>-</v>
      </c>
      <c r="G203" s="65" t="str">
        <f t="shared" ref="G203:N203" si="182">IF(OR(G202="-",G202=""),IF(OR(G201="-",G201=""),"-",G201),IF(OR(G201="-",G201=""),G202,(G201+G202)/2))</f>
        <v>-</v>
      </c>
      <c r="H203" s="65" t="str">
        <f t="shared" si="182"/>
        <v>-</v>
      </c>
      <c r="I203" s="65" t="str">
        <f t="shared" si="182"/>
        <v>-</v>
      </c>
      <c r="J203" s="65" t="str">
        <f t="shared" si="182"/>
        <v>-</v>
      </c>
      <c r="K203" s="167" t="str">
        <f t="shared" si="182"/>
        <v>-</v>
      </c>
      <c r="L203" s="167" t="str">
        <f t="shared" si="182"/>
        <v>-</v>
      </c>
      <c r="M203" s="167" t="str">
        <f t="shared" si="182"/>
        <v>-</v>
      </c>
      <c r="N203" s="133" t="str">
        <f t="shared" si="182"/>
        <v>-</v>
      </c>
      <c r="O203" s="749"/>
      <c r="P203" s="750"/>
      <c r="Q203" s="750"/>
      <c r="R203" s="754"/>
      <c r="S203" s="749"/>
      <c r="T203" s="750"/>
      <c r="U203" s="750"/>
      <c r="V203" s="754"/>
      <c r="W203" s="505"/>
      <c r="X203" s="505"/>
      <c r="Y203" s="743"/>
      <c r="Z203" s="743"/>
      <c r="AA203" s="743"/>
      <c r="AB203" s="743"/>
      <c r="AC203" s="743"/>
      <c r="AD203" s="743"/>
      <c r="AE203" s="743"/>
      <c r="AF203" s="743"/>
      <c r="AG203" s="743"/>
      <c r="AH203" s="743"/>
      <c r="BC203" s="155" t="str">
        <f t="shared" si="149"/>
        <v>-</v>
      </c>
      <c r="BD203" s="151" t="str">
        <f>$B201</f>
        <v>City (SPF)</v>
      </c>
      <c r="BE203" s="153" t="str">
        <f>F204</f>
        <v>-</v>
      </c>
      <c r="BF203" s="153" t="str">
        <f t="shared" ref="BF203:BL203" si="183">G204</f>
        <v>-</v>
      </c>
      <c r="BG203" s="153" t="str">
        <f t="shared" si="183"/>
        <v>-</v>
      </c>
      <c r="BH203" s="153" t="str">
        <f t="shared" si="183"/>
        <v>-</v>
      </c>
      <c r="BI203" s="153" t="str">
        <f t="shared" si="183"/>
        <v>-</v>
      </c>
      <c r="BJ203" s="153" t="str">
        <f t="shared" si="183"/>
        <v>-</v>
      </c>
      <c r="BK203" s="153" t="str">
        <f t="shared" si="183"/>
        <v>-</v>
      </c>
      <c r="BL203" s="153" t="str">
        <f t="shared" si="183"/>
        <v>-</v>
      </c>
    </row>
    <row r="204" spans="1:73" ht="15" customHeight="1" outlineLevel="2" thickBot="1" x14ac:dyDescent="0.3">
      <c r="A204" s="40"/>
      <c r="B204" s="873"/>
      <c r="C204" s="855"/>
      <c r="D204" s="773"/>
      <c r="E204" s="64" t="s">
        <v>97</v>
      </c>
      <c r="F204" s="63" t="str">
        <f t="shared" ref="F204:N204" si="184">IF(AND(OR($C203="-",$C203="CET",$C203=""),OR(F$190="-",F$190="CET",F$190="")),"-",IF(AND(NOT(F203="-"),NOT(F$5="-"),NOT(F$5="")),F203/F$5,"-"))</f>
        <v>-</v>
      </c>
      <c r="G204" s="63" t="str">
        <f t="shared" si="184"/>
        <v>-</v>
      </c>
      <c r="H204" s="63" t="str">
        <f t="shared" si="184"/>
        <v>-</v>
      </c>
      <c r="I204" s="63" t="str">
        <f t="shared" si="184"/>
        <v>-</v>
      </c>
      <c r="J204" s="63" t="str">
        <f t="shared" si="184"/>
        <v>-</v>
      </c>
      <c r="K204" s="168" t="str">
        <f t="shared" si="184"/>
        <v>-</v>
      </c>
      <c r="L204" s="168" t="str">
        <f t="shared" si="184"/>
        <v>-</v>
      </c>
      <c r="M204" s="168" t="str">
        <f t="shared" si="184"/>
        <v>-</v>
      </c>
      <c r="N204" s="63" t="str">
        <f t="shared" si="184"/>
        <v>-</v>
      </c>
      <c r="O204" s="749"/>
      <c r="P204" s="750"/>
      <c r="Q204" s="750"/>
      <c r="R204" s="754"/>
      <c r="S204" s="749"/>
      <c r="T204" s="750"/>
      <c r="U204" s="750"/>
      <c r="V204" s="754"/>
      <c r="W204" s="505"/>
      <c r="X204" s="505"/>
      <c r="Y204" s="743"/>
      <c r="Z204" s="743"/>
      <c r="AA204" s="743"/>
      <c r="AB204" s="743"/>
      <c r="AC204" s="743"/>
      <c r="AD204" s="743"/>
      <c r="AE204" s="743"/>
      <c r="AF204" s="743"/>
      <c r="AG204" s="743"/>
      <c r="AH204" s="743"/>
      <c r="BC204" s="155" t="str">
        <f t="shared" si="149"/>
        <v>-</v>
      </c>
      <c r="BD204" s="151" t="str">
        <f>$B206</f>
        <v>Total (unweighted)</v>
      </c>
      <c r="BE204" s="153" t="str">
        <f>F214</f>
        <v>-</v>
      </c>
      <c r="BF204" s="153" t="str">
        <f t="shared" ref="BF204:BL204" si="185">G214</f>
        <v>-</v>
      </c>
      <c r="BG204" s="153" t="str">
        <f t="shared" si="185"/>
        <v>-</v>
      </c>
      <c r="BH204" s="153" t="str">
        <f t="shared" si="185"/>
        <v>-</v>
      </c>
      <c r="BI204" s="153" t="str">
        <f t="shared" si="185"/>
        <v>-</v>
      </c>
      <c r="BJ204" s="153" t="str">
        <f t="shared" si="185"/>
        <v>-</v>
      </c>
      <c r="BK204" s="153" t="str">
        <f t="shared" si="185"/>
        <v>-</v>
      </c>
      <c r="BL204" s="153" t="str">
        <f t="shared" si="185"/>
        <v>-</v>
      </c>
    </row>
    <row r="205" spans="1:73" s="50" customFormat="1" ht="15" customHeight="1" outlineLevel="2" thickBot="1" x14ac:dyDescent="0.3">
      <c r="A205" s="52"/>
      <c r="B205" s="874"/>
      <c r="C205" s="856"/>
      <c r="D205" s="774"/>
      <c r="E205" s="62" t="s">
        <v>30</v>
      </c>
      <c r="F205" s="62" t="str">
        <f t="shared" ref="F205:N205" si="186">IF(AND(OR(F201="-",F201=""),OR(F202="-",F202="")),"-",IF(AND(OR(F$190="CET",F$190="-",F$190=""),OR($C203="CET",$C203="-",$C203="")),"-",IF($R$186="not listed","-",IF(AND(NOT(F$5="-"),NOT(F$5="")),IF(AND(AND(NOT(F201=0),NOT(F201="-"),NOT(F201="")),AND(NOT(F202="-"),NOT(F202=0),NOT(F202=""))),IF(AND((F201+F202)/2&lt;1*F$5*IF(OR(F$190="CET",F$190="-",F$190=""),IF(OR($C203="CET",$C203="-",$C203=""),"-",$C203),F$190),F201&lt;1.1*F$5*IF(OR(F$190="CET",F$190="-",F$190=""),IF(OR($C203="CET",$C203="-",$C203=""),"-",$C203),F$190),F202&lt;1.1*F$5*IF(OR(F$190="CET",F$190="-",F$190=""),IF($C203="CET","-",$C203),F$190)),"passed","refused"),IF(IF(OR(F201="-",F201=""),F202,F201)&lt;0.7*F$5*IF(OR(F$190="CET",F$190="-",F$190=""),IF($C203="CET","-",$C203),F$190),"passed",IF(IF(OR(F201="-",F201=""),F202,F201)&lt;1.1*IF(OR(F$190="CET",F$190="-",F$190=""),IF($C203="CET","-",$C203),F$190)*F$5,"failed","refused"))),"-"))))</f>
        <v>-</v>
      </c>
      <c r="G205" s="62" t="str">
        <f t="shared" si="186"/>
        <v>-</v>
      </c>
      <c r="H205" s="62" t="str">
        <f t="shared" si="186"/>
        <v>-</v>
      </c>
      <c r="I205" s="62" t="str">
        <f t="shared" si="186"/>
        <v>-</v>
      </c>
      <c r="J205" s="62" t="str">
        <f t="shared" si="186"/>
        <v>-</v>
      </c>
      <c r="K205" s="169" t="str">
        <f t="shared" si="186"/>
        <v>-</v>
      </c>
      <c r="L205" s="169" t="str">
        <f t="shared" si="186"/>
        <v>-</v>
      </c>
      <c r="M205" s="169" t="str">
        <f t="shared" si="186"/>
        <v>-</v>
      </c>
      <c r="N205" s="62" t="str">
        <f t="shared" si="186"/>
        <v>-</v>
      </c>
      <c r="O205" s="749"/>
      <c r="P205" s="750"/>
      <c r="Q205" s="750"/>
      <c r="R205" s="754"/>
      <c r="S205" s="749"/>
      <c r="T205" s="750"/>
      <c r="U205" s="750"/>
      <c r="V205" s="754"/>
      <c r="W205" s="51"/>
      <c r="X205" s="51"/>
      <c r="Y205" s="743"/>
      <c r="Z205" s="743"/>
      <c r="AA205" s="743"/>
      <c r="AB205" s="743"/>
      <c r="AC205" s="743"/>
      <c r="AD205" s="743"/>
      <c r="AE205" s="743"/>
      <c r="AF205" s="743"/>
      <c r="AG205" s="743"/>
      <c r="AH205" s="743"/>
      <c r="BC205" s="155" t="str">
        <f t="shared" si="149"/>
        <v>-</v>
      </c>
      <c r="BD205" s="151" t="str">
        <f>$B211</f>
        <v>Total (EMROAD)</v>
      </c>
      <c r="BE205" s="153" t="str">
        <f>F214</f>
        <v>-</v>
      </c>
      <c r="BF205" s="153" t="str">
        <f t="shared" ref="BF205:BL205" si="187">G214</f>
        <v>-</v>
      </c>
      <c r="BG205" s="153" t="str">
        <f t="shared" si="187"/>
        <v>-</v>
      </c>
      <c r="BH205" s="153" t="str">
        <f t="shared" si="187"/>
        <v>-</v>
      </c>
      <c r="BI205" s="153" t="str">
        <f t="shared" si="187"/>
        <v>-</v>
      </c>
      <c r="BJ205" s="153" t="str">
        <f t="shared" si="187"/>
        <v>-</v>
      </c>
      <c r="BK205" s="153" t="str">
        <f t="shared" si="187"/>
        <v>-</v>
      </c>
      <c r="BL205" s="153" t="str">
        <f t="shared" si="187"/>
        <v>-</v>
      </c>
      <c r="BM205" s="150"/>
      <c r="BN205" s="150"/>
      <c r="BO205" s="150"/>
      <c r="BP205" s="150"/>
      <c r="BQ205" s="150"/>
      <c r="BR205" s="150"/>
      <c r="BS205" s="150"/>
      <c r="BT205" s="150"/>
      <c r="BU205" s="150"/>
    </row>
    <row r="206" spans="1:73" ht="15" customHeight="1" outlineLevel="2" x14ac:dyDescent="0.25">
      <c r="A206" s="40"/>
      <c r="B206" s="872" t="s">
        <v>105</v>
      </c>
      <c r="C206" s="770" t="s">
        <v>114</v>
      </c>
      <c r="D206" s="770" t="s">
        <v>113</v>
      </c>
      <c r="E206" s="106" t="s">
        <v>94</v>
      </c>
      <c r="F206" s="105" t="s">
        <v>5</v>
      </c>
      <c r="G206" s="105" t="s">
        <v>5</v>
      </c>
      <c r="H206" s="105" t="s">
        <v>5</v>
      </c>
      <c r="I206" s="105" t="s">
        <v>5</v>
      </c>
      <c r="J206" s="105" t="s">
        <v>5</v>
      </c>
      <c r="K206" s="173" t="s">
        <v>5</v>
      </c>
      <c r="L206" s="173" t="s">
        <v>5</v>
      </c>
      <c r="M206" s="173" t="s">
        <v>5</v>
      </c>
      <c r="N206" s="131" t="s">
        <v>5</v>
      </c>
      <c r="O206" s="749"/>
      <c r="P206" s="750"/>
      <c r="Q206" s="750"/>
      <c r="R206" s="754"/>
      <c r="S206" s="749"/>
      <c r="T206" s="750"/>
      <c r="U206" s="750"/>
      <c r="V206" s="754"/>
      <c r="W206" s="505"/>
      <c r="X206" s="505"/>
      <c r="Y206" s="743"/>
      <c r="Z206" s="743"/>
      <c r="AA206" s="743"/>
      <c r="AB206" s="743"/>
      <c r="AC206" s="743"/>
      <c r="AD206" s="743"/>
      <c r="AE206" s="743"/>
      <c r="AF206" s="743"/>
      <c r="AG206" s="743"/>
      <c r="AH206" s="743"/>
      <c r="BC206" s="155" t="str">
        <f t="shared" si="149"/>
        <v>-</v>
      </c>
      <c r="BD206" s="151" t="str">
        <f>$B216</f>
        <v>Total (SPF)</v>
      </c>
      <c r="BE206" s="153" t="str">
        <f>F219</f>
        <v>-</v>
      </c>
      <c r="BF206" s="153" t="str">
        <f t="shared" ref="BF206:BL206" si="188">G219</f>
        <v>-</v>
      </c>
      <c r="BG206" s="153" t="str">
        <f t="shared" si="188"/>
        <v>-</v>
      </c>
      <c r="BH206" s="153" t="str">
        <f t="shared" si="188"/>
        <v>-</v>
      </c>
      <c r="BI206" s="153" t="str">
        <f t="shared" si="188"/>
        <v>-</v>
      </c>
      <c r="BJ206" s="153" t="str">
        <f t="shared" si="188"/>
        <v>-</v>
      </c>
      <c r="BK206" s="153" t="str">
        <f t="shared" si="188"/>
        <v>-</v>
      </c>
      <c r="BL206" s="153" t="str">
        <f t="shared" si="188"/>
        <v>-</v>
      </c>
    </row>
    <row r="207" spans="1:73" ht="15" customHeight="1" outlineLevel="2" thickBot="1" x14ac:dyDescent="0.3">
      <c r="A207" s="40"/>
      <c r="B207" s="873"/>
      <c r="C207" s="742"/>
      <c r="D207" s="742"/>
      <c r="E207" s="104" t="s">
        <v>95</v>
      </c>
      <c r="F207" s="103" t="s">
        <v>5</v>
      </c>
      <c r="G207" s="103" t="s">
        <v>5</v>
      </c>
      <c r="H207" s="103" t="s">
        <v>5</v>
      </c>
      <c r="I207" s="103" t="s">
        <v>5</v>
      </c>
      <c r="J207" s="103" t="s">
        <v>5</v>
      </c>
      <c r="K207" s="174" t="s">
        <v>5</v>
      </c>
      <c r="L207" s="174" t="s">
        <v>5</v>
      </c>
      <c r="M207" s="174" t="s">
        <v>5</v>
      </c>
      <c r="N207" s="132" t="s">
        <v>5</v>
      </c>
      <c r="O207" s="749"/>
      <c r="P207" s="750"/>
      <c r="Q207" s="750"/>
      <c r="R207" s="754"/>
      <c r="S207" s="749"/>
      <c r="T207" s="750"/>
      <c r="U207" s="750"/>
      <c r="V207" s="754"/>
      <c r="W207" s="505"/>
      <c r="X207" s="505"/>
      <c r="Y207" s="743"/>
      <c r="Z207" s="743"/>
      <c r="AA207" s="743"/>
      <c r="AB207" s="743"/>
      <c r="AC207" s="743"/>
      <c r="AD207" s="743"/>
      <c r="AE207" s="743"/>
      <c r="AF207" s="743"/>
      <c r="AG207" s="743"/>
      <c r="AH207" s="743"/>
      <c r="BC207" s="155" t="str">
        <f t="shared" si="149"/>
        <v>-</v>
      </c>
      <c r="BD207" s="151" t="str">
        <f>"IEF " &amp;B191</f>
        <v>IEF City (unweighted)</v>
      </c>
      <c r="BE207" s="153" t="str">
        <f>IF(AND(OR($C193="-",$C193="CET",$C193=""),OR(F$190="-",F$190="CET",F$190="")),"-",IF(OR(F$190="CET",F$190="-",F$190=""),IF(OR($C193="CET",$C193="-",$C193=""),"-",$C193),F$190))</f>
        <v>-</v>
      </c>
      <c r="BF207" s="153" t="str">
        <f t="shared" ref="BF207:BL207" si="189">IF(AND(OR($C193="-",$C193="CET",$C193=""),OR(G$190="-",G$190="CET",G$190="")),"-",IF(OR(G$190="CET",G$190="-",G$190=""),IF(OR($C193="CET",$C193="-",$C193=""),"-",$C193),G$190))</f>
        <v>-</v>
      </c>
      <c r="BG207" s="153" t="str">
        <f t="shared" si="189"/>
        <v>-</v>
      </c>
      <c r="BH207" s="153" t="str">
        <f t="shared" si="189"/>
        <v>-</v>
      </c>
      <c r="BI207" s="153" t="str">
        <f t="shared" si="189"/>
        <v>-</v>
      </c>
      <c r="BJ207" s="153" t="str">
        <f t="shared" si="189"/>
        <v>-</v>
      </c>
      <c r="BK207" s="153" t="str">
        <f t="shared" si="189"/>
        <v>-</v>
      </c>
      <c r="BL207" s="153" t="str">
        <f t="shared" si="189"/>
        <v>-</v>
      </c>
    </row>
    <row r="208" spans="1:73" ht="15" customHeight="1" outlineLevel="2" thickBot="1" x14ac:dyDescent="0.3">
      <c r="A208" s="40"/>
      <c r="B208" s="873"/>
      <c r="C208" s="854" t="s">
        <v>64</v>
      </c>
      <c r="D208" s="772" t="str">
        <f>IF(AND(F209="-",G209="-",H209="-",I209="-",J209="-",K209="-",K209="-",L209="-"),"-",MAX(F209,G209,H209,I209,J209,K209,L209,M209))</f>
        <v>-</v>
      </c>
      <c r="E208" s="66" t="s">
        <v>177</v>
      </c>
      <c r="F208" s="65" t="str">
        <f>IF(OR(F207="-",F207=""),IF(OR(F206="-",F206=""),"-",F206),IF(OR(F206="-",F206=""),F207,(F206+F207)/2))</f>
        <v>-</v>
      </c>
      <c r="G208" s="65" t="str">
        <f t="shared" ref="G208:N208" si="190">IF(OR(G207="-",G207=""),IF(OR(G206="-",G206=""),"-",G206),IF(OR(G206="-",G206=""),G207,(G206+G207)/2))</f>
        <v>-</v>
      </c>
      <c r="H208" s="65" t="str">
        <f t="shared" si="190"/>
        <v>-</v>
      </c>
      <c r="I208" s="65" t="str">
        <f t="shared" si="190"/>
        <v>-</v>
      </c>
      <c r="J208" s="65" t="str">
        <f t="shared" si="190"/>
        <v>-</v>
      </c>
      <c r="K208" s="167" t="str">
        <f t="shared" si="190"/>
        <v>-</v>
      </c>
      <c r="L208" s="167" t="str">
        <f t="shared" si="190"/>
        <v>-</v>
      </c>
      <c r="M208" s="167" t="str">
        <f t="shared" si="190"/>
        <v>-</v>
      </c>
      <c r="N208" s="133" t="str">
        <f t="shared" si="190"/>
        <v>-</v>
      </c>
      <c r="O208" s="749"/>
      <c r="P208" s="750"/>
      <c r="Q208" s="750"/>
      <c r="R208" s="754"/>
      <c r="S208" s="749"/>
      <c r="T208" s="750"/>
      <c r="U208" s="750"/>
      <c r="V208" s="754"/>
      <c r="W208" s="505"/>
      <c r="X208" s="505"/>
      <c r="Y208" s="743"/>
      <c r="Z208" s="743"/>
      <c r="AA208" s="743"/>
      <c r="AB208" s="743"/>
      <c r="AC208" s="743"/>
      <c r="AD208" s="743"/>
      <c r="AE208" s="743"/>
      <c r="AF208" s="743"/>
      <c r="AG208" s="743"/>
      <c r="AH208" s="743"/>
      <c r="BC208" s="155" t="str">
        <f t="shared" si="149"/>
        <v>-</v>
      </c>
      <c r="BD208" s="151" t="str">
        <f>"IEF " &amp; B196</f>
        <v>IEF City (EMROAD)</v>
      </c>
      <c r="BE208" s="153" t="str">
        <f>IF(AND(OR($C198="-",$C198="CET",$C198=""),OR(F$190="-",F$190="CET",F$190="")),"-",IF(OR(F$190="CET",F$190="-",F$190=""),IF(OR($C198="CET",$C198="-",$C198=""),"-",$C198),F$190))</f>
        <v>-</v>
      </c>
      <c r="BF208" s="153" t="str">
        <f t="shared" ref="BF208:BL208" si="191">IF(AND(OR($C198="-",$C198="CET",$C198=""),OR(G$190="-",G$190="CET",G$190="")),"-",IF(OR(G$190="CET",G$190="-",G$190=""),IF(OR($C198="CET",$C198="-",$C198=""),"-",$C198),G$190))</f>
        <v>-</v>
      </c>
      <c r="BG208" s="153" t="str">
        <f t="shared" si="191"/>
        <v>-</v>
      </c>
      <c r="BH208" s="153" t="str">
        <f t="shared" si="191"/>
        <v>-</v>
      </c>
      <c r="BI208" s="153" t="str">
        <f t="shared" si="191"/>
        <v>-</v>
      </c>
      <c r="BJ208" s="153" t="str">
        <f t="shared" si="191"/>
        <v>-</v>
      </c>
      <c r="BK208" s="153" t="str">
        <f t="shared" si="191"/>
        <v>-</v>
      </c>
      <c r="BL208" s="153" t="str">
        <f t="shared" si="191"/>
        <v>-</v>
      </c>
    </row>
    <row r="209" spans="1:73" ht="15" customHeight="1" outlineLevel="2" thickBot="1" x14ac:dyDescent="0.3">
      <c r="A209" s="40"/>
      <c r="B209" s="873"/>
      <c r="C209" s="855"/>
      <c r="D209" s="773"/>
      <c r="E209" s="64" t="s">
        <v>97</v>
      </c>
      <c r="F209" s="63" t="str">
        <f t="shared" ref="F209:N209" si="192">IF(AND(OR($C208="-",$C208="CET",$C208=""),OR(F$190="-",F$190="CET",F$190="")),"-",IF(AND(NOT(F208="-"),NOT(F$5="-"),NOT(F$5="")),F208/F$5,"-"))</f>
        <v>-</v>
      </c>
      <c r="G209" s="63" t="str">
        <f t="shared" si="192"/>
        <v>-</v>
      </c>
      <c r="H209" s="63" t="str">
        <f t="shared" si="192"/>
        <v>-</v>
      </c>
      <c r="I209" s="63" t="str">
        <f t="shared" si="192"/>
        <v>-</v>
      </c>
      <c r="J209" s="63" t="str">
        <f t="shared" si="192"/>
        <v>-</v>
      </c>
      <c r="K209" s="168" t="str">
        <f t="shared" si="192"/>
        <v>-</v>
      </c>
      <c r="L209" s="168" t="str">
        <f t="shared" si="192"/>
        <v>-</v>
      </c>
      <c r="M209" s="168" t="str">
        <f t="shared" si="192"/>
        <v>-</v>
      </c>
      <c r="N209" s="63" t="str">
        <f t="shared" si="192"/>
        <v>-</v>
      </c>
      <c r="O209" s="749"/>
      <c r="P209" s="750"/>
      <c r="Q209" s="750"/>
      <c r="R209" s="754"/>
      <c r="S209" s="749"/>
      <c r="T209" s="750"/>
      <c r="U209" s="750"/>
      <c r="V209" s="754"/>
      <c r="W209" s="505"/>
      <c r="X209" s="505"/>
      <c r="Y209" s="743"/>
      <c r="Z209" s="743"/>
      <c r="AA209" s="743"/>
      <c r="AB209" s="743"/>
      <c r="AC209" s="743"/>
      <c r="AD209" s="743"/>
      <c r="AE209" s="743"/>
      <c r="AF209" s="743"/>
      <c r="AG209" s="743"/>
      <c r="AH209" s="743"/>
      <c r="BC209" s="155" t="str">
        <f t="shared" si="149"/>
        <v>-</v>
      </c>
      <c r="BD209" s="151" t="str">
        <f>"IEF " &amp; B201</f>
        <v>IEF City (SPF)</v>
      </c>
      <c r="BE209" s="153" t="str">
        <f>IF(AND(OR($C203="-",$C203="CET",$C203=""),OR(F$190="-",F$190="CET",F$190="")),"-",IF(OR(F$190="CET",F$190="-",F$190=""),IF(OR($C203="CET",$C203="-",$C203=""),"-",$C203),F$190))</f>
        <v>-</v>
      </c>
      <c r="BF209" s="153" t="str">
        <f t="shared" ref="BF209:BL209" si="193">IF(AND(OR($C203="-",$C203="CET",$C203=""),OR(G$190="-",G$190="CET",G$190="")),"-",IF(OR(G$190="CET",G$190="-",G$190=""),IF(OR($C203="CET",$C203="-",$C203=""),"-",$C203),G$190))</f>
        <v>-</v>
      </c>
      <c r="BG209" s="153" t="str">
        <f t="shared" si="193"/>
        <v>-</v>
      </c>
      <c r="BH209" s="153" t="str">
        <f t="shared" si="193"/>
        <v>-</v>
      </c>
      <c r="BI209" s="153" t="str">
        <f t="shared" si="193"/>
        <v>-</v>
      </c>
      <c r="BJ209" s="153" t="str">
        <f t="shared" si="193"/>
        <v>-</v>
      </c>
      <c r="BK209" s="153" t="str">
        <f t="shared" si="193"/>
        <v>-</v>
      </c>
      <c r="BL209" s="153" t="str">
        <f t="shared" si="193"/>
        <v>-</v>
      </c>
    </row>
    <row r="210" spans="1:73" s="50" customFormat="1" ht="15" customHeight="1" outlineLevel="2" thickBot="1" x14ac:dyDescent="0.3">
      <c r="A210" s="52"/>
      <c r="B210" s="874"/>
      <c r="C210" s="856"/>
      <c r="D210" s="774"/>
      <c r="E210" s="62" t="s">
        <v>30</v>
      </c>
      <c r="F210" s="62" t="str">
        <f t="shared" ref="F210:N210" si="194">IF(AND(OR(F206="-",F206=""),OR(F207="-",F207="")),"-",IF(AND(OR(F$190="CET",F$190="-",F$190=""),OR($C208="CET",$C208="-",$C208="")),"-",IF($R$186="not listed","-",IF(AND(NOT(F$5="-"),NOT(F$5="")),IF(AND(AND(NOT(F206=0),NOT(F206="-"),NOT(F206="")),AND(NOT(F207="-"),NOT(F207=0),NOT(F207=""))),IF(AND((F206+F207)/2&lt;1*F$5*IF(OR(F$190="CET",F$190="-",F$190=""),IF(OR($C208="CET",$C208="-",$C208=""),"-",$C208),F$190),F206&lt;1.1*F$5*IF(OR(F$190="CET",F$190="-",F$190=""),IF(OR($C208="CET",$C208="-",$C208=""),"-",$C208),F$190),F207&lt;1.1*F$5*IF(OR(F$190="CET",F$190="-",F$190=""),IF($C208="CET","-",$C208),F$190)),"passed","refused"),IF(IF(OR(F206="-",F206=""),F207,F206)&lt;0.7*F$5*IF(OR(F$190="CET",F$190="-",F$190=""),IF($C208="CET","-",$C208),F$190),"passed",IF(IF(OR(F206="-",F206=""),F207,F206)&lt;1.1*IF(OR(F$190="CET",F$190="-",F$190=""),IF($C208="CET","-",$C208),F$190)*F$5,"failed","refused"))),"-"))))</f>
        <v>-</v>
      </c>
      <c r="G210" s="62" t="str">
        <f t="shared" si="194"/>
        <v>-</v>
      </c>
      <c r="H210" s="62" t="str">
        <f t="shared" si="194"/>
        <v>-</v>
      </c>
      <c r="I210" s="62" t="str">
        <f t="shared" si="194"/>
        <v>-</v>
      </c>
      <c r="J210" s="62" t="str">
        <f t="shared" si="194"/>
        <v>-</v>
      </c>
      <c r="K210" s="169" t="str">
        <f t="shared" si="194"/>
        <v>-</v>
      </c>
      <c r="L210" s="169" t="str">
        <f t="shared" si="194"/>
        <v>-</v>
      </c>
      <c r="M210" s="169" t="str">
        <f t="shared" si="194"/>
        <v>-</v>
      </c>
      <c r="N210" s="62" t="str">
        <f t="shared" si="194"/>
        <v>-</v>
      </c>
      <c r="O210" s="749"/>
      <c r="P210" s="750"/>
      <c r="Q210" s="750"/>
      <c r="R210" s="754"/>
      <c r="S210" s="749"/>
      <c r="T210" s="750"/>
      <c r="U210" s="750"/>
      <c r="V210" s="754"/>
      <c r="W210" s="51"/>
      <c r="X210" s="51"/>
      <c r="Y210" s="743"/>
      <c r="Z210" s="743"/>
      <c r="AA210" s="743"/>
      <c r="AB210" s="743"/>
      <c r="AC210" s="743"/>
      <c r="AD210" s="743"/>
      <c r="AE210" s="743"/>
      <c r="AF210" s="743"/>
      <c r="AG210" s="743"/>
      <c r="AH210" s="743"/>
      <c r="BC210" s="155" t="str">
        <f t="shared" si="149"/>
        <v>-</v>
      </c>
      <c r="BD210" s="151" t="str">
        <f>"IEF " &amp; B206</f>
        <v>IEF Total (unweighted)</v>
      </c>
      <c r="BE210" s="153" t="str">
        <f>IF(AND(OR($C208="-",$C208="CET",$C208=""),OR(F$190="-",F$190="CET",F$190="")),"-",IF(OR(F$190="CET",F$190="-",F$190=""),IF(OR($C208="CET",$C208="-",$C208=""),"-",$C208),F$190))</f>
        <v>-</v>
      </c>
      <c r="BF210" s="153" t="str">
        <f t="shared" ref="BF210:BL210" si="195">IF(AND(OR($C208="-",$C208="CET",$C208=""),OR(G$190="-",G$190="CET",G$190="")),"-",IF(OR(G$190="CET",G$190="-",G$190=""),IF(OR($C208="CET",$C208="-",$C208=""),"-",$C208),G$190))</f>
        <v>-</v>
      </c>
      <c r="BG210" s="153" t="str">
        <f t="shared" si="195"/>
        <v>-</v>
      </c>
      <c r="BH210" s="153" t="str">
        <f t="shared" si="195"/>
        <v>-</v>
      </c>
      <c r="BI210" s="153" t="str">
        <f t="shared" si="195"/>
        <v>-</v>
      </c>
      <c r="BJ210" s="153" t="str">
        <f t="shared" si="195"/>
        <v>-</v>
      </c>
      <c r="BK210" s="153" t="str">
        <f t="shared" si="195"/>
        <v>-</v>
      </c>
      <c r="BL210" s="153" t="str">
        <f t="shared" si="195"/>
        <v>-</v>
      </c>
      <c r="BM210" s="150"/>
      <c r="BN210" s="150"/>
      <c r="BO210" s="150"/>
      <c r="BP210" s="150"/>
      <c r="BQ210" s="150"/>
      <c r="BR210" s="150"/>
      <c r="BS210" s="150"/>
      <c r="BT210" s="150"/>
      <c r="BU210" s="150"/>
    </row>
    <row r="211" spans="1:73" ht="15" customHeight="1" outlineLevel="2" x14ac:dyDescent="0.25">
      <c r="A211" s="40"/>
      <c r="B211" s="872" t="s">
        <v>104</v>
      </c>
      <c r="C211" s="770" t="s">
        <v>114</v>
      </c>
      <c r="D211" s="770" t="s">
        <v>113</v>
      </c>
      <c r="E211" s="106" t="s">
        <v>94</v>
      </c>
      <c r="F211" s="105" t="s">
        <v>5</v>
      </c>
      <c r="G211" s="105" t="s">
        <v>5</v>
      </c>
      <c r="H211" s="105" t="s">
        <v>5</v>
      </c>
      <c r="I211" s="105" t="s">
        <v>5</v>
      </c>
      <c r="J211" s="105" t="s">
        <v>5</v>
      </c>
      <c r="K211" s="173" t="s">
        <v>5</v>
      </c>
      <c r="L211" s="173" t="s">
        <v>5</v>
      </c>
      <c r="M211" s="173" t="s">
        <v>5</v>
      </c>
      <c r="N211" s="131" t="s">
        <v>5</v>
      </c>
      <c r="O211" s="749"/>
      <c r="P211" s="750"/>
      <c r="Q211" s="750"/>
      <c r="R211" s="754"/>
      <c r="S211" s="749"/>
      <c r="T211" s="750"/>
      <c r="U211" s="750"/>
      <c r="V211" s="754"/>
      <c r="W211" s="505"/>
      <c r="X211" s="505"/>
      <c r="Y211" s="743"/>
      <c r="Z211" s="743"/>
      <c r="AA211" s="743"/>
      <c r="AB211" s="743"/>
      <c r="AC211" s="743"/>
      <c r="AD211" s="743"/>
      <c r="AE211" s="743"/>
      <c r="AF211" s="743"/>
      <c r="AG211" s="743"/>
      <c r="AH211" s="743"/>
      <c r="BC211" s="155" t="str">
        <f t="shared" si="149"/>
        <v>-</v>
      </c>
      <c r="BD211" s="151" t="str">
        <f>"IEF " &amp; B211</f>
        <v>IEF Total (EMROAD)</v>
      </c>
      <c r="BE211" s="153" t="str">
        <f>IF(AND(OR($C213="-",$C213="CET",$C213=""),OR(F$190="-",F$190="CET",F$190="")),"-",IF(OR(F$190="CET",F$190="-",F$190=""),IF(OR($C213="CET",$C213="-",$C213=""),"-",$C213),F$190))</f>
        <v>-</v>
      </c>
      <c r="BF211" s="153" t="str">
        <f t="shared" ref="BF211:BL211" si="196">IF(AND(OR($C213="-",$C213="CET",$C213=""),OR(G$190="-",G$190="CET",G$190="")),"-",IF(OR(G$190="CET",G$190="-",G$190=""),IF(OR($C213="CET",$C213="-",$C213=""),"-",$C213),G$190))</f>
        <v>-</v>
      </c>
      <c r="BG211" s="153" t="str">
        <f t="shared" si="196"/>
        <v>-</v>
      </c>
      <c r="BH211" s="153" t="str">
        <f t="shared" si="196"/>
        <v>-</v>
      </c>
      <c r="BI211" s="153" t="str">
        <f t="shared" si="196"/>
        <v>-</v>
      </c>
      <c r="BJ211" s="153" t="str">
        <f t="shared" si="196"/>
        <v>-</v>
      </c>
      <c r="BK211" s="153" t="str">
        <f t="shared" si="196"/>
        <v>-</v>
      </c>
      <c r="BL211" s="153" t="str">
        <f t="shared" si="196"/>
        <v>-</v>
      </c>
    </row>
    <row r="212" spans="1:73" ht="15" customHeight="1" outlineLevel="2" thickBot="1" x14ac:dyDescent="0.3">
      <c r="A212" s="40"/>
      <c r="B212" s="873"/>
      <c r="C212" s="742"/>
      <c r="D212" s="742"/>
      <c r="E212" s="104" t="s">
        <v>95</v>
      </c>
      <c r="F212" s="103" t="s">
        <v>5</v>
      </c>
      <c r="G212" s="103" t="s">
        <v>5</v>
      </c>
      <c r="H212" s="103" t="s">
        <v>5</v>
      </c>
      <c r="I212" s="103" t="s">
        <v>5</v>
      </c>
      <c r="J212" s="103" t="s">
        <v>5</v>
      </c>
      <c r="K212" s="174" t="s">
        <v>5</v>
      </c>
      <c r="L212" s="174" t="s">
        <v>5</v>
      </c>
      <c r="M212" s="174" t="s">
        <v>5</v>
      </c>
      <c r="N212" s="132" t="s">
        <v>5</v>
      </c>
      <c r="O212" s="749"/>
      <c r="P212" s="750"/>
      <c r="Q212" s="750"/>
      <c r="R212" s="754"/>
      <c r="S212" s="749"/>
      <c r="T212" s="750"/>
      <c r="U212" s="750"/>
      <c r="V212" s="754"/>
      <c r="W212" s="505"/>
      <c r="X212" s="505"/>
      <c r="Y212" s="743"/>
      <c r="Z212" s="743"/>
      <c r="AA212" s="743"/>
      <c r="AB212" s="743"/>
      <c r="AC212" s="743"/>
      <c r="AD212" s="743"/>
      <c r="AE212" s="743"/>
      <c r="AF212" s="743"/>
      <c r="AG212" s="743"/>
      <c r="AH212" s="743"/>
      <c r="BC212" s="155" t="str">
        <f t="shared" si="149"/>
        <v>-</v>
      </c>
      <c r="BD212" s="151" t="str">
        <f>"IEF " &amp; B216</f>
        <v>IEF Total (SPF)</v>
      </c>
      <c r="BE212" s="153" t="str">
        <f>IF(AND(OR($C218="-",$C218="CET",$C218=""),OR(F$190="-",F$190="CET",F$190="")),"-",IF(OR(F$190="CET",F$190="-",F$190=""),IF(OR($C218="CET",$C218="-",$C218=""),"-",$C218),F$190))</f>
        <v>-</v>
      </c>
      <c r="BF212" s="153" t="str">
        <f t="shared" ref="BF212:BL212" si="197">IF(AND(OR($C218="-",$C218="CET",$C218=""),OR(G$190="-",G$190="CET",G$190="")),"-",IF(OR(G$190="CET",G$190="-",G$190=""),IF(OR($C218="CET",$C218="-",$C218=""),"-",$C218),G$190))</f>
        <v>-</v>
      </c>
      <c r="BG212" s="153" t="str">
        <f t="shared" si="197"/>
        <v>-</v>
      </c>
      <c r="BH212" s="153" t="str">
        <f t="shared" si="197"/>
        <v>-</v>
      </c>
      <c r="BI212" s="153" t="str">
        <f t="shared" si="197"/>
        <v>-</v>
      </c>
      <c r="BJ212" s="153" t="str">
        <f t="shared" si="197"/>
        <v>-</v>
      </c>
      <c r="BK212" s="153" t="str">
        <f t="shared" si="197"/>
        <v>-</v>
      </c>
      <c r="BL212" s="153" t="str">
        <f t="shared" si="197"/>
        <v>-</v>
      </c>
    </row>
    <row r="213" spans="1:73" ht="15" customHeight="1" outlineLevel="2" thickBot="1" x14ac:dyDescent="0.3">
      <c r="A213" s="40"/>
      <c r="B213" s="873"/>
      <c r="C213" s="854" t="s">
        <v>64</v>
      </c>
      <c r="D213" s="772" t="str">
        <f>IF(AND(F214="-",G214="-",H214="-",I214="-",J214="-",K214="-",K214="-",L214="-"),"-",MAX(F214,G214,H214,I214,J214,K214,L214,M214))</f>
        <v>-</v>
      </c>
      <c r="E213" s="66" t="s">
        <v>177</v>
      </c>
      <c r="F213" s="65" t="str">
        <f>IF(OR(F212="-",F212=""),IF(OR(F211="-",F211=""),"-",F211),IF(OR(F211="-",F211=""),F212,(F211+F212)/2))</f>
        <v>-</v>
      </c>
      <c r="G213" s="65" t="str">
        <f t="shared" ref="G213:N213" si="198">IF(OR(G212="-",G212=""),IF(OR(G211="-",G211=""),"-",G211),IF(OR(G211="-",G211=""),G212,(G211+G212)/2))</f>
        <v>-</v>
      </c>
      <c r="H213" s="65" t="str">
        <f t="shared" si="198"/>
        <v>-</v>
      </c>
      <c r="I213" s="65" t="str">
        <f t="shared" si="198"/>
        <v>-</v>
      </c>
      <c r="J213" s="65" t="str">
        <f t="shared" si="198"/>
        <v>-</v>
      </c>
      <c r="K213" s="167" t="str">
        <f t="shared" si="198"/>
        <v>-</v>
      </c>
      <c r="L213" s="167" t="str">
        <f t="shared" si="198"/>
        <v>-</v>
      </c>
      <c r="M213" s="167" t="str">
        <f t="shared" si="198"/>
        <v>-</v>
      </c>
      <c r="N213" s="133" t="str">
        <f t="shared" si="198"/>
        <v>-</v>
      </c>
      <c r="O213" s="749"/>
      <c r="P213" s="750"/>
      <c r="Q213" s="750"/>
      <c r="R213" s="754"/>
      <c r="S213" s="749"/>
      <c r="T213" s="750"/>
      <c r="U213" s="750"/>
      <c r="V213" s="754"/>
      <c r="W213" s="505"/>
      <c r="X213" s="505"/>
      <c r="Y213" s="743"/>
      <c r="Z213" s="743"/>
      <c r="AA213" s="743"/>
      <c r="AB213" s="743"/>
      <c r="AC213" s="743"/>
      <c r="AD213" s="743"/>
      <c r="AE213" s="743"/>
      <c r="AF213" s="743"/>
      <c r="AG213" s="743"/>
      <c r="AH213" s="743"/>
      <c r="BC213" s="155" t="str">
        <f t="shared" si="149"/>
        <v>-</v>
      </c>
    </row>
    <row r="214" spans="1:73" s="50" customFormat="1" ht="15" customHeight="1" outlineLevel="2" thickBot="1" x14ac:dyDescent="0.3">
      <c r="A214" s="52"/>
      <c r="B214" s="873"/>
      <c r="C214" s="855"/>
      <c r="D214" s="773"/>
      <c r="E214" s="64" t="s">
        <v>97</v>
      </c>
      <c r="F214" s="63" t="str">
        <f t="shared" ref="F214:N214" si="199">IF(AND(OR($C213="-",$C213="CET",$C213=""),OR(F$190="-",F$190="CET",F$190="")),"-",IF(AND(NOT(F213="-"),NOT(F$5="-"),NOT(F$5="")),F213/F$5,"-"))</f>
        <v>-</v>
      </c>
      <c r="G214" s="63" t="str">
        <f t="shared" si="199"/>
        <v>-</v>
      </c>
      <c r="H214" s="63" t="str">
        <f t="shared" si="199"/>
        <v>-</v>
      </c>
      <c r="I214" s="63" t="str">
        <f t="shared" si="199"/>
        <v>-</v>
      </c>
      <c r="J214" s="63" t="str">
        <f t="shared" si="199"/>
        <v>-</v>
      </c>
      <c r="K214" s="168" t="str">
        <f t="shared" si="199"/>
        <v>-</v>
      </c>
      <c r="L214" s="168" t="str">
        <f t="shared" si="199"/>
        <v>-</v>
      </c>
      <c r="M214" s="168" t="str">
        <f t="shared" si="199"/>
        <v>-</v>
      </c>
      <c r="N214" s="63" t="str">
        <f t="shared" si="199"/>
        <v>-</v>
      </c>
      <c r="O214" s="749"/>
      <c r="P214" s="750"/>
      <c r="Q214" s="750"/>
      <c r="R214" s="754"/>
      <c r="S214" s="749"/>
      <c r="T214" s="750"/>
      <c r="U214" s="750"/>
      <c r="V214" s="754"/>
      <c r="W214" s="51"/>
      <c r="X214" s="51"/>
      <c r="Y214" s="743"/>
      <c r="Z214" s="743"/>
      <c r="AA214" s="743"/>
      <c r="AB214" s="743"/>
      <c r="AC214" s="743"/>
      <c r="AD214" s="743"/>
      <c r="AE214" s="743"/>
      <c r="AF214" s="743"/>
      <c r="AG214" s="743"/>
      <c r="AH214" s="743"/>
      <c r="BC214" s="155" t="str">
        <f t="shared" si="149"/>
        <v>-</v>
      </c>
      <c r="BD214" s="156"/>
      <c r="BE214" s="156"/>
      <c r="BF214" s="156"/>
      <c r="BG214" s="156"/>
      <c r="BH214" s="156"/>
      <c r="BI214" s="156"/>
      <c r="BJ214" s="156"/>
      <c r="BK214" s="156"/>
      <c r="BL214" s="156"/>
      <c r="BM214" s="150"/>
      <c r="BN214" s="150"/>
      <c r="BO214" s="150"/>
      <c r="BP214" s="150"/>
      <c r="BQ214" s="150"/>
      <c r="BR214" s="150"/>
      <c r="BS214" s="150"/>
      <c r="BT214" s="150"/>
      <c r="BU214" s="150"/>
    </row>
    <row r="215" spans="1:73" ht="15" customHeight="1" outlineLevel="2" thickBot="1" x14ac:dyDescent="0.3">
      <c r="A215" s="40"/>
      <c r="B215" s="874"/>
      <c r="C215" s="856"/>
      <c r="D215" s="774"/>
      <c r="E215" s="62" t="s">
        <v>30</v>
      </c>
      <c r="F215" s="62" t="str">
        <f t="shared" ref="F215:N215" si="200">IF(AND(OR(F211="-",F211=""),OR(F212="-",F212="")),"-",IF(AND(OR(F$190="CET",F$190="-",F$190=""),OR($C213="CET",$C213="-",$C213="")),"-",IF($R$186="not listed","-",IF(AND(NOT(F$5="-"),NOT(F$5="")),IF(AND(AND(NOT(F211=0),NOT(F211="-"),NOT(F211="")),AND(NOT(F212="-"),NOT(F212=0),NOT(F212=""))),IF(AND((F211+F212)/2&lt;1*F$5*IF(OR(F$190="CET",F$190="-",F$190=""),IF(OR($C213="CET",$C213="-",$C213=""),"-",$C213),F$190),F211&lt;1.1*F$5*IF(OR(F$190="CET",F$190="-",F$190=""),IF(OR($C213="CET",$C213="-",$C213=""),"-",$C213),F$190),F212&lt;1.1*F$5*IF(OR(F$190="CET",F$190="-",F$190=""),IF($C213="CET","-",$C213),F$190)),"passed","refused"),IF(IF(OR(F211="-",F211=""),F212,F211)&lt;0.7*F$5*IF(OR(F$190="CET",F$190="-",F$190=""),IF($C213="CET","-",$C213),F$190),"passed",IF(IF(OR(F211="-",F211=""),F212,F211)&lt;1.1*IF(OR(F$190="CET",F$190="-",F$190=""),IF($C213="CET","-",$C213),F$190)*F$5,"failed","refused"))),"-"))))</f>
        <v>-</v>
      </c>
      <c r="G215" s="62" t="str">
        <f t="shared" si="200"/>
        <v>-</v>
      </c>
      <c r="H215" s="62" t="str">
        <f t="shared" si="200"/>
        <v>-</v>
      </c>
      <c r="I215" s="62" t="str">
        <f t="shared" si="200"/>
        <v>-</v>
      </c>
      <c r="J215" s="62" t="str">
        <f t="shared" si="200"/>
        <v>-</v>
      </c>
      <c r="K215" s="169" t="str">
        <f t="shared" si="200"/>
        <v>-</v>
      </c>
      <c r="L215" s="169" t="str">
        <f t="shared" si="200"/>
        <v>-</v>
      </c>
      <c r="M215" s="169" t="str">
        <f t="shared" si="200"/>
        <v>-</v>
      </c>
      <c r="N215" s="62" t="str">
        <f t="shared" si="200"/>
        <v>-</v>
      </c>
      <c r="O215" s="749"/>
      <c r="P215" s="750"/>
      <c r="Q215" s="750"/>
      <c r="R215" s="754"/>
      <c r="S215" s="749"/>
      <c r="T215" s="750"/>
      <c r="U215" s="750"/>
      <c r="V215" s="754"/>
      <c r="W215" s="505"/>
      <c r="X215" s="505"/>
      <c r="Y215" s="743"/>
      <c r="Z215" s="743"/>
      <c r="AA215" s="743"/>
      <c r="AB215" s="743"/>
      <c r="AC215" s="743"/>
      <c r="AD215" s="743"/>
      <c r="AE215" s="743"/>
      <c r="AF215" s="743"/>
      <c r="AG215" s="743"/>
      <c r="AH215" s="743"/>
      <c r="BC215" s="155" t="str">
        <f t="shared" si="149"/>
        <v>-</v>
      </c>
      <c r="BD215" s="157"/>
      <c r="BE215" s="157"/>
      <c r="BF215" s="157"/>
      <c r="BG215" s="157"/>
      <c r="BH215" s="157"/>
      <c r="BI215" s="157"/>
      <c r="BJ215" s="157"/>
      <c r="BK215" s="157"/>
      <c r="BL215" s="157"/>
    </row>
    <row r="216" spans="1:73" ht="15" customHeight="1" outlineLevel="2" x14ac:dyDescent="0.25">
      <c r="A216" s="40"/>
      <c r="B216" s="872" t="s">
        <v>140</v>
      </c>
      <c r="C216" s="770" t="s">
        <v>114</v>
      </c>
      <c r="D216" s="770" t="s">
        <v>113</v>
      </c>
      <c r="E216" s="106" t="s">
        <v>94</v>
      </c>
      <c r="F216" s="105" t="s">
        <v>5</v>
      </c>
      <c r="G216" s="105" t="s">
        <v>5</v>
      </c>
      <c r="H216" s="105" t="s">
        <v>5</v>
      </c>
      <c r="I216" s="105" t="s">
        <v>5</v>
      </c>
      <c r="J216" s="105" t="s">
        <v>5</v>
      </c>
      <c r="K216" s="173" t="s">
        <v>5</v>
      </c>
      <c r="L216" s="173" t="s">
        <v>5</v>
      </c>
      <c r="M216" s="173" t="s">
        <v>5</v>
      </c>
      <c r="N216" s="131" t="s">
        <v>5</v>
      </c>
      <c r="O216" s="749"/>
      <c r="P216" s="750"/>
      <c r="Q216" s="750"/>
      <c r="R216" s="754"/>
      <c r="S216" s="749"/>
      <c r="T216" s="750"/>
      <c r="U216" s="750"/>
      <c r="V216" s="754"/>
      <c r="W216" s="505"/>
      <c r="X216" s="505"/>
      <c r="Y216" s="743"/>
      <c r="Z216" s="743"/>
      <c r="AA216" s="743"/>
      <c r="AB216" s="743"/>
      <c r="AC216" s="743"/>
      <c r="AD216" s="743"/>
      <c r="AE216" s="743"/>
      <c r="AF216" s="743"/>
      <c r="AG216" s="743"/>
      <c r="AH216" s="743"/>
      <c r="BC216" s="155" t="str">
        <f t="shared" si="149"/>
        <v>-</v>
      </c>
      <c r="BD216" s="157"/>
      <c r="BE216" s="157"/>
      <c r="BF216" s="157"/>
      <c r="BG216" s="157"/>
      <c r="BH216" s="157"/>
      <c r="BI216" s="157"/>
      <c r="BJ216" s="157"/>
      <c r="BK216" s="157"/>
      <c r="BL216" s="157"/>
    </row>
    <row r="217" spans="1:73" ht="15.75" outlineLevel="2" thickBot="1" x14ac:dyDescent="0.3">
      <c r="B217" s="873"/>
      <c r="C217" s="742"/>
      <c r="D217" s="742"/>
      <c r="E217" s="104" t="s">
        <v>95</v>
      </c>
      <c r="F217" s="103" t="s">
        <v>5</v>
      </c>
      <c r="G217" s="103" t="s">
        <v>5</v>
      </c>
      <c r="H217" s="103" t="s">
        <v>5</v>
      </c>
      <c r="I217" s="103" t="s">
        <v>5</v>
      </c>
      <c r="J217" s="103" t="s">
        <v>5</v>
      </c>
      <c r="K217" s="174" t="s">
        <v>5</v>
      </c>
      <c r="L217" s="174" t="s">
        <v>5</v>
      </c>
      <c r="M217" s="174" t="s">
        <v>5</v>
      </c>
      <c r="N217" s="132" t="s">
        <v>5</v>
      </c>
      <c r="O217" s="749"/>
      <c r="P217" s="750"/>
      <c r="Q217" s="750"/>
      <c r="R217" s="754"/>
      <c r="S217" s="749"/>
      <c r="T217" s="750"/>
      <c r="U217" s="750"/>
      <c r="V217" s="754"/>
      <c r="BC217" s="155" t="str">
        <f t="shared" si="149"/>
        <v>-</v>
      </c>
    </row>
    <row r="218" spans="1:73" ht="15.75" outlineLevel="2" thickBot="1" x14ac:dyDescent="0.3">
      <c r="B218" s="873"/>
      <c r="C218" s="854" t="s">
        <v>64</v>
      </c>
      <c r="D218" s="772" t="str">
        <f>IF(AND(F219="-",G219="-",H219="-",I219="-",J219="-",K219="-",K219="-",L219="-"),"-",MAX(F219,G219,H219,I219,J219,K219,L219,M219))</f>
        <v>-</v>
      </c>
      <c r="E218" s="66" t="s">
        <v>177</v>
      </c>
      <c r="F218" s="65" t="str">
        <f>IF(OR(F217="-",F217=""),IF(OR(F216="-",F216=""),"-",F216),IF(OR(F216="-",F216=""),F217,(F216+F217)/2))</f>
        <v>-</v>
      </c>
      <c r="G218" s="65" t="str">
        <f t="shared" ref="G218:N218" si="201">IF(OR(G217="-",G217=""),IF(OR(G216="-",G216=""),"-",G216),IF(OR(G216="-",G216=""),G217,(G216+G217)/2))</f>
        <v>-</v>
      </c>
      <c r="H218" s="65" t="str">
        <f t="shared" si="201"/>
        <v>-</v>
      </c>
      <c r="I218" s="65" t="str">
        <f t="shared" si="201"/>
        <v>-</v>
      </c>
      <c r="J218" s="65" t="str">
        <f t="shared" si="201"/>
        <v>-</v>
      </c>
      <c r="K218" s="167" t="str">
        <f t="shared" si="201"/>
        <v>-</v>
      </c>
      <c r="L218" s="167" t="str">
        <f t="shared" si="201"/>
        <v>-</v>
      </c>
      <c r="M218" s="167" t="str">
        <f t="shared" si="201"/>
        <v>-</v>
      </c>
      <c r="N218" s="133" t="str">
        <f t="shared" si="201"/>
        <v>-</v>
      </c>
      <c r="O218" s="749"/>
      <c r="P218" s="750"/>
      <c r="Q218" s="750"/>
      <c r="R218" s="754"/>
      <c r="S218" s="749"/>
      <c r="T218" s="750"/>
      <c r="U218" s="750"/>
      <c r="V218" s="754"/>
      <c r="BC218" s="155" t="str">
        <f t="shared" si="149"/>
        <v>-</v>
      </c>
    </row>
    <row r="219" spans="1:73" ht="15.75" outlineLevel="2" thickBot="1" x14ac:dyDescent="0.3">
      <c r="B219" s="873"/>
      <c r="C219" s="855"/>
      <c r="D219" s="773"/>
      <c r="E219" s="64" t="s">
        <v>97</v>
      </c>
      <c r="F219" s="63" t="str">
        <f t="shared" ref="F219:N219" si="202">IF(AND(OR($C218="-",$C218="CET",$C218=""),OR(F$190="-",F$190="CET",F$190="")),"-",IF(AND(NOT(F218="-"),NOT(F$5="-"),NOT(F$5="")),F218/F$5,"-"))</f>
        <v>-</v>
      </c>
      <c r="G219" s="63" t="str">
        <f t="shared" si="202"/>
        <v>-</v>
      </c>
      <c r="H219" s="63" t="str">
        <f t="shared" si="202"/>
        <v>-</v>
      </c>
      <c r="I219" s="63" t="str">
        <f t="shared" si="202"/>
        <v>-</v>
      </c>
      <c r="J219" s="63" t="str">
        <f t="shared" si="202"/>
        <v>-</v>
      </c>
      <c r="K219" s="168" t="str">
        <f t="shared" si="202"/>
        <v>-</v>
      </c>
      <c r="L219" s="168" t="str">
        <f t="shared" si="202"/>
        <v>-</v>
      </c>
      <c r="M219" s="168" t="str">
        <f t="shared" si="202"/>
        <v>-</v>
      </c>
      <c r="N219" s="63" t="str">
        <f t="shared" si="202"/>
        <v>-</v>
      </c>
      <c r="O219" s="749"/>
      <c r="P219" s="750"/>
      <c r="Q219" s="750"/>
      <c r="R219" s="754"/>
      <c r="S219" s="749"/>
      <c r="T219" s="750"/>
      <c r="U219" s="750"/>
      <c r="V219" s="754"/>
      <c r="BC219" s="155" t="str">
        <f t="shared" si="149"/>
        <v>-</v>
      </c>
    </row>
    <row r="220" spans="1:73" ht="15.75" outlineLevel="2" thickBot="1" x14ac:dyDescent="0.3">
      <c r="B220" s="874"/>
      <c r="C220" s="856"/>
      <c r="D220" s="774"/>
      <c r="E220" s="62" t="s">
        <v>30</v>
      </c>
      <c r="F220" s="62" t="str">
        <f t="shared" ref="F220:N220" si="203">IF(AND(OR(F216="-",F216=""),OR(F217="-",F217="")),"-",IF(AND(OR(F$190="CET",F$190="-",F$190=""),OR($C218="CET",$C218="-",$C218="")),"-",IF($R$186="not listed","-",IF(AND(NOT(F$5="-"),NOT(F$5="")),IF(AND(AND(NOT(F216=0),NOT(F216="-"),NOT(F216="")),AND(NOT(F217="-"),NOT(F217=0),NOT(F217=""))),IF(AND((F216+F217)/2&lt;1*F$5*IF(OR(F$190="CET",F$190="-",F$190=""),IF(OR($C218="CET",$C218="-",$C218=""),"-",$C218),F$190),F216&lt;1.1*F$5*IF(OR(F$190="CET",F$190="-",F$190=""),IF(OR($C218="CET",$C218="-",$C218=""),"-",$C218),F$190),F217&lt;1.1*F$5*IF(OR(F$190="CET",F$190="-",F$190=""),IF($C218="CET","-",$C218),F$190)),"passed","refused"),IF(IF(OR(F216="-",F216=""),F217,F216)&lt;0.7*F$5*IF(OR(F$190="CET",F$190="-",F$190=""),IF($C218="CET","-",$C218),F$190),"passed",IF(IF(OR(F216="-",F216=""),F217,F216)&lt;1.1*IF(OR(F$190="CET",F$190="-",F$190=""),IF($C218="CET","-",$C218),F$190)*F$5,"failed","refused"))),"-"))))</f>
        <v>-</v>
      </c>
      <c r="G220" s="62" t="str">
        <f t="shared" si="203"/>
        <v>-</v>
      </c>
      <c r="H220" s="62" t="str">
        <f t="shared" si="203"/>
        <v>-</v>
      </c>
      <c r="I220" s="62" t="str">
        <f t="shared" si="203"/>
        <v>-</v>
      </c>
      <c r="J220" s="62" t="str">
        <f t="shared" si="203"/>
        <v>-</v>
      </c>
      <c r="K220" s="169" t="str">
        <f t="shared" si="203"/>
        <v>-</v>
      </c>
      <c r="L220" s="169" t="str">
        <f t="shared" si="203"/>
        <v>-</v>
      </c>
      <c r="M220" s="169" t="str">
        <f t="shared" si="203"/>
        <v>-</v>
      </c>
      <c r="N220" s="62" t="str">
        <f t="shared" si="203"/>
        <v>-</v>
      </c>
      <c r="O220" s="751"/>
      <c r="P220" s="752"/>
      <c r="Q220" s="752"/>
      <c r="R220" s="755"/>
      <c r="S220" s="751"/>
      <c r="T220" s="752"/>
      <c r="U220" s="752"/>
      <c r="V220" s="755"/>
      <c r="BC220" s="155" t="str">
        <f t="shared" si="149"/>
        <v>-</v>
      </c>
    </row>
    <row r="221" spans="1:73" x14ac:dyDescent="0.25">
      <c r="BC221" s="155" t="str">
        <f t="shared" si="149"/>
        <v>-</v>
      </c>
    </row>
    <row r="222" spans="1:73" x14ac:dyDescent="0.25">
      <c r="BC222" s="155" t="str">
        <f t="shared" si="149"/>
        <v>-</v>
      </c>
    </row>
    <row r="223" spans="1:73" x14ac:dyDescent="0.25">
      <c r="BC223" s="155" t="str">
        <f t="shared" si="149"/>
        <v>-</v>
      </c>
    </row>
    <row r="224" spans="1:73" x14ac:dyDescent="0.25">
      <c r="BC224" s="155" t="str">
        <f t="shared" ref="BC224:BC230" si="204">IF(COUNTIF(F224:M224,"refused")&gt;0,"refused",IF(COUNTIF(F224:M224,"failed")&gt;0,"failed",IF(COUNTIF(F224:M224,"passed")&gt;0,"passed","-")))</f>
        <v>-</v>
      </c>
    </row>
    <row r="225" spans="55:55" x14ac:dyDescent="0.25">
      <c r="BC225" s="155" t="str">
        <f t="shared" si="204"/>
        <v>-</v>
      </c>
    </row>
    <row r="226" spans="55:55" x14ac:dyDescent="0.25">
      <c r="BC226" s="155" t="str">
        <f t="shared" si="204"/>
        <v>-</v>
      </c>
    </row>
    <row r="227" spans="55:55" x14ac:dyDescent="0.25">
      <c r="BC227" s="155" t="str">
        <f t="shared" si="204"/>
        <v>-</v>
      </c>
    </row>
    <row r="228" spans="55:55" x14ac:dyDescent="0.25">
      <c r="BC228" s="155" t="str">
        <f t="shared" si="204"/>
        <v>-</v>
      </c>
    </row>
    <row r="229" spans="55:55" x14ac:dyDescent="0.25">
      <c r="BC229" s="155" t="str">
        <f t="shared" si="204"/>
        <v>-</v>
      </c>
    </row>
    <row r="230" spans="55:55" x14ac:dyDescent="0.25">
      <c r="BC230" s="155" t="str">
        <f t="shared" si="204"/>
        <v>-</v>
      </c>
    </row>
  </sheetData>
  <sheetProtection password="8952" sheet="1" objects="1" scenarios="1" selectLockedCells="1"/>
  <mergeCells count="212">
    <mergeCell ref="B6:E6"/>
    <mergeCell ref="C8:N8"/>
    <mergeCell ref="B10:N10"/>
    <mergeCell ref="O10:R10"/>
    <mergeCell ref="S10:V10"/>
    <mergeCell ref="Y10:AH10"/>
    <mergeCell ref="A1:J2"/>
    <mergeCell ref="K1:Q2"/>
    <mergeCell ref="B4:D4"/>
    <mergeCell ref="O4:P4"/>
    <mergeCell ref="B5:E5"/>
    <mergeCell ref="O5:P5"/>
    <mergeCell ref="B11:E11"/>
    <mergeCell ref="O11:R32"/>
    <mergeCell ref="S11:V32"/>
    <mergeCell ref="Y11:AH31"/>
    <mergeCell ref="B12:B17"/>
    <mergeCell ref="D12:E12"/>
    <mergeCell ref="C13:C14"/>
    <mergeCell ref="D13:D14"/>
    <mergeCell ref="C15:C17"/>
    <mergeCell ref="D15:D17"/>
    <mergeCell ref="B28:B32"/>
    <mergeCell ref="C28:C29"/>
    <mergeCell ref="D28:D29"/>
    <mergeCell ref="C30:C32"/>
    <mergeCell ref="D30:D32"/>
    <mergeCell ref="C63:N63"/>
    <mergeCell ref="B18:B22"/>
    <mergeCell ref="C18:C19"/>
    <mergeCell ref="D18:D19"/>
    <mergeCell ref="C20:C22"/>
    <mergeCell ref="D20:D22"/>
    <mergeCell ref="B23:B27"/>
    <mergeCell ref="C23:C24"/>
    <mergeCell ref="D23:D24"/>
    <mergeCell ref="C25:C27"/>
    <mergeCell ref="D25:D27"/>
    <mergeCell ref="D67:D68"/>
    <mergeCell ref="C69:C71"/>
    <mergeCell ref="D69:D71"/>
    <mergeCell ref="B72:B76"/>
    <mergeCell ref="C72:C73"/>
    <mergeCell ref="D72:D73"/>
    <mergeCell ref="C74:C76"/>
    <mergeCell ref="D74:D76"/>
    <mergeCell ref="Y64:AH64"/>
    <mergeCell ref="B65:N65"/>
    <mergeCell ref="O65:R65"/>
    <mergeCell ref="S65:V65"/>
    <mergeCell ref="Y65:AH95"/>
    <mergeCell ref="B66:E66"/>
    <mergeCell ref="O66:R96"/>
    <mergeCell ref="S66:V96"/>
    <mergeCell ref="B67:B71"/>
    <mergeCell ref="C67:C68"/>
    <mergeCell ref="B77:B81"/>
    <mergeCell ref="C77:C78"/>
    <mergeCell ref="D77:D78"/>
    <mergeCell ref="C79:C81"/>
    <mergeCell ref="D79:D81"/>
    <mergeCell ref="B82:B86"/>
    <mergeCell ref="B92:B96"/>
    <mergeCell ref="C92:C93"/>
    <mergeCell ref="D92:D93"/>
    <mergeCell ref="C94:C96"/>
    <mergeCell ref="D94:D96"/>
    <mergeCell ref="C82:C83"/>
    <mergeCell ref="D82:D83"/>
    <mergeCell ref="C84:C86"/>
    <mergeCell ref="D84:D86"/>
    <mergeCell ref="B87:B91"/>
    <mergeCell ref="C87:C88"/>
    <mergeCell ref="D87:D88"/>
    <mergeCell ref="C89:C91"/>
    <mergeCell ref="D89:D91"/>
    <mergeCell ref="O102:R102"/>
    <mergeCell ref="S102:V102"/>
    <mergeCell ref="Y102:AH122"/>
    <mergeCell ref="B103:E103"/>
    <mergeCell ref="O103:R124"/>
    <mergeCell ref="S103:V124"/>
    <mergeCell ref="B104:B109"/>
    <mergeCell ref="B115:B119"/>
    <mergeCell ref="C115:C116"/>
    <mergeCell ref="C117:C119"/>
    <mergeCell ref="B120:B124"/>
    <mergeCell ref="C120:C121"/>
    <mergeCell ref="C122:C124"/>
    <mergeCell ref="D104:E104"/>
    <mergeCell ref="C105:C106"/>
    <mergeCell ref="D105:D106"/>
    <mergeCell ref="C107:C109"/>
    <mergeCell ref="C159:N159"/>
    <mergeCell ref="C36:N36"/>
    <mergeCell ref="Y37:AH37"/>
    <mergeCell ref="B38:N38"/>
    <mergeCell ref="O38:R38"/>
    <mergeCell ref="S38:V38"/>
    <mergeCell ref="Y38:AH58"/>
    <mergeCell ref="B39:E39"/>
    <mergeCell ref="O39:R59"/>
    <mergeCell ref="S39:V59"/>
    <mergeCell ref="B40:B45"/>
    <mergeCell ref="Y159:AH159"/>
    <mergeCell ref="D107:D109"/>
    <mergeCell ref="B110:B114"/>
    <mergeCell ref="C110:C111"/>
    <mergeCell ref="C112:C114"/>
    <mergeCell ref="D40:E40"/>
    <mergeCell ref="C41:C42"/>
    <mergeCell ref="D41:D42"/>
    <mergeCell ref="C43:C45"/>
    <mergeCell ref="D43:D45"/>
    <mergeCell ref="C100:N100"/>
    <mergeCell ref="Y101:AH101"/>
    <mergeCell ref="B102:N102"/>
    <mergeCell ref="Y160:AH185"/>
    <mergeCell ref="B161:N161"/>
    <mergeCell ref="O161:R161"/>
    <mergeCell ref="S161:V161"/>
    <mergeCell ref="B162:E162"/>
    <mergeCell ref="O162:R182"/>
    <mergeCell ref="S162:V182"/>
    <mergeCell ref="B163:B167"/>
    <mergeCell ref="C163:C164"/>
    <mergeCell ref="B173:B177"/>
    <mergeCell ref="C173:C174"/>
    <mergeCell ref="C175:C177"/>
    <mergeCell ref="B178:B182"/>
    <mergeCell ref="C178:C179"/>
    <mergeCell ref="C180:C182"/>
    <mergeCell ref="D163:D164"/>
    <mergeCell ref="C165:C167"/>
    <mergeCell ref="D165:D167"/>
    <mergeCell ref="B168:B172"/>
    <mergeCell ref="C168:C169"/>
    <mergeCell ref="C170:C172"/>
    <mergeCell ref="C128:N128"/>
    <mergeCell ref="Y128:AH128"/>
    <mergeCell ref="Y129:AH155"/>
    <mergeCell ref="B130:N130"/>
    <mergeCell ref="O130:R130"/>
    <mergeCell ref="S130:V130"/>
    <mergeCell ref="B131:E131"/>
    <mergeCell ref="O131:R155"/>
    <mergeCell ref="S131:V155"/>
    <mergeCell ref="B132:B137"/>
    <mergeCell ref="D132:E132"/>
    <mergeCell ref="C133:C134"/>
    <mergeCell ref="D133:D134"/>
    <mergeCell ref="C135:C137"/>
    <mergeCell ref="D135:D137"/>
    <mergeCell ref="B138:B143"/>
    <mergeCell ref="D138:E138"/>
    <mergeCell ref="C139:C140"/>
    <mergeCell ref="D139:D140"/>
    <mergeCell ref="C141:C143"/>
    <mergeCell ref="B150:B155"/>
    <mergeCell ref="D150:E150"/>
    <mergeCell ref="C151:C152"/>
    <mergeCell ref="D151:D152"/>
    <mergeCell ref="C153:C155"/>
    <mergeCell ref="D153:D155"/>
    <mergeCell ref="D141:D143"/>
    <mergeCell ref="B144:B149"/>
    <mergeCell ref="D144:E144"/>
    <mergeCell ref="C145:C146"/>
    <mergeCell ref="D145:D146"/>
    <mergeCell ref="C147:C149"/>
    <mergeCell ref="D147:D149"/>
    <mergeCell ref="D190:E190"/>
    <mergeCell ref="B191:B195"/>
    <mergeCell ref="C191:C192"/>
    <mergeCell ref="D191:D192"/>
    <mergeCell ref="C193:C195"/>
    <mergeCell ref="D193:D195"/>
    <mergeCell ref="C186:N186"/>
    <mergeCell ref="Y186:AH186"/>
    <mergeCell ref="Y187:AH216"/>
    <mergeCell ref="B188:N188"/>
    <mergeCell ref="O188:R188"/>
    <mergeCell ref="S188:V188"/>
    <mergeCell ref="B189:E189"/>
    <mergeCell ref="O189:R220"/>
    <mergeCell ref="S189:V220"/>
    <mergeCell ref="B190:C190"/>
    <mergeCell ref="B196:B200"/>
    <mergeCell ref="C196:C197"/>
    <mergeCell ref="D196:D197"/>
    <mergeCell ref="C198:C200"/>
    <mergeCell ref="D198:D200"/>
    <mergeCell ref="B201:B205"/>
    <mergeCell ref="C201:C202"/>
    <mergeCell ref="D201:D202"/>
    <mergeCell ref="C203:C205"/>
    <mergeCell ref="D203:D205"/>
    <mergeCell ref="B216:B220"/>
    <mergeCell ref="C216:C217"/>
    <mergeCell ref="D216:D217"/>
    <mergeCell ref="C218:C220"/>
    <mergeCell ref="D218:D220"/>
    <mergeCell ref="B206:B210"/>
    <mergeCell ref="C206:C207"/>
    <mergeCell ref="D206:D207"/>
    <mergeCell ref="C208:C210"/>
    <mergeCell ref="D208:D210"/>
    <mergeCell ref="B211:B215"/>
    <mergeCell ref="C211:C212"/>
    <mergeCell ref="D211:D212"/>
    <mergeCell ref="C213:C215"/>
    <mergeCell ref="D213:D215"/>
  </mergeCells>
  <conditionalFormatting sqref="A3 P8 F17:N17 F22:N22 F27:N27 F32:N32 F71:N71 F76:N76 F81:N81 F86:N86 F91:N91 F96:N96 F109:N109 P63 P100">
    <cfRule type="containsText" dxfId="125" priority="165" operator="containsText" text="passed">
      <formula>NOT(ISERROR(SEARCH("passed",A3)))</formula>
    </cfRule>
    <cfRule type="containsText" dxfId="124" priority="166" operator="containsText" text="failed">
      <formula>NOT(ISERROR(SEARCH("failed",A3)))</formula>
    </cfRule>
    <cfRule type="containsText" dxfId="123" priority="167" operator="containsText" text="refused">
      <formula>NOT(ISERROR(SEARCH("refused",A3)))</formula>
    </cfRule>
  </conditionalFormatting>
  <conditionalFormatting sqref="N13:N14">
    <cfRule type="expression" dxfId="122" priority="164">
      <formula>IF(AND(NOT(N13=""),NOT(N13="-")),N13&gt;=1.1*N$5*BL$25,"-")</formula>
    </cfRule>
  </conditionalFormatting>
  <conditionalFormatting sqref="N18:N19">
    <cfRule type="expression" dxfId="121" priority="163">
      <formula>IF(AND(NOT(N18=""),NOT(N18="-")),N18&gt;=1.1*N$5*BL$26,"-")</formula>
    </cfRule>
  </conditionalFormatting>
  <conditionalFormatting sqref="N23:N24">
    <cfRule type="expression" dxfId="120" priority="162">
      <formula>IF(AND(NOT(N23=""),NOT(N23="-")),N23&gt;=1.1*N$5*BL$27,"-")</formula>
    </cfRule>
  </conditionalFormatting>
  <conditionalFormatting sqref="N28:N29">
    <cfRule type="expression" dxfId="119" priority="161">
      <formula>IF(AND(NOT(N28=""),NOT(N28="-")),N28&gt;=1.1*N$5*BL$28,"-")</formula>
    </cfRule>
  </conditionalFormatting>
  <conditionalFormatting sqref="N67:N68">
    <cfRule type="expression" dxfId="118" priority="160">
      <formula>IF(AND(NOT(N67=""),NOT(N67="-")),N67&gt;=1.1*N$5*BL$85,"-")</formula>
    </cfRule>
  </conditionalFormatting>
  <conditionalFormatting sqref="N77:N78">
    <cfRule type="expression" dxfId="117" priority="159">
      <formula>IF(AND(NOT(N77=""),NOT(N77="-")),N77&gt;=1.1*N$5*BL$87,"-")</formula>
    </cfRule>
  </conditionalFormatting>
  <conditionalFormatting sqref="N82:N83">
    <cfRule type="expression" dxfId="116" priority="158">
      <formula>IF(AND(NOT(N82=""),NOT(N82="-")),N82&gt;=1.1*N$5*BL$88,"-")</formula>
    </cfRule>
  </conditionalFormatting>
  <conditionalFormatting sqref="N72:N73">
    <cfRule type="expression" dxfId="115" priority="157">
      <formula>IF(AND(NOT(N72=""),NOT(N72="-")),N72&gt;=1.1*N$5*BL$86,"-")</formula>
    </cfRule>
  </conditionalFormatting>
  <conditionalFormatting sqref="N87:N88">
    <cfRule type="expression" dxfId="114" priority="156">
      <formula>IF(AND(NOT(N87=""),NOT(N87="-")),N87&gt;=1.1*N$5*BL$89,"-")</formula>
    </cfRule>
  </conditionalFormatting>
  <conditionalFormatting sqref="N92:N93">
    <cfRule type="expression" dxfId="113" priority="155">
      <formula>IF(AND(NOT(N92=""),NOT(N92="-")),N92&gt;=1.1*N$5*BL$90,"-")</formula>
    </cfRule>
  </conditionalFormatting>
  <conditionalFormatting sqref="N47:N48">
    <cfRule type="expression" dxfId="112" priority="154">
      <formula>IF(AND(NOT(N47=""),NOT(N47="-")),N47&gt;=1.1*N$5*BL$122,"-")</formula>
    </cfRule>
  </conditionalFormatting>
  <conditionalFormatting sqref="N163:N164">
    <cfRule type="expression" dxfId="111" priority="153">
      <formula>IF(AND(NOT(N163=""),NOT(N163="-")),N163&gt;=1.1*N$5*#REF!,"-")</formula>
    </cfRule>
  </conditionalFormatting>
  <conditionalFormatting sqref="F167:N167">
    <cfRule type="containsText" dxfId="110" priority="149" operator="containsText" text="passed">
      <formula>NOT(ISERROR(SEARCH("passed",F167)))</formula>
    </cfRule>
    <cfRule type="containsText" dxfId="109" priority="150" operator="containsText" text="failed">
      <formula>NOT(ISERROR(SEARCH("failed",F167)))</formula>
    </cfRule>
    <cfRule type="containsText" dxfId="108" priority="151" operator="containsText" text="refused">
      <formula>NOT(ISERROR(SEARCH("refused",F167)))</formula>
    </cfRule>
  </conditionalFormatting>
  <conditionalFormatting sqref="F45:N45">
    <cfRule type="containsText" dxfId="107" priority="144" operator="containsText" text="passed">
      <formula>NOT(ISERROR(SEARCH("passed",F45)))</formula>
    </cfRule>
    <cfRule type="containsText" dxfId="106" priority="145" operator="containsText" text="failed">
      <formula>NOT(ISERROR(SEARCH("failed",F45)))</formula>
    </cfRule>
    <cfRule type="containsText" dxfId="105" priority="146" operator="containsText" text="refused">
      <formula>NOT(ISERROR(SEARCH("refused",F45)))</formula>
    </cfRule>
  </conditionalFormatting>
  <conditionalFormatting sqref="F51:N51">
    <cfRule type="containsText" dxfId="104" priority="141" operator="containsText" text="passed">
      <formula>NOT(ISERROR(SEARCH("passed",F51)))</formula>
    </cfRule>
    <cfRule type="containsText" dxfId="103" priority="142" operator="containsText" text="failed">
      <formula>NOT(ISERROR(SEARCH("failed",F51)))</formula>
    </cfRule>
    <cfRule type="containsText" dxfId="102" priority="143" operator="containsText" text="refused">
      <formula>NOT(ISERROR(SEARCH("refused",F51)))</formula>
    </cfRule>
  </conditionalFormatting>
  <conditionalFormatting sqref="F137:N137">
    <cfRule type="containsText" dxfId="101" priority="138" operator="containsText" text="passed">
      <formula>NOT(ISERROR(SEARCH("passed",F137)))</formula>
    </cfRule>
    <cfRule type="containsText" dxfId="100" priority="139" operator="containsText" text="failed">
      <formula>NOT(ISERROR(SEARCH("failed",F137)))</formula>
    </cfRule>
    <cfRule type="containsText" dxfId="99" priority="140" operator="containsText" text="refused">
      <formula>NOT(ISERROR(SEARCH("refused",F137)))</formula>
    </cfRule>
  </conditionalFormatting>
  <conditionalFormatting sqref="F143:N143">
    <cfRule type="containsText" dxfId="98" priority="135" operator="containsText" text="passed">
      <formula>NOT(ISERROR(SEARCH("passed",F143)))</formula>
    </cfRule>
    <cfRule type="containsText" dxfId="97" priority="136" operator="containsText" text="failed">
      <formula>NOT(ISERROR(SEARCH("failed",F143)))</formula>
    </cfRule>
    <cfRule type="containsText" dxfId="96" priority="137" operator="containsText" text="refused">
      <formula>NOT(ISERROR(SEARCH("refused",F143)))</formula>
    </cfRule>
  </conditionalFormatting>
  <conditionalFormatting sqref="F149:N149">
    <cfRule type="containsText" dxfId="95" priority="132" operator="containsText" text="passed">
      <formula>NOT(ISERROR(SEARCH("passed",F149)))</formula>
    </cfRule>
    <cfRule type="containsText" dxfId="94" priority="133" operator="containsText" text="failed">
      <formula>NOT(ISERROR(SEARCH("failed",F149)))</formula>
    </cfRule>
    <cfRule type="containsText" dxfId="93" priority="134" operator="containsText" text="refused">
      <formula>NOT(ISERROR(SEARCH("refused",F149)))</formula>
    </cfRule>
  </conditionalFormatting>
  <conditionalFormatting sqref="F155:N155">
    <cfRule type="containsText" dxfId="92" priority="129" operator="containsText" text="passed">
      <formula>NOT(ISERROR(SEARCH("passed",F155)))</formula>
    </cfRule>
    <cfRule type="containsText" dxfId="91" priority="130" operator="containsText" text="failed">
      <formula>NOT(ISERROR(SEARCH("failed",F155)))</formula>
    </cfRule>
    <cfRule type="containsText" dxfId="90" priority="131" operator="containsText" text="refused">
      <formula>NOT(ISERROR(SEARCH("refused",F155)))</formula>
    </cfRule>
  </conditionalFormatting>
  <conditionalFormatting sqref="F195:N195">
    <cfRule type="containsText" dxfId="89" priority="126" operator="containsText" text="passed">
      <formula>NOT(ISERROR(SEARCH("passed",F195)))</formula>
    </cfRule>
    <cfRule type="containsText" dxfId="88" priority="127" operator="containsText" text="failed">
      <formula>NOT(ISERROR(SEARCH("failed",F195)))</formula>
    </cfRule>
    <cfRule type="containsText" dxfId="87" priority="128" operator="containsText" text="refused">
      <formula>NOT(ISERROR(SEARCH("refused",F195)))</formula>
    </cfRule>
  </conditionalFormatting>
  <conditionalFormatting sqref="F200:N200">
    <cfRule type="containsText" dxfId="86" priority="105" operator="containsText" text="passed">
      <formula>NOT(ISERROR(SEARCH("passed",F200)))</formula>
    </cfRule>
    <cfRule type="containsText" dxfId="85" priority="106" operator="containsText" text="failed">
      <formula>NOT(ISERROR(SEARCH("failed",F200)))</formula>
    </cfRule>
    <cfRule type="containsText" dxfId="84" priority="107" operator="containsText" text="refused">
      <formula>NOT(ISERROR(SEARCH("refused",F200)))</formula>
    </cfRule>
  </conditionalFormatting>
  <conditionalFormatting sqref="F205:N205">
    <cfRule type="containsText" dxfId="83" priority="102" operator="containsText" text="passed">
      <formula>NOT(ISERROR(SEARCH("passed",F205)))</formula>
    </cfRule>
    <cfRule type="containsText" dxfId="82" priority="103" operator="containsText" text="failed">
      <formula>NOT(ISERROR(SEARCH("failed",F205)))</formula>
    </cfRule>
    <cfRule type="containsText" dxfId="81" priority="104" operator="containsText" text="refused">
      <formula>NOT(ISERROR(SEARCH("refused",F205)))</formula>
    </cfRule>
  </conditionalFormatting>
  <conditionalFormatting sqref="F210:N210">
    <cfRule type="containsText" dxfId="80" priority="99" operator="containsText" text="passed">
      <formula>NOT(ISERROR(SEARCH("passed",F210)))</formula>
    </cfRule>
    <cfRule type="containsText" dxfId="79" priority="100" operator="containsText" text="failed">
      <formula>NOT(ISERROR(SEARCH("failed",F210)))</formula>
    </cfRule>
    <cfRule type="containsText" dxfId="78" priority="101" operator="containsText" text="refused">
      <formula>NOT(ISERROR(SEARCH("refused",F210)))</formula>
    </cfRule>
  </conditionalFormatting>
  <conditionalFormatting sqref="F215:N215">
    <cfRule type="containsText" dxfId="77" priority="96" operator="containsText" text="passed">
      <formula>NOT(ISERROR(SEARCH("passed",F215)))</formula>
    </cfRule>
    <cfRule type="containsText" dxfId="76" priority="97" operator="containsText" text="failed">
      <formula>NOT(ISERROR(SEARCH("failed",F215)))</formula>
    </cfRule>
    <cfRule type="containsText" dxfId="75" priority="98" operator="containsText" text="refused">
      <formula>NOT(ISERROR(SEARCH("refused",F215)))</formula>
    </cfRule>
  </conditionalFormatting>
  <conditionalFormatting sqref="F220:N220">
    <cfRule type="containsText" dxfId="74" priority="93" operator="containsText" text="passed">
      <formula>NOT(ISERROR(SEARCH("passed",F220)))</formula>
    </cfRule>
    <cfRule type="containsText" dxfId="73" priority="94" operator="containsText" text="failed">
      <formula>NOT(ISERROR(SEARCH("failed",F220)))</formula>
    </cfRule>
    <cfRule type="containsText" dxfId="72" priority="95" operator="containsText" text="refused">
      <formula>NOT(ISERROR(SEARCH("refused",F220)))</formula>
    </cfRule>
  </conditionalFormatting>
  <conditionalFormatting sqref="F13:K14">
    <cfRule type="expression" dxfId="71" priority="91">
      <formula>IF(AND(NOT(F13=""),NOT(F13="-")),F13&gt;=1.1*F$5*BE$25,"-")</formula>
    </cfRule>
  </conditionalFormatting>
  <conditionalFormatting sqref="F18:K19">
    <cfRule type="expression" dxfId="70" priority="90">
      <formula>IF(AND(NOT(F18=""),NOT(F18="-")),F18&gt;=1.1*F$5*BE$26,"-")</formula>
    </cfRule>
  </conditionalFormatting>
  <conditionalFormatting sqref="F23:K24">
    <cfRule type="expression" dxfId="69" priority="89">
      <formula>IF(AND(NOT(F23=""),NOT(F23="-")),F23&gt;=1.1*F$5*BE$27,"-")</formula>
    </cfRule>
  </conditionalFormatting>
  <conditionalFormatting sqref="F28:K29">
    <cfRule type="expression" dxfId="68" priority="88">
      <formula>IF(AND(NOT(F28=""),NOT(F28="-")),F28&gt;=1.1*F$5*BE$28,"-")</formula>
    </cfRule>
  </conditionalFormatting>
  <conditionalFormatting sqref="F67:K68">
    <cfRule type="expression" dxfId="67" priority="87">
      <formula>IF(AND(NOT(F67=""),NOT(F67="-")),F67&gt;=1.1*F$5*BE$85,"-")</formula>
    </cfRule>
  </conditionalFormatting>
  <conditionalFormatting sqref="F77:K78">
    <cfRule type="expression" dxfId="66" priority="86">
      <formula>IF(AND(NOT(F77=""),NOT(F77="-")),F77&gt;=1.1*F$5*BE$87,"-")</formula>
    </cfRule>
  </conditionalFormatting>
  <conditionalFormatting sqref="F82:K83">
    <cfRule type="expression" dxfId="65" priority="85">
      <formula>IF(AND(NOT(F82=""),NOT(F82="-")),F82&gt;=1.1*F$5*BE$88,"-")</formula>
    </cfRule>
  </conditionalFormatting>
  <conditionalFormatting sqref="F72:K73">
    <cfRule type="expression" dxfId="64" priority="84">
      <formula>IF(AND(NOT(F72=""),NOT(F72="-")),F72&gt;=1.1*F$5*BE$86,"-")</formula>
    </cfRule>
  </conditionalFormatting>
  <conditionalFormatting sqref="F87:K88">
    <cfRule type="expression" dxfId="63" priority="83">
      <formula>IF(AND(NOT(F87=""),NOT(F87="-")),F87&gt;=1.1*F$5*BE$89,"-")</formula>
    </cfRule>
  </conditionalFormatting>
  <conditionalFormatting sqref="F92:K93">
    <cfRule type="expression" dxfId="62" priority="82">
      <formula>IF(AND(NOT(F92=""),NOT(F92="-")),F92&gt;=1.1*F$5*BE$90,"-")</formula>
    </cfRule>
  </conditionalFormatting>
  <conditionalFormatting sqref="M47:M48 F47:K48">
    <cfRule type="expression" dxfId="61" priority="81">
      <formula>IF(AND(NOT(F47=""),NOT(F47="-")),F47&gt;=1.1*F$5*BE$122,"-")</formula>
    </cfRule>
  </conditionalFormatting>
  <conditionalFormatting sqref="F163:M164">
    <cfRule type="expression" dxfId="60" priority="80">
      <formula>IF(AND(NOT(F163=""),NOT(F163="-")),F163&gt;=1.1*F$5*#REF!,"-")</formula>
    </cfRule>
  </conditionalFormatting>
  <conditionalFormatting sqref="P36">
    <cfRule type="containsText" dxfId="59" priority="76" operator="containsText" text="passed">
      <formula>NOT(ISERROR(SEARCH("passed",P36)))</formula>
    </cfRule>
    <cfRule type="containsText" dxfId="58" priority="77" operator="containsText" text="failed">
      <formula>NOT(ISERROR(SEARCH("failed",P36)))</formula>
    </cfRule>
    <cfRule type="containsText" dxfId="57" priority="78" operator="containsText" text="refused">
      <formula>NOT(ISERROR(SEARCH("refused",P36)))</formula>
    </cfRule>
  </conditionalFormatting>
  <conditionalFormatting sqref="P159">
    <cfRule type="containsText" dxfId="56" priority="73" operator="containsText" text="passed">
      <formula>NOT(ISERROR(SEARCH("passed",P159)))</formula>
    </cfRule>
    <cfRule type="containsText" dxfId="55" priority="74" operator="containsText" text="failed">
      <formula>NOT(ISERROR(SEARCH("failed",P159)))</formula>
    </cfRule>
    <cfRule type="containsText" dxfId="54" priority="75" operator="containsText" text="refused">
      <formula>NOT(ISERROR(SEARCH("refused",P159)))</formula>
    </cfRule>
  </conditionalFormatting>
  <conditionalFormatting sqref="P128">
    <cfRule type="containsText" dxfId="53" priority="70" operator="containsText" text="passed">
      <formula>NOT(ISERROR(SEARCH("passed",P128)))</formula>
    </cfRule>
    <cfRule type="containsText" dxfId="52" priority="71" operator="containsText" text="failed">
      <formula>NOT(ISERROR(SEARCH("failed",P128)))</formula>
    </cfRule>
    <cfRule type="containsText" dxfId="51" priority="72" operator="containsText" text="refused">
      <formula>NOT(ISERROR(SEARCH("refused",P128)))</formula>
    </cfRule>
  </conditionalFormatting>
  <conditionalFormatting sqref="P186">
    <cfRule type="containsText" dxfId="50" priority="67" operator="containsText" text="passed">
      <formula>NOT(ISERROR(SEARCH("passed",P186)))</formula>
    </cfRule>
    <cfRule type="containsText" dxfId="49" priority="68" operator="containsText" text="failed">
      <formula>NOT(ISERROR(SEARCH("failed",P186)))</formula>
    </cfRule>
    <cfRule type="containsText" dxfId="48" priority="69" operator="containsText" text="refused">
      <formula>NOT(ISERROR(SEARCH("refused",P186)))</formula>
    </cfRule>
  </conditionalFormatting>
  <conditionalFormatting sqref="L13:M14">
    <cfRule type="expression" dxfId="47" priority="31">
      <formula>IF(AND(NOT(L13=""),NOT(L13="-")),L13&gt;=1.1*L$5*BL$25,"-")</formula>
    </cfRule>
  </conditionalFormatting>
  <conditionalFormatting sqref="L18:M19">
    <cfRule type="expression" dxfId="46" priority="30">
      <formula>IF(AND(NOT(L18=""),NOT(L18="-")),L18&gt;=1.1*L$5*BL$26,"-")</formula>
    </cfRule>
  </conditionalFormatting>
  <conditionalFormatting sqref="L23:M24">
    <cfRule type="expression" dxfId="45" priority="29">
      <formula>IF(AND(NOT(L23=""),NOT(L23="-")),L23&gt;=1.1*L$5*BL$27,"-")</formula>
    </cfRule>
  </conditionalFormatting>
  <conditionalFormatting sqref="L28:M29">
    <cfRule type="expression" dxfId="44" priority="28">
      <formula>IF(AND(NOT(L28=""),NOT(L28="-")),L28&gt;=1.1*L$5*BL$28,"-")</formula>
    </cfRule>
  </conditionalFormatting>
  <conditionalFormatting sqref="L67:M68">
    <cfRule type="expression" dxfId="43" priority="27">
      <formula>IF(AND(NOT(L67=""),NOT(L67="-")),L67&gt;=1.1*L$5*BL$85,"-")</formula>
    </cfRule>
  </conditionalFormatting>
  <conditionalFormatting sqref="L77:M78">
    <cfRule type="expression" dxfId="42" priority="26">
      <formula>IF(AND(NOT(L77=""),NOT(L77="-")),L77&gt;=1.1*L$5*BL$87,"-")</formula>
    </cfRule>
  </conditionalFormatting>
  <conditionalFormatting sqref="L82:M83">
    <cfRule type="expression" dxfId="41" priority="25">
      <formula>IF(AND(NOT(L82=""),NOT(L82="-")),L82&gt;=1.1*L$5*BL$88,"-")</formula>
    </cfRule>
  </conditionalFormatting>
  <conditionalFormatting sqref="L72:M73">
    <cfRule type="expression" dxfId="40" priority="24">
      <formula>IF(AND(NOT(L72=""),NOT(L72="-")),L72&gt;=1.1*L$5*BL$86,"-")</formula>
    </cfRule>
  </conditionalFormatting>
  <conditionalFormatting sqref="L87:M88">
    <cfRule type="expression" dxfId="39" priority="23">
      <formula>IF(AND(NOT(L87=""),NOT(L87="-")),L87&gt;=1.1*L$5*BL$89,"-")</formula>
    </cfRule>
  </conditionalFormatting>
  <conditionalFormatting sqref="L92:M93">
    <cfRule type="expression" dxfId="38" priority="22">
      <formula>IF(AND(NOT(L92=""),NOT(L92="-")),L92&gt;=1.1*L$5*BL$90,"-")</formula>
    </cfRule>
  </conditionalFormatting>
  <conditionalFormatting sqref="L47:L48">
    <cfRule type="expression" dxfId="37" priority="21">
      <formula>IF(AND(NOT(L47=""),NOT(L47="-")),L47&gt;=1.1*L$5*BL$122,"-")</formula>
    </cfRule>
  </conditionalFormatting>
  <conditionalFormatting sqref="N105:N106">
    <cfRule type="expression" dxfId="36" priority="475494">
      <formula>IF(AND(NOT(N105=""),NOT(N105="-")),N105&gt;=1.1*N$6*BU$122,"-")</formula>
    </cfRule>
  </conditionalFormatting>
  <conditionalFormatting sqref="F105:K106">
    <cfRule type="expression" dxfId="35" priority="475532">
      <formula>IF(AND(NOT(F105=""),NOT(F105="-")),F105&gt;=1.1*F$6*BN$122,"-")</formula>
    </cfRule>
  </conditionalFormatting>
  <conditionalFormatting sqref="L105:M106">
    <cfRule type="expression" dxfId="34" priority="475551">
      <formula>IF(AND(NOT(L105=""),NOT(L105="-")),L105&gt;=1.1*L$6*BU$122,"-")</formula>
    </cfRule>
  </conditionalFormatting>
  <conditionalFormatting sqref="N41:N42">
    <cfRule type="expression" dxfId="33" priority="475558">
      <formula>IF(AND(NOT(N41=""),NOT(N41="-")),N41&gt;=1.1*N$5*BL$57,"-")</formula>
    </cfRule>
  </conditionalFormatting>
  <conditionalFormatting sqref="F41:K42">
    <cfRule type="expression" dxfId="32" priority="475559">
      <formula>IF(AND(NOT(F41=""),NOT(F41="-")),F41&gt;=1.1*F$5*BE$57,"-")</formula>
    </cfRule>
  </conditionalFormatting>
  <conditionalFormatting sqref="L41:M42">
    <cfRule type="expression" dxfId="31" priority="475572">
      <formula>IF(AND(NOT(L41=""),NOT(L41="-")),L41&gt;=1.1*L$5*BL$57,"-")</formula>
    </cfRule>
  </conditionalFormatting>
  <conditionalFormatting sqref="N133:N134">
    <cfRule type="expression" dxfId="30" priority="475772">
      <formula>IF(AND(NOT(N133=""),NOT(N133="-")),N133&gt;=1.1*N$5*BL$149,"-")</formula>
    </cfRule>
  </conditionalFormatting>
  <conditionalFormatting sqref="N139:N140">
    <cfRule type="expression" dxfId="29" priority="475773">
      <formula>IF(AND(NOT(N139=""),NOT(N139="-")),N139&gt;=1.1*N$5*BL$150,"-")</formula>
    </cfRule>
  </conditionalFormatting>
  <conditionalFormatting sqref="N145:N146">
    <cfRule type="expression" dxfId="28" priority="475774">
      <formula>IF(AND(NOT(N145=""),NOT(N145="-")),N145&gt;=1.1*N$5*BL$151,"-")</formula>
    </cfRule>
  </conditionalFormatting>
  <conditionalFormatting sqref="N151:N152">
    <cfRule type="expression" dxfId="27" priority="475775">
      <formula>IF(AND(NOT(N151=""),NOT(N151="-")),N151&gt;=1.1*N$5*BL$152,"-")</formula>
    </cfRule>
  </conditionalFormatting>
  <conditionalFormatting sqref="N191:N192">
    <cfRule type="expression" dxfId="26" priority="475776">
      <formula>IF(AND(NOT(N191=""),NOT(N191="-")),N191&gt;=1.1*N$5*BL$207,"-")</formula>
    </cfRule>
  </conditionalFormatting>
  <conditionalFormatting sqref="N196:N197">
    <cfRule type="expression" dxfId="25" priority="475777">
      <formula>IF(AND(NOT(N196=""),NOT(N196="-")),N196&gt;=1.1*N$5*BL$208,"-")</formula>
    </cfRule>
  </conditionalFormatting>
  <conditionalFormatting sqref="N201:N202">
    <cfRule type="expression" dxfId="24" priority="475778">
      <formula>IF(AND(NOT(N201=""),NOT(N201="-")),N201&gt;=1.1*N$5*BL$209,"-")</formula>
    </cfRule>
  </conditionalFormatting>
  <conditionalFormatting sqref="N206:N207">
    <cfRule type="expression" dxfId="23" priority="475779">
      <formula>IF(AND(NOT(N206=""),NOT(N206="-")),N206&gt;=1.1*N$5*BL$210,"-")</formula>
    </cfRule>
  </conditionalFormatting>
  <conditionalFormatting sqref="N211:N212">
    <cfRule type="expression" dxfId="22" priority="475780">
      <formula>IF(AND(NOT(N211=""),NOT(N211="-")),N211&gt;=1.1*N$5*BL$211,"-")</formula>
    </cfRule>
  </conditionalFormatting>
  <conditionalFormatting sqref="N216:N217">
    <cfRule type="expression" dxfId="21" priority="475781">
      <formula>IF(AND(NOT(N216=""),NOT(N216="-")),N216&gt;=1.1*N$5*BL$212,"-")</formula>
    </cfRule>
  </conditionalFormatting>
  <conditionalFormatting sqref="F133:K134">
    <cfRule type="expression" dxfId="20" priority="475782">
      <formula>IF(AND(NOT(F133=""),NOT(F133="-")),F133&gt;=1.1*F$5*BE$149,"-")</formula>
    </cfRule>
  </conditionalFormatting>
  <conditionalFormatting sqref="F139:K140">
    <cfRule type="expression" dxfId="19" priority="475783">
      <formula>IF(AND(NOT(F139=""),NOT(F139="-")),F139&gt;=1.1*F$5*BE$150,"-")</formula>
    </cfRule>
  </conditionalFormatting>
  <conditionalFormatting sqref="F145:K146">
    <cfRule type="expression" dxfId="18" priority="475784">
      <formula>IF(AND(NOT(F145=""),NOT(F145="-")),F145&gt;=1.1*F$5*BE$151,"-")</formula>
    </cfRule>
  </conditionalFormatting>
  <conditionalFormatting sqref="F151:K152">
    <cfRule type="expression" dxfId="17" priority="475785">
      <formula>IF(AND(NOT(F151=""),NOT(F151="-")),F151&gt;=1.1*F$5*BE$152,"-")</formula>
    </cfRule>
  </conditionalFormatting>
  <conditionalFormatting sqref="F191:K192">
    <cfRule type="expression" dxfId="16" priority="475786">
      <formula>IF(AND(NOT(F191=""),NOT(F191="-")),F191&gt;=1.1*F$5*BE$207,"-")</formula>
    </cfRule>
  </conditionalFormatting>
  <conditionalFormatting sqref="F196:K197">
    <cfRule type="expression" dxfId="15" priority="475787">
      <formula>IF(AND(NOT(F196=""),NOT(F196="-")),F196&gt;=1.1*F$5*BE$208,"-")</formula>
    </cfRule>
  </conditionalFormatting>
  <conditionalFormatting sqref="F201:K202">
    <cfRule type="expression" dxfId="14" priority="475788">
      <formula>IF(AND(NOT(F201=""),NOT(F201="-")),F201&gt;=1.1*F$5*BE$209,"-")</formula>
    </cfRule>
  </conditionalFormatting>
  <conditionalFormatting sqref="F206:K207">
    <cfRule type="expression" dxfId="13" priority="475789">
      <formula>IF(AND(NOT(F206=""),NOT(F206="-")),F206&gt;=1.1*F$5*BE$210,"-")</formula>
    </cfRule>
  </conditionalFormatting>
  <conditionalFormatting sqref="F211:K212">
    <cfRule type="expression" dxfId="12" priority="475790">
      <formula>IF(AND(NOT(F211=""),NOT(F211="-")),F211&gt;=1.1*F$5*BE$211,"-")</formula>
    </cfRule>
  </conditionalFormatting>
  <conditionalFormatting sqref="F216:K217">
    <cfRule type="expression" dxfId="11" priority="475791">
      <formula>IF(AND(NOT(F216=""),NOT(F216="-")),F216&gt;=1.1*F$5*BE$212,"-")</formula>
    </cfRule>
  </conditionalFormatting>
  <conditionalFormatting sqref="L133:M134">
    <cfRule type="expression" dxfId="10" priority="475792">
      <formula>IF(AND(NOT(L133=""),NOT(L133="-")),L133&gt;=1.1*L$5*BL$149,"-")</formula>
    </cfRule>
  </conditionalFormatting>
  <conditionalFormatting sqref="L139:M140">
    <cfRule type="expression" dxfId="9" priority="475793">
      <formula>IF(AND(NOT(L139=""),NOT(L139="-")),L139&gt;=1.1*L$5*BL$150,"-")</formula>
    </cfRule>
  </conditionalFormatting>
  <conditionalFormatting sqref="L145:M146">
    <cfRule type="expression" dxfId="8" priority="475794">
      <formula>IF(AND(NOT(L145=""),NOT(L145="-")),L145&gt;=1.1*L$5*BL$151,"-")</formula>
    </cfRule>
  </conditionalFormatting>
  <conditionalFormatting sqref="L151:M152">
    <cfRule type="expression" dxfId="7" priority="475795">
      <formula>IF(AND(NOT(L151=""),NOT(L151="-")),L151&gt;=1.1*L$5*BL$152,"-")</formula>
    </cfRule>
  </conditionalFormatting>
  <conditionalFormatting sqref="L191:M192">
    <cfRule type="expression" dxfId="6" priority="475796">
      <formula>IF(AND(NOT(L191=""),NOT(L191="-")),L191&gt;=1.1*L$5*BL$207,"-")</formula>
    </cfRule>
  </conditionalFormatting>
  <conditionalFormatting sqref="L196:M197">
    <cfRule type="expression" dxfId="5" priority="475797">
      <formula>IF(AND(NOT(L196=""),NOT(L196="-")),L196&gt;=1.1*L$5*BL$208,"-")</formula>
    </cfRule>
  </conditionalFormatting>
  <conditionalFormatting sqref="L201:M202">
    <cfRule type="expression" dxfId="4" priority="475798">
      <formula>IF(AND(NOT(L201=""),NOT(L201="-")),L201&gt;=1.1*L$5*BL$209,"-")</formula>
    </cfRule>
  </conditionalFormatting>
  <conditionalFormatting sqref="L206:M207">
    <cfRule type="expression" dxfId="3" priority="475799">
      <formula>IF(AND(NOT(L206=""),NOT(L206="-")),L206&gt;=1.1*L$5*BL$210,"-")</formula>
    </cfRule>
  </conditionalFormatting>
  <conditionalFormatting sqref="L211:M212">
    <cfRule type="expression" dxfId="2" priority="475800">
      <formula>IF(AND(NOT(L211=""),NOT(L211="-")),L211&gt;=1.1*L$5*BL$211,"-")</formula>
    </cfRule>
  </conditionalFormatting>
  <conditionalFormatting sqref="L216:M217">
    <cfRule type="expression" dxfId="1" priority="475801">
      <formula>IF(AND(NOT(L216=""),NOT(L216="-")),L216&gt;=1.1*L$5*BL$212,"-")</formula>
    </cfRule>
  </conditionalFormatting>
  <pageMargins left="0.7" right="0.7" top="0.75" bottom="0.75" header="0.3" footer="0.3"/>
  <pageSetup paperSize="9" scale="50" fitToHeight="0" orientation="landscape" r:id="rId1"/>
  <rowBreaks count="5" manualBreakCount="5">
    <brk id="185" max="19" man="1"/>
    <brk id="98" max="19" man="1"/>
    <brk id="125" max="19" man="1"/>
    <brk id="60" max="19" man="1"/>
    <brk id="183" max="19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Bosch Document" ma:contentTypeID="0x01010050D48A5FFFB6824E986B8C0E9A39AD2C00A70D114D7A704640A4526666E45FB989" ma:contentTypeVersion="26" ma:contentTypeDescription="Create a new document." ma:contentTypeScope="" ma:versionID="b4bbd1a29ad36b3f5de9fdf3ab09bb10">
  <xsd:schema xmlns:xsd="http://www.w3.org/2001/XMLSchema" xmlns:xs="http://www.w3.org/2001/XMLSchema" xmlns:p="http://schemas.microsoft.com/office/2006/metadata/properties" xmlns:ns1="http://schemas.microsoft.com/sharepoint/v3" xmlns:ns2="0b45e1b2-b4a5-4690-9205-5be77a8eac50" xmlns:ns4="1e530cf9-fbfb-406d-a2af-3d77d1540cd0" targetNamespace="http://schemas.microsoft.com/office/2006/metadata/properties" ma:root="true" ma:fieldsID="04abc43463086d97ae660c4437ffb74a" ns1:_="" ns2:_="" ns4:_="">
    <xsd:import namespace="http://schemas.microsoft.com/sharepoint/v3"/>
    <xsd:import namespace="0b45e1b2-b4a5-4690-9205-5be77a8eac50"/>
    <xsd:import namespace="1e530cf9-fbfb-406d-a2af-3d77d1540cd0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o467764529064824acca006b7a035130" minOccurs="0"/>
                <xsd:element ref="ns2:TaxCatchAll" minOccurs="0"/>
                <xsd:element ref="ns2:TaxCatchAllLabel" minOccurs="0"/>
                <xsd:element ref="ns2:CSC"/>
                <xsd:element ref="ns2:ASC"/>
                <xsd:element ref="ns2:ISC"/>
                <xsd:element ref="ns2:ArchivingPeriod"/>
                <xsd:element ref="ns2:Safeguarding"/>
                <xsd:element ref="ns2:Historicalrelevance"/>
                <xsd:element ref="ns1:LikesCount" minOccurs="0"/>
                <xsd:element ref="ns1:LikedBy" minOccurs="0"/>
                <xsd:element ref="ns4:c3786ee41c194dbd9bcb7398470f8c77" minOccurs="0"/>
                <xsd:element ref="ns4:lcb6874f53694bbbaac82fc67bc068b4" minOccurs="0"/>
                <xsd:element ref="ns4:h8beb575f05c46d2a9e0ab8f37681e04" minOccurs="0"/>
                <xsd:element ref="ns4:cc33a669cbcc457eb33aef58d7d8e1f0" minOccurs="0"/>
                <xsd:element ref="ns4:gf73a5c9e40b4a4bab6a0c2291a926a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ikesCount" ma:index="21" nillable="true" ma:displayName="Number of Likes" ma:internalName="LikesCount">
      <xsd:simpleType>
        <xsd:restriction base="dms:Unknown"/>
      </xsd:simpleType>
    </xsd:element>
    <xsd:element name="LikedBy" ma:index="22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45e1b2-b4a5-4690-9205-5be77a8eac50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o467764529064824acca006b7a035130" ma:index="11" ma:taxonomy="true" ma:internalName="o467764529064824acca006b7a035130" ma:taxonomyFieldName="DMSKeywords" ma:displayName="Keywords" ma:readOnly="false" ma:default="" ma:fieldId="{84677645-2906-4824-acca-006b7a035130}" ma:taxonomyMulti="true" ma:sspId="b81b984e-7d9a-4f77-a40b-67f8485df2c3" ma:termSetId="48f815dc-4815-4e5b-9c85-645a16d449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0eaffa55-a865-44a6-b1a3-3b833844f659}" ma:internalName="TaxCatchAll" ma:showField="CatchAllData" ma:web="0b45e1b2-b4a5-4690-9205-5be77a8eac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3" nillable="true" ma:displayName="Taxonomy Catch All Column1" ma:hidden="true" ma:list="{0eaffa55-a865-44a6-b1a3-3b833844f659}" ma:internalName="TaxCatchAllLabel" ma:readOnly="true" ma:showField="CatchAllDataLabel" ma:web="0b45e1b2-b4a5-4690-9205-5be77a8eac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SC" ma:index="15" ma:displayName="C-SC" ma:default="1" ma:description="Security Class for Confidentiality. Important: Documents rated C-SC 3 must be encrypted client-side (e.g. 'Entrust encrypt file...' in windows explorer) before uploading." ma:format="Dropdown" ma:internalName="CSC" ma:readOnly="false">
      <xsd:simpleType>
        <xsd:restriction base="dms:Choice">
          <xsd:enumeration value="0"/>
          <xsd:enumeration value="1"/>
          <xsd:enumeration value="2"/>
          <xsd:enumeration value="3"/>
        </xsd:restriction>
      </xsd:simpleType>
    </xsd:element>
    <xsd:element name="ASC" ma:index="16" ma:displayName="A-SC" ma:default="1" ma:description="Security Class for Availability" ma:format="Dropdown" ma:hidden="true" ma:internalName="ASC" ma:readOnly="false">
      <xsd:simpleType>
        <xsd:restriction base="dms:Choice">
          <xsd:enumeration value="0"/>
          <xsd:enumeration value="1"/>
          <xsd:enumeration value="2"/>
          <xsd:enumeration value="3"/>
        </xsd:restriction>
      </xsd:simpleType>
    </xsd:element>
    <xsd:element name="ISC" ma:index="17" ma:displayName="I-SC" ma:default="1" ma:description="Security Class for Integrity" ma:format="Dropdown" ma:hidden="true" ma:internalName="ISC" ma:readOnly="false">
      <xsd:simpleType>
        <xsd:restriction base="dms:Choice">
          <xsd:enumeration value="0"/>
          <xsd:enumeration value="1"/>
          <xsd:enumeration value="2"/>
          <xsd:enumeration value="3"/>
        </xsd:restriction>
      </xsd:simpleType>
    </xsd:element>
    <xsd:element name="ArchivingPeriod" ma:index="18" ma:displayName="Archiving Period (in years)" ma:default="infinite" ma:description="File will be deleted from the archive after end of the archiving" ma:format="Dropdown" ma:internalName="ArchivingPeriod" ma:readOnly="false">
      <xsd:simpleType>
        <xsd:union memberTypes="dms:Text">
          <xsd:simpleType>
            <xsd:restriction base="dms:Choice">
              <xsd:enumeration value="1"/>
              <xsd:enumeration value="3"/>
              <xsd:enumeration value="6"/>
              <xsd:enumeration value="10"/>
              <xsd:enumeration value="15"/>
              <xsd:enumeration value="35"/>
              <xsd:enumeration value="Delete when archiving"/>
              <xsd:enumeration value="infinite"/>
            </xsd:restriction>
          </xsd:simpleType>
        </xsd:union>
      </xsd:simpleType>
    </xsd:element>
    <xsd:element name="Safeguarding" ma:index="19" ma:displayName="Safeguarding" ma:default="No" ma:description="Special safeguarding requirements" ma:format="Dropdown" ma:hidden="true" ma:internalName="Safeguarding" ma:readOnly="false">
      <xsd:simpleType>
        <xsd:restriction base="dms:Choice">
          <xsd:enumeration value="Yes"/>
          <xsd:enumeration value="No"/>
        </xsd:restriction>
      </xsd:simpleType>
    </xsd:element>
    <xsd:element name="Historicalrelevance" ma:index="20" ma:displayName="Historical relevance" ma:default="No" ma:description="Handover to C/CCH" ma:format="Dropdown" ma:internalName="Historicalrelevance" ma:readOnly="false">
      <xsd:simpleType>
        <xsd:restriction base="dms:Choice">
          <xsd:enumeration value="Yes"/>
          <xsd:enumeration value="N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30cf9-fbfb-406d-a2af-3d77d1540cd0" elementFormDefault="qualified">
    <xsd:import namespace="http://schemas.microsoft.com/office/2006/documentManagement/types"/>
    <xsd:import namespace="http://schemas.microsoft.com/office/infopath/2007/PartnerControls"/>
    <xsd:element name="c3786ee41c194dbd9bcb7398470f8c77" ma:index="25" nillable="true" ma:taxonomy="true" ma:internalName="c3786ee41c194dbd9bcb7398470f8c77" ma:taxonomyFieldName="Topics" ma:displayName="Topics" ma:default="" ma:fieldId="{c3786ee4-1c19-4dbd-9bcb-7398470f8c77}" ma:sspId="b81b984e-7d9a-4f77-a40b-67f8485df2c3" ma:termSetId="48f815dc-4815-4e5b-9c85-645a16d44985" ma:anchorId="179a253f-84f7-4768-aefc-a1ab11a9df95" ma:open="true" ma:isKeyword="false">
      <xsd:complexType>
        <xsd:sequence>
          <xsd:element ref="pc:Terms" minOccurs="0" maxOccurs="1"/>
        </xsd:sequence>
      </xsd:complexType>
    </xsd:element>
    <xsd:element name="lcb6874f53694bbbaac82fc67bc068b4" ma:index="27" nillable="true" ma:taxonomy="true" ma:internalName="lcb6874f53694bbbaac82fc67bc068b4" ma:taxonomyFieldName="Document_x0020_type" ma:displayName="Document type" ma:default="" ma:fieldId="{5cb6874f-5369-4bbb-aac8-2fc67bc068b4}" ma:sspId="b81b984e-7d9a-4f77-a40b-67f8485df2c3" ma:termSetId="47352025-9289-4c53-a800-766f9482f63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8beb575f05c46d2a9e0ab8f37681e04" ma:index="29" nillable="true" ma:taxonomy="true" ma:internalName="h8beb575f05c46d2a9e0ab8f37681e04" ma:taxonomyFieldName="Customer" ma:displayName="Customer" ma:default="" ma:fieldId="{18beb575-f05c-46d2-a9e0-ab8f37681e04}" ma:sspId="b81b984e-7d9a-4f77-a40b-67f8485df2c3" ma:termSetId="48f815dc-4815-4e5b-9c85-645a16d44985" ma:anchorId="b131be14-1c87-48c5-b0ac-62d7b9f6397c" ma:open="true" ma:isKeyword="false">
      <xsd:complexType>
        <xsd:sequence>
          <xsd:element ref="pc:Terms" minOccurs="0" maxOccurs="1"/>
        </xsd:sequence>
      </xsd:complexType>
    </xsd:element>
    <xsd:element name="cc33a669cbcc457eb33aef58d7d8e1f0" ma:index="31" nillable="true" ma:taxonomy="true" ma:internalName="cc33a669cbcc457eb33aef58d7d8e1f0" ma:taxonomyFieldName="Law" ma:displayName="Law" ma:default="" ma:fieldId="{cc33a669-cbcc-457e-b33a-ef58d7d8e1f0}" ma:sspId="b81b984e-7d9a-4f77-a40b-67f8485df2c3" ma:termSetId="48f815dc-4815-4e5b-9c85-645a16d44985" ma:anchorId="5ade99c1-8c3f-4b0f-91f3-13575873f4bc" ma:open="true" ma:isKeyword="false">
      <xsd:complexType>
        <xsd:sequence>
          <xsd:element ref="pc:Terms" minOccurs="0" maxOccurs="1"/>
        </xsd:sequence>
      </xsd:complexType>
    </xsd:element>
    <xsd:element name="gf73a5c9e40b4a4bab6a0c2291a926a2" ma:index="33" nillable="true" ma:taxonomy="true" ma:internalName="gf73a5c9e40b4a4bab6a0c2291a926a2" ma:taxonomyFieldName="Market_x0020_segment" ma:displayName="Market segment" ma:default="" ma:fieldId="{0f73a5c9-e40b-4a4b-ab6a-0c2291a926a2}" ma:sspId="b81b984e-7d9a-4f77-a40b-67f8485df2c3" ma:termSetId="48f815dc-4815-4e5b-9c85-645a16d44985" ma:anchorId="a9ccab23-0e97-4864-8915-20e36201be25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23" ma:displayName="Author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8beb575f05c46d2a9e0ab8f37681e04 xmlns="1e530cf9-fbfb-406d-a2af-3d77d1540cd0">
      <Terms xmlns="http://schemas.microsoft.com/office/infopath/2007/PartnerControls">
        <TermInfo xmlns="http://schemas.microsoft.com/office/infopath/2007/PartnerControls">
          <TermName xmlns="http://schemas.microsoft.com/office/infopath/2007/PartnerControls">All</TermName>
          <TermId xmlns="http://schemas.microsoft.com/office/infopath/2007/PartnerControls">cc91dc07-a675-4948-ac75-b6e5a3ca02d7</TermId>
        </TermInfo>
      </Terms>
    </h8beb575f05c46d2a9e0ab8f37681e04>
    <lcb6874f53694bbbaac82fc67bc068b4 xmlns="1e530cf9-fbfb-406d-a2af-3d77d1540cd0">
      <Terms xmlns="http://schemas.microsoft.com/office/infopath/2007/PartnerControls">
        <TermInfo xmlns="http://schemas.microsoft.com/office/infopath/2007/PartnerControls">
          <TermName xmlns="http://schemas.microsoft.com/office/infopath/2007/PartnerControls">Others</TermName>
          <TermId xmlns="http://schemas.microsoft.com/office/infopath/2007/PartnerControls">0d694077-f80c-4448-8850-5f0d7578c606</TermId>
        </TermInfo>
      </Terms>
    </lcb6874f53694bbbaac82fc67bc068b4>
    <c3786ee41c194dbd9bcb7398470f8c77 xmlns="1e530cf9-fbfb-406d-a2af-3d77d1540cd0">
      <Terms xmlns="http://schemas.microsoft.com/office/infopath/2007/PartnerControls">
        <TermInfo xmlns="http://schemas.microsoft.com/office/infopath/2007/PartnerControls">
          <TermName xmlns="http://schemas.microsoft.com/office/infopath/2007/PartnerControls">Emission</TermName>
          <TermId xmlns="http://schemas.microsoft.com/office/infopath/2007/PartnerControls">1d58db1e-5587-427b-bc59-17e793ec341d</TermId>
        </TermInfo>
      </Terms>
    </c3786ee41c194dbd9bcb7398470f8c77>
    <cc33a669cbcc457eb33aef58d7d8e1f0 xmlns="1e530cf9-fbfb-406d-a2af-3d77d1540cd0">
      <Terms xmlns="http://schemas.microsoft.com/office/infopath/2007/PartnerControls">
        <TermInfo xmlns="http://schemas.microsoft.com/office/infopath/2007/PartnerControls">
          <TermName xmlns="http://schemas.microsoft.com/office/infopath/2007/PartnerControls">All</TermName>
          <TermId xmlns="http://schemas.microsoft.com/office/infopath/2007/PartnerControls">14ffd955-0c24-46c2-97ee-69cab5c7d434</TermId>
        </TermInfo>
      </Terms>
    </cc33a669cbcc457eb33aef58d7d8e1f0>
    <gf73a5c9e40b4a4bab6a0c2291a926a2 xmlns="1e530cf9-fbfb-406d-a2af-3d77d1540cd0">
      <Terms xmlns="http://schemas.microsoft.com/office/infopath/2007/PartnerControls">
        <TermInfo xmlns="http://schemas.microsoft.com/office/infopath/2007/PartnerControls">
          <TermName xmlns="http://schemas.microsoft.com/office/infopath/2007/PartnerControls">PC</TermName>
          <TermId xmlns="http://schemas.microsoft.com/office/infopath/2007/PartnerControls">79919d85-0868-4cc1-88b1-63dcbb7ba43b</TermId>
        </TermInfo>
      </Terms>
    </gf73a5c9e40b4a4bab6a0c2291a926a2>
    <_dlc_DocId xmlns="0b45e1b2-b4a5-4690-9205-5be77a8eac50">P01S012833-730030495-706</_dlc_DocId>
    <_dlc_DocIdUrl xmlns="0b45e1b2-b4a5-4690-9205-5be77a8eac50">
      <Url>https://sites.inside-share.bosch.com/sites/012833/_layouts/15/DocIdRedir.aspx?ID=P01S012833-730030495-706</Url>
      <Description>P01S012833-730030495-706</Description>
    </_dlc_DocIdUrl>
    <TaxCatchAll xmlns="0b45e1b2-b4a5-4690-9205-5be77a8eac50"/>
    <LikesCount xmlns="http://schemas.microsoft.com/sharepoint/v3" xsi:nil="true"/>
    <ASC xmlns="0b45e1b2-b4a5-4690-9205-5be77a8eac50">1</ASC>
    <CSC xmlns="0b45e1b2-b4a5-4690-9205-5be77a8eac50">1</CSC>
    <ArchivingPeriod xmlns="0b45e1b2-b4a5-4690-9205-5be77a8eac50">infinite</ArchivingPeriod>
    <LikedBy xmlns="http://schemas.microsoft.com/sharepoint/v3">
      <UserInfo>
        <DisplayName/>
        <AccountId xsi:nil="true"/>
        <AccountType/>
      </UserInfo>
    </LikedBy>
    <Safeguarding xmlns="0b45e1b2-b4a5-4690-9205-5be77a8eac50">No</Safeguarding>
    <o467764529064824acca006b7a035130 xmlns="0b45e1b2-b4a5-4690-9205-5be77a8eac50">
      <Terms xmlns="http://schemas.microsoft.com/office/infopath/2007/PartnerControls"/>
    </o467764529064824acca006b7a035130>
    <ISC xmlns="0b45e1b2-b4a5-4690-9205-5be77a8eac50">1</ISC>
    <Historicalrelevance xmlns="0b45e1b2-b4a5-4690-9205-5be77a8eac50">No</Historicalrelevance>
  </documentManagement>
</p:properties>
</file>

<file path=customXml/itemProps1.xml><?xml version="1.0" encoding="utf-8"?>
<ds:datastoreItem xmlns:ds="http://schemas.openxmlformats.org/officeDocument/2006/customXml" ds:itemID="{CBB19739-6D81-42B0-97CC-80073F76F02E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EBA43D98-550D-42E8-A276-649DC58D49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b45e1b2-b4a5-4690-9205-5be77a8eac50"/>
    <ds:schemaRef ds:uri="1e530cf9-fbfb-406d-a2af-3d77d1540c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FBF875-AE74-4464-9331-BBF06C1FA20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11EF034-BF25-466D-AE79-0F8FD45FC6C3}">
  <ds:schemaRefs>
    <ds:schemaRef ds:uri="http://schemas.microsoft.com/office/2006/documentManagement/types"/>
    <ds:schemaRef ds:uri="1e530cf9-fbfb-406d-a2af-3d77d1540cd0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0b45e1b2-b4a5-4690-9205-5be77a8eac50"/>
    <ds:schemaRef ds:uri="http://purl.org/dc/terms/"/>
    <ds:schemaRef ds:uri="http://schemas.microsoft.com/sharepoint/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21</vt:i4>
      </vt:variant>
    </vt:vector>
  </HeadingPairs>
  <TitlesOfParts>
    <vt:vector size="41" baseType="lpstr">
      <vt:lpstr>How- To Guide Codex Sheets</vt:lpstr>
      <vt:lpstr>History</vt:lpstr>
      <vt:lpstr>Release of Measurement Program</vt:lpstr>
      <vt:lpstr>Release of Results</vt:lpstr>
      <vt:lpstr>Variant 5 - WMTC</vt:lpstr>
      <vt:lpstr>Variant 5 - WMTC (Fuel2)</vt:lpstr>
      <vt:lpstr>Variant 4 - MIDC</vt:lpstr>
      <vt:lpstr>Variant 3 - JC08</vt:lpstr>
      <vt:lpstr>Variant 1 - NEDC (Fuel1)</vt:lpstr>
      <vt:lpstr>Variant 1 - NEDC (Fuel2)</vt:lpstr>
      <vt:lpstr>Variant 2a - Brazil Flex Fuel</vt:lpstr>
      <vt:lpstr>Variant 2 - FTP</vt:lpstr>
      <vt:lpstr>Variant 2 - FTP75 (Fuel2)</vt:lpstr>
      <vt:lpstr>Variant 4 - MIDC (Fuel2)</vt:lpstr>
      <vt:lpstr>Variant 3 - JC08 (Fuel2)</vt:lpstr>
      <vt:lpstr>Variant 2a - Brazil Flex Fuel2</vt:lpstr>
      <vt:lpstr>Daten Gasoline</vt:lpstr>
      <vt:lpstr>iCDM Upload</vt:lpstr>
      <vt:lpstr>Variant 6 - WLTC</vt:lpstr>
      <vt:lpstr>Variant 6 - WLTC (Fuel2)</vt:lpstr>
      <vt:lpstr>'Release of Results'!Druckbereich</vt:lpstr>
      <vt:lpstr>'Variant 1 - NEDC (Fuel1)'!Druckbereich</vt:lpstr>
      <vt:lpstr>'Variant 1 - NEDC (Fuel2)'!Druckbereich</vt:lpstr>
      <vt:lpstr>'Variant 2 - FTP'!Druckbereich</vt:lpstr>
      <vt:lpstr>'Variant 2 - FTP75 (Fuel2)'!Druckbereich</vt:lpstr>
      <vt:lpstr>'Variant 2a - Brazil Flex Fuel'!Druckbereich</vt:lpstr>
      <vt:lpstr>'Variant 2a - Brazil Flex Fuel2'!Druckbereich</vt:lpstr>
      <vt:lpstr>'Variant 3 - JC08'!Druckbereich</vt:lpstr>
      <vt:lpstr>'Variant 3 - JC08 (Fuel2)'!Druckbereich</vt:lpstr>
      <vt:lpstr>'Variant 4 - MIDC'!Druckbereich</vt:lpstr>
      <vt:lpstr>'Variant 4 - MIDC (Fuel2)'!Druckbereich</vt:lpstr>
      <vt:lpstr>'Variant 5 - WMTC'!Druckbereich</vt:lpstr>
      <vt:lpstr>'Variant 5 - WMTC (Fuel2)'!Druckbereich</vt:lpstr>
      <vt:lpstr>'Variant 6 - WLTC'!Druckbereich</vt:lpstr>
      <vt:lpstr>'Variant 6 - WLTC (Fuel2)'!Druckbereich</vt:lpstr>
      <vt:lpstr>erwListe</vt:lpstr>
      <vt:lpstr>'Release of Results'!Print_Area</vt:lpstr>
      <vt:lpstr>ReferenceProcedure</vt:lpstr>
      <vt:lpstr>RoMP</vt:lpstr>
      <vt:lpstr>Status</vt:lpstr>
      <vt:lpstr>Status_Combo1</vt:lpstr>
    </vt:vector>
  </TitlesOfParts>
  <Manager>Amel.Bajsini@de.bosch.com</Manager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Amel.Bajsini@de.bosch.com</dc:creator>
  <cp:lastModifiedBy>Heinrich Michael (DGS-EC/EAM1)</cp:lastModifiedBy>
  <cp:lastPrinted>2017-11-21T15:40:51Z</cp:lastPrinted>
  <dcterms:created xsi:type="dcterms:W3CDTF">2016-08-10T09:39:52Z</dcterms:created>
  <dcterms:modified xsi:type="dcterms:W3CDTF">2018-02-23T10:37:27Z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0x01010050D48A5FFFB6824E986B8C0E9A39AD2C00A70D114D7A704640A4526666E45FB989</vt:lpwstr>
  </property>
  <property fmtid="{D5CDD505-2E9C-101B-9397-08002B2CF9AE}" pid="3" name="_dlc_DocIdItemGuid">
    <vt:lpwstr>b7ea93fa-b153-4f0e-ba1d-4908cdcc95f4</vt:lpwstr>
  </property>
  <property fmtid="{D5CDD505-2E9C-101B-9397-08002B2CF9AE}" pid="4" name="Law">
    <vt:lpwstr>39;#All|14ffd955-0c24-46c2-97ee-69cab5c7d434</vt:lpwstr>
  </property>
  <property fmtid="{D5CDD505-2E9C-101B-9397-08002B2CF9AE}" pid="5" name="Topics">
    <vt:lpwstr>43;#Emission|1d58db1e-5587-427b-bc59-17e793ec341d</vt:lpwstr>
  </property>
  <property fmtid="{D5CDD505-2E9C-101B-9397-08002B2CF9AE}" pid="6" name="DMSKeywords">
    <vt:lpwstr>44;#Release Program|a790a358-ee89-4759-8bfa-a0b174acd91e</vt:lpwstr>
  </property>
  <property fmtid="{D5CDD505-2E9C-101B-9397-08002B2CF9AE}" pid="7" name="Market segment">
    <vt:lpwstr>12;#PC|79919d85-0868-4cc1-88b1-63dcbb7ba43b</vt:lpwstr>
  </property>
  <property fmtid="{D5CDD505-2E9C-101B-9397-08002B2CF9AE}" pid="8" name="Customer">
    <vt:lpwstr>30;#All|cc91dc07-a675-4948-ac75-b6e5a3ca02d7</vt:lpwstr>
  </property>
  <property fmtid="{D5CDD505-2E9C-101B-9397-08002B2CF9AE}" pid="9" name="Document type">
    <vt:lpwstr>9;#Others|0d694077-f80c-4448-8850-5f0d7578c606</vt:lpwstr>
  </property>
</Properties>
</file>