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363"/>
  <sheetViews>
    <sheetView workbookViewId="0">
      <selection activeCell="A1" sqref="A1"/>
    </sheetView>
  </sheetViews>
  <sheetFormatPr baseColWidth="8" defaultRowHeight="15"/>
  <cols>
    <col width="50" customWidth="1" min="1" max="1"/>
    <col width="10" customWidth="1" min="2" max="2"/>
    <col width="10" customWidth="1" min="3" max="3"/>
    <col width="10" customWidth="1" min="4" max="4"/>
    <col width="10" customWidth="1" min="5" max="5"/>
    <col width="40" customWidth="1" min="6" max="6"/>
    <col width="40" customWidth="1" min="7" max="7"/>
  </cols>
  <sheetData>
    <row r="1">
      <c r="A1" s="1" t="inlineStr">
        <is>
          <t>商品名</t>
        </is>
      </c>
      <c r="B1" s="1" t="inlineStr">
        <is>
          <t>交易价格</t>
        </is>
      </c>
      <c r="C1" s="1" t="inlineStr">
        <is>
          <t>市场价</t>
        </is>
      </c>
      <c r="D1" s="1" t="inlineStr">
        <is>
          <t>优惠价格</t>
        </is>
      </c>
      <c r="E1" s="1" t="inlineStr">
        <is>
          <t>折数</t>
        </is>
      </c>
      <c r="F1" s="1" t="inlineStr">
        <is>
          <t>商品图片</t>
        </is>
      </c>
      <c r="G1" s="1" t="inlineStr">
        <is>
          <t>链接</t>
        </is>
      </c>
    </row>
    <row r="2">
      <c r="A2" t="inlineStr">
        <is>
          <t>FuRyu 初音未来 热带果汁 景品手办</t>
        </is>
      </c>
      <c r="B2" t="inlineStr">
        <is>
          <t>103.60元</t>
        </is>
      </c>
      <c r="C2" t="inlineStr">
        <is>
          <t>129.00元</t>
        </is>
      </c>
      <c r="D2" t="inlineStr">
        <is>
          <t>25.40元</t>
        </is>
      </c>
      <c r="E2" t="inlineStr">
        <is>
          <t>8.0折</t>
        </is>
      </c>
      <c r="F2">
        <f>HYPERLINK("https://i0.hdslb.com/bfs/mall/mall/74/98/7498eac804ca43cc1b42205219db03a6.png", "点击查看图片")</f>
        <v/>
      </c>
      <c r="G2">
        <f>HYPERLINK("https://mall.bilibili.com/neul-next/index.html?page=magic-market_detail&amp;noTitleBar=1&amp;itemsId=111916733323&amp;from=market_index", "点击打开")</f>
        <v/>
      </c>
    </row>
    <row r="3">
      <c r="A3" t="inlineStr">
        <is>
          <t>世嘉 雪莉露·诺姆 景品手办</t>
        </is>
      </c>
      <c r="B3" t="inlineStr">
        <is>
          <t>48.88元</t>
        </is>
      </c>
      <c r="C3" t="inlineStr">
        <is>
          <t>109.00元</t>
        </is>
      </c>
      <c r="D3" t="inlineStr">
        <is>
          <t>60.12元</t>
        </is>
      </c>
      <c r="E3" t="inlineStr">
        <is>
          <t>4.5折</t>
        </is>
      </c>
      <c r="F3">
        <f>HYPERLINK("https://i0.hdslb.com/bfs/mall/mall/0d/40/0d403360128dce7e32e248cf793f8135.png", "点击查看图片")</f>
        <v/>
      </c>
      <c r="G3">
        <f>HYPERLINK("https://mall.bilibili.com/neul-next/index.html?page=magic-market_detail&amp;noTitleBar=1&amp;itemsId=109812556589&amp;from=market_index", "点击打开")</f>
        <v/>
      </c>
    </row>
    <row r="4">
      <c r="A4" t="inlineStr">
        <is>
          <t>FuRyu 伊蕾娜 景品手办</t>
        </is>
      </c>
      <c r="B4" t="inlineStr">
        <is>
          <t>65.00元</t>
        </is>
      </c>
      <c r="C4" t="inlineStr">
        <is>
          <t>115.00元</t>
        </is>
      </c>
      <c r="D4" t="inlineStr">
        <is>
          <t>50.00元</t>
        </is>
      </c>
      <c r="E4" t="inlineStr">
        <is>
          <t>5.7折</t>
        </is>
      </c>
      <c r="F4">
        <f>HYPERLINK("https://i0.hdslb.com/bfs/mall/mall/02/08/020877fe0212bccd8da6c2c615af2128.png", "点击查看图片")</f>
        <v/>
      </c>
      <c r="G4">
        <f>HYPERLINK("https://mall.bilibili.com/neul-next/index.html?page=magic-market_detail&amp;noTitleBar=1&amp;itemsId=109815102544&amp;from=market_index", "点击打开")</f>
        <v/>
      </c>
    </row>
    <row r="5">
      <c r="A5" t="inlineStr">
        <is>
          <t>TAITO 有马加奈 B小町ver. 景品手办</t>
        </is>
      </c>
      <c r="B5" t="inlineStr">
        <is>
          <t>83.00元</t>
        </is>
      </c>
      <c r="C5" t="inlineStr">
        <is>
          <t>112.00元</t>
        </is>
      </c>
      <c r="D5" t="inlineStr">
        <is>
          <t>29.00元</t>
        </is>
      </c>
      <c r="E5" t="inlineStr">
        <is>
          <t>7.4折</t>
        </is>
      </c>
      <c r="F5">
        <f>HYPERLINK("https://i0.hdslb.com/bfs/mall/mall/23/21/232178e49a0bbbe9f7a12a8d5f5b6003.png", "点击查看图片")</f>
        <v/>
      </c>
      <c r="G5">
        <f>HYPERLINK("https://mall.bilibili.com/neul-next/index.html?page=magic-market_detail&amp;noTitleBar=1&amp;itemsId=109821116046&amp;from=market_index", "点击打开")</f>
        <v/>
      </c>
    </row>
    <row r="6">
      <c r="A6" t="inlineStr">
        <is>
          <t>FuRyu 初音未来 黑星红白 景品手办 再版</t>
        </is>
      </c>
      <c r="B6" t="inlineStr">
        <is>
          <t>140.00元</t>
        </is>
      </c>
      <c r="C6" t="inlineStr">
        <is>
          <t>244.00元</t>
        </is>
      </c>
      <c r="D6" t="inlineStr">
        <is>
          <t>104.00元</t>
        </is>
      </c>
      <c r="E6" t="inlineStr">
        <is>
          <t>5.7折</t>
        </is>
      </c>
      <c r="F6">
        <f>HYPERLINK("https://i0.hdslb.com/bfs/mall/mall/99/80/99800414cbd35fa61f885a22ee7930ea.png", "点击查看图片")</f>
        <v/>
      </c>
      <c r="G6">
        <f>HYPERLINK("https://mall.bilibili.com/neul-next/index.html?page=magic-market_detail&amp;noTitleBar=1&amp;itemsId=109833564267&amp;from=market_index", "点击打开")</f>
        <v/>
      </c>
    </row>
    <row r="7">
      <c r="A7" t="inlineStr">
        <is>
          <t>TAITO 雅儿贝德 睡衣Ver.Renewal 景品手办</t>
        </is>
      </c>
      <c r="B7" t="inlineStr">
        <is>
          <t>52.39元</t>
        </is>
      </c>
      <c r="C7" t="inlineStr">
        <is>
          <t>112.00元</t>
        </is>
      </c>
      <c r="D7" t="inlineStr">
        <is>
          <t>59.61元</t>
        </is>
      </c>
      <c r="E7" t="inlineStr">
        <is>
          <t>4.7折</t>
        </is>
      </c>
      <c r="F7">
        <f>HYPERLINK("https://i0.hdslb.com/bfs/mall/mall/12/e6/12e6e1cfe8c3900c0e5086d48c66fd0e.png", "点击查看图片")</f>
        <v/>
      </c>
      <c r="G7">
        <f>HYPERLINK("https://mall.bilibili.com/neul-next/index.html?page=magic-market_detail&amp;noTitleBar=1&amp;itemsId=109807472471&amp;from=market_index", "点击打开")</f>
        <v/>
      </c>
    </row>
    <row r="8">
      <c r="A8" t="inlineStr">
        <is>
          <t>FuRyu 雅儿贝德 泳装  景品手办</t>
        </is>
      </c>
      <c r="B8" t="inlineStr">
        <is>
          <t>60.00元</t>
        </is>
      </c>
      <c r="C8" t="inlineStr">
        <is>
          <t>115.00元</t>
        </is>
      </c>
      <c r="D8" t="inlineStr">
        <is>
          <t>55.00元</t>
        </is>
      </c>
      <c r="E8" t="inlineStr">
        <is>
          <t>5.2折</t>
        </is>
      </c>
      <c r="F8">
        <f>HYPERLINK("https://i0.hdslb.com/bfs/mall/mall/0a/06/0a068787a6b540d527ebe09326175d9e.png", "点击查看图片")</f>
        <v/>
      </c>
      <c r="G8">
        <f>HYPERLINK("https://mall.bilibili.com/neul-next/index.html?page=magic-market_detail&amp;noTitleBar=1&amp;itemsId=109811540209&amp;from=market_index", "点击打开")</f>
        <v/>
      </c>
    </row>
    <row r="9">
      <c r="A9" t="inlineStr">
        <is>
          <t>世嘉 加藤惠 毛衣Ver. 景品手办</t>
        </is>
      </c>
      <c r="B9" t="inlineStr">
        <is>
          <t>56.00元</t>
        </is>
      </c>
      <c r="C9" t="inlineStr">
        <is>
          <t>109.00元</t>
        </is>
      </c>
      <c r="D9" t="inlineStr">
        <is>
          <t>53.00元</t>
        </is>
      </c>
      <c r="E9" t="inlineStr">
        <is>
          <t>5.1折</t>
        </is>
      </c>
      <c r="F9">
        <f>HYPERLINK("https://i0.hdslb.com/bfs/mall/mall/03/be/03be6a7ca621de4eb3cddc36b8926449.png", "点击查看图片")</f>
        <v/>
      </c>
      <c r="G9">
        <f>HYPERLINK("https://mall.bilibili.com/neul-next/index.html?page=magic-market_detail&amp;noTitleBar=1&amp;itemsId=109819220699&amp;from=market_index", "点击打开")</f>
        <v/>
      </c>
    </row>
    <row r="10">
      <c r="A10" t="inlineStr">
        <is>
          <t>世嘉 灰原哀 椅子Ver.  景品手办 再版</t>
        </is>
      </c>
      <c r="B10" t="inlineStr">
        <is>
          <t>129.00元</t>
        </is>
      </c>
      <c r="C10" t="inlineStr">
        <is>
          <t>210.00元</t>
        </is>
      </c>
      <c r="D10" t="inlineStr">
        <is>
          <t>81.00元</t>
        </is>
      </c>
      <c r="E10" t="inlineStr">
        <is>
          <t>6.1折</t>
        </is>
      </c>
      <c r="F10">
        <f>HYPERLINK("https://i0.hdslb.com/bfs/mall/mall/19/76/197602ba47ff148127d733822b63c9d0.png", "点击查看图片")</f>
        <v/>
      </c>
      <c r="G10">
        <f>HYPERLINK("https://mall.bilibili.com/neul-next/index.html?page=magic-market_detail&amp;noTitleBar=1&amp;itemsId=111914742015&amp;from=market_index", "点击打开")</f>
        <v/>
      </c>
    </row>
    <row r="11">
      <c r="A11" t="inlineStr">
        <is>
          <t>FuRyu 初音未来 秋日之约粉色Ver. 景品手办</t>
        </is>
      </c>
      <c r="B11" t="inlineStr">
        <is>
          <t>55.00元</t>
        </is>
      </c>
      <c r="C11" t="inlineStr">
        <is>
          <t>115.00元</t>
        </is>
      </c>
      <c r="D11" t="inlineStr">
        <is>
          <t>60.00元</t>
        </is>
      </c>
      <c r="E11" t="inlineStr">
        <is>
          <t>4.8折</t>
        </is>
      </c>
      <c r="F11">
        <f>HYPERLINK("https://i0.hdslb.com/bfs/mall/mall/1b/e2/1be27a155170ed42bb0e1e4540e36520.png", "点击查看图片")</f>
        <v/>
      </c>
      <c r="G11">
        <f>HYPERLINK("https://mall.bilibili.com/neul-next/index.html?page=magic-market_detail&amp;noTitleBar=1&amp;itemsId=109817308665&amp;from=market_index", "点击打开")</f>
        <v/>
      </c>
    </row>
    <row r="12">
      <c r="A12" t="inlineStr">
        <is>
          <t>世嘉 初音未来 二息步行 景品手办 再版</t>
        </is>
      </c>
      <c r="B12" t="inlineStr">
        <is>
          <t>50.00元</t>
        </is>
      </c>
      <c r="C12" t="inlineStr">
        <is>
          <t>112.00元</t>
        </is>
      </c>
      <c r="D12" t="inlineStr">
        <is>
          <t>62.00元</t>
        </is>
      </c>
      <c r="E12" t="inlineStr">
        <is>
          <t>4.5折</t>
        </is>
      </c>
      <c r="F12">
        <f>HYPERLINK("https://i0.hdslb.com/bfs/mall/mall/22/a1/22a12367c8351dd115ab772700f311e9.png", "点击查看图片")</f>
        <v/>
      </c>
      <c r="G12">
        <f>HYPERLINK("https://mall.bilibili.com/neul-next/index.html?page=magic-market_detail&amp;noTitleBar=1&amp;itemsId=109809201728&amp;from=market_index", "点击打开")</f>
        <v/>
      </c>
    </row>
    <row r="13">
      <c r="A13" t="inlineStr">
        <is>
          <t>世嘉 喜多川海梦 试穿中 景品手办</t>
        </is>
      </c>
      <c r="B13" t="inlineStr">
        <is>
          <t>68.00元</t>
        </is>
      </c>
      <c r="C13" t="inlineStr">
        <is>
          <t>112.00元</t>
        </is>
      </c>
      <c r="D13" t="inlineStr">
        <is>
          <t>44.00元</t>
        </is>
      </c>
      <c r="E13" t="inlineStr">
        <is>
          <t>6.1折</t>
        </is>
      </c>
      <c r="F13">
        <f>HYPERLINK("https://i0.hdslb.com/bfs/mall/mall/65/fe/65fe5b6410a3f870f887021fbb9fbaa8.png", "点击查看图片")</f>
        <v/>
      </c>
      <c r="G13">
        <f>HYPERLINK("https://mall.bilibili.com/neul-next/index.html?page=magic-market_detail&amp;noTitleBar=1&amp;itemsId=109809402642&amp;from=market_index", "点击打开")</f>
        <v/>
      </c>
    </row>
    <row r="14">
      <c r="A14" t="inlineStr">
        <is>
          <t>世嘉 9S 景品手办</t>
        </is>
      </c>
      <c r="B14" t="inlineStr">
        <is>
          <t>140.00元</t>
        </is>
      </c>
      <c r="C14" t="inlineStr">
        <is>
          <t>194.00元</t>
        </is>
      </c>
      <c r="D14" t="inlineStr">
        <is>
          <t>54.00元</t>
        </is>
      </c>
      <c r="E14" t="inlineStr">
        <is>
          <t>7.2折</t>
        </is>
      </c>
      <c r="F14">
        <f>HYPERLINK("https://i0.hdslb.com/bfs/mall/mall/0f/8d/0f8d53cd29778140f2ac3a50afea9731.png", "点击查看图片")</f>
        <v/>
      </c>
      <c r="G14">
        <f>HYPERLINK("https://mall.bilibili.com/neul-next/index.html?page=magic-market_detail&amp;noTitleBar=1&amp;itemsId=111906663203&amp;from=market_index", "点击打开")</f>
        <v/>
      </c>
    </row>
    <row r="15">
      <c r="A15" t="inlineStr">
        <is>
          <t>TAITO 伊蕾娜 礼服Ver. 景品手办</t>
        </is>
      </c>
      <c r="B15" t="inlineStr">
        <is>
          <t>109.90元</t>
        </is>
      </c>
      <c r="C15" t="inlineStr">
        <is>
          <t>112.00元</t>
        </is>
      </c>
      <c r="D15" t="inlineStr">
        <is>
          <t>2.10元</t>
        </is>
      </c>
      <c r="E15" t="inlineStr">
        <is>
          <t>9.8折</t>
        </is>
      </c>
      <c r="F15">
        <f>HYPERLINK("https://i0.hdslb.com/bfs/mall/mall/1e/ea/1eea8078021d2976ee0cc43d750080b2.png", "点击查看图片")</f>
        <v/>
      </c>
      <c r="G15">
        <f>HYPERLINK("https://mall.bilibili.com/neul-next/index.html?page=magic-market_detail&amp;noTitleBar=1&amp;itemsId=111917333688&amp;from=market_index", "点击打开")</f>
        <v/>
      </c>
    </row>
    <row r="16">
      <c r="A16" t="inlineStr">
        <is>
          <t>FuRyu 菲伦 景品手办 再版</t>
        </is>
      </c>
      <c r="B16" t="inlineStr">
        <is>
          <t>170.00元</t>
        </is>
      </c>
      <c r="C16" t="inlineStr">
        <is>
          <t>230.00元</t>
        </is>
      </c>
      <c r="D16" t="inlineStr">
        <is>
          <t>60.00元</t>
        </is>
      </c>
      <c r="E16" t="inlineStr">
        <is>
          <t>7.4折</t>
        </is>
      </c>
      <c r="F16">
        <f>HYPERLINK("https://i0.hdslb.com/bfs/mall/mall/72/38/7238ba5c27d869e266f6dfea6de26d84.png", "点击查看图片")</f>
        <v/>
      </c>
      <c r="G16">
        <f>HYPERLINK("https://mall.bilibili.com/neul-next/index.html?page=magic-market_detail&amp;noTitleBar=1&amp;itemsId=111910441955&amp;from=market_index", "点击打开")</f>
        <v/>
      </c>
    </row>
    <row r="17">
      <c r="A17" t="inlineStr">
        <is>
          <t>世嘉 古贺朋绘 景品手办</t>
        </is>
      </c>
      <c r="B17" t="inlineStr">
        <is>
          <t>50.00元</t>
        </is>
      </c>
      <c r="C17" t="inlineStr">
        <is>
          <t>105.00元</t>
        </is>
      </c>
      <c r="D17" t="inlineStr">
        <is>
          <t>55.00元</t>
        </is>
      </c>
      <c r="E17" t="inlineStr">
        <is>
          <t>4.8折</t>
        </is>
      </c>
      <c r="F17">
        <f>HYPERLINK("https://i0.hdslb.com/bfs/mall/mall/bb/34/bb34fc90c82c51df7b3332e1c173d2db.png", "点击查看图片")</f>
        <v/>
      </c>
      <c r="G17">
        <f>HYPERLINK("https://mall.bilibili.com/neul-next/index.html?page=magic-market_detail&amp;noTitleBar=1&amp;itemsId=109814062602&amp;from=market_index", "点击打开")</f>
        <v/>
      </c>
    </row>
    <row r="18">
      <c r="A18" t="inlineStr">
        <is>
          <t>FuRyu 赫萝 向日葵Ver. 景品手办</t>
        </is>
      </c>
      <c r="B18" t="inlineStr">
        <is>
          <t>65.00元</t>
        </is>
      </c>
      <c r="C18" t="inlineStr">
        <is>
          <t>115.00元</t>
        </is>
      </c>
      <c r="D18" t="inlineStr">
        <is>
          <t>50.00元</t>
        </is>
      </c>
      <c r="E18" t="inlineStr">
        <is>
          <t>5.7折</t>
        </is>
      </c>
      <c r="F18">
        <f>HYPERLINK("https://i0.hdslb.com/bfs/mall/mall/a6/b5/a6b531f8b0772dbf3f8ab53ae1996331.png", "点击查看图片")</f>
        <v/>
      </c>
      <c r="G18">
        <f>HYPERLINK("https://mall.bilibili.com/neul-next/index.html?page=magic-market_detail&amp;noTitleBar=1&amp;itemsId=106480475364&amp;from=market_index", "点击打开")</f>
        <v/>
      </c>
    </row>
    <row r="19">
      <c r="A19" t="inlineStr">
        <is>
          <t>TAITO 星野爱 景品手办</t>
        </is>
      </c>
      <c r="B19" t="inlineStr">
        <is>
          <t>680.00元</t>
        </is>
      </c>
      <c r="C19" t="inlineStr">
        <is>
          <t>1111.00元</t>
        </is>
      </c>
      <c r="D19" t="inlineStr">
        <is>
          <t>431.00元</t>
        </is>
      </c>
      <c r="E19" t="inlineStr">
        <is>
          <t>6.1折</t>
        </is>
      </c>
      <c r="F19">
        <f>HYPERLINK("https://i0.hdslb.com/bfs/mall/mall/9e/68/9e684ebfe748ea6a1b9cd5b0342ad2f4.png", "点击查看图片")</f>
        <v/>
      </c>
      <c r="G19">
        <f>HYPERLINK("https://mall.bilibili.com/neul-next/index.html?page=magic-market_detail&amp;noTitleBar=1&amp;itemsId=109849446997&amp;from=market_index", "点击打开")</f>
        <v/>
      </c>
    </row>
    <row r="20">
      <c r="A20" t="inlineStr">
        <is>
          <t>BANPRESTO 莉莉艾露 卫生小队Ver. 景品手办</t>
        </is>
      </c>
      <c r="B20" t="inlineStr">
        <is>
          <t>75.00元</t>
        </is>
      </c>
      <c r="C20" t="inlineStr">
        <is>
          <t>129.00元</t>
        </is>
      </c>
      <c r="D20" t="inlineStr">
        <is>
          <t>54.00元</t>
        </is>
      </c>
      <c r="E20" t="inlineStr">
        <is>
          <t>5.8折</t>
        </is>
      </c>
      <c r="F20">
        <f>HYPERLINK("https://i0.hdslb.com/bfs/mall/mall/3b/ff/3bff6a86f70f477ec778c4eb4d425b34.png", "点击查看图片")</f>
        <v/>
      </c>
      <c r="G20">
        <f>HYPERLINK("https://mall.bilibili.com/neul-next/index.html?page=magic-market_detail&amp;noTitleBar=1&amp;itemsId=106994918215&amp;from=market_index", "点击打开")</f>
        <v/>
      </c>
    </row>
    <row r="21">
      <c r="A21" t="inlineStr">
        <is>
          <t>FuRyu 蒲牢 -华钟- 景品手办</t>
        </is>
      </c>
      <c r="B21" t="inlineStr">
        <is>
          <t>70.00元</t>
        </is>
      </c>
      <c r="C21" t="inlineStr">
        <is>
          <t>128.00元</t>
        </is>
      </c>
      <c r="D21" t="inlineStr">
        <is>
          <t>58.00元</t>
        </is>
      </c>
      <c r="E21" t="inlineStr">
        <is>
          <t>5.5折</t>
        </is>
      </c>
      <c r="F21">
        <f>HYPERLINK("https://i0.hdslb.com/bfs/mall/mall/07/52/0752ab878ee1cadfb20afea6a3c930a2.png", "点击查看图片")</f>
        <v/>
      </c>
      <c r="G21">
        <f>HYPERLINK("https://mall.bilibili.com/neul-next/index.html?page=magic-market_detail&amp;noTitleBar=1&amp;itemsId=109811381936&amp;from=market_index", "点击打开")</f>
        <v/>
      </c>
    </row>
    <row r="22">
      <c r="A22" t="inlineStr">
        <is>
          <t>System Service 山田凉 景品手办</t>
        </is>
      </c>
      <c r="B22" t="inlineStr">
        <is>
          <t>55.00元</t>
        </is>
      </c>
      <c r="C22" t="inlineStr">
        <is>
          <t>125.00元</t>
        </is>
      </c>
      <c r="D22" t="inlineStr">
        <is>
          <t>70.00元</t>
        </is>
      </c>
      <c r="E22" t="inlineStr">
        <is>
          <t>4.4折</t>
        </is>
      </c>
      <c r="F22">
        <f>HYPERLINK("https://i0.hdslb.com/bfs/mall/mall/95/ff/95ffe8b5f576749e9413f4fa93530847.png", "点击查看图片")</f>
        <v/>
      </c>
      <c r="G22">
        <f>HYPERLINK("https://mall.bilibili.com/neul-next/index.html?page=magic-market_detail&amp;noTitleBar=1&amp;itemsId=106470062508&amp;from=market_index", "点击打开")</f>
        <v/>
      </c>
    </row>
    <row r="23">
      <c r="A23" t="inlineStr">
        <is>
          <t>BANPRESTO 杰·富力士 景品手办</t>
        </is>
      </c>
      <c r="B23" t="inlineStr">
        <is>
          <t>70.19元</t>
        </is>
      </c>
      <c r="C23" t="inlineStr">
        <is>
          <t>135.00元</t>
        </is>
      </c>
      <c r="D23" t="inlineStr">
        <is>
          <t>64.81元</t>
        </is>
      </c>
      <c r="E23" t="inlineStr">
        <is>
          <t>5.2折</t>
        </is>
      </c>
      <c r="F23">
        <f>HYPERLINK("https://i0.hdslb.com/bfs/mall/mall/f4/94/f494bf821840f045907f2b82b4232849.png", "点击查看图片")</f>
        <v/>
      </c>
      <c r="G23">
        <f>HYPERLINK("https://mall.bilibili.com/neul-next/index.html?page=magic-market_detail&amp;noTitleBar=1&amp;itemsId=109812424384&amp;from=market_index", "点击打开")</f>
        <v/>
      </c>
    </row>
    <row r="24">
      <c r="A24" t="inlineStr">
        <is>
          <t>世嘉 约尔·福杰 ED2 景品手办</t>
        </is>
      </c>
      <c r="B24" t="inlineStr">
        <is>
          <t>40.77元</t>
        </is>
      </c>
      <c r="C24" t="inlineStr">
        <is>
          <t>109.00元</t>
        </is>
      </c>
      <c r="D24" t="inlineStr">
        <is>
          <t>68.23元</t>
        </is>
      </c>
      <c r="E24" t="inlineStr">
        <is>
          <t>3.7折</t>
        </is>
      </c>
      <c r="F24">
        <f>HYPERLINK("https://i0.hdslb.com/bfs/mall/mall/e2/7c/e27c4c30cfa1edbcbb9498379daf19ca.png", "点击查看图片")</f>
        <v/>
      </c>
      <c r="G24">
        <f>HYPERLINK("https://mall.bilibili.com/neul-next/index.html?page=magic-market_detail&amp;noTitleBar=1&amp;itemsId=109807156191&amp;from=market_index", "点击打开")</f>
        <v/>
      </c>
    </row>
    <row r="25">
      <c r="A25" t="inlineStr">
        <is>
          <t>FuRyu 莉法 珍珠白 景品手办</t>
        </is>
      </c>
      <c r="B25" t="inlineStr">
        <is>
          <t>85.00元</t>
        </is>
      </c>
      <c r="C25" t="inlineStr">
        <is>
          <t>129.00元</t>
        </is>
      </c>
      <c r="D25" t="inlineStr">
        <is>
          <t>44.00元</t>
        </is>
      </c>
      <c r="E25" t="inlineStr">
        <is>
          <t>6.6折</t>
        </is>
      </c>
      <c r="F25">
        <f>HYPERLINK("https://i0.hdslb.com/bfs/mall/mall/26/ad/26ad9353ea5c8d9aa985ff2babd3d3b2.png", "点击查看图片")</f>
        <v/>
      </c>
      <c r="G25">
        <f>HYPERLINK("https://mall.bilibili.com/neul-next/index.html?page=magic-market_detail&amp;noTitleBar=1&amp;itemsId=106491028487&amp;from=market_index", "点击打开")</f>
        <v/>
      </c>
    </row>
    <row r="26">
      <c r="A26" t="inlineStr">
        <is>
          <t>System Service 有马加奈 景品手办</t>
        </is>
      </c>
      <c r="B26" t="inlineStr">
        <is>
          <t>75.00元</t>
        </is>
      </c>
      <c r="C26" t="inlineStr">
        <is>
          <t>119.00元</t>
        </is>
      </c>
      <c r="D26" t="inlineStr">
        <is>
          <t>44.00元</t>
        </is>
      </c>
      <c r="E26" t="inlineStr">
        <is>
          <t>6.3折</t>
        </is>
      </c>
      <c r="F26">
        <f>HYPERLINK("https://i0.hdslb.com/bfs/mall/mall/d1/b5/d1b5e96d9d8764ed1d13416555f39a75.png", "点击查看图片")</f>
        <v/>
      </c>
      <c r="G26">
        <f>HYPERLINK("https://mall.bilibili.com/neul-next/index.html?page=magic-market_detail&amp;noTitleBar=1&amp;itemsId=106484711273&amp;from=market_index", "点击打开")</f>
        <v/>
      </c>
    </row>
    <row r="27">
      <c r="A27" t="inlineStr">
        <is>
          <t>世嘉 初音未来  景品手办</t>
        </is>
      </c>
      <c r="B27" t="inlineStr">
        <is>
          <t>46.00元</t>
        </is>
      </c>
      <c r="C27" t="inlineStr">
        <is>
          <t>79.00元</t>
        </is>
      </c>
      <c r="D27" t="inlineStr">
        <is>
          <t>33.00元</t>
        </is>
      </c>
      <c r="E27" t="inlineStr">
        <is>
          <t>5.8折</t>
        </is>
      </c>
      <c r="F27">
        <f>HYPERLINK("https://i0.hdslb.com/bfs/mall/mall/f7/ce/f7ce9df089b95bdd75b11ba476a8a177.png", "点击查看图片")</f>
        <v/>
      </c>
      <c r="G27">
        <f>HYPERLINK("https://mall.bilibili.com/neul-next/index.html?page=magic-market_detail&amp;noTitleBar=1&amp;itemsId=109820033868&amp;from=market_index", "点击打开")</f>
        <v/>
      </c>
    </row>
    <row r="28">
      <c r="A28" t="inlineStr">
        <is>
          <t>世嘉 初音未来 谁也不在的世界 景品手办 再版</t>
        </is>
      </c>
      <c r="B28" t="inlineStr">
        <is>
          <t>101.99元</t>
        </is>
      </c>
      <c r="C28" t="inlineStr">
        <is>
          <t>119.00元</t>
        </is>
      </c>
      <c r="D28" t="inlineStr">
        <is>
          <t>17.01元</t>
        </is>
      </c>
      <c r="E28" t="inlineStr">
        <is>
          <t>8.6折</t>
        </is>
      </c>
      <c r="F28">
        <f>HYPERLINK("https://i0.hdslb.com/bfs/mall/mall/f8/77/f8778b4c1e32868caf409201837d0023.png", "点击查看图片")</f>
        <v/>
      </c>
      <c r="G28">
        <f>HYPERLINK("https://mall.bilibili.com/neul-next/index.html?page=magic-market_detail&amp;noTitleBar=1&amp;itemsId=111915141232&amp;from=market_index", "点击打开")</f>
        <v/>
      </c>
    </row>
    <row r="29">
      <c r="A29" t="inlineStr">
        <is>
          <t>BANPRESTO 露比 景品手办</t>
        </is>
      </c>
      <c r="B29" t="inlineStr">
        <is>
          <t>58.00元</t>
        </is>
      </c>
      <c r="C29" t="inlineStr">
        <is>
          <t>129.00元</t>
        </is>
      </c>
      <c r="D29" t="inlineStr">
        <is>
          <t>71.00元</t>
        </is>
      </c>
      <c r="E29" t="inlineStr">
        <is>
          <t>4.5折</t>
        </is>
      </c>
      <c r="F29">
        <f>HYPERLINK("https://i0.hdslb.com/bfs/mall/mall/45/28/4528694c5d504e0f45503d9f45b6fc84.png", "点击查看图片")</f>
        <v/>
      </c>
      <c r="G29">
        <f>HYPERLINK("https://mall.bilibili.com/neul-next/index.html?page=magic-market_detail&amp;noTitleBar=1&amp;itemsId=106513797626&amp;from=market_index", "点击打开")</f>
        <v/>
      </c>
    </row>
    <row r="30">
      <c r="A30" t="inlineStr">
        <is>
          <t>世嘉 八九寺真宵 景品手办</t>
        </is>
      </c>
      <c r="B30" t="inlineStr">
        <is>
          <t>59.90元</t>
        </is>
      </c>
      <c r="C30" t="inlineStr">
        <is>
          <t>109.00元</t>
        </is>
      </c>
      <c r="D30" t="inlineStr">
        <is>
          <t>49.10元</t>
        </is>
      </c>
      <c r="E30" t="inlineStr">
        <is>
          <t>5.5折</t>
        </is>
      </c>
      <c r="F30">
        <f>HYPERLINK("https://i0.hdslb.com/bfs/mall/mall/5b/6f/5b6f3a94bcc26342509ff2af80a1fe1d.png", "点击查看图片")</f>
        <v/>
      </c>
      <c r="G30">
        <f>HYPERLINK("https://mall.bilibili.com/neul-next/index.html?page=magic-market_detail&amp;noTitleBar=1&amp;itemsId=106522035053&amp;from=market_index", "点击打开")</f>
        <v/>
      </c>
    </row>
    <row r="31">
      <c r="A31" t="inlineStr">
        <is>
          <t>TAITO 雷姆 Winter Maid image ver.  景品手办</t>
        </is>
      </c>
      <c r="B31" t="inlineStr">
        <is>
          <t>109.00元</t>
        </is>
      </c>
      <c r="C31" t="inlineStr">
        <is>
          <t>119.00元</t>
        </is>
      </c>
      <c r="D31" t="inlineStr">
        <is>
          <t>10.00元</t>
        </is>
      </c>
      <c r="E31" t="inlineStr">
        <is>
          <t>9.2折</t>
        </is>
      </c>
      <c r="F31">
        <f>HYPERLINK("https://i0.hdslb.com/bfs/mall/mall/ed/f0/edf0d64a09d65c093d86cc6f1ab888b9.png", "点击查看图片")</f>
        <v/>
      </c>
      <c r="G31">
        <f>HYPERLINK("https://mall.bilibili.com/neul-next/index.html?page=magic-market_detail&amp;noTitleBar=1&amp;itemsId=111909290513&amp;from=market_index", "点击打开")</f>
        <v/>
      </c>
    </row>
    <row r="32">
      <c r="A32" t="inlineStr">
        <is>
          <t>TAITO 洛天依 Star Dress ver. 景品手办</t>
        </is>
      </c>
      <c r="B32" t="inlineStr">
        <is>
          <t>597.89元</t>
        </is>
      </c>
      <c r="C32" t="inlineStr">
        <is>
          <t>872.00元</t>
        </is>
      </c>
      <c r="D32" t="inlineStr">
        <is>
          <t>274.11元</t>
        </is>
      </c>
      <c r="E32" t="inlineStr">
        <is>
          <t>6.9折</t>
        </is>
      </c>
      <c r="F32">
        <f>HYPERLINK("https://i0.hdslb.com/bfs/mall/mall/1b/8c/1b8cbea8366e4202ab63031f59aee72c.png", "点击查看图片")</f>
        <v/>
      </c>
      <c r="G32">
        <f>HYPERLINK("https://mall.bilibili.com/neul-next/index.html?page=magic-market_detail&amp;noTitleBar=1&amp;itemsId=110467170777&amp;from=market_index", "点击打开")</f>
        <v/>
      </c>
    </row>
    <row r="33">
      <c r="A33" t="inlineStr">
        <is>
          <t>TAITO 洛天依 复活节ver. 景品手办 再版</t>
        </is>
      </c>
      <c r="B33" t="inlineStr">
        <is>
          <t>62.00元</t>
        </is>
      </c>
      <c r="C33" t="inlineStr">
        <is>
          <t>109.00元</t>
        </is>
      </c>
      <c r="D33" t="inlineStr">
        <is>
          <t>47.00元</t>
        </is>
      </c>
      <c r="E33" t="inlineStr">
        <is>
          <t>5.7折</t>
        </is>
      </c>
      <c r="F33">
        <f>HYPERLINK("https://i0.hdslb.com/bfs/mall/mall/24/e8/24e8773c33e7c89e481bec69fc5b24e1.png", "点击查看图片")</f>
        <v/>
      </c>
      <c r="G33">
        <f>HYPERLINK("https://mall.bilibili.com/neul-next/index.html?page=magic-market_detail&amp;noTitleBar=1&amp;itemsId=109810257704&amp;from=market_index", "点击打开")</f>
        <v/>
      </c>
    </row>
    <row r="34">
      <c r="A34" t="inlineStr">
        <is>
          <t>FuRyu 光之高扬斯卡娅 景品手办</t>
        </is>
      </c>
      <c r="B34" t="inlineStr">
        <is>
          <t>230.00元</t>
        </is>
      </c>
      <c r="C34" t="inlineStr">
        <is>
          <t>387.00元</t>
        </is>
      </c>
      <c r="D34" t="inlineStr">
        <is>
          <t>157.00元</t>
        </is>
      </c>
      <c r="E34" t="inlineStr">
        <is>
          <t>5.9折</t>
        </is>
      </c>
      <c r="F34">
        <f>HYPERLINK("https://i0.hdslb.com/bfs/mall/mall/53/72/5372c1f48edf95931b1671ae63897216.png", "点击查看图片")</f>
        <v/>
      </c>
      <c r="G34">
        <f>HYPERLINK("https://mall.bilibili.com/neul-next/index.html?page=magic-market_detail&amp;noTitleBar=1&amp;itemsId=110464106455&amp;from=market_index", "点击打开")</f>
        <v/>
      </c>
    </row>
    <row r="35">
      <c r="A35" t="inlineStr">
        <is>
          <t>世嘉 樱岛麻衣 景品手办</t>
        </is>
      </c>
      <c r="B35" t="inlineStr">
        <is>
          <t>383.49元</t>
        </is>
      </c>
      <c r="C35" t="inlineStr">
        <is>
          <t>444.00元</t>
        </is>
      </c>
      <c r="D35" t="inlineStr">
        <is>
          <t>60.51元</t>
        </is>
      </c>
      <c r="E35" t="inlineStr">
        <is>
          <t>8.6折</t>
        </is>
      </c>
      <c r="F35">
        <f>HYPERLINK("https://i0.hdslb.com/bfs/mall/mall/11/42/11421b0eae0847dd285498fe8b98bb06.png", "点击查看图片")</f>
        <v/>
      </c>
      <c r="G35">
        <f>HYPERLINK("https://mall.bilibili.com/neul-next/index.html?page=magic-market_detail&amp;noTitleBar=1&amp;itemsId=109884203537&amp;from=market_index", "点击打开")</f>
        <v/>
      </c>
    </row>
    <row r="36">
      <c r="A36" t="inlineStr">
        <is>
          <t>FEELALL 星空旋律 软胶挂件 叶月款</t>
        </is>
      </c>
      <c r="B36" t="inlineStr">
        <is>
          <t>84.90元</t>
        </is>
      </c>
      <c r="C36" t="inlineStr">
        <is>
          <t>247.00元</t>
        </is>
      </c>
      <c r="D36" t="inlineStr">
        <is>
          <t>162.10元</t>
        </is>
      </c>
      <c r="E36" t="inlineStr">
        <is>
          <t>3.4折</t>
        </is>
      </c>
      <c r="F36">
        <f>HYPERLINK("https://i0.hdslb.com/bfs/mall/mall/39/ce/39ceda93f1b594aa6d81dffbefd8b486.png", "点击查看图片")</f>
        <v/>
      </c>
      <c r="G36">
        <f>HYPERLINK("https://mall.bilibili.com/neul-next/index.html?page=magic-market_detail&amp;noTitleBar=1&amp;itemsId=109814282114&amp;from=market_index", "点击打开")</f>
        <v/>
      </c>
    </row>
    <row r="37">
      <c r="A37" t="inlineStr">
        <is>
          <t>世嘉 樱岛麻衣 夏裙Ver. 景品手办</t>
        </is>
      </c>
      <c r="B37" t="inlineStr">
        <is>
          <t>649.09元</t>
        </is>
      </c>
      <c r="C37" t="inlineStr">
        <is>
          <t>1090.00元</t>
        </is>
      </c>
      <c r="D37" t="inlineStr">
        <is>
          <t>440.91元</t>
        </is>
      </c>
      <c r="E37" t="inlineStr">
        <is>
          <t>6.0折</t>
        </is>
      </c>
      <c r="F37">
        <f>HYPERLINK("https://i0.hdslb.com/bfs/mall/mall/3e/42/3e42de1fcfc840dc98479d8da19faf32.png", "点击查看图片")</f>
        <v/>
      </c>
      <c r="G37">
        <f>HYPERLINK("https://mall.bilibili.com/neul-next/index.html?page=magic-market_detail&amp;noTitleBar=1&amp;itemsId=111917508491&amp;from=market_index", "点击打开")</f>
        <v/>
      </c>
    </row>
    <row r="38">
      <c r="A38" t="inlineStr">
        <is>
          <t>FuRyu 夏娜 景品手办</t>
        </is>
      </c>
      <c r="B38" t="inlineStr">
        <is>
          <t>115.00元</t>
        </is>
      </c>
      <c r="C38" t="inlineStr">
        <is>
          <t>129.00元</t>
        </is>
      </c>
      <c r="D38" t="inlineStr">
        <is>
          <t>14.00元</t>
        </is>
      </c>
      <c r="E38" t="inlineStr">
        <is>
          <t>8.9折</t>
        </is>
      </c>
      <c r="F38">
        <f>HYPERLINK("https://i0.hdslb.com/bfs/mall/mall/07/cf/07cf5f344403928294746b9922249687.png", "点击查看图片")</f>
        <v/>
      </c>
      <c r="G38">
        <f>HYPERLINK("https://mall.bilibili.com/neul-next/index.html?page=magic-market_detail&amp;noTitleBar=1&amp;itemsId=111916451942&amp;from=market_index", "点击打开")</f>
        <v/>
      </c>
    </row>
    <row r="39">
      <c r="A39" t="inlineStr">
        <is>
          <t>FuRyu 中野三玖 兔女郎 异色版 景品手办</t>
        </is>
      </c>
      <c r="B39" t="inlineStr">
        <is>
          <t>129.00元</t>
        </is>
      </c>
      <c r="C39" t="inlineStr">
        <is>
          <t>129.00元</t>
        </is>
      </c>
      <c r="D39" t="inlineStr">
        <is>
          <t>0.00元</t>
        </is>
      </c>
      <c r="E39" t="inlineStr">
        <is>
          <t>10.0折</t>
        </is>
      </c>
      <c r="F39">
        <f>HYPERLINK("https://i0.hdslb.com/bfs/mall/mall/bb/56/bb56b8a4fa2687fe28ca35e685dc423f.png", "点击查看图片")</f>
        <v/>
      </c>
      <c r="G39">
        <f>HYPERLINK("https://mall.bilibili.com/neul-next/index.html?page=magic-market_detail&amp;noTitleBar=1&amp;itemsId=111908859823&amp;from=market_index", "点击打开")</f>
        <v/>
      </c>
    </row>
    <row r="40">
      <c r="A40" t="inlineStr">
        <is>
          <t>TAITO 时崎狂三 睡衣Ver. 景品手办</t>
        </is>
      </c>
      <c r="B40" t="inlineStr">
        <is>
          <t>67.00元</t>
        </is>
      </c>
      <c r="C40" t="inlineStr">
        <is>
          <t>112.00元</t>
        </is>
      </c>
      <c r="D40" t="inlineStr">
        <is>
          <t>45.00元</t>
        </is>
      </c>
      <c r="E40" t="inlineStr">
        <is>
          <t>6.0折</t>
        </is>
      </c>
      <c r="F40">
        <f>HYPERLINK("https://i0.hdslb.com/bfs/mall/mall/77/a8/77a854a60112d499d7bce1ab6bf42496.png", "点击查看图片")</f>
        <v/>
      </c>
      <c r="G40">
        <f>HYPERLINK("https://mall.bilibili.com/neul-next/index.html?page=magic-market_detail&amp;noTitleBar=1&amp;itemsId=109804917215&amp;from=market_index", "点击打开")</f>
        <v/>
      </c>
    </row>
    <row r="41">
      <c r="A41" t="inlineStr">
        <is>
          <t>宝可梦 皮卡丘 手办</t>
        </is>
      </c>
      <c r="B41" t="inlineStr">
        <is>
          <t>67.60元</t>
        </is>
      </c>
      <c r="C41" t="inlineStr">
        <is>
          <t>129.00元</t>
        </is>
      </c>
      <c r="D41" t="inlineStr">
        <is>
          <t>61.40元</t>
        </is>
      </c>
      <c r="E41" t="inlineStr">
        <is>
          <t>5.2折</t>
        </is>
      </c>
      <c r="F41">
        <f>HYPERLINK("https://i0.hdslb.com/bfs/mall/mall/2d/ab/2dabc673062715307013167e9d37681f.png", "点击查看图片")</f>
        <v/>
      </c>
      <c r="G41">
        <f>HYPERLINK("https://mall.bilibili.com/neul-next/index.html?page=magic-market_detail&amp;noTitleBar=1&amp;itemsId=107144296159&amp;from=market_index", "点击打开")</f>
        <v/>
      </c>
    </row>
    <row r="42">
      <c r="A42" t="inlineStr">
        <is>
          <t>世嘉 山田凉 景品手办</t>
        </is>
      </c>
      <c r="B42" t="inlineStr">
        <is>
          <t>135.00元</t>
        </is>
      </c>
      <c r="C42" t="inlineStr">
        <is>
          <t>221.00元</t>
        </is>
      </c>
      <c r="D42" t="inlineStr">
        <is>
          <t>86.00元</t>
        </is>
      </c>
      <c r="E42" t="inlineStr">
        <is>
          <t>6.1折</t>
        </is>
      </c>
      <c r="F42">
        <f>HYPERLINK("https://i0.hdslb.com/bfs/mall/mall/24/61/246168fae2dd505695dce5dca583febb.png", "点击查看图片")</f>
        <v/>
      </c>
      <c r="G42">
        <f>HYPERLINK("https://mall.bilibili.com/neul-next/index.html?page=magic-market_detail&amp;noTitleBar=1&amp;itemsId=109881095784&amp;from=market_index", "点击打开")</f>
        <v/>
      </c>
    </row>
    <row r="43">
      <c r="A43" t="inlineStr">
        <is>
          <t>S-FIRE KAITO Q版手办</t>
        </is>
      </c>
      <c r="B43" t="inlineStr">
        <is>
          <t>240.00元</t>
        </is>
      </c>
      <c r="C43" t="inlineStr">
        <is>
          <t>648.00元</t>
        </is>
      </c>
      <c r="D43" t="inlineStr">
        <is>
          <t>408.00元</t>
        </is>
      </c>
      <c r="E43" t="inlineStr">
        <is>
          <t>3.7折</t>
        </is>
      </c>
      <c r="F43">
        <f>HYPERLINK("https://i0.hdslb.com/bfs/mall/mall/60/3e/603e5c437de9e38f139d298ab448750c.png", "点击查看图片")</f>
        <v/>
      </c>
      <c r="G43">
        <f>HYPERLINK("https://mall.bilibili.com/neul-next/index.html?page=magic-market_detail&amp;noTitleBar=1&amp;itemsId=109882897599&amp;from=market_index", "点击打开")</f>
        <v/>
      </c>
    </row>
    <row r="44">
      <c r="A44" t="inlineStr">
        <is>
          <t>TAITO 喜多川海梦 制服Ver. 景品手办</t>
        </is>
      </c>
      <c r="B44" t="inlineStr">
        <is>
          <t>86.98元</t>
        </is>
      </c>
      <c r="C44" t="inlineStr">
        <is>
          <t>119.00元</t>
        </is>
      </c>
      <c r="D44" t="inlineStr">
        <is>
          <t>32.02元</t>
        </is>
      </c>
      <c r="E44" t="inlineStr">
        <is>
          <t>7.3折</t>
        </is>
      </c>
      <c r="F44">
        <f>HYPERLINK("https://i0.hdslb.com/bfs/mall/mall/b4/42/b442d1a0db6e94b1edcab2c5006e42f0.png", "点击查看图片")</f>
        <v/>
      </c>
      <c r="G44">
        <f>HYPERLINK("https://mall.bilibili.com/neul-next/index.html?page=magic-market_detail&amp;noTitleBar=1&amp;itemsId=106922469929&amp;from=market_index", "点击打开")</f>
        <v/>
      </c>
    </row>
    <row r="45">
      <c r="A45" t="inlineStr">
        <is>
          <t>世嘉 尤贝尔 景品手办</t>
        </is>
      </c>
      <c r="B45" t="inlineStr">
        <is>
          <t>50.00元</t>
        </is>
      </c>
      <c r="C45" t="inlineStr">
        <is>
          <t>105.00元</t>
        </is>
      </c>
      <c r="D45" t="inlineStr">
        <is>
          <t>55.00元</t>
        </is>
      </c>
      <c r="E45" t="inlineStr">
        <is>
          <t>4.8折</t>
        </is>
      </c>
      <c r="F45">
        <f>HYPERLINK("https://i0.hdslb.com/bfs/mall/mall/31/8e/318efb7a5a493120725527f81094411b.png", "点击查看图片")</f>
        <v/>
      </c>
      <c r="G45">
        <f>HYPERLINK("https://mall.bilibili.com/neul-next/index.html?page=magic-market_detail&amp;noTitleBar=1&amp;itemsId=106633573349&amp;from=market_index", "点击打开")</f>
        <v/>
      </c>
    </row>
    <row r="46">
      <c r="A46" t="inlineStr">
        <is>
          <t>FuRyu 初音未来 rurudo 白色Ver. 景品手办</t>
        </is>
      </c>
      <c r="B46" t="inlineStr">
        <is>
          <t>110.00元</t>
        </is>
      </c>
      <c r="C46" t="inlineStr">
        <is>
          <t>129.00元</t>
        </is>
      </c>
      <c r="D46" t="inlineStr">
        <is>
          <t>19.00元</t>
        </is>
      </c>
      <c r="E46" t="inlineStr">
        <is>
          <t>8.5折</t>
        </is>
      </c>
      <c r="F46">
        <f>HYPERLINK("https://i0.hdslb.com/bfs/mall/mall/4b/2a/4b2ae1521ea757863e206d17ccd9dbad.png", "点击查看图片")</f>
        <v/>
      </c>
      <c r="G46">
        <f>HYPERLINK("https://mall.bilibili.com/neul-next/index.html?page=magic-market_detail&amp;noTitleBar=1&amp;itemsId=110465019203&amp;from=market_index", "点击打开")</f>
        <v/>
      </c>
    </row>
    <row r="47">
      <c r="A47" t="inlineStr">
        <is>
          <t>FuRyu 中野五月 水手服 景品手办</t>
        </is>
      </c>
      <c r="B47" t="inlineStr">
        <is>
          <t>99.00元</t>
        </is>
      </c>
      <c r="C47" t="inlineStr">
        <is>
          <t>129.00元</t>
        </is>
      </c>
      <c r="D47" t="inlineStr">
        <is>
          <t>30.00元</t>
        </is>
      </c>
      <c r="E47" t="inlineStr">
        <is>
          <t>7.7折</t>
        </is>
      </c>
      <c r="F47">
        <f>HYPERLINK("https://i0.hdslb.com/bfs/mall/mall/00/40/0040b90761b425ccd3b6511c5f91f9f7.png", "点击查看图片")</f>
        <v/>
      </c>
      <c r="G47">
        <f>HYPERLINK("https://mall.bilibili.com/neul-next/index.html?page=magic-market_detail&amp;noTitleBar=1&amp;itemsId=109810935280&amp;from=market_index", "点击打开")</f>
        <v/>
      </c>
    </row>
    <row r="48">
      <c r="A48" t="inlineStr">
        <is>
          <t>System Service 绪山真寻 景品手办</t>
        </is>
      </c>
      <c r="B48" t="inlineStr">
        <is>
          <t>75.00元</t>
        </is>
      </c>
      <c r="C48" t="inlineStr">
        <is>
          <t>125.00元</t>
        </is>
      </c>
      <c r="D48" t="inlineStr">
        <is>
          <t>50.00元</t>
        </is>
      </c>
      <c r="E48" t="inlineStr">
        <is>
          <t>6.0折</t>
        </is>
      </c>
      <c r="F48">
        <f>HYPERLINK("https://i0.hdslb.com/bfs/mall/mall/7e/dd/7edd64c77bb9e9e14e0ad7d9943f25b7.png", "点击查看图片")</f>
        <v/>
      </c>
      <c r="G48">
        <f>HYPERLINK("https://mall.bilibili.com/neul-next/index.html?page=magic-market_detail&amp;noTitleBar=1&amp;itemsId=109813303267&amp;from=market_index", "点击打开")</f>
        <v/>
      </c>
    </row>
    <row r="49">
      <c r="A49" t="inlineStr">
        <is>
          <t>FuRyu 初音未来 粉蝶花仙子蓝色Ver. 景品手办</t>
        </is>
      </c>
      <c r="B49" t="inlineStr">
        <is>
          <t>180.00元</t>
        </is>
      </c>
      <c r="C49" t="inlineStr">
        <is>
          <t>227.00元</t>
        </is>
      </c>
      <c r="D49" t="inlineStr">
        <is>
          <t>47.00元</t>
        </is>
      </c>
      <c r="E49" t="inlineStr">
        <is>
          <t>7.9折</t>
        </is>
      </c>
      <c r="F49">
        <f>HYPERLINK("https://i0.hdslb.com/bfs/mall/mall/be/78/be78afb578404cc7ec0139a7b2e0651c.png", "点击查看图片")</f>
        <v/>
      </c>
      <c r="G49">
        <f>HYPERLINK("https://mall.bilibili.com/neul-next/index.html?page=magic-market_detail&amp;noTitleBar=1&amp;itemsId=109888437306&amp;from=market_index", "点击打开")</f>
        <v/>
      </c>
    </row>
    <row r="50">
      <c r="A50" t="inlineStr">
        <is>
          <t>世嘉 小咻瓦 景品手办</t>
        </is>
      </c>
      <c r="B50" t="inlineStr">
        <is>
          <t>32.00元</t>
        </is>
      </c>
      <c r="C50" t="inlineStr">
        <is>
          <t>105.00元</t>
        </is>
      </c>
      <c r="D50" t="inlineStr">
        <is>
          <t>73.00元</t>
        </is>
      </c>
      <c r="E50" t="inlineStr">
        <is>
          <t>3.0折</t>
        </is>
      </c>
      <c r="F50">
        <f>HYPERLINK("https://i0.hdslb.com/bfs/mall/mall/20/fd/20fd94be8df35456755dbfb8a39e7ab6.png", "点击查看图片")</f>
        <v/>
      </c>
      <c r="G50">
        <f>HYPERLINK("https://mall.bilibili.com/neul-next/index.html?page=magic-market_detail&amp;noTitleBar=1&amp;itemsId=109811997959&amp;from=market_index", "点击打开")</f>
        <v/>
      </c>
    </row>
    <row r="51">
      <c r="A51" t="inlineStr">
        <is>
          <t>TAITO 雷姆 Happy Easter!ver. RENEWAL 景品手办</t>
        </is>
      </c>
      <c r="B51" t="inlineStr">
        <is>
          <t>80.00元</t>
        </is>
      </c>
      <c r="C51" t="inlineStr">
        <is>
          <t>112.00元</t>
        </is>
      </c>
      <c r="D51" t="inlineStr">
        <is>
          <t>32.00元</t>
        </is>
      </c>
      <c r="E51" t="inlineStr">
        <is>
          <t>7.1折</t>
        </is>
      </c>
      <c r="F51">
        <f>HYPERLINK("https://i0.hdslb.com/bfs/mall/mall/10/8d/108dc8aac0bae260c9cf893e3dfcdeef.png", "点击查看图片")</f>
        <v/>
      </c>
      <c r="G51">
        <f>HYPERLINK("https://mall.bilibili.com/neul-next/index.html?page=magic-market_detail&amp;noTitleBar=1&amp;itemsId=107142462061&amp;from=market_index", "点击打开")</f>
        <v/>
      </c>
    </row>
    <row r="52">
      <c r="A52" t="inlineStr">
        <is>
          <t>TAITO 雷姆 魔术师Ver. Renewal  景品手办</t>
        </is>
      </c>
      <c r="B52" t="inlineStr">
        <is>
          <t>60.00元</t>
        </is>
      </c>
      <c r="C52" t="inlineStr">
        <is>
          <t>112.00元</t>
        </is>
      </c>
      <c r="D52" t="inlineStr">
        <is>
          <t>52.00元</t>
        </is>
      </c>
      <c r="E52" t="inlineStr">
        <is>
          <t>5.4折</t>
        </is>
      </c>
      <c r="F52">
        <f>HYPERLINK("https://i0.hdslb.com/bfs/mall/mall/e4/25/e425a9f23ee105bd7c7ff84caa6d5b50.png", "点击查看图片")</f>
        <v/>
      </c>
      <c r="G52">
        <f>HYPERLINK("https://mall.bilibili.com/neul-next/index.html?page=magic-market_detail&amp;noTitleBar=1&amp;itemsId=109813580632&amp;from=market_index", "点击打开")</f>
        <v/>
      </c>
    </row>
    <row r="53">
      <c r="A53" t="inlineStr">
        <is>
          <t>世嘉 约尔·福杰 ED衣装Ver. 景品手办</t>
        </is>
      </c>
      <c r="B53" t="inlineStr">
        <is>
          <t>60.88元</t>
        </is>
      </c>
      <c r="C53" t="inlineStr">
        <is>
          <t>109.00元</t>
        </is>
      </c>
      <c r="D53" t="inlineStr">
        <is>
          <t>48.12元</t>
        </is>
      </c>
      <c r="E53" t="inlineStr">
        <is>
          <t>5.6折</t>
        </is>
      </c>
      <c r="F53">
        <f>HYPERLINK("https://i0.hdslb.com/bfs/mall/mall/63/f9/63f9e2414e223bf79e09d8ff0a9dbc95.png", "点击查看图片")</f>
        <v/>
      </c>
      <c r="G53">
        <f>HYPERLINK("https://mall.bilibili.com/neul-next/index.html?page=magic-market_detail&amp;noTitleBar=1&amp;itemsId=109811591225&amp;from=market_index", "点击打开")</f>
        <v/>
      </c>
    </row>
    <row r="54">
      <c r="A54" t="inlineStr">
        <is>
          <t>TAITO 锦木千束 居家服 景品手办</t>
        </is>
      </c>
      <c r="B54" t="inlineStr">
        <is>
          <t>162.00元</t>
        </is>
      </c>
      <c r="C54" t="inlineStr">
        <is>
          <t>241.00元</t>
        </is>
      </c>
      <c r="D54" t="inlineStr">
        <is>
          <t>79.00元</t>
        </is>
      </c>
      <c r="E54" t="inlineStr">
        <is>
          <t>6.7折</t>
        </is>
      </c>
      <c r="F54">
        <f>HYPERLINK("https://i0.hdslb.com/bfs/mall/mall/0e/f9/0ef957980ca40877520cb2b5c03eb27a.png", "点击查看图片")</f>
        <v/>
      </c>
      <c r="G54">
        <f>HYPERLINK("https://mall.bilibili.com/neul-next/index.html?page=magic-market_detail&amp;noTitleBar=1&amp;itemsId=111914297554&amp;from=market_index", "点击打开")</f>
        <v/>
      </c>
    </row>
    <row r="55">
      <c r="A55" t="inlineStr">
        <is>
          <t>世嘉 安室透 椅子Ver. 景品手办 再版</t>
        </is>
      </c>
      <c r="B55" t="inlineStr">
        <is>
          <t>67.00元</t>
        </is>
      </c>
      <c r="C55" t="inlineStr">
        <is>
          <t>105.00元</t>
        </is>
      </c>
      <c r="D55" t="inlineStr">
        <is>
          <t>38.00元</t>
        </is>
      </c>
      <c r="E55" t="inlineStr">
        <is>
          <t>6.4折</t>
        </is>
      </c>
      <c r="F55">
        <f>HYPERLINK("https://i0.hdslb.com/bfs/mall/mall/4a/84/4a8403a7052ba09fb7d2180334174dae.png", "点击查看图片")</f>
        <v/>
      </c>
      <c r="G55">
        <f>HYPERLINK("https://mall.bilibili.com/neul-next/index.html?page=magic-market_detail&amp;noTitleBar=1&amp;itemsId=109813229124&amp;from=market_index", "点击打开")</f>
        <v/>
      </c>
    </row>
    <row r="56">
      <c r="A56" t="inlineStr">
        <is>
          <t>世嘉 后藤独 景品手办</t>
        </is>
      </c>
      <c r="B56" t="inlineStr">
        <is>
          <t>80.00元</t>
        </is>
      </c>
      <c r="C56" t="inlineStr">
        <is>
          <t>109.00元</t>
        </is>
      </c>
      <c r="D56" t="inlineStr">
        <is>
          <t>29.00元</t>
        </is>
      </c>
      <c r="E56" t="inlineStr">
        <is>
          <t>7.3折</t>
        </is>
      </c>
      <c r="F56">
        <f>HYPERLINK("https://i0.hdslb.com/bfs/mall/mall/92/51/925106c41027a729463118b72a9c730d.png", "点击查看图片")</f>
        <v/>
      </c>
      <c r="G56">
        <f>HYPERLINK("https://mall.bilibili.com/neul-next/index.html?page=magic-market_detail&amp;noTitleBar=1&amp;itemsId=109814510799&amp;from=market_index", "点击打开")</f>
        <v/>
      </c>
    </row>
    <row r="57">
      <c r="A57" t="inlineStr">
        <is>
          <t>世嘉 梓川花枫 景品手办</t>
        </is>
      </c>
      <c r="B57" t="inlineStr">
        <is>
          <t>65.00元</t>
        </is>
      </c>
      <c r="C57" t="inlineStr">
        <is>
          <t>105.00元</t>
        </is>
      </c>
      <c r="D57" t="inlineStr">
        <is>
          <t>40.00元</t>
        </is>
      </c>
      <c r="E57" t="inlineStr">
        <is>
          <t>6.2折</t>
        </is>
      </c>
      <c r="F57">
        <f>HYPERLINK("https://i0.hdslb.com/bfs/mall/mall/2a/b2/2ab2ed36a84eb1ca0015dc3859faf452.png", "点击查看图片")</f>
        <v/>
      </c>
      <c r="G57">
        <f>HYPERLINK("https://mall.bilibili.com/neul-next/index.html?page=magic-market_detail&amp;noTitleBar=1&amp;itemsId=107142711135&amp;from=market_index", "点击打开")</f>
        <v/>
      </c>
    </row>
    <row r="58">
      <c r="A58" t="inlineStr">
        <is>
          <t>FuRyu 凉宫春日 景品手办</t>
        </is>
      </c>
      <c r="B58" t="inlineStr">
        <is>
          <t>106.18元</t>
        </is>
      </c>
      <c r="C58" t="inlineStr">
        <is>
          <t>129.00元</t>
        </is>
      </c>
      <c r="D58" t="inlineStr">
        <is>
          <t>22.82元</t>
        </is>
      </c>
      <c r="E58" t="inlineStr">
        <is>
          <t>8.2折</t>
        </is>
      </c>
      <c r="F58">
        <f>HYPERLINK("https://i0.hdslb.com/bfs/mall/mall/13/ed/13ed40f7abe232b4129a4a6b64bfcb61.png", "点击查看图片")</f>
        <v/>
      </c>
      <c r="G58">
        <f>HYPERLINK("https://mall.bilibili.com/neul-next/index.html?page=magic-market_detail&amp;noTitleBar=1&amp;itemsId=109863456501&amp;from=market_index", "点击打开")</f>
        <v/>
      </c>
    </row>
    <row r="59">
      <c r="A59" t="inlineStr">
        <is>
          <t>TAITO 雅儿贝德 奶牛水着Ver. 景品手办</t>
        </is>
      </c>
      <c r="B59" t="inlineStr">
        <is>
          <t>188.00元</t>
        </is>
      </c>
      <c r="C59" t="inlineStr">
        <is>
          <t>405.00元</t>
        </is>
      </c>
      <c r="D59" t="inlineStr">
        <is>
          <t>217.00元</t>
        </is>
      </c>
      <c r="E59" t="inlineStr">
        <is>
          <t>4.6折</t>
        </is>
      </c>
      <c r="F59">
        <f>HYPERLINK("https://i0.hdslb.com/bfs/mall/mall/a8/0b/a80b0156db49292ec31c247bf1ae1515.png", "点击查看图片")</f>
        <v/>
      </c>
      <c r="G59">
        <f>HYPERLINK("https://mall.bilibili.com/neul-next/index.html?page=magic-market_detail&amp;noTitleBar=1&amp;itemsId=110461739781&amp;from=market_index", "点击打开")</f>
        <v/>
      </c>
    </row>
    <row r="60">
      <c r="A60" t="inlineStr">
        <is>
          <t>TAITO 初音未来 Winter image ver. 景品手办 再版</t>
        </is>
      </c>
      <c r="B60" t="inlineStr">
        <is>
          <t>129.00元</t>
        </is>
      </c>
      <c r="C60" t="inlineStr">
        <is>
          <t>224.00元</t>
        </is>
      </c>
      <c r="D60" t="inlineStr">
        <is>
          <t>95.00元</t>
        </is>
      </c>
      <c r="E60" t="inlineStr">
        <is>
          <t>5.8折</t>
        </is>
      </c>
      <c r="F60">
        <f>HYPERLINK("https://i0.hdslb.com/bfs/mall/mall/d1/ec/d1ec3f47f16d9be64d5075a00db46930.png", "点击查看图片")</f>
        <v/>
      </c>
      <c r="G60">
        <f>HYPERLINK("https://mall.bilibili.com/neul-next/index.html?page=magic-market_detail&amp;noTitleBar=1&amp;itemsId=111914031699&amp;from=market_index", "点击打开")</f>
        <v/>
      </c>
    </row>
    <row r="61">
      <c r="A61" t="inlineStr">
        <is>
          <t>世嘉 Mahiru 景品手办</t>
        </is>
      </c>
      <c r="B61" t="inlineStr">
        <is>
          <t>37.00元</t>
        </is>
      </c>
      <c r="C61" t="inlineStr">
        <is>
          <t>105.00元</t>
        </is>
      </c>
      <c r="D61" t="inlineStr">
        <is>
          <t>68.00元</t>
        </is>
      </c>
      <c r="E61" t="inlineStr">
        <is>
          <t>3.5折</t>
        </is>
      </c>
      <c r="F61">
        <f>HYPERLINK("https://i0.hdslb.com/bfs/mall/mall/42/10/4210bd5c2b1da95baeb5d67dbfc19e4c.png", "点击查看图片")</f>
        <v/>
      </c>
      <c r="G61">
        <f>HYPERLINK("https://mall.bilibili.com/neul-next/index.html?page=magic-market_detail&amp;noTitleBar=1&amp;itemsId=107097013235&amp;from=market_index", "点击打开")</f>
        <v/>
      </c>
    </row>
    <row r="62">
      <c r="A62" t="inlineStr">
        <is>
          <t>世嘉 伊地知虹夏 景品手办</t>
        </is>
      </c>
      <c r="B62" t="inlineStr">
        <is>
          <t>74.00元</t>
        </is>
      </c>
      <c r="C62" t="inlineStr">
        <is>
          <t>119.00元</t>
        </is>
      </c>
      <c r="D62" t="inlineStr">
        <is>
          <t>45.00元</t>
        </is>
      </c>
      <c r="E62" t="inlineStr">
        <is>
          <t>6.2折</t>
        </is>
      </c>
      <c r="F62">
        <f>HYPERLINK("https://i0.hdslb.com/bfs/mall/mall/82/3d/823dad0732c83b65113ee26b7b3313f8.png", "点击查看图片")</f>
        <v/>
      </c>
      <c r="G62">
        <f>HYPERLINK("https://mall.bilibili.com/neul-next/index.html?page=magic-market_detail&amp;noTitleBar=1&amp;itemsId=107143913799&amp;from=market_index", "点击打开")</f>
        <v/>
      </c>
    </row>
    <row r="63">
      <c r="A63" t="inlineStr">
        <is>
          <t>TAITO 山田凉 私服ver. 景品手办</t>
        </is>
      </c>
      <c r="B63" t="inlineStr">
        <is>
          <t>170.00元</t>
        </is>
      </c>
      <c r="C63" t="inlineStr">
        <is>
          <t>224.00元</t>
        </is>
      </c>
      <c r="D63" t="inlineStr">
        <is>
          <t>54.00元</t>
        </is>
      </c>
      <c r="E63" t="inlineStr">
        <is>
          <t>7.6折</t>
        </is>
      </c>
      <c r="F63">
        <f>HYPERLINK("https://i0.hdslb.com/bfs/mall/mall/6a/61/6a61423561928c282a0567c9063f2148.png", "点击查看图片")</f>
        <v/>
      </c>
      <c r="G63">
        <f>HYPERLINK("https://mall.bilibili.com/neul-next/index.html?page=magic-market_detail&amp;noTitleBar=1&amp;itemsId=109858180882&amp;from=market_index", "点击打开")</f>
        <v/>
      </c>
    </row>
    <row r="64">
      <c r="A64" t="inlineStr">
        <is>
          <t>FuRyu 阿尼亚·福杰 景品手办</t>
        </is>
      </c>
      <c r="B64" t="inlineStr">
        <is>
          <t>68.00元</t>
        </is>
      </c>
      <c r="C64" t="inlineStr">
        <is>
          <t>85.00元</t>
        </is>
      </c>
      <c r="D64" t="inlineStr">
        <is>
          <t>17.00元</t>
        </is>
      </c>
      <c r="E64" t="inlineStr">
        <is>
          <t>8.0折</t>
        </is>
      </c>
      <c r="F64">
        <f>HYPERLINK("https://i0.hdslb.com/bfs/mall/mall/fd/f5/fdf5f36f50f08ff5835f2853dd41cf90.png", "点击查看图片")</f>
        <v/>
      </c>
      <c r="G64">
        <f>HYPERLINK("https://mall.bilibili.com/neul-next/index.html?page=magic-market_detail&amp;noTitleBar=1&amp;itemsId=107082484809&amp;from=market_index", "点击打开")</f>
        <v/>
      </c>
    </row>
    <row r="65">
      <c r="A65" t="inlineStr">
        <is>
          <t>世嘉 初音未来 DEMONSTAR 景品手办</t>
        </is>
      </c>
      <c r="B65" t="inlineStr">
        <is>
          <t>540.00元</t>
        </is>
      </c>
      <c r="C65" t="inlineStr">
        <is>
          <t>981.00元</t>
        </is>
      </c>
      <c r="D65" t="inlineStr">
        <is>
          <t>441.00元</t>
        </is>
      </c>
      <c r="E65" t="inlineStr">
        <is>
          <t>5.5折</t>
        </is>
      </c>
      <c r="F65">
        <f>HYPERLINK("https://i0.hdslb.com/bfs/mall/mall/ed/16/ed16ff87ab4b5f6adf9f2533f12367ff.png", "点击查看图片")</f>
        <v/>
      </c>
      <c r="G65">
        <f>HYPERLINK("https://mall.bilibili.com/neul-next/index.html?page=magic-market_detail&amp;noTitleBar=1&amp;itemsId=111915050892&amp;from=market_index", "点击打开")</f>
        <v/>
      </c>
    </row>
    <row r="66">
      <c r="A66" t="inlineStr">
        <is>
          <t>世嘉 初音未来 star voice 景品手办</t>
        </is>
      </c>
      <c r="B66" t="inlineStr">
        <is>
          <t>62.00元</t>
        </is>
      </c>
      <c r="C66" t="inlineStr">
        <is>
          <t>109.00元</t>
        </is>
      </c>
      <c r="D66" t="inlineStr">
        <is>
          <t>47.00元</t>
        </is>
      </c>
      <c r="E66" t="inlineStr">
        <is>
          <t>5.7折</t>
        </is>
      </c>
      <c r="F66">
        <f>HYPERLINK("https://i0.hdslb.com/bfs/mall/mall/5b/8e/5b8e18301e6d4aef29786a52e442e373.png", "点击查看图片")</f>
        <v/>
      </c>
      <c r="G66">
        <f>HYPERLINK("https://mall.bilibili.com/neul-next/index.html?page=magic-market_detail&amp;noTitleBar=1&amp;itemsId=109815078636&amp;from=market_index", "点击打开")</f>
        <v/>
      </c>
    </row>
    <row r="67">
      <c r="A67" t="inlineStr">
        <is>
          <t>FuRyu  伊蕾娜 景品手办</t>
        </is>
      </c>
      <c r="B67" t="inlineStr">
        <is>
          <t>58.00元</t>
        </is>
      </c>
      <c r="C67" t="inlineStr">
        <is>
          <t>135.00元</t>
        </is>
      </c>
      <c r="D67" t="inlineStr">
        <is>
          <t>77.00元</t>
        </is>
      </c>
      <c r="E67" t="inlineStr">
        <is>
          <t>4.3折</t>
        </is>
      </c>
      <c r="F67">
        <f>HYPERLINK("https://i0.hdslb.com/bfs/mall/mall/85/e1/85e16df2f2f424661fbc9aaf2fab8c58.png", "点击查看图片")</f>
        <v/>
      </c>
      <c r="G67">
        <f>HYPERLINK("https://mall.bilibili.com/neul-next/index.html?page=magic-market_detail&amp;noTitleBar=1&amp;itemsId=109815483124&amp;from=market_index", "点击打开")</f>
        <v/>
      </c>
    </row>
    <row r="68">
      <c r="A68" t="inlineStr">
        <is>
          <t>FuRyu 雷姆 文学少女Ver.  景品手办</t>
        </is>
      </c>
      <c r="B68" t="inlineStr">
        <is>
          <t>45.00元</t>
        </is>
      </c>
      <c r="C68" t="inlineStr">
        <is>
          <t>115.00元</t>
        </is>
      </c>
      <c r="D68" t="inlineStr">
        <is>
          <t>70.00元</t>
        </is>
      </c>
      <c r="E68" t="inlineStr">
        <is>
          <t>3.9折</t>
        </is>
      </c>
      <c r="F68">
        <f>HYPERLINK("https://i0.hdslb.com/bfs/mall/mall/0d/d1/0dd18ca04163f0863ef2b5bbbe16e76b.png", "点击查看图片")</f>
        <v/>
      </c>
      <c r="G68">
        <f>HYPERLINK("https://mall.bilibili.com/neul-next/index.html?page=magic-market_detail&amp;noTitleBar=1&amp;itemsId=107148142358&amp;from=market_index", "点击打开")</f>
        <v/>
      </c>
    </row>
    <row r="69">
      <c r="A69" t="inlineStr">
        <is>
          <t>FuRyu 洛天依 海军水手服Ver. 景品手办</t>
        </is>
      </c>
      <c r="B69" t="inlineStr">
        <is>
          <t>80.00元</t>
        </is>
      </c>
      <c r="C69" t="inlineStr">
        <is>
          <t>115.00元</t>
        </is>
      </c>
      <c r="D69" t="inlineStr">
        <is>
          <t>35.00元</t>
        </is>
      </c>
      <c r="E69" t="inlineStr">
        <is>
          <t>7.0折</t>
        </is>
      </c>
      <c r="F69">
        <f>HYPERLINK("https://i0.hdslb.com/bfs/mall/mall/b6/ba/b6ba5295c1d2e64a9ad91b60bb6d9157.png", "点击查看图片")</f>
        <v/>
      </c>
      <c r="G69">
        <f>HYPERLINK("https://mall.bilibili.com/neul-next/index.html?page=magic-market_detail&amp;noTitleBar=1&amp;itemsId=109803788451&amp;from=market_index", "点击打开")</f>
        <v/>
      </c>
    </row>
    <row r="70">
      <c r="A70" t="inlineStr">
        <is>
          <t>世嘉 大泽瑠璃乃 景品手办</t>
        </is>
      </c>
      <c r="B70" t="inlineStr">
        <is>
          <t>52.10元</t>
        </is>
      </c>
      <c r="C70" t="inlineStr">
        <is>
          <t>119.00元</t>
        </is>
      </c>
      <c r="D70" t="inlineStr">
        <is>
          <t>66.90元</t>
        </is>
      </c>
      <c r="E70" t="inlineStr">
        <is>
          <t>4.4折</t>
        </is>
      </c>
      <c r="F70">
        <f>HYPERLINK("https://i0.hdslb.com/bfs/mall/mall/20/32/203207bfeb9f2e704a132c9c3c676056.png", "点击查看图片")</f>
        <v/>
      </c>
      <c r="G70">
        <f>HYPERLINK("https://mall.bilibili.com/neul-next/index.html?page=magic-market_detail&amp;noTitleBar=1&amp;itemsId=106928538437&amp;from=market_index", "点击打开")</f>
        <v/>
      </c>
    </row>
    <row r="71">
      <c r="A71" t="inlineStr">
        <is>
          <t>TAITO 喜多郁代 私服ver. 景品手办</t>
        </is>
      </c>
      <c r="B71" t="inlineStr">
        <is>
          <t>65.00元</t>
        </is>
      </c>
      <c r="C71" t="inlineStr">
        <is>
          <t>119.00元</t>
        </is>
      </c>
      <c r="D71" t="inlineStr">
        <is>
          <t>54.00元</t>
        </is>
      </c>
      <c r="E71" t="inlineStr">
        <is>
          <t>5.5折</t>
        </is>
      </c>
      <c r="F71">
        <f>HYPERLINK("https://i0.hdslb.com/bfs/mall/mall/6d/85/6d8573a53779e7ac193c1abd54fc9b55.png", "点击查看图片")</f>
        <v/>
      </c>
      <c r="G71">
        <f>HYPERLINK("https://mall.bilibili.com/neul-next/index.html?page=magic-market_detail&amp;noTitleBar=1&amp;itemsId=109810692054&amp;from=market_index", "点击打开")</f>
        <v/>
      </c>
    </row>
    <row r="72">
      <c r="A72" t="inlineStr">
        <is>
          <t>世嘉 雷姆 炽天使 景品手办</t>
        </is>
      </c>
      <c r="B72" t="inlineStr">
        <is>
          <t>75.00元</t>
        </is>
      </c>
      <c r="C72" t="inlineStr">
        <is>
          <t>115.00元</t>
        </is>
      </c>
      <c r="D72" t="inlineStr">
        <is>
          <t>40.00元</t>
        </is>
      </c>
      <c r="E72" t="inlineStr">
        <is>
          <t>6.5折</t>
        </is>
      </c>
      <c r="F72">
        <f>HYPERLINK("https://i0.hdslb.com/bfs/mall/mall/59/6f/596f4eff2b93d529b69e8a5dae6250ce.png", "点击查看图片")</f>
        <v/>
      </c>
      <c r="G72">
        <f>HYPERLINK("https://mall.bilibili.com/neul-next/index.html?page=magic-market_detail&amp;noTitleBar=1&amp;itemsId=109809465937&amp;from=market_index", "点击打开")</f>
        <v/>
      </c>
    </row>
    <row r="73">
      <c r="A73" t="inlineStr">
        <is>
          <t>TAITO 伊蕾娜 私服ver.  景品手办</t>
        </is>
      </c>
      <c r="B73" t="inlineStr">
        <is>
          <t>1150.00元</t>
        </is>
      </c>
      <c r="C73" t="inlineStr">
        <is>
          <t>2062.00元</t>
        </is>
      </c>
      <c r="D73" t="inlineStr">
        <is>
          <t>912.00元</t>
        </is>
      </c>
      <c r="E73" t="inlineStr">
        <is>
          <t>5.6折</t>
        </is>
      </c>
      <c r="F73">
        <f>HYPERLINK("https://i0.hdslb.com/bfs/mall/mall/3a/ec/3aec5f69ce2a94dac55fdc4fd0392c1c.png", "点击查看图片")</f>
        <v/>
      </c>
      <c r="G73">
        <f>HYPERLINK("https://mall.bilibili.com/neul-next/index.html?page=magic-market_detail&amp;noTitleBar=1&amp;itemsId=109844897097&amp;from=market_index", "点击打开")</f>
        <v/>
      </c>
    </row>
    <row r="74">
      <c r="A74" t="inlineStr">
        <is>
          <t>FuRyu 雷姆 花仙子 景品手办</t>
        </is>
      </c>
      <c r="B74" t="inlineStr">
        <is>
          <t>78.00元</t>
        </is>
      </c>
      <c r="C74" t="inlineStr">
        <is>
          <t>115.00元</t>
        </is>
      </c>
      <c r="D74" t="inlineStr">
        <is>
          <t>37.00元</t>
        </is>
      </c>
      <c r="E74" t="inlineStr">
        <is>
          <t>6.8折</t>
        </is>
      </c>
      <c r="F74">
        <f>HYPERLINK("https://i0.hdslb.com/bfs/mall/mall/81/29/81292f4d5844945c64d44293fb502782.png", "点击查看图片")</f>
        <v/>
      </c>
      <c r="G74">
        <f>HYPERLINK("https://mall.bilibili.com/neul-next/index.html?page=magic-market_detail&amp;noTitleBar=1&amp;itemsId=109817123172&amp;from=market_index", "点击打开")</f>
        <v/>
      </c>
    </row>
    <row r="75">
      <c r="A75" t="inlineStr">
        <is>
          <t>FuRyu 初音未来 恋爱水手服灰色Ver. 景品手办</t>
        </is>
      </c>
      <c r="B75" t="inlineStr">
        <is>
          <t>75.00元</t>
        </is>
      </c>
      <c r="C75" t="inlineStr">
        <is>
          <t>115.00元</t>
        </is>
      </c>
      <c r="D75" t="inlineStr">
        <is>
          <t>40.00元</t>
        </is>
      </c>
      <c r="E75" t="inlineStr">
        <is>
          <t>6.5折</t>
        </is>
      </c>
      <c r="F75">
        <f>HYPERLINK("https://i0.hdslb.com/bfs/mall/mall/93/67/9367b7cef5c9288ee6121c1a26748596.png", "点击查看图片")</f>
        <v/>
      </c>
      <c r="G75">
        <f>HYPERLINK("https://mall.bilibili.com/neul-next/index.html?page=magic-market_detail&amp;noTitleBar=1&amp;itemsId=109810239754&amp;from=market_index", "点击打开")</f>
        <v/>
      </c>
    </row>
    <row r="76">
      <c r="A76" t="inlineStr">
        <is>
          <t>TAITO 樱初音 和风女仆Ver. 景品手办</t>
        </is>
      </c>
      <c r="B76" t="inlineStr">
        <is>
          <t>112.00元</t>
        </is>
      </c>
      <c r="C76" t="inlineStr">
        <is>
          <t>112.00元</t>
        </is>
      </c>
      <c r="D76" t="inlineStr">
        <is>
          <t>0.00元</t>
        </is>
      </c>
      <c r="E76" t="inlineStr">
        <is>
          <t>10.0折</t>
        </is>
      </c>
      <c r="F76">
        <f>HYPERLINK("https://i0.hdslb.com/bfs/mall/mall/6d/39/6d394fd6605aef81a2d3bb94247407ce.png", "点击查看图片")</f>
        <v/>
      </c>
      <c r="G76">
        <f>HYPERLINK("https://mall.bilibili.com/neul-next/index.html?page=magic-market_detail&amp;noTitleBar=1&amp;itemsId=109861632280&amp;from=market_index", "点击打开")</f>
        <v/>
      </c>
    </row>
    <row r="77">
      <c r="A77" t="inlineStr">
        <is>
          <t>世嘉 辛美尔 景品手办</t>
        </is>
      </c>
      <c r="B77" t="inlineStr">
        <is>
          <t>115.60元</t>
        </is>
      </c>
      <c r="C77" t="inlineStr">
        <is>
          <t>218.00元</t>
        </is>
      </c>
      <c r="D77" t="inlineStr">
        <is>
          <t>102.40元</t>
        </is>
      </c>
      <c r="E77" t="inlineStr">
        <is>
          <t>5.3折</t>
        </is>
      </c>
      <c r="F77">
        <f>HYPERLINK("https://i0.hdslb.com/bfs/mall/mall/c1/67/c16741d071891df9eee4babbf718eea0.png", "点击查看图片")</f>
        <v/>
      </c>
      <c r="G77">
        <f>HYPERLINK("https://mall.bilibili.com/neul-next/index.html?page=magic-market_detail&amp;noTitleBar=1&amp;itemsId=111915188390&amp;from=market_index", "点击打开")</f>
        <v/>
      </c>
    </row>
    <row r="78">
      <c r="A78" t="inlineStr">
        <is>
          <t>FuRyu 初音未来 百合花仙子 景品手办</t>
        </is>
      </c>
      <c r="B78" t="inlineStr">
        <is>
          <t>70.00元</t>
        </is>
      </c>
      <c r="C78" t="inlineStr">
        <is>
          <t>115.00元</t>
        </is>
      </c>
      <c r="D78" t="inlineStr">
        <is>
          <t>45.00元</t>
        </is>
      </c>
      <c r="E78" t="inlineStr">
        <is>
          <t>6.1折</t>
        </is>
      </c>
      <c r="F78">
        <f>HYPERLINK("https://i0.hdslb.com/bfs/mall/mall/f8/34/f83487ca4509ea824267c9c585f2870a.png", "点击查看图片")</f>
        <v/>
      </c>
      <c r="G78">
        <f>HYPERLINK("https://mall.bilibili.com/neul-next/index.html?page=magic-market_detail&amp;noTitleBar=1&amp;itemsId=109818258374&amp;from=market_index", "点击打开")</f>
        <v/>
      </c>
    </row>
    <row r="79">
      <c r="A79" t="inlineStr">
        <is>
          <t>世嘉 樱岛麻衣 CASUAL CLOTHES 景品手办</t>
        </is>
      </c>
      <c r="B79" t="inlineStr">
        <is>
          <t>67.00元</t>
        </is>
      </c>
      <c r="C79" t="inlineStr">
        <is>
          <t>115.00元</t>
        </is>
      </c>
      <c r="D79" t="inlineStr">
        <is>
          <t>48.00元</t>
        </is>
      </c>
      <c r="E79" t="inlineStr">
        <is>
          <t>5.8折</t>
        </is>
      </c>
      <c r="F79">
        <f>HYPERLINK("https://i0.hdslb.com/bfs/mall/mall/16/2b/162b5f4b1a4c87650a2bcf96ec00ca6c.png", "点击查看图片")</f>
        <v/>
      </c>
      <c r="G79">
        <f>HYPERLINK("https://mall.bilibili.com/neul-next/index.html?page=magic-market_detail&amp;noTitleBar=1&amp;itemsId=109803748595&amp;from=market_index", "点击打开")</f>
        <v/>
      </c>
    </row>
    <row r="80">
      <c r="A80" t="inlineStr">
        <is>
          <t>TAITO 初音未来 Lolita 景品手办</t>
        </is>
      </c>
      <c r="B80" t="inlineStr">
        <is>
          <t>129.00元</t>
        </is>
      </c>
      <c r="C80" t="inlineStr">
        <is>
          <t>130.00元</t>
        </is>
      </c>
      <c r="D80" t="inlineStr">
        <is>
          <t>1.00元</t>
        </is>
      </c>
      <c r="E80" t="inlineStr">
        <is>
          <t>9.9折</t>
        </is>
      </c>
      <c r="F80">
        <f>HYPERLINK("https://i0.hdslb.com/bfs/mall/mall/11/d7/11d782deeca302ec5ad37d7aee4c66d4.png", "点击查看图片")</f>
        <v/>
      </c>
      <c r="G80">
        <f>HYPERLINK("https://mall.bilibili.com/neul-next/index.html?page=magic-market_detail&amp;noTitleBar=1&amp;itemsId=110470568698&amp;from=market_index", "点击打开")</f>
        <v/>
      </c>
    </row>
    <row r="81">
      <c r="A81" t="inlineStr">
        <is>
          <t>世嘉 初音未来 shinyT.R 景品手办</t>
        </is>
      </c>
      <c r="B81" t="inlineStr">
        <is>
          <t>75.00元</t>
        </is>
      </c>
      <c r="C81" t="inlineStr">
        <is>
          <t>109.00元</t>
        </is>
      </c>
      <c r="D81" t="inlineStr">
        <is>
          <t>34.00元</t>
        </is>
      </c>
      <c r="E81" t="inlineStr">
        <is>
          <t>6.9折</t>
        </is>
      </c>
      <c r="F81">
        <f>HYPERLINK("https://i0.hdslb.com/bfs/mall/mall/db/6b/db6be81edd006f5c4d1d2004f905531f.png", "点击查看图片")</f>
        <v/>
      </c>
      <c r="G81">
        <f>HYPERLINK("https://mall.bilibili.com/neul-next/index.html?page=magic-market_detail&amp;noTitleBar=1&amp;itemsId=109809401974&amp;from=market_index", "点击打开")</f>
        <v/>
      </c>
    </row>
    <row r="82">
      <c r="A82" t="inlineStr">
        <is>
          <t>FuRyu  初音未来 四叶草花仙子 景品手办</t>
        </is>
      </c>
      <c r="B82" t="inlineStr">
        <is>
          <t>56.00元</t>
        </is>
      </c>
      <c r="C82" t="inlineStr">
        <is>
          <t>128.00元</t>
        </is>
      </c>
      <c r="D82" t="inlineStr">
        <is>
          <t>72.00元</t>
        </is>
      </c>
      <c r="E82" t="inlineStr">
        <is>
          <t>4.4折</t>
        </is>
      </c>
      <c r="F82">
        <f>HYPERLINK("https://i0.hdslb.com/bfs/mall/mall/99/23/992317b396986e1ca70e423466f62c92.png", "点击查看图片")</f>
        <v/>
      </c>
      <c r="G82">
        <f>HYPERLINK("https://mall.bilibili.com/neul-next/index.html?page=magic-market_detail&amp;noTitleBar=1&amp;itemsId=109814096103&amp;from=market_index", "点击打开")</f>
        <v/>
      </c>
    </row>
    <row r="83">
      <c r="A83" t="inlineStr">
        <is>
          <t>FuRyu 初音未来 牵牛花仙子 pink Ver. 景品手办</t>
        </is>
      </c>
      <c r="B83" t="inlineStr">
        <is>
          <t>205.00元</t>
        </is>
      </c>
      <c r="C83" t="inlineStr">
        <is>
          <t>237.00元</t>
        </is>
      </c>
      <c r="D83" t="inlineStr">
        <is>
          <t>32.00元</t>
        </is>
      </c>
      <c r="E83" t="inlineStr">
        <is>
          <t>8.6折</t>
        </is>
      </c>
      <c r="F83">
        <f>HYPERLINK("https://i0.hdslb.com/bfs/mall/mall/fe/76/fe76b7ab1226ac5cc4ef3057647c7436.png", "点击查看图片")</f>
        <v/>
      </c>
      <c r="G83">
        <f>HYPERLINK("https://mall.bilibili.com/neul-next/index.html?page=magic-market_detail&amp;noTitleBar=1&amp;itemsId=111917354874&amp;from=market_index", "点击打开")</f>
        <v/>
      </c>
    </row>
    <row r="84">
      <c r="A84" t="inlineStr">
        <is>
          <t>世嘉 中野二乃 景品手办</t>
        </is>
      </c>
      <c r="B84" t="inlineStr">
        <is>
          <t>66.46元</t>
        </is>
      </c>
      <c r="C84" t="inlineStr">
        <is>
          <t>109.00元</t>
        </is>
      </c>
      <c r="D84" t="inlineStr">
        <is>
          <t>42.54元</t>
        </is>
      </c>
      <c r="E84" t="inlineStr">
        <is>
          <t>6.1折</t>
        </is>
      </c>
      <c r="F84">
        <f>HYPERLINK("https://i0.hdslb.com/bfs/mall/mall/27/74/27749569829a7cb15f231889796be01e.png", "点击查看图片")</f>
        <v/>
      </c>
      <c r="G84">
        <f>HYPERLINK("https://mall.bilibili.com/neul-next/index.html?page=magic-market_detail&amp;noTitleBar=1&amp;itemsId=109816101240&amp;from=market_index", "点击打开")</f>
        <v/>
      </c>
    </row>
    <row r="85">
      <c r="A85" t="inlineStr">
        <is>
          <t>FuRyu 初音未来  景品手办</t>
        </is>
      </c>
      <c r="B85" t="inlineStr">
        <is>
          <t>85.00元</t>
        </is>
      </c>
      <c r="C85" t="inlineStr">
        <is>
          <t>119.00元</t>
        </is>
      </c>
      <c r="D85" t="inlineStr">
        <is>
          <t>34.00元</t>
        </is>
      </c>
      <c r="E85" t="inlineStr">
        <is>
          <t>7.1折</t>
        </is>
      </c>
      <c r="F85">
        <f>HYPERLINK("https://i0.hdslb.com/bfs/mall/mall/69/95/6995a3db334641c99ee45487f50e7820.png", "点击查看图片")</f>
        <v/>
      </c>
      <c r="G85">
        <f>HYPERLINK("https://mall.bilibili.com/neul-next/index.html?page=magic-market_detail&amp;noTitleBar=1&amp;itemsId=107057305379&amp;from=market_index", "点击打开")</f>
        <v/>
      </c>
    </row>
    <row r="86">
      <c r="A86" t="inlineStr">
        <is>
          <t>FuRyu 初音未来 Blue Rose 景品手办</t>
        </is>
      </c>
      <c r="B86" t="inlineStr">
        <is>
          <t>679.49元</t>
        </is>
      </c>
      <c r="C86" t="inlineStr">
        <is>
          <t>1150.00元</t>
        </is>
      </c>
      <c r="D86" t="inlineStr">
        <is>
          <t>470.51元</t>
        </is>
      </c>
      <c r="E86" t="inlineStr">
        <is>
          <t>5.9折</t>
        </is>
      </c>
      <c r="F86">
        <f>HYPERLINK("https://i0.hdslb.com/bfs/mall/mall/51/9f/519f369e1f88a92dc8b376ed3866550d.png", "点击查看图片")</f>
        <v/>
      </c>
      <c r="G86">
        <f>HYPERLINK("https://mall.bilibili.com/neul-next/index.html?page=magic-market_detail&amp;noTitleBar=1&amp;itemsId=109840849864&amp;from=market_index", "点击打开")</f>
        <v/>
      </c>
    </row>
    <row r="87">
      <c r="A87" t="inlineStr">
        <is>
          <t>世嘉 绫波零 赛车女郎Ver.  景品手办</t>
        </is>
      </c>
      <c r="B87" t="inlineStr">
        <is>
          <t>85.00元</t>
        </is>
      </c>
      <c r="C87" t="inlineStr">
        <is>
          <t>115.00元</t>
        </is>
      </c>
      <c r="D87" t="inlineStr">
        <is>
          <t>30.00元</t>
        </is>
      </c>
      <c r="E87" t="inlineStr">
        <is>
          <t>7.4折</t>
        </is>
      </c>
      <c r="F87">
        <f>HYPERLINK("https://i0.hdslb.com/bfs/mall/mall/b8/c5/b8c54f3bb27b07e4cb01e1d6adced1cf.png", "点击查看图片")</f>
        <v/>
      </c>
      <c r="G87">
        <f>HYPERLINK("https://mall.bilibili.com/neul-next/index.html?page=magic-market_detail&amp;noTitleBar=1&amp;itemsId=109806545725&amp;from=market_index", "点击打开")</f>
        <v/>
      </c>
    </row>
    <row r="88">
      <c r="A88" t="inlineStr">
        <is>
          <t>FuRyu 时崎狂三 泳装Ver. 景品手办</t>
        </is>
      </c>
      <c r="B88" t="inlineStr">
        <is>
          <t>75.00元</t>
        </is>
      </c>
      <c r="C88" t="inlineStr">
        <is>
          <t>115.00元</t>
        </is>
      </c>
      <c r="D88" t="inlineStr">
        <is>
          <t>40.00元</t>
        </is>
      </c>
      <c r="E88" t="inlineStr">
        <is>
          <t>6.5折</t>
        </is>
      </c>
      <c r="F88">
        <f>HYPERLINK("https://i0.hdslb.com/bfs/mall/mall/28/70/28700f7df852f546b9d1e6cd0147f03e.png", "点击查看图片")</f>
        <v/>
      </c>
      <c r="G88">
        <f>HYPERLINK("https://mall.bilibili.com/neul-next/index.html?page=magic-market_detail&amp;noTitleBar=1&amp;itemsId=109811704855&amp;from=market_index", "点击打开")</f>
        <v/>
      </c>
    </row>
    <row r="89">
      <c r="A89" t="inlineStr">
        <is>
          <t>世嘉 喜多川海梦 利兹Ver. 景品手办</t>
        </is>
      </c>
      <c r="B89" t="inlineStr">
        <is>
          <t>499.00元</t>
        </is>
      </c>
      <c r="C89" t="inlineStr">
        <is>
          <t>843.00元</t>
        </is>
      </c>
      <c r="D89" t="inlineStr">
        <is>
          <t>344.00元</t>
        </is>
      </c>
      <c r="E89" t="inlineStr">
        <is>
          <t>5.9折</t>
        </is>
      </c>
      <c r="F89">
        <f>HYPERLINK("https://i0.hdslb.com/bfs/mall/mall/bf/23/bf2325e60a6ac7f58bb1634a3296ea7c.png", "点击查看图片")</f>
        <v/>
      </c>
      <c r="G89">
        <f>HYPERLINK("https://mall.bilibili.com/neul-next/index.html?page=magic-market_detail&amp;noTitleBar=1&amp;itemsId=109851284494&amp;from=market_index", "点击打开")</f>
        <v/>
      </c>
    </row>
    <row r="90">
      <c r="A90" t="inlineStr">
        <is>
          <t>FuRyu 后藤独 景品手办</t>
        </is>
      </c>
      <c r="B90" t="inlineStr">
        <is>
          <t>65.00元</t>
        </is>
      </c>
      <c r="C90" t="inlineStr">
        <is>
          <t>119.00元</t>
        </is>
      </c>
      <c r="D90" t="inlineStr">
        <is>
          <t>54.00元</t>
        </is>
      </c>
      <c r="E90" t="inlineStr">
        <is>
          <t>5.5折</t>
        </is>
      </c>
      <c r="F90">
        <f>HYPERLINK("https://i0.hdslb.com/bfs/mall/mall/c6/fe/c6fe639ab1aafb63aa6efe29f7437ede.png", "点击查看图片")</f>
        <v/>
      </c>
      <c r="G90">
        <f>HYPERLINK("https://mall.bilibili.com/neul-next/index.html?page=magic-market_detail&amp;noTitleBar=1&amp;itemsId=109806777517&amp;from=market_index", "点击打开")</f>
        <v/>
      </c>
    </row>
    <row r="91">
      <c r="A91" t="inlineStr">
        <is>
          <t>世嘉 日野森志步 景品手办</t>
        </is>
      </c>
      <c r="B91" t="inlineStr">
        <is>
          <t>41.27元</t>
        </is>
      </c>
      <c r="C91" t="inlineStr">
        <is>
          <t>105.00元</t>
        </is>
      </c>
      <c r="D91" t="inlineStr">
        <is>
          <t>63.73元</t>
        </is>
      </c>
      <c r="E91" t="inlineStr">
        <is>
          <t>3.9折</t>
        </is>
      </c>
      <c r="F91">
        <f>HYPERLINK("https://i0.hdslb.com/bfs/mall/mall/47/e4/47e4e934bc8b7087900edc56f1158d3f.png", "点击查看图片")</f>
        <v/>
      </c>
      <c r="G91">
        <f>HYPERLINK("https://mall.bilibili.com/neul-next/index.html?page=magic-market_detail&amp;noTitleBar=1&amp;itemsId=109804858178&amp;from=market_index", "点击打开")</f>
        <v/>
      </c>
    </row>
    <row r="92">
      <c r="A92" t="inlineStr">
        <is>
          <t>TAITO 有马加奈 制服ver. 景品手办</t>
        </is>
      </c>
      <c r="B92" t="inlineStr">
        <is>
          <t>160.00元</t>
        </is>
      </c>
      <c r="C92" t="inlineStr">
        <is>
          <t>224.00元</t>
        </is>
      </c>
      <c r="D92" t="inlineStr">
        <is>
          <t>64.00元</t>
        </is>
      </c>
      <c r="E92" t="inlineStr">
        <is>
          <t>7.1折</t>
        </is>
      </c>
      <c r="F92">
        <f>HYPERLINK("https://i0.hdslb.com/bfs/mall/mall/7e/46/7e46c14c3dc01b1ed0dbf32ca457acc7.png", "点击查看图片")</f>
        <v/>
      </c>
      <c r="G92">
        <f>HYPERLINK("https://mall.bilibili.com/neul-next/index.html?page=magic-market_detail&amp;noTitleBar=1&amp;itemsId=111915087695&amp;from=market_index", "点击打开")</f>
        <v/>
      </c>
    </row>
    <row r="93">
      <c r="A93" t="inlineStr">
        <is>
          <t>FuRyu 布丽德 景品手办</t>
        </is>
      </c>
      <c r="B93" t="inlineStr">
        <is>
          <t>60.00元</t>
        </is>
      </c>
      <c r="C93" t="inlineStr">
        <is>
          <t>115.00元</t>
        </is>
      </c>
      <c r="D93" t="inlineStr">
        <is>
          <t>55.00元</t>
        </is>
      </c>
      <c r="E93" t="inlineStr">
        <is>
          <t>5.2折</t>
        </is>
      </c>
      <c r="F93">
        <f>HYPERLINK("https://i0.hdslb.com/bfs/mall/mall/97/53/975369cc65fd98bbca336bbe81d097c4.png", "点击查看图片")</f>
        <v/>
      </c>
      <c r="G93">
        <f>HYPERLINK("https://mall.bilibili.com/neul-next/index.html?page=magic-market_detail&amp;noTitleBar=1&amp;itemsId=109806945879&amp;from=market_index", "点击打开")</f>
        <v/>
      </c>
    </row>
    <row r="94">
      <c r="A94" t="inlineStr">
        <is>
          <t>FuRyu 初音未来 珍珠粉 景品手办</t>
        </is>
      </c>
      <c r="B94" t="inlineStr">
        <is>
          <t>65.00元</t>
        </is>
      </c>
      <c r="C94" t="inlineStr">
        <is>
          <t>129.00元</t>
        </is>
      </c>
      <c r="D94" t="inlineStr">
        <is>
          <t>64.00元</t>
        </is>
      </c>
      <c r="E94" t="inlineStr">
        <is>
          <t>5.0折</t>
        </is>
      </c>
      <c r="F94">
        <f>HYPERLINK("https://i0.hdslb.com/bfs/mall/mall/37/a3/37a3df63721a6c01fa354a479cb8c588.png", "点击查看图片")</f>
        <v/>
      </c>
      <c r="G94">
        <f>HYPERLINK("https://mall.bilibili.com/neul-next/index.html?page=magic-market_detail&amp;noTitleBar=1&amp;itemsId=107146995269&amp;from=market_index", "点击打开")</f>
        <v/>
      </c>
    </row>
    <row r="95">
      <c r="A95" t="inlineStr">
        <is>
          <t>世嘉 真希波 景品手办 再版</t>
        </is>
      </c>
      <c r="B95" t="inlineStr">
        <is>
          <t>138.99元</t>
        </is>
      </c>
      <c r="C95" t="inlineStr">
        <is>
          <t>210.00元</t>
        </is>
      </c>
      <c r="D95" t="inlineStr">
        <is>
          <t>71.01元</t>
        </is>
      </c>
      <c r="E95" t="inlineStr">
        <is>
          <t>6.6折</t>
        </is>
      </c>
      <c r="F95">
        <f>HYPERLINK("https://i0.hdslb.com/bfs/mall/mall/1c/e3/1ce3656f985abf8fcf2d7a9df09f4c98.png", "点击查看图片")</f>
        <v/>
      </c>
      <c r="G95">
        <f>HYPERLINK("https://mall.bilibili.com/neul-next/index.html?page=magic-market_detail&amp;noTitleBar=1&amp;itemsId=109874703058&amp;from=market_index", "点击打开")</f>
        <v/>
      </c>
    </row>
    <row r="96">
      <c r="A96" t="inlineStr">
        <is>
          <t>世嘉 井上泷奈 景品手办</t>
        </is>
      </c>
      <c r="B96" t="inlineStr">
        <is>
          <t>62.00元</t>
        </is>
      </c>
      <c r="C96" t="inlineStr">
        <is>
          <t>112.00元</t>
        </is>
      </c>
      <c r="D96" t="inlineStr">
        <is>
          <t>50.00元</t>
        </is>
      </c>
      <c r="E96" t="inlineStr">
        <is>
          <t>5.5折</t>
        </is>
      </c>
      <c r="F96">
        <f>HYPERLINK("https://i0.hdslb.com/bfs/mall/mall/82/6a/826a89533d7246923e5bb0d9e50f7548.png", "点击查看图片")</f>
        <v/>
      </c>
      <c r="G96">
        <f>HYPERLINK("https://mall.bilibili.com/neul-next/index.html?page=magic-market_detail&amp;noTitleBar=1&amp;itemsId=109822103866&amp;from=market_index", "点击打开")</f>
        <v/>
      </c>
    </row>
    <row r="97">
      <c r="A97" t="inlineStr">
        <is>
          <t>FuRyu 中野二乃 兔女郎Ver. 异色 景品手办</t>
        </is>
      </c>
      <c r="B97" t="inlineStr">
        <is>
          <t>144.00元</t>
        </is>
      </c>
      <c r="C97" t="inlineStr">
        <is>
          <t>241.00元</t>
        </is>
      </c>
      <c r="D97" t="inlineStr">
        <is>
          <t>97.00元</t>
        </is>
      </c>
      <c r="E97" t="inlineStr">
        <is>
          <t>6.0折</t>
        </is>
      </c>
      <c r="F97">
        <f>HYPERLINK("https://i0.hdslb.com/bfs/mall/mall/de/e8/dee8394822823ca8f58b92e7e855f6d5.png", "点击查看图片")</f>
        <v/>
      </c>
      <c r="G97">
        <f>HYPERLINK("https://mall.bilibili.com/neul-next/index.html?page=magic-market_detail&amp;noTitleBar=1&amp;itemsId=109822339315&amp;from=market_index", "点击打开")</f>
        <v/>
      </c>
    </row>
    <row r="98">
      <c r="A98" t="inlineStr">
        <is>
          <t>世嘉 初音未来 深海少女 景品手办</t>
        </is>
      </c>
      <c r="B98" t="inlineStr">
        <is>
          <t>80.00元</t>
        </is>
      </c>
      <c r="C98" t="inlineStr">
        <is>
          <t>115.00元</t>
        </is>
      </c>
      <c r="D98" t="inlineStr">
        <is>
          <t>35.00元</t>
        </is>
      </c>
      <c r="E98" t="inlineStr">
        <is>
          <t>7.0折</t>
        </is>
      </c>
      <c r="F98">
        <f>HYPERLINK("https://i0.hdslb.com/bfs/mall/mall/cf/d7/cfd75672d556007578ba47d2b2de8d46.png", "点击查看图片")</f>
        <v/>
      </c>
      <c r="G98">
        <f>HYPERLINK("https://mall.bilibili.com/neul-next/index.html?page=magic-market_detail&amp;noTitleBar=1&amp;itemsId=109816221795&amp;from=market_index", "点击打开")</f>
        <v/>
      </c>
    </row>
    <row r="99">
      <c r="A99" t="inlineStr">
        <is>
          <t>世嘉 赤井秀一 椅子Ver. 景品手办 再版</t>
        </is>
      </c>
      <c r="B99" t="inlineStr">
        <is>
          <t>80.00元</t>
        </is>
      </c>
      <c r="C99" t="inlineStr">
        <is>
          <t>105.00元</t>
        </is>
      </c>
      <c r="D99" t="inlineStr">
        <is>
          <t>25.00元</t>
        </is>
      </c>
      <c r="E99" t="inlineStr">
        <is>
          <t>7.6折</t>
        </is>
      </c>
      <c r="F99">
        <f>HYPERLINK("https://i0.hdslb.com/bfs/mall/mall/e1/01/e1017ddbb483aa573e5cef3823399bfd.png", "点击查看图片")</f>
        <v/>
      </c>
      <c r="G99">
        <f>HYPERLINK("https://mall.bilibili.com/neul-next/index.html?page=magic-market_detail&amp;noTitleBar=1&amp;itemsId=107066517833&amp;from=market_index", "点击打开")</f>
        <v/>
      </c>
    </row>
    <row r="100">
      <c r="A100" t="inlineStr">
        <is>
          <t>GSC 这么可爱真是抱歉 正比手办</t>
        </is>
      </c>
      <c r="B100" t="inlineStr">
        <is>
          <t>120.00元</t>
        </is>
      </c>
      <c r="C100" t="inlineStr">
        <is>
          <t>215.00元</t>
        </is>
      </c>
      <c r="D100" t="inlineStr">
        <is>
          <t>95.00元</t>
        </is>
      </c>
      <c r="E100" t="inlineStr">
        <is>
          <t>5.6折</t>
        </is>
      </c>
      <c r="F100">
        <f>HYPERLINK("https://i0.hdslb.com/bfs/mall/mall/51/b5/51b5c7f475e4c28ad6e87c415c6469d6.png", "点击查看图片")</f>
        <v/>
      </c>
      <c r="G100">
        <f>HYPERLINK("https://mall.bilibili.com/neul-next/index.html?page=magic-market_detail&amp;noTitleBar=1&amp;itemsId=109875993035&amp;from=market_index", "点击打开")</f>
        <v/>
      </c>
    </row>
    <row r="101">
      <c r="A101" t="inlineStr">
        <is>
          <t>BANPRESTO 阿米娅 报童Ver. 景品手办</t>
        </is>
      </c>
      <c r="B101" t="inlineStr">
        <is>
          <t>80.00元</t>
        </is>
      </c>
      <c r="C101" t="inlineStr">
        <is>
          <t>149.00元</t>
        </is>
      </c>
      <c r="D101" t="inlineStr">
        <is>
          <t>69.00元</t>
        </is>
      </c>
      <c r="E101" t="inlineStr">
        <is>
          <t>5.4折</t>
        </is>
      </c>
      <c r="F101">
        <f>HYPERLINK("https://i0.hdslb.com/bfs/mall/mall/8c/1d/8c1dc8631d92f22bd67eb7e101b25167.png", "点击查看图片")</f>
        <v/>
      </c>
      <c r="G101">
        <f>HYPERLINK("https://mall.bilibili.com/neul-next/index.html?page=magic-market_detail&amp;noTitleBar=1&amp;itemsId=109809174859&amp;from=market_index", "点击打开")</f>
        <v/>
      </c>
    </row>
    <row r="102">
      <c r="A102" t="inlineStr">
        <is>
          <t>世嘉 mega39’s 初音未来 景品手办</t>
        </is>
      </c>
      <c r="B102" t="inlineStr">
        <is>
          <t>77.75元</t>
        </is>
      </c>
      <c r="C102" t="inlineStr">
        <is>
          <t>109.00元</t>
        </is>
      </c>
      <c r="D102" t="inlineStr">
        <is>
          <t>31.25元</t>
        </is>
      </c>
      <c r="E102" t="inlineStr">
        <is>
          <t>7.1折</t>
        </is>
      </c>
      <c r="F102">
        <f>HYPERLINK("https://i0.hdslb.com/bfs/mall/mall/d1/29/d1293089894e9ffa0e2b3f5ac81df8ce.png", "点击查看图片")</f>
        <v/>
      </c>
      <c r="G102">
        <f>HYPERLINK("https://mall.bilibili.com/neul-next/index.html?page=magic-market_detail&amp;noTitleBar=1&amp;itemsId=109811645829&amp;from=market_index", "点击打开")</f>
        <v/>
      </c>
    </row>
    <row r="103">
      <c r="A103" t="inlineStr">
        <is>
          <t>世嘉 初音未来 DIVA 缎带少女 景品手办 再版</t>
        </is>
      </c>
      <c r="B103" t="inlineStr">
        <is>
          <t>645.00元</t>
        </is>
      </c>
      <c r="C103" t="inlineStr">
        <is>
          <t>1308.00元</t>
        </is>
      </c>
      <c r="D103" t="inlineStr">
        <is>
          <t>663.00元</t>
        </is>
      </c>
      <c r="E103" t="inlineStr">
        <is>
          <t>4.9折</t>
        </is>
      </c>
      <c r="F103">
        <f>HYPERLINK("https://i0.hdslb.com/bfs/mall/mall/4f/dc/4fdc54d508ee8c551d1672fa2d08997f.png", "点击查看图片")</f>
        <v/>
      </c>
      <c r="G103">
        <f>HYPERLINK("https://mall.bilibili.com/neul-next/index.html?page=magic-market_detail&amp;noTitleBar=1&amp;itemsId=120673504531&amp;from=market_index", "点击打开")</f>
        <v/>
      </c>
    </row>
    <row r="104">
      <c r="A104" t="inlineStr">
        <is>
          <t>TAITO 雷姆 护士女仆Renewal  景品手办</t>
        </is>
      </c>
      <c r="B104" t="inlineStr">
        <is>
          <t>80.00元</t>
        </is>
      </c>
      <c r="C104" t="inlineStr">
        <is>
          <t>112.00元</t>
        </is>
      </c>
      <c r="D104" t="inlineStr">
        <is>
          <t>32.00元</t>
        </is>
      </c>
      <c r="E104" t="inlineStr">
        <is>
          <t>7.1折</t>
        </is>
      </c>
      <c r="F104">
        <f>HYPERLINK("https://i0.hdslb.com/bfs/mall/mall/02/46/0246f65075875a4b479f37ca356b7687.png", "点击查看图片")</f>
        <v/>
      </c>
      <c r="G104">
        <f>HYPERLINK("https://mall.bilibili.com/neul-next/index.html?page=magic-market_detail&amp;noTitleBar=1&amp;itemsId=106956793145&amp;from=market_index", "点击打开")</f>
        <v/>
      </c>
    </row>
    <row r="105">
      <c r="A105" t="inlineStr">
        <is>
          <t>FuRyu 初音未来 紫罗兰 景品手办</t>
        </is>
      </c>
      <c r="B105" t="inlineStr">
        <is>
          <t>649.09元</t>
        </is>
      </c>
      <c r="C105" t="inlineStr">
        <is>
          <t>1290.00元</t>
        </is>
      </c>
      <c r="D105" t="inlineStr">
        <is>
          <t>640.91元</t>
        </is>
      </c>
      <c r="E105" t="inlineStr">
        <is>
          <t>5.0折</t>
        </is>
      </c>
      <c r="F105">
        <f>HYPERLINK("https://i0.hdslb.com/bfs/mall/mall/92/31/9231b375526f99677f8515f758214f52.png", "点击查看图片")</f>
        <v/>
      </c>
      <c r="G105">
        <f>HYPERLINK("https://mall.bilibili.com/neul-next/index.html?page=magic-market_detail&amp;noTitleBar=1&amp;itemsId=111918358153&amp;from=market_index", "点击打开")</f>
        <v/>
      </c>
    </row>
    <row r="106">
      <c r="A106" t="inlineStr">
        <is>
          <t>世嘉 阿尼亚·福杰 ED衣装Ver. 景品手办</t>
        </is>
      </c>
      <c r="B106" t="inlineStr">
        <is>
          <t>60.88元</t>
        </is>
      </c>
      <c r="C106" t="inlineStr">
        <is>
          <t>109.00元</t>
        </is>
      </c>
      <c r="D106" t="inlineStr">
        <is>
          <t>48.12元</t>
        </is>
      </c>
      <c r="E106" t="inlineStr">
        <is>
          <t>5.6折</t>
        </is>
      </c>
      <c r="F106">
        <f>HYPERLINK("https://i0.hdslb.com/bfs/mall/mall/93/63/9363663cfe6d4caa032dcec6245aeb73.png", "点击查看图片")</f>
        <v/>
      </c>
      <c r="G106">
        <f>HYPERLINK("https://mall.bilibili.com/neul-next/index.html?page=magic-market_detail&amp;noTitleBar=1&amp;itemsId=106951917336&amp;from=market_index", "点击打开")</f>
        <v/>
      </c>
    </row>
    <row r="107">
      <c r="A107" t="inlineStr">
        <is>
          <t>TAITO 雅儿贝德 樱和服 Ver. Renewal  景品手办</t>
        </is>
      </c>
      <c r="B107" t="inlineStr">
        <is>
          <t>80.00元</t>
        </is>
      </c>
      <c r="C107" t="inlineStr">
        <is>
          <t>112.00元</t>
        </is>
      </c>
      <c r="D107" t="inlineStr">
        <is>
          <t>32.00元</t>
        </is>
      </c>
      <c r="E107" t="inlineStr">
        <is>
          <t>7.1折</t>
        </is>
      </c>
      <c r="F107">
        <f>HYPERLINK("https://i0.hdslb.com/bfs/mall/mall/fc/f8/fcf81d96e3e35e8cb5477c5b4466dd0c.png", "点击查看图片")</f>
        <v/>
      </c>
      <c r="G107">
        <f>HYPERLINK("https://mall.bilibili.com/neul-next/index.html?page=magic-market_detail&amp;noTitleBar=1&amp;itemsId=109821132450&amp;from=market_index", "点击打开")</f>
        <v/>
      </c>
    </row>
    <row r="108">
      <c r="A108" t="inlineStr">
        <is>
          <t>世嘉 莉拉·德西亚斯 景品手办</t>
        </is>
      </c>
      <c r="B108" t="inlineStr">
        <is>
          <t>150.00元</t>
        </is>
      </c>
      <c r="C108" t="inlineStr">
        <is>
          <t>218.00元</t>
        </is>
      </c>
      <c r="D108" t="inlineStr">
        <is>
          <t>68.00元</t>
        </is>
      </c>
      <c r="E108" t="inlineStr">
        <is>
          <t>6.9折</t>
        </is>
      </c>
      <c r="F108">
        <f>HYPERLINK("https://i0.hdslb.com/bfs/mall/mall/ca/72/ca72ff3ba841ad2a5a623e48322a1a6a.png", "点击查看图片")</f>
        <v/>
      </c>
      <c r="G108">
        <f>HYPERLINK("https://mall.bilibili.com/neul-next/index.html?page=magic-market_detail&amp;noTitleBar=1&amp;itemsId=111901984401&amp;from=market_index", "点击打开")</f>
        <v/>
      </c>
    </row>
    <row r="109">
      <c r="A109" t="inlineStr">
        <is>
          <t>BANPRESTO 神鹰 景品手办</t>
        </is>
      </c>
      <c r="B109" t="inlineStr">
        <is>
          <t>85.00元</t>
        </is>
      </c>
      <c r="C109" t="inlineStr">
        <is>
          <t>129.00元</t>
        </is>
      </c>
      <c r="D109" t="inlineStr">
        <is>
          <t>44.00元</t>
        </is>
      </c>
      <c r="E109" t="inlineStr">
        <is>
          <t>6.6折</t>
        </is>
      </c>
      <c r="F109">
        <f>HYPERLINK("https://i0.hdslb.com/bfs/mall/mall/fe/54/fe54bab99fd837cd908edfcde42a2a17.png", "点击查看图片")</f>
        <v/>
      </c>
      <c r="G109">
        <f>HYPERLINK("https://mall.bilibili.com/neul-next/index.html?page=magic-market_detail&amp;noTitleBar=1&amp;itemsId=107088581637&amp;from=market_index", "点击打开")</f>
        <v/>
      </c>
    </row>
    <row r="110">
      <c r="A110" t="inlineStr">
        <is>
          <t>TAITO 立华奏 音速手刃 景品手办</t>
        </is>
      </c>
      <c r="B110" t="inlineStr">
        <is>
          <t>89.90元</t>
        </is>
      </c>
      <c r="C110" t="inlineStr">
        <is>
          <t>119.00元</t>
        </is>
      </c>
      <c r="D110" t="inlineStr">
        <is>
          <t>29.10元</t>
        </is>
      </c>
      <c r="E110" t="inlineStr">
        <is>
          <t>7.6折</t>
        </is>
      </c>
      <c r="F110">
        <f>HYPERLINK("https://i0.hdslb.com/bfs/mall/mall/1b/de/1bde90aa0f3b431be1c4c8bd12332a1f.png", "点击查看图片")</f>
        <v/>
      </c>
      <c r="G110">
        <f>HYPERLINK("https://mall.bilibili.com/neul-next/index.html?page=magic-market_detail&amp;noTitleBar=1&amp;itemsId=107143461025&amp;from=market_index", "点击打开")</f>
        <v/>
      </c>
    </row>
    <row r="111">
      <c r="A111" t="inlineStr">
        <is>
          <t>PalVerse Vezalius Bandage Q版手办</t>
        </is>
      </c>
      <c r="B111" t="inlineStr">
        <is>
          <t>129.00元</t>
        </is>
      </c>
      <c r="C111" t="inlineStr">
        <is>
          <t>155.00元</t>
        </is>
      </c>
      <c r="D111" t="inlineStr">
        <is>
          <t>26.00元</t>
        </is>
      </c>
      <c r="E111" t="inlineStr">
        <is>
          <t>8.3折</t>
        </is>
      </c>
      <c r="F111">
        <f>HYPERLINK("https://i0.hdslb.com/bfs/mall/mall/e6/ff/e6ff0167ce0fa3d04a0d627376e389f7.png", "点击查看图片")</f>
        <v/>
      </c>
      <c r="G111">
        <f>HYPERLINK("https://mall.bilibili.com/neul-next/index.html?page=magic-market_detail&amp;noTitleBar=1&amp;itemsId=111913326076&amp;from=market_index", "点击打开")</f>
        <v/>
      </c>
    </row>
    <row r="112">
      <c r="A112" t="inlineStr">
        <is>
          <t>TAITO 雷姆 荷叶泳装Ver. 景品手办</t>
        </is>
      </c>
      <c r="B112" t="inlineStr">
        <is>
          <t>84.99元</t>
        </is>
      </c>
      <c r="C112" t="inlineStr">
        <is>
          <t>112.00元</t>
        </is>
      </c>
      <c r="D112" t="inlineStr">
        <is>
          <t>27.01元</t>
        </is>
      </c>
      <c r="E112" t="inlineStr">
        <is>
          <t>7.6折</t>
        </is>
      </c>
      <c r="F112">
        <f>HYPERLINK("https://i0.hdslb.com/bfs/mall/mall/b2/2e/b22e2e8138404494b4f0f608b6fe3140.png", "点击查看图片")</f>
        <v/>
      </c>
      <c r="G112">
        <f>HYPERLINK("https://mall.bilibili.com/neul-next/index.html?page=magic-market_detail&amp;noTitleBar=1&amp;itemsId=107151309835&amp;from=market_index", "点击打开")</f>
        <v/>
      </c>
    </row>
    <row r="113">
      <c r="A113" t="inlineStr">
        <is>
          <t>世嘉 阿比盖尔·威廉姆斯  景品手办 再版</t>
        </is>
      </c>
      <c r="B113" t="inlineStr">
        <is>
          <t>85.00元</t>
        </is>
      </c>
      <c r="C113" t="inlineStr">
        <is>
          <t>109.00元</t>
        </is>
      </c>
      <c r="D113" t="inlineStr">
        <is>
          <t>24.00元</t>
        </is>
      </c>
      <c r="E113" t="inlineStr">
        <is>
          <t>7.8折</t>
        </is>
      </c>
      <c r="F113">
        <f>HYPERLINK("https://i0.hdslb.com/bfs/mall/mall/4e/ef/4eef44197644624587ce953b78d941f0.png", "点击查看图片")</f>
        <v/>
      </c>
      <c r="G113">
        <f>HYPERLINK("https://mall.bilibili.com/neul-next/index.html?page=magic-market_detail&amp;noTitleBar=1&amp;itemsId=106855404673&amp;from=market_index", "点击打开")</f>
        <v/>
      </c>
    </row>
    <row r="114">
      <c r="A114" t="inlineStr">
        <is>
          <t>TAITO 莱莎琳·斯托特 晨起Ver. 景品手办</t>
        </is>
      </c>
      <c r="B114" t="inlineStr">
        <is>
          <t>66.66元</t>
        </is>
      </c>
      <c r="C114" t="inlineStr">
        <is>
          <t>112.00元</t>
        </is>
      </c>
      <c r="D114" t="inlineStr">
        <is>
          <t>45.34元</t>
        </is>
      </c>
      <c r="E114" t="inlineStr">
        <is>
          <t>6.0折</t>
        </is>
      </c>
      <c r="F114">
        <f>HYPERLINK("https://i0.hdslb.com/bfs/mall/mall/62/81/6281892fb3c6e4c4cdf3f3a1f932ed7e.png", "点击查看图片")</f>
        <v/>
      </c>
      <c r="G114">
        <f>HYPERLINK("https://mall.bilibili.com/neul-next/index.html?page=magic-market_detail&amp;noTitleBar=1&amp;itemsId=107055012211&amp;from=market_index", "点击打开")</f>
        <v/>
      </c>
    </row>
    <row r="115">
      <c r="A115" t="inlineStr">
        <is>
          <t>TAITO 雷姆 冬日兔女郎Ver. 景品手办</t>
        </is>
      </c>
      <c r="B115" t="inlineStr">
        <is>
          <t>67.00元</t>
        </is>
      </c>
      <c r="C115" t="inlineStr">
        <is>
          <t>112.00元</t>
        </is>
      </c>
      <c r="D115" t="inlineStr">
        <is>
          <t>45.00元</t>
        </is>
      </c>
      <c r="E115" t="inlineStr">
        <is>
          <t>6.0折</t>
        </is>
      </c>
      <c r="F115">
        <f>HYPERLINK("https://i0.hdslb.com/bfs/mall/mall/a8/44/a8449ee62ff6d2038957de7983cb4754.png", "点击查看图片")</f>
        <v/>
      </c>
      <c r="G115">
        <f>HYPERLINK("https://mall.bilibili.com/neul-next/index.html?page=magic-market_detail&amp;noTitleBar=1&amp;itemsId=109805788604&amp;from=market_index", "点击打开")</f>
        <v/>
      </c>
    </row>
    <row r="116">
      <c r="A116" t="inlineStr">
        <is>
          <t>BANPRESTO 艾雅法拉 景品</t>
        </is>
      </c>
      <c r="B116" t="inlineStr">
        <is>
          <t>89.99元</t>
        </is>
      </c>
      <c r="C116" t="inlineStr">
        <is>
          <t>149.00元</t>
        </is>
      </c>
      <c r="D116" t="inlineStr">
        <is>
          <t>59.01元</t>
        </is>
      </c>
      <c r="E116" t="inlineStr">
        <is>
          <t>6.0折</t>
        </is>
      </c>
      <c r="F116">
        <f>HYPERLINK("https://i0.hdslb.com/bfs/mall/mall/b9/59/b95919f36d569823615fc4a4c351eea0.png", "点击查看图片")</f>
        <v/>
      </c>
      <c r="G116">
        <f>HYPERLINK("https://mall.bilibili.com/neul-next/index.html?page=magic-market_detail&amp;noTitleBar=1&amp;itemsId=107142945176&amp;from=market_index", "点击打开")</f>
        <v/>
      </c>
    </row>
    <row r="117">
      <c r="A117" t="inlineStr">
        <is>
          <t>FuRyu 初音未来 百合花仙子lily white 景品手办</t>
        </is>
      </c>
      <c r="B117" t="inlineStr">
        <is>
          <t>300.00元</t>
        </is>
      </c>
      <c r="C117" t="inlineStr">
        <is>
          <t>833.00元</t>
        </is>
      </c>
      <c r="D117" t="inlineStr">
        <is>
          <t>533.00元</t>
        </is>
      </c>
      <c r="E117" t="inlineStr">
        <is>
          <t>3.6折</t>
        </is>
      </c>
      <c r="F117">
        <f>HYPERLINK("https://i0.hdslb.com/bfs/mall/mall/0e/11/0e11b2cf3303fd35901bb8318f91359e.png", "点击查看图片")</f>
        <v/>
      </c>
      <c r="G117">
        <f>HYPERLINK("https://mall.bilibili.com/neul-next/index.html?page=magic-market_detail&amp;noTitleBar=1&amp;itemsId=110478444182&amp;from=market_index", "点击打开")</f>
        <v/>
      </c>
    </row>
    <row r="118">
      <c r="A118" t="inlineStr">
        <is>
          <t>世嘉 Kano 景品手办</t>
        </is>
      </c>
      <c r="B118" t="inlineStr">
        <is>
          <t>449.00元</t>
        </is>
      </c>
      <c r="C118" t="inlineStr">
        <is>
          <t>1050.00元</t>
        </is>
      </c>
      <c r="D118" t="inlineStr">
        <is>
          <t>601.00元</t>
        </is>
      </c>
      <c r="E118" t="inlineStr">
        <is>
          <t>4.3折</t>
        </is>
      </c>
      <c r="F118">
        <f>HYPERLINK("https://i0.hdslb.com/bfs/mall/mall/54/99/549979abed21936ceddaebd07777f134.png", "点击查看图片")</f>
        <v/>
      </c>
      <c r="G118">
        <f>HYPERLINK("https://mall.bilibili.com/neul-next/index.html?page=magic-market_detail&amp;noTitleBar=1&amp;itemsId=110463050276&amp;from=market_index", "点击打开")</f>
        <v/>
      </c>
    </row>
    <row r="119">
      <c r="A119" t="inlineStr">
        <is>
          <t>FuRyu 初音未来 草莓巧克力松饼 景品手办 再版</t>
        </is>
      </c>
      <c r="B119" t="inlineStr">
        <is>
          <t>72.98元</t>
        </is>
      </c>
      <c r="C119" t="inlineStr">
        <is>
          <t>115.00元</t>
        </is>
      </c>
      <c r="D119" t="inlineStr">
        <is>
          <t>42.02元</t>
        </is>
      </c>
      <c r="E119" t="inlineStr">
        <is>
          <t>6.3折</t>
        </is>
      </c>
      <c r="F119">
        <f>HYPERLINK("https://i0.hdslb.com/bfs/mall/mall/6e/85/6e85ef85248f9ed77a5ef2cb44020b5f.png", "点击查看图片")</f>
        <v/>
      </c>
      <c r="G119">
        <f>HYPERLINK("https://mall.bilibili.com/neul-next/index.html?page=magic-market_detail&amp;noTitleBar=1&amp;itemsId=109822155089&amp;from=market_index", "点击打开")</f>
        <v/>
      </c>
    </row>
    <row r="120">
      <c r="A120" t="inlineStr">
        <is>
          <t>世嘉 初音未来 DARK ANGEL 景品手办</t>
        </is>
      </c>
      <c r="B120" t="inlineStr">
        <is>
          <t>319.90元</t>
        </is>
      </c>
      <c r="C120" t="inlineStr">
        <is>
          <t>333.00元</t>
        </is>
      </c>
      <c r="D120" t="inlineStr">
        <is>
          <t>13.10元</t>
        </is>
      </c>
      <c r="E120" t="inlineStr">
        <is>
          <t>9.6折</t>
        </is>
      </c>
      <c r="F120">
        <f>HYPERLINK("https://i0.hdslb.com/bfs/mall/mall/67/3a/673a63b6f2f8954d6a6a401db7b15821.png", "点击查看图片")</f>
        <v/>
      </c>
      <c r="G120">
        <f>HYPERLINK("https://mall.bilibili.com/neul-next/index.html?page=magic-market_detail&amp;noTitleBar=1&amp;itemsId=109884434945&amp;from=market_index", "点击打开")</f>
        <v/>
      </c>
    </row>
    <row r="121">
      <c r="A121" t="inlineStr">
        <is>
          <t>BANPRESTO 瓦豆鲁迪 C款 景品手办</t>
        </is>
      </c>
      <c r="B121" t="inlineStr">
        <is>
          <t>65.00元</t>
        </is>
      </c>
      <c r="C121" t="inlineStr">
        <is>
          <t>95.00元</t>
        </is>
      </c>
      <c r="D121" t="inlineStr">
        <is>
          <t>30.00元</t>
        </is>
      </c>
      <c r="E121" t="inlineStr">
        <is>
          <t>6.8折</t>
        </is>
      </c>
      <c r="F121">
        <f>HYPERLINK("https://i0.hdslb.com/bfs/mall/mall/c7/fa/c7fa7e8d3d8976b96fc93e88abe990b3.png", "点击查看图片")</f>
        <v/>
      </c>
      <c r="G121">
        <f>HYPERLINK("https://mall.bilibili.com/neul-next/index.html?page=magic-market_detail&amp;noTitleBar=1&amp;itemsId=107073859216&amp;from=market_index", "点击打开")</f>
        <v/>
      </c>
    </row>
    <row r="122">
      <c r="A122" t="inlineStr">
        <is>
          <t>TAITO 牧濑红莉栖 景品手办</t>
        </is>
      </c>
      <c r="B122" t="inlineStr">
        <is>
          <t>78.00元</t>
        </is>
      </c>
      <c r="C122" t="inlineStr">
        <is>
          <t>119.00元</t>
        </is>
      </c>
      <c r="D122" t="inlineStr">
        <is>
          <t>41.00元</t>
        </is>
      </c>
      <c r="E122" t="inlineStr">
        <is>
          <t>6.6折</t>
        </is>
      </c>
      <c r="F122">
        <f>HYPERLINK("https://i0.hdslb.com/bfs/mall/mall/53/fc/53fc54df70d38419c00d7de9f07e11f7.png", "点击查看图片")</f>
        <v/>
      </c>
      <c r="G122">
        <f>HYPERLINK("https://mall.bilibili.com/neul-next/index.html?page=magic-market_detail&amp;noTitleBar=1&amp;itemsId=107147694640&amp;from=market_index", "点击打开")</f>
        <v/>
      </c>
    </row>
    <row r="123">
      <c r="A123" t="inlineStr">
        <is>
          <t>FuRyu 尤妮 景品手办</t>
        </is>
      </c>
      <c r="B123" t="inlineStr">
        <is>
          <t>80.99元</t>
        </is>
      </c>
      <c r="C123" t="inlineStr">
        <is>
          <t>115.00元</t>
        </is>
      </c>
      <c r="D123" t="inlineStr">
        <is>
          <t>34.01元</t>
        </is>
      </c>
      <c r="E123" t="inlineStr">
        <is>
          <t>7.0折</t>
        </is>
      </c>
      <c r="F123">
        <f>HYPERLINK("https://i0.hdslb.com/bfs/mall/mall/89/26/8926ba64b9c862cee966c03c7e0cd872.png", "点击查看图片")</f>
        <v/>
      </c>
      <c r="G123">
        <f>HYPERLINK("https://mall.bilibili.com/neul-next/index.html?page=magic-market_detail&amp;noTitleBar=1&amp;itemsId=107149118338&amp;from=market_index", "点击打开")</f>
        <v/>
      </c>
    </row>
    <row r="124">
      <c r="A124" t="inlineStr">
        <is>
          <t>世嘉 芙莉莲 景品手办</t>
        </is>
      </c>
      <c r="B124" t="inlineStr">
        <is>
          <t>320.00元</t>
        </is>
      </c>
      <c r="C124" t="inlineStr">
        <is>
          <t>444.00元</t>
        </is>
      </c>
      <c r="D124" t="inlineStr">
        <is>
          <t>124.00元</t>
        </is>
      </c>
      <c r="E124" t="inlineStr">
        <is>
          <t>7.2折</t>
        </is>
      </c>
      <c r="F124">
        <f>HYPERLINK("https://i0.hdslb.com/bfs/mall/mall/59/9f/599ff865d281cd87fd53cd3846753b84.png", "点击查看图片")</f>
        <v/>
      </c>
      <c r="G124">
        <f>HYPERLINK("https://mall.bilibili.com/neul-next/index.html?page=magic-market_detail&amp;noTitleBar=1&amp;itemsId=111921287066&amp;from=market_index", "点击打开")</f>
        <v/>
      </c>
    </row>
    <row r="125">
      <c r="A125" t="inlineStr">
        <is>
          <t>世嘉 高梨・金・阿努克・芽衣 景品手办</t>
        </is>
      </c>
      <c r="B125" t="inlineStr">
        <is>
          <t>40.00元</t>
        </is>
      </c>
      <c r="C125" t="inlineStr">
        <is>
          <t>105.00元</t>
        </is>
      </c>
      <c r="D125" t="inlineStr">
        <is>
          <t>65.00元</t>
        </is>
      </c>
      <c r="E125" t="inlineStr">
        <is>
          <t>3.8折</t>
        </is>
      </c>
      <c r="F125">
        <f>HYPERLINK("https://i0.hdslb.com/bfs/mall/mall/b4/8c/b48c2f229d46ec66ba1aac1c06eb7e38.png", "点击查看图片")</f>
        <v/>
      </c>
      <c r="G125">
        <f>HYPERLINK("https://mall.bilibili.com/neul-next/index.html?page=magic-market_detail&amp;noTitleBar=1&amp;itemsId=106939115078&amp;from=market_index", "点击打开")</f>
        <v/>
      </c>
    </row>
    <row r="126">
      <c r="A126" t="inlineStr">
        <is>
          <t>FuRyu 十六夜咲夜 景品手办</t>
        </is>
      </c>
      <c r="B126" t="inlineStr">
        <is>
          <t>81.00元</t>
        </is>
      </c>
      <c r="C126" t="inlineStr">
        <is>
          <t>115.00元</t>
        </is>
      </c>
      <c r="D126" t="inlineStr">
        <is>
          <t>34.00元</t>
        </is>
      </c>
      <c r="E126" t="inlineStr">
        <is>
          <t>7.0折</t>
        </is>
      </c>
      <c r="F126">
        <f>HYPERLINK("https://i0.hdslb.com/bfs/mall/mall/3a/fe/3afe1fa16459f40503bf1e13901c7f5d.png", "点击查看图片")</f>
        <v/>
      </c>
      <c r="G126">
        <f>HYPERLINK("https://mall.bilibili.com/neul-next/index.html?page=magic-market_detail&amp;noTitleBar=1&amp;itemsId=109820175974&amp;from=market_index", "点击打开")</f>
        <v/>
      </c>
    </row>
    <row r="127">
      <c r="A127" t="inlineStr">
        <is>
          <t>TAITO 井上泷奈 居家服 景品手办</t>
        </is>
      </c>
      <c r="B127" t="inlineStr">
        <is>
          <t>149.80元</t>
        </is>
      </c>
      <c r="C127" t="inlineStr">
        <is>
          <t>224.00元</t>
        </is>
      </c>
      <c r="D127" t="inlineStr">
        <is>
          <t>74.20元</t>
        </is>
      </c>
      <c r="E127" t="inlineStr">
        <is>
          <t>6.7折</t>
        </is>
      </c>
      <c r="F127">
        <f>HYPERLINK("https://i0.hdslb.com/bfs/mall/mall/23/f4/23f4246d640c5a067eeb4ac31a61f4ac.png", "点击查看图片")</f>
        <v/>
      </c>
      <c r="G127">
        <f>HYPERLINK("https://mall.bilibili.com/neul-next/index.html?page=magic-market_detail&amp;noTitleBar=1&amp;itemsId=109883759938&amp;from=market_index", "点击打开")</f>
        <v/>
      </c>
    </row>
    <row r="128">
      <c r="A128" t="inlineStr">
        <is>
          <t>FuRyu 喜多川海梦 景品手办</t>
        </is>
      </c>
      <c r="B128" t="inlineStr">
        <is>
          <t>84.99元</t>
        </is>
      </c>
      <c r="C128" t="inlineStr">
        <is>
          <t>115.00元</t>
        </is>
      </c>
      <c r="D128" t="inlineStr">
        <is>
          <t>30.01元</t>
        </is>
      </c>
      <c r="E128" t="inlineStr">
        <is>
          <t>7.4折</t>
        </is>
      </c>
      <c r="F128">
        <f>HYPERLINK("https://i0.hdslb.com/bfs/mall/mall/7c/8c/7c8c1f9e3caf3bebe7062e5e7877365e.png", "点击查看图片")</f>
        <v/>
      </c>
      <c r="G128">
        <f>HYPERLINK("https://mall.bilibili.com/neul-next/index.html?page=magic-market_detail&amp;noTitleBar=1&amp;itemsId=107107142584&amp;from=market_index", "点击打开")</f>
        <v/>
      </c>
    </row>
    <row r="129">
      <c r="A129" t="inlineStr">
        <is>
          <t>BANPRESTO 强击 景品手办</t>
        </is>
      </c>
      <c r="B129" t="inlineStr">
        <is>
          <t>54.90元</t>
        </is>
      </c>
      <c r="C129" t="inlineStr">
        <is>
          <t>129.00元</t>
        </is>
      </c>
      <c r="D129" t="inlineStr">
        <is>
          <t>74.10元</t>
        </is>
      </c>
      <c r="E129" t="inlineStr">
        <is>
          <t>4.3折</t>
        </is>
      </c>
      <c r="F129">
        <f>HYPERLINK("https://i0.hdslb.com/bfs/mall/mall/51/61/51616f9063394dbbd5d5e904faa80574.png", "点击查看图片")</f>
        <v/>
      </c>
      <c r="G129">
        <f>HYPERLINK("https://mall.bilibili.com/neul-next/index.html?page=magic-market_detail&amp;noTitleBar=1&amp;itemsId=109812937369&amp;from=market_index", "点击打开")</f>
        <v/>
      </c>
    </row>
    <row r="130">
      <c r="A130" t="inlineStr">
        <is>
          <t>TAITO 雅儿贝德 女仆Ver. 景品手办</t>
        </is>
      </c>
      <c r="B130" t="inlineStr">
        <is>
          <t>80.00元</t>
        </is>
      </c>
      <c r="C130" t="inlineStr">
        <is>
          <t>112.00元</t>
        </is>
      </c>
      <c r="D130" t="inlineStr">
        <is>
          <t>32.00元</t>
        </is>
      </c>
      <c r="E130" t="inlineStr">
        <is>
          <t>7.1折</t>
        </is>
      </c>
      <c r="F130">
        <f>HYPERLINK("https://i0.hdslb.com/bfs/mall/mall/f5/75/f5753f615b4cecb270fe9f3c7dead2a6.png", "点击查看图片")</f>
        <v/>
      </c>
      <c r="G130">
        <f>HYPERLINK("https://mall.bilibili.com/neul-next/index.html?page=magic-market_detail&amp;noTitleBar=1&amp;itemsId=109805818234&amp;from=market_index", "点击打开")</f>
        <v/>
      </c>
    </row>
    <row r="131">
      <c r="A131" t="inlineStr">
        <is>
          <t>FuRyu 初音未来 香橼马卡龙 景品手办</t>
        </is>
      </c>
      <c r="B131" t="inlineStr">
        <is>
          <t>83.00元</t>
        </is>
      </c>
      <c r="C131" t="inlineStr">
        <is>
          <t>129.00元</t>
        </is>
      </c>
      <c r="D131" t="inlineStr">
        <is>
          <t>46.00元</t>
        </is>
      </c>
      <c r="E131" t="inlineStr">
        <is>
          <t>6.4折</t>
        </is>
      </c>
      <c r="F131">
        <f>HYPERLINK("https://i0.hdslb.com/bfs/mall/mall/7e/09/7e091eb9c4e1d5b3c3adace7d04258f6.png", "点击查看图片")</f>
        <v/>
      </c>
      <c r="G131">
        <f>HYPERLINK("https://mall.bilibili.com/neul-next/index.html?page=magic-market_detail&amp;noTitleBar=1&amp;itemsId=109816303321&amp;from=market_index", "点击打开")</f>
        <v/>
      </c>
    </row>
    <row r="132">
      <c r="A132" t="inlineStr">
        <is>
          <t>世嘉 N102 景品手办</t>
        </is>
      </c>
      <c r="B132" t="inlineStr">
        <is>
          <t>40.81元</t>
        </is>
      </c>
      <c r="C132" t="inlineStr">
        <is>
          <t>109.00元</t>
        </is>
      </c>
      <c r="D132" t="inlineStr">
        <is>
          <t>68.19元</t>
        </is>
      </c>
      <c r="E132" t="inlineStr">
        <is>
          <t>3.7折</t>
        </is>
      </c>
      <c r="F132">
        <f>HYPERLINK("https://i0.hdslb.com/bfs/mall/mall/8f/a9/8fa9f211c658d17679d870f8b7c6b8f7.png", "点击查看图片")</f>
        <v/>
      </c>
      <c r="G132">
        <f>HYPERLINK("https://mall.bilibili.com/neul-next/index.html?page=magic-market_detail&amp;noTitleBar=1&amp;itemsId=109812454373&amp;from=market_index", "点击打开")</f>
        <v/>
      </c>
    </row>
    <row r="133">
      <c r="A133" t="inlineStr">
        <is>
          <t>TAITO 初音未来 爱丽丝Ver. 景品手办 再版</t>
        </is>
      </c>
      <c r="B133" t="inlineStr">
        <is>
          <t>79.00元</t>
        </is>
      </c>
      <c r="C133" t="inlineStr">
        <is>
          <t>119.00元</t>
        </is>
      </c>
      <c r="D133" t="inlineStr">
        <is>
          <t>40.00元</t>
        </is>
      </c>
      <c r="E133" t="inlineStr">
        <is>
          <t>6.6折</t>
        </is>
      </c>
      <c r="F133">
        <f>HYPERLINK("https://i0.hdslb.com/bfs/mall/mall/8b/33/8b3333254f7ee20d3f384456a2a4a835.png", "点击查看图片")</f>
        <v/>
      </c>
      <c r="G133">
        <f>HYPERLINK("https://mall.bilibili.com/neul-next/index.html?page=magic-market_detail&amp;noTitleBar=1&amp;itemsId=106889825969&amp;from=market_index", "点击打开")</f>
        <v/>
      </c>
    </row>
    <row r="134">
      <c r="A134" t="inlineStr">
        <is>
          <t>TAITO 雷姆 猫咪居家服 Renewal 景品手办</t>
        </is>
      </c>
      <c r="B134" t="inlineStr">
        <is>
          <t>67.00元</t>
        </is>
      </c>
      <c r="C134" t="inlineStr">
        <is>
          <t>112.00元</t>
        </is>
      </c>
      <c r="D134" t="inlineStr">
        <is>
          <t>45.00元</t>
        </is>
      </c>
      <c r="E134" t="inlineStr">
        <is>
          <t>6.0折</t>
        </is>
      </c>
      <c r="F134">
        <f>HYPERLINK("https://i0.hdslb.com/bfs/mall/mall/8c/b8/8cb8c56a37b641d66d1ab085a0b061ee.png", "点击查看图片")</f>
        <v/>
      </c>
      <c r="G134">
        <f>HYPERLINK("https://mall.bilibili.com/neul-next/index.html?page=magic-market_detail&amp;noTitleBar=1&amp;itemsId=106951260336&amp;from=market_index", "点击打开")</f>
        <v/>
      </c>
    </row>
    <row r="135">
      <c r="A135" t="inlineStr">
        <is>
          <t>TAITO AFG 初音未来 景品手办 再版</t>
        </is>
      </c>
      <c r="B135" t="inlineStr">
        <is>
          <t>71.24元</t>
        </is>
      </c>
      <c r="C135" t="inlineStr">
        <is>
          <t>112.00元</t>
        </is>
      </c>
      <c r="D135" t="inlineStr">
        <is>
          <t>40.76元</t>
        </is>
      </c>
      <c r="E135" t="inlineStr">
        <is>
          <t>6.4折</t>
        </is>
      </c>
      <c r="F135">
        <f>HYPERLINK("https://i0.hdslb.com/bfs/mall/mall/44/77/447742e27213b5594945d48ced7ce84c.png", "点击查看图片")</f>
        <v/>
      </c>
      <c r="G135">
        <f>HYPERLINK("https://mall.bilibili.com/neul-next/index.html?page=magic-market_detail&amp;noTitleBar=1&amp;itemsId=109814834734&amp;from=market_index", "点击打开")</f>
        <v/>
      </c>
    </row>
    <row r="136">
      <c r="A136" t="inlineStr">
        <is>
          <t>世嘉 初音未来 苦味糕点师 景品手办 再版</t>
        </is>
      </c>
      <c r="B136" t="inlineStr">
        <is>
          <t>215.99元</t>
        </is>
      </c>
      <c r="C136" t="inlineStr">
        <is>
          <t>224.00元</t>
        </is>
      </c>
      <c r="D136" t="inlineStr">
        <is>
          <t>8.01元</t>
        </is>
      </c>
      <c r="E136" t="inlineStr">
        <is>
          <t>9.6折</t>
        </is>
      </c>
      <c r="F136">
        <f>HYPERLINK("https://i0.hdslb.com/bfs/mall/mall/53/78/53783c76e9cdd0aa65eae6926bb5ff74.png", "点击查看图片")</f>
        <v/>
      </c>
      <c r="G136">
        <f>HYPERLINK("https://mall.bilibili.com/neul-next/index.html?page=magic-market_detail&amp;noTitleBar=1&amp;itemsId=111912428077&amp;from=market_index", "点击打开")</f>
        <v/>
      </c>
    </row>
    <row r="137">
      <c r="A137" t="inlineStr">
        <is>
          <t>世嘉 菲伦 景品手办</t>
        </is>
      </c>
      <c r="B137" t="inlineStr">
        <is>
          <t>65.00元</t>
        </is>
      </c>
      <c r="C137" t="inlineStr">
        <is>
          <t>105.00元</t>
        </is>
      </c>
      <c r="D137" t="inlineStr">
        <is>
          <t>40.00元</t>
        </is>
      </c>
      <c r="E137" t="inlineStr">
        <is>
          <t>6.2折</t>
        </is>
      </c>
      <c r="F137">
        <f>HYPERLINK("https://i0.hdslb.com/bfs/mall/mall/a5/f2/a5f24c879b66dffd511dcd6a3cd143fc.png", "点击查看图片")</f>
        <v/>
      </c>
      <c r="G137">
        <f>HYPERLINK("https://mall.bilibili.com/neul-next/index.html?page=magic-market_detail&amp;noTitleBar=1&amp;itemsId=109811100987&amp;from=market_index", "点击打开")</f>
        <v/>
      </c>
    </row>
    <row r="138">
      <c r="A138" t="inlineStr">
        <is>
          <t>FuRyu 雷姆 古典时装 景品手办</t>
        </is>
      </c>
      <c r="B138" t="inlineStr">
        <is>
          <t>75.00元</t>
        </is>
      </c>
      <c r="C138" t="inlineStr">
        <is>
          <t>119.00元</t>
        </is>
      </c>
      <c r="D138" t="inlineStr">
        <is>
          <t>44.00元</t>
        </is>
      </c>
      <c r="E138" t="inlineStr">
        <is>
          <t>6.3折</t>
        </is>
      </c>
      <c r="F138">
        <f>HYPERLINK("https://i0.hdslb.com/bfs/mall/mall/8f/3b/8f3b5c13ae2b9a70bea30d22a64bfa1e.png", "点击查看图片")</f>
        <v/>
      </c>
      <c r="G138">
        <f>HYPERLINK("https://mall.bilibili.com/neul-next/index.html?page=magic-market_detail&amp;noTitleBar=1&amp;itemsId=109806638345&amp;from=market_index", "点击打开")</f>
        <v/>
      </c>
    </row>
    <row r="139">
      <c r="A139" t="inlineStr">
        <is>
          <t>世嘉 明日香 30TH 景品手办</t>
        </is>
      </c>
      <c r="B139" t="inlineStr">
        <is>
          <t>117.27元</t>
        </is>
      </c>
      <c r="C139" t="inlineStr">
        <is>
          <t>221.00元</t>
        </is>
      </c>
      <c r="D139" t="inlineStr">
        <is>
          <t>103.73元</t>
        </is>
      </c>
      <c r="E139" t="inlineStr">
        <is>
          <t>5.3折</t>
        </is>
      </c>
      <c r="F139">
        <f>HYPERLINK("https://i0.hdslb.com/bfs/mall/mall/08/43/0843edee0ca952f3c15912a015d50ae7.png", "点击查看图片")</f>
        <v/>
      </c>
      <c r="G139">
        <f>HYPERLINK("https://mall.bilibili.com/neul-next/index.html?page=magic-market_detail&amp;noTitleBar=1&amp;itemsId=111908569600&amp;from=market_index", "点击打开")</f>
        <v/>
      </c>
    </row>
    <row r="140">
      <c r="A140" t="inlineStr">
        <is>
          <t>FuRyu 大和赤骥 景品手办</t>
        </is>
      </c>
      <c r="B140" t="inlineStr">
        <is>
          <t>81.48元</t>
        </is>
      </c>
      <c r="C140" t="inlineStr">
        <is>
          <t>85.00元</t>
        </is>
      </c>
      <c r="D140" t="inlineStr">
        <is>
          <t>3.52元</t>
        </is>
      </c>
      <c r="E140" t="inlineStr">
        <is>
          <t>9.6折</t>
        </is>
      </c>
      <c r="F140">
        <f>HYPERLINK("https://i0.hdslb.com/bfs/mall/mall/91/ff/91ffec936f2d6fd7c13b477af8aa7e6d.png", "点击查看图片")</f>
        <v/>
      </c>
      <c r="G140">
        <f>HYPERLINK("https://mall.bilibili.com/neul-next/index.html?page=magic-market_detail&amp;noTitleBar=1&amp;itemsId=106889609426&amp;from=market_index", "点击打开")</f>
        <v/>
      </c>
    </row>
    <row r="141">
      <c r="A141" t="inlineStr">
        <is>
          <t>S-FIRE 雅儿贝德 Q版手办</t>
        </is>
      </c>
      <c r="B141" t="inlineStr">
        <is>
          <t>108.00元</t>
        </is>
      </c>
      <c r="C141" t="inlineStr">
        <is>
          <t>162.00元</t>
        </is>
      </c>
      <c r="D141" t="inlineStr">
        <is>
          <t>54.00元</t>
        </is>
      </c>
      <c r="E141" t="inlineStr">
        <is>
          <t>6.7折</t>
        </is>
      </c>
      <c r="F141">
        <f>HYPERLINK("https://i0.hdslb.com/bfs/mall/mall/37/36/3736a525c5e47af627d1d635a4232571.png", "点击查看图片")</f>
        <v/>
      </c>
      <c r="G141">
        <f>HYPERLINK("https://mall.bilibili.com/neul-next/index.html?page=magic-market_detail&amp;noTitleBar=1&amp;itemsId=109862245753&amp;from=market_index", "点击打开")</f>
        <v/>
      </c>
    </row>
    <row r="142">
      <c r="A142" t="inlineStr">
        <is>
          <t>世嘉 忍野忍 景品手办</t>
        </is>
      </c>
      <c r="B142" t="inlineStr">
        <is>
          <t>519.79元</t>
        </is>
      </c>
      <c r="C142" t="inlineStr">
        <is>
          <t>1050.00元</t>
        </is>
      </c>
      <c r="D142" t="inlineStr">
        <is>
          <t>530.21元</t>
        </is>
      </c>
      <c r="E142" t="inlineStr">
        <is>
          <t>5.0折</t>
        </is>
      </c>
      <c r="F142">
        <f>HYPERLINK("https://i0.hdslb.com/bfs/mall/mall/cf/bd/cfbd0c0a9cf887d2af07795fcc7a2b16.png", "点击查看图片")</f>
        <v/>
      </c>
      <c r="G142">
        <f>HYPERLINK("https://mall.bilibili.com/neul-next/index.html?page=magic-market_detail&amp;noTitleBar=1&amp;itemsId=110461468866&amp;from=market_index", "点击打开")</f>
        <v/>
      </c>
    </row>
    <row r="143">
      <c r="A143" t="inlineStr">
        <is>
          <t>FuRyu 樱未来2024珍珠色 景品手办</t>
        </is>
      </c>
      <c r="B143" t="inlineStr">
        <is>
          <t>100.00元</t>
        </is>
      </c>
      <c r="C143" t="inlineStr">
        <is>
          <t>230.00元</t>
        </is>
      </c>
      <c r="D143" t="inlineStr">
        <is>
          <t>130.00元</t>
        </is>
      </c>
      <c r="E143" t="inlineStr">
        <is>
          <t>4.3折</t>
        </is>
      </c>
      <c r="F143">
        <f>HYPERLINK("https://i0.hdslb.com/bfs/mall/mall/36/14/3614182d1fc1165ea9c56632a31d2891.png", "点击查看图片")</f>
        <v/>
      </c>
      <c r="G143">
        <f>HYPERLINK("https://mall.bilibili.com/neul-next/index.html?page=magic-market_detail&amp;noTitleBar=1&amp;itemsId=110469236783&amp;from=market_index", "点击打开")</f>
        <v/>
      </c>
    </row>
    <row r="144">
      <c r="A144" t="inlineStr">
        <is>
          <t>世嘉 阿尼亚·福杰&amp;邦德 景品手办</t>
        </is>
      </c>
      <c r="B144" t="inlineStr">
        <is>
          <t>320.00元</t>
        </is>
      </c>
      <c r="C144" t="inlineStr">
        <is>
          <t>448.00元</t>
        </is>
      </c>
      <c r="D144" t="inlineStr">
        <is>
          <t>128.00元</t>
        </is>
      </c>
      <c r="E144" t="inlineStr">
        <is>
          <t>7.1折</t>
        </is>
      </c>
      <c r="F144">
        <f>HYPERLINK("https://i0.hdslb.com/bfs/mall/mall/eb/fa/ebfa410541b48c6522922cb475df0533.png", "点击查看图片")</f>
        <v/>
      </c>
      <c r="G144">
        <f>HYPERLINK("https://mall.bilibili.com/neul-next/index.html?page=magic-market_detail&amp;noTitleBar=1&amp;itemsId=120670655122&amp;from=market_index", "点击打开")</f>
        <v/>
      </c>
    </row>
    <row r="145">
      <c r="A145" t="inlineStr">
        <is>
          <t>BANPRESTO 初音未来 环球旅行 景品手办</t>
        </is>
      </c>
      <c r="B145" t="inlineStr">
        <is>
          <t>76.65元</t>
        </is>
      </c>
      <c r="C145" t="inlineStr">
        <is>
          <t>129.00元</t>
        </is>
      </c>
      <c r="D145" t="inlineStr">
        <is>
          <t>52.35元</t>
        </is>
      </c>
      <c r="E145" t="inlineStr">
        <is>
          <t>5.9折</t>
        </is>
      </c>
      <c r="F145">
        <f>HYPERLINK("https://i0.hdslb.com/bfs/mall/mall/fc/fb/fcfb30c3e009f459e999c8d3653334f7.png", "点击查看图片")</f>
        <v/>
      </c>
      <c r="G145">
        <f>HYPERLINK("https://mall.bilibili.com/neul-next/index.html?page=magic-market_detail&amp;noTitleBar=1&amp;itemsId=107095495542&amp;from=market_index", "点击打开")</f>
        <v/>
      </c>
    </row>
    <row r="146">
      <c r="A146" t="inlineStr">
        <is>
          <t>TAITO 时崎狂三 ～私服ver.～Renewal 景品手办</t>
        </is>
      </c>
      <c r="B146" t="inlineStr">
        <is>
          <t>72.00元</t>
        </is>
      </c>
      <c r="C146" t="inlineStr">
        <is>
          <t>112.00元</t>
        </is>
      </c>
      <c r="D146" t="inlineStr">
        <is>
          <t>40.00元</t>
        </is>
      </c>
      <c r="E146" t="inlineStr">
        <is>
          <t>6.4折</t>
        </is>
      </c>
      <c r="F146">
        <f>HYPERLINK("https://i0.hdslb.com/bfs/mall/mall/55/eb/55eb9327dbed445805d47c13e251cff2.png", "点击查看图片")</f>
        <v/>
      </c>
      <c r="G146">
        <f>HYPERLINK("https://mall.bilibili.com/neul-next/index.html?page=magic-market_detail&amp;noTitleBar=1&amp;itemsId=109809189692&amp;from=market_index", "点击打开")</f>
        <v/>
      </c>
    </row>
    <row r="147">
      <c r="A147" t="inlineStr">
        <is>
          <t>BANPRESTO 幽谷雾子 景品手办</t>
        </is>
      </c>
      <c r="B147" t="inlineStr">
        <is>
          <t>76.50元</t>
        </is>
      </c>
      <c r="C147" t="inlineStr">
        <is>
          <t>129.00元</t>
        </is>
      </c>
      <c r="D147" t="inlineStr">
        <is>
          <t>52.50元</t>
        </is>
      </c>
      <c r="E147" t="inlineStr">
        <is>
          <t>5.9折</t>
        </is>
      </c>
      <c r="F147">
        <f>HYPERLINK("https://i0.hdslb.com/bfs/mall/mall/aa/35/aa35339c88a1111642b51116081513d7.png", "点击查看图片")</f>
        <v/>
      </c>
      <c r="G147">
        <f>HYPERLINK("https://mall.bilibili.com/neul-next/index.html?page=magic-market_detail&amp;noTitleBar=1&amp;itemsId=107104915858&amp;from=market_index", "点击打开")</f>
        <v/>
      </c>
    </row>
    <row r="148">
      <c r="A148" t="inlineStr">
        <is>
          <t>FuRyu 初音未来 薄荷抹茶巴菲 景品手办</t>
        </is>
      </c>
      <c r="B148" t="inlineStr">
        <is>
          <t>719.39元</t>
        </is>
      </c>
      <c r="C148" t="inlineStr">
        <is>
          <t>1161.00元</t>
        </is>
      </c>
      <c r="D148" t="inlineStr">
        <is>
          <t>441.61元</t>
        </is>
      </c>
      <c r="E148" t="inlineStr">
        <is>
          <t>6.2折</t>
        </is>
      </c>
      <c r="F148">
        <f>HYPERLINK("https://i0.hdslb.com/bfs/mall/mall/17/2b/172b4b431afc68a5f93ec83f5802f995.png", "点击查看图片")</f>
        <v/>
      </c>
      <c r="G148">
        <f>HYPERLINK("https://mall.bilibili.com/neul-next/index.html?page=magic-market_detail&amp;noTitleBar=1&amp;itemsId=109864515076&amp;from=market_index", "点击打开")</f>
        <v/>
      </c>
    </row>
    <row r="149">
      <c r="A149" t="inlineStr">
        <is>
          <t>TAITO 雷姆 可爱天使 景品手办</t>
        </is>
      </c>
      <c r="B149" t="inlineStr">
        <is>
          <t>65.99元</t>
        </is>
      </c>
      <c r="C149" t="inlineStr">
        <is>
          <t>112.00元</t>
        </is>
      </c>
      <c r="D149" t="inlineStr">
        <is>
          <t>46.01元</t>
        </is>
      </c>
      <c r="E149" t="inlineStr">
        <is>
          <t>5.9折</t>
        </is>
      </c>
      <c r="F149">
        <f>HYPERLINK("https://i0.hdslb.com/bfs/mall/mall/77/17/77179b83365828cc95b49363981c6c3e.png", "点击查看图片")</f>
        <v/>
      </c>
      <c r="G149">
        <f>HYPERLINK("https://mall.bilibili.com/neul-next/index.html?page=magic-market_detail&amp;noTitleBar=1&amp;itemsId=109811178080&amp;from=market_index", "点击打开")</f>
        <v/>
      </c>
    </row>
    <row r="150">
      <c r="A150" t="inlineStr">
        <is>
          <t>世嘉 绫波零 30th 景品手办</t>
        </is>
      </c>
      <c r="B150" t="inlineStr">
        <is>
          <t>119.37元</t>
        </is>
      </c>
      <c r="C150" t="inlineStr">
        <is>
          <t>221.00元</t>
        </is>
      </c>
      <c r="D150" t="inlineStr">
        <is>
          <t>101.63元</t>
        </is>
      </c>
      <c r="E150" t="inlineStr">
        <is>
          <t>5.4折</t>
        </is>
      </c>
      <c r="F150">
        <f>HYPERLINK("https://i0.hdslb.com/bfs/mall/mall/e6/b0/e6b07c1acaa716289271aba08fdfab08.png", "点击查看图片")</f>
        <v/>
      </c>
      <c r="G150">
        <f>HYPERLINK("https://mall.bilibili.com/neul-next/index.html?page=magic-market_detail&amp;noTitleBar=1&amp;itemsId=111903880254&amp;from=market_index", "点击打开")</f>
        <v/>
      </c>
    </row>
    <row r="151">
      <c r="A151" t="inlineStr">
        <is>
          <t>世嘉 有马加奈 景品手办</t>
        </is>
      </c>
      <c r="B151" t="inlineStr">
        <is>
          <t>74.00元</t>
        </is>
      </c>
      <c r="C151" t="inlineStr">
        <is>
          <t>105.00元</t>
        </is>
      </c>
      <c r="D151" t="inlineStr">
        <is>
          <t>31.00元</t>
        </is>
      </c>
      <c r="E151" t="inlineStr">
        <is>
          <t>7.0折</t>
        </is>
      </c>
      <c r="F151">
        <f>HYPERLINK("https://i0.hdslb.com/bfs/mall/mall/b3/68/b368c04f55f03ce8c56b39ab73ba9f7b.png", "点击查看图片")</f>
        <v/>
      </c>
      <c r="G151">
        <f>HYPERLINK("https://mall.bilibili.com/neul-next/index.html?page=magic-market_detail&amp;noTitleBar=1&amp;itemsId=109812324353&amp;from=market_index", "点击打开")</f>
        <v/>
      </c>
    </row>
    <row r="152">
      <c r="A152" t="inlineStr">
        <is>
          <t>BANPRESTO 鲁道夫象征 景品手办</t>
        </is>
      </c>
      <c r="B152" t="inlineStr">
        <is>
          <t>75.10元</t>
        </is>
      </c>
      <c r="C152" t="inlineStr">
        <is>
          <t>129.00元</t>
        </is>
      </c>
      <c r="D152" t="inlineStr">
        <is>
          <t>53.90元</t>
        </is>
      </c>
      <c r="E152" t="inlineStr">
        <is>
          <t>5.8折</t>
        </is>
      </c>
      <c r="F152">
        <f>HYPERLINK("https://i0.hdslb.com/bfs/mall/mall/ff/e1/ffe17993b10d4da97fb52acdac0d698d.png", "点击查看图片")</f>
        <v/>
      </c>
      <c r="G152">
        <f>HYPERLINK("https://mall.bilibili.com/neul-next/index.html?page=magic-market_detail&amp;noTitleBar=1&amp;itemsId=109807307674&amp;from=market_index", "点击打开")</f>
        <v/>
      </c>
    </row>
    <row r="153">
      <c r="A153" t="inlineStr">
        <is>
          <t>BANPRESTO 伏特加 景品手办</t>
        </is>
      </c>
      <c r="B153" t="inlineStr">
        <is>
          <t>100.83元</t>
        </is>
      </c>
      <c r="C153" t="inlineStr">
        <is>
          <t>129.00元</t>
        </is>
      </c>
      <c r="D153" t="inlineStr">
        <is>
          <t>28.17元</t>
        </is>
      </c>
      <c r="E153" t="inlineStr">
        <is>
          <t>7.8折</t>
        </is>
      </c>
      <c r="F153">
        <f>HYPERLINK("https://i0.hdslb.com/bfs/mall/mall/a1/a3/a1a3bd8d89b8937a3b59e9c998952853.png", "点击查看图片")</f>
        <v/>
      </c>
      <c r="G153">
        <f>HYPERLINK("https://mall.bilibili.com/neul-next/index.html?page=magic-market_detail&amp;noTitleBar=1&amp;itemsId=110459770220&amp;from=market_index", "点击打开")</f>
        <v/>
      </c>
    </row>
    <row r="154">
      <c r="A154" t="inlineStr">
        <is>
          <t>TAITO 时崎狂三 兔女郎Ver. 景品手办</t>
        </is>
      </c>
      <c r="B154" t="inlineStr">
        <is>
          <t>68.00元</t>
        </is>
      </c>
      <c r="C154" t="inlineStr">
        <is>
          <t>112.00元</t>
        </is>
      </c>
      <c r="D154" t="inlineStr">
        <is>
          <t>44.00元</t>
        </is>
      </c>
      <c r="E154" t="inlineStr">
        <is>
          <t>6.1折</t>
        </is>
      </c>
      <c r="F154">
        <f>HYPERLINK("https://i0.hdslb.com/bfs/mall/mall/7c/7f/7c7f49f113e2607cd83c8f20f7bdbe2b.png", "点击查看图片")</f>
        <v/>
      </c>
      <c r="G154">
        <f>HYPERLINK("https://mall.bilibili.com/neul-next/index.html?page=magic-market_detail&amp;noTitleBar=1&amp;itemsId=109810097916&amp;from=market_index", "点击打开")</f>
        <v/>
      </c>
    </row>
    <row r="155">
      <c r="A155" t="inlineStr">
        <is>
          <t>FuRyu 初音未来 波斯菊花仙子 景品手办</t>
        </is>
      </c>
      <c r="B155" t="inlineStr">
        <is>
          <t>418.70元</t>
        </is>
      </c>
      <c r="C155" t="inlineStr">
        <is>
          <t>690.00元</t>
        </is>
      </c>
      <c r="D155" t="inlineStr">
        <is>
          <t>271.30元</t>
        </is>
      </c>
      <c r="E155" t="inlineStr">
        <is>
          <t>6.1折</t>
        </is>
      </c>
      <c r="F155">
        <f>HYPERLINK("https://i0.hdslb.com/bfs/mall/mall/a4/98/a4986b7b0cb891a10b7674c170768dd9.png", "点击查看图片")</f>
        <v/>
      </c>
      <c r="G155">
        <f>HYPERLINK("https://mall.bilibili.com/neul-next/index.html?page=magic-market_detail&amp;noTitleBar=1&amp;itemsId=120668815350&amp;from=market_index", "点击打开")</f>
        <v/>
      </c>
    </row>
    <row r="156">
      <c r="A156" t="inlineStr">
        <is>
          <t>世嘉 喜多川海梦 景品手办 再版</t>
        </is>
      </c>
      <c r="B156" t="inlineStr">
        <is>
          <t>75.00元</t>
        </is>
      </c>
      <c r="C156" t="inlineStr">
        <is>
          <t>105.00元</t>
        </is>
      </c>
      <c r="D156" t="inlineStr">
        <is>
          <t>30.00元</t>
        </is>
      </c>
      <c r="E156" t="inlineStr">
        <is>
          <t>7.1折</t>
        </is>
      </c>
      <c r="F156">
        <f>HYPERLINK("https://i0.hdslb.com/bfs/mall/mall/83/4b/834bb5fbdff8dcd30f9d182ef145a690.png", "点击查看图片")</f>
        <v/>
      </c>
      <c r="G156">
        <f>HYPERLINK("https://mall.bilibili.com/neul-next/index.html?page=magic-market_detail&amp;noTitleBar=1&amp;itemsId=109803749719&amp;from=market_index", "点击打开")</f>
        <v/>
      </c>
    </row>
    <row r="157">
      <c r="A157" t="inlineStr">
        <is>
          <t>ANIPLEX ONLINE 后藤独 Q版手办</t>
        </is>
      </c>
      <c r="B157" t="inlineStr">
        <is>
          <t>133.33元</t>
        </is>
      </c>
      <c r="C157" t="inlineStr">
        <is>
          <t>195.00元</t>
        </is>
      </c>
      <c r="D157" t="inlineStr">
        <is>
          <t>61.67元</t>
        </is>
      </c>
      <c r="E157" t="inlineStr">
        <is>
          <t>6.8折</t>
        </is>
      </c>
      <c r="F157">
        <f>HYPERLINK("https://i0.hdslb.com/bfs/mall/mall/8c/d7/8cd72a68b7035e2acbf66b8936d08b35.png", "点击查看图片")</f>
        <v/>
      </c>
      <c r="G157">
        <f>HYPERLINK("https://mall.bilibili.com/neul-next/index.html?page=magic-market_detail&amp;noTitleBar=1&amp;itemsId=109818835507&amp;from=market_index", "点击打开")</f>
        <v/>
      </c>
    </row>
    <row r="158">
      <c r="A158" t="inlineStr">
        <is>
          <t>世嘉 加藤惠 居家睡衣 景品手办</t>
        </is>
      </c>
      <c r="B158" t="inlineStr">
        <is>
          <t>75.00元</t>
        </is>
      </c>
      <c r="C158" t="inlineStr">
        <is>
          <t>109.00元</t>
        </is>
      </c>
      <c r="D158" t="inlineStr">
        <is>
          <t>34.00元</t>
        </is>
      </c>
      <c r="E158" t="inlineStr">
        <is>
          <t>6.9折</t>
        </is>
      </c>
      <c r="F158">
        <f>HYPERLINK("https://i0.hdslb.com/bfs/mall/mall/89/a4/89a45fc6e64cc200327bfdde7e4cf0ad.png", "点击查看图片")</f>
        <v/>
      </c>
      <c r="G158">
        <f>HYPERLINK("https://mall.bilibili.com/neul-next/index.html?page=magic-market_detail&amp;noTitleBar=1&amp;itemsId=109808501406&amp;from=market_index", "点击打开")</f>
        <v/>
      </c>
    </row>
    <row r="159">
      <c r="A159" t="inlineStr">
        <is>
          <t>PalVerse 有马加奈 Q版手办</t>
        </is>
      </c>
      <c r="B159" t="inlineStr">
        <is>
          <t>88.30元</t>
        </is>
      </c>
      <c r="C159" t="inlineStr">
        <is>
          <t>160.00元</t>
        </is>
      </c>
      <c r="D159" t="inlineStr">
        <is>
          <t>71.70元</t>
        </is>
      </c>
      <c r="E159" t="inlineStr">
        <is>
          <t>5.5折</t>
        </is>
      </c>
      <c r="F159">
        <f>HYPERLINK("https://i0.hdslb.com/bfs/mall/mall/6b/91/6b9139cbd5fa33bf80622b64ed5e01af.png", "点击查看图片")</f>
        <v/>
      </c>
      <c r="G159">
        <f>HYPERLINK("https://mall.bilibili.com/neul-next/index.html?page=magic-market_detail&amp;noTitleBar=1&amp;itemsId=109804793008&amp;from=market_index", "点击打开")</f>
        <v/>
      </c>
    </row>
    <row r="160">
      <c r="A160" t="inlineStr">
        <is>
          <t>世嘉 绫波零 长发Ver. 景品手办 再版</t>
        </is>
      </c>
      <c r="B160" t="inlineStr">
        <is>
          <t>140.00元</t>
        </is>
      </c>
      <c r="C160" t="inlineStr">
        <is>
          <t>210.00元</t>
        </is>
      </c>
      <c r="D160" t="inlineStr">
        <is>
          <t>70.00元</t>
        </is>
      </c>
      <c r="E160" t="inlineStr">
        <is>
          <t>6.7折</t>
        </is>
      </c>
      <c r="F160">
        <f>HYPERLINK("https://i0.hdslb.com/bfs/mall/mall/56/81/5681e5ad2f203926217ead928976e25b.png", "点击查看图片")</f>
        <v/>
      </c>
      <c r="G160">
        <f>HYPERLINK("https://mall.bilibili.com/neul-next/index.html?page=magic-market_detail&amp;noTitleBar=1&amp;itemsId=109871091642&amp;from=market_index", "点击打开")</f>
        <v/>
      </c>
    </row>
    <row r="161">
      <c r="A161" t="inlineStr">
        <is>
          <t>TAITO 白 Renewal ver.  景品手办</t>
        </is>
      </c>
      <c r="B161" t="inlineStr">
        <is>
          <t>85.00元</t>
        </is>
      </c>
      <c r="C161" t="inlineStr">
        <is>
          <t>112.00元</t>
        </is>
      </c>
      <c r="D161" t="inlineStr">
        <is>
          <t>27.00元</t>
        </is>
      </c>
      <c r="E161" t="inlineStr">
        <is>
          <t>7.6折</t>
        </is>
      </c>
      <c r="F161">
        <f>HYPERLINK("https://i0.hdslb.com/bfs/mall/mall/33/e0/33e0a099bd66d410e2698e4bcf382629.png", "点击查看图片")</f>
        <v/>
      </c>
      <c r="G161">
        <f>HYPERLINK("https://mall.bilibili.com/neul-next/index.html?page=magic-market_detail&amp;noTitleBar=1&amp;itemsId=109822144974&amp;from=market_index", "点击打开")</f>
        <v/>
      </c>
    </row>
    <row r="162">
      <c r="A162" t="inlineStr">
        <is>
          <t>世嘉 桐间纱路 制服 景品手办 再版</t>
        </is>
      </c>
      <c r="B162" t="inlineStr">
        <is>
          <t>80.89元</t>
        </is>
      </c>
      <c r="C162" t="inlineStr">
        <is>
          <t>105.00元</t>
        </is>
      </c>
      <c r="D162" t="inlineStr">
        <is>
          <t>24.11元</t>
        </is>
      </c>
      <c r="E162" t="inlineStr">
        <is>
          <t>7.7折</t>
        </is>
      </c>
      <c r="F162">
        <f>HYPERLINK("https://i0.hdslb.com/bfs/mall/mall/63/25/6325db2f20ef35ef1a95fa213e492718.png", "点击查看图片")</f>
        <v/>
      </c>
      <c r="G162">
        <f>HYPERLINK("https://mall.bilibili.com/neul-next/index.html?page=magic-market_detail&amp;noTitleBar=1&amp;itemsId=107042770671&amp;from=market_index", "点击打开")</f>
        <v/>
      </c>
    </row>
    <row r="163">
      <c r="A163" t="inlineStr">
        <is>
          <t>TAITO 惠惠 水着ver. 景品手办</t>
        </is>
      </c>
      <c r="B163" t="inlineStr">
        <is>
          <t>85.00元</t>
        </is>
      </c>
      <c r="C163" t="inlineStr">
        <is>
          <t>112.00元</t>
        </is>
      </c>
      <c r="D163" t="inlineStr">
        <is>
          <t>27.00元</t>
        </is>
      </c>
      <c r="E163" t="inlineStr">
        <is>
          <t>7.6折</t>
        </is>
      </c>
      <c r="F163">
        <f>HYPERLINK("https://i0.hdslb.com/bfs/mall/mall/d7/e3/d7e3ef9853c4bbbae0a19a170c2bc48c.png", "点击查看图片")</f>
        <v/>
      </c>
      <c r="G163">
        <f>HYPERLINK("https://mall.bilibili.com/neul-next/index.html?page=magic-market_detail&amp;noTitleBar=1&amp;itemsId=109815044780&amp;from=market_index", "点击打开")</f>
        <v/>
      </c>
    </row>
    <row r="164">
      <c r="A164" t="inlineStr">
        <is>
          <t>FuRyu 中野五月 Bunnies ver. 景品手办</t>
        </is>
      </c>
      <c r="B164" t="inlineStr">
        <is>
          <t>119.00元</t>
        </is>
      </c>
      <c r="C164" t="inlineStr">
        <is>
          <t>119.00元</t>
        </is>
      </c>
      <c r="D164" t="inlineStr">
        <is>
          <t>0.00元</t>
        </is>
      </c>
      <c r="E164" t="inlineStr">
        <is>
          <t>10.0折</t>
        </is>
      </c>
      <c r="F164">
        <f>HYPERLINK("https://i0.hdslb.com/bfs/mall/mall/f8/d6/f8d6b0cb73a79e5b3cb1e353995dfdc6.png", "点击查看图片")</f>
        <v/>
      </c>
      <c r="G164">
        <f>HYPERLINK("https://mall.bilibili.com/neul-next/index.html?page=magic-market_detail&amp;noTitleBar=1&amp;itemsId=111909796236&amp;from=market_index", "点击打开")</f>
        <v/>
      </c>
    </row>
    <row r="165">
      <c r="A165" t="inlineStr">
        <is>
          <t>TAITO  初音未来 Winter Live 景品手办 再版</t>
        </is>
      </c>
      <c r="B165" t="inlineStr">
        <is>
          <t>748.99元</t>
        </is>
      </c>
      <c r="C165" t="inlineStr">
        <is>
          <t>1120.00元</t>
        </is>
      </c>
      <c r="D165" t="inlineStr">
        <is>
          <t>371.01元</t>
        </is>
      </c>
      <c r="E165" t="inlineStr">
        <is>
          <t>6.7折</t>
        </is>
      </c>
      <c r="F165">
        <f>HYPERLINK("https://i0.hdslb.com/bfs/mall/mall/d6/b0/d6b0f2495e5511c7b154379cf6719ba6.png", "点击查看图片")</f>
        <v/>
      </c>
      <c r="G165">
        <f>HYPERLINK("https://mall.bilibili.com/neul-next/index.html?page=magic-market_detail&amp;noTitleBar=1&amp;itemsId=111911448981&amp;from=market_index", "点击打开")</f>
        <v/>
      </c>
    </row>
    <row r="166">
      <c r="A166" t="inlineStr">
        <is>
          <t>TAITO 伊蕾娜 猫耳女仆Renewal 景品手办</t>
        </is>
      </c>
      <c r="B166" t="inlineStr">
        <is>
          <t>66.00元</t>
        </is>
      </c>
      <c r="C166" t="inlineStr">
        <is>
          <t>112.00元</t>
        </is>
      </c>
      <c r="D166" t="inlineStr">
        <is>
          <t>46.00元</t>
        </is>
      </c>
      <c r="E166" t="inlineStr">
        <is>
          <t>5.9折</t>
        </is>
      </c>
      <c r="F166">
        <f>HYPERLINK("https://i0.hdslb.com/bfs/mall/mall/3e/dd/3edd6aa386b364bb25b03149e3cd5121.png", "点击查看图片")</f>
        <v/>
      </c>
      <c r="G166">
        <f>HYPERLINK("https://mall.bilibili.com/neul-next/index.html?page=magic-market_detail&amp;noTitleBar=1&amp;itemsId=106744259701&amp;from=market_index", "点击打开")</f>
        <v/>
      </c>
    </row>
    <row r="167">
      <c r="A167" t="inlineStr">
        <is>
          <t>世嘉 莱莎琳·斯托特 景品手办</t>
        </is>
      </c>
      <c r="B167" t="inlineStr">
        <is>
          <t>78.00元</t>
        </is>
      </c>
      <c r="C167" t="inlineStr">
        <is>
          <t>105.00元</t>
        </is>
      </c>
      <c r="D167" t="inlineStr">
        <is>
          <t>27.00元</t>
        </is>
      </c>
      <c r="E167" t="inlineStr">
        <is>
          <t>7.4折</t>
        </is>
      </c>
      <c r="F167">
        <f>HYPERLINK("https://i0.hdslb.com/bfs/mall/mall/08/ce/08cec03547ab5b7219a17972d03d4f56.png", "点击查看图片")</f>
        <v/>
      </c>
      <c r="G167">
        <f>HYPERLINK("https://mall.bilibili.com/neul-next/index.html?page=magic-market_detail&amp;noTitleBar=1&amp;itemsId=109807174248&amp;from=market_index", "点击打开")</f>
        <v/>
      </c>
    </row>
    <row r="168">
      <c r="A168" t="inlineStr">
        <is>
          <t>世嘉  后藤独 景品手办</t>
        </is>
      </c>
      <c r="B168" t="inlineStr">
        <is>
          <t>420.00元</t>
        </is>
      </c>
      <c r="C168" t="inlineStr">
        <is>
          <t>654.00元</t>
        </is>
      </c>
      <c r="D168" t="inlineStr">
        <is>
          <t>234.00元</t>
        </is>
      </c>
      <c r="E168" t="inlineStr">
        <is>
          <t>6.4折</t>
        </is>
      </c>
      <c r="F168">
        <f>HYPERLINK("https://i0.hdslb.com/bfs/mall/mall/9e/07/9e07954c6bc4d14ce2699671dd0eb0a9.png", "点击查看图片")</f>
        <v/>
      </c>
      <c r="G168">
        <f>HYPERLINK("https://mall.bilibili.com/neul-next/index.html?page=magic-market_detail&amp;noTitleBar=1&amp;itemsId=111916687629&amp;from=market_index", "点击打开")</f>
        <v/>
      </c>
    </row>
    <row r="169">
      <c r="A169" t="inlineStr">
        <is>
          <t>世嘉 樱岛麻衣 景品手办</t>
        </is>
      </c>
      <c r="B169" t="inlineStr">
        <is>
          <t>140.00元</t>
        </is>
      </c>
      <c r="C169" t="inlineStr">
        <is>
          <t>210.00元</t>
        </is>
      </c>
      <c r="D169" t="inlineStr">
        <is>
          <t>70.00元</t>
        </is>
      </c>
      <c r="E169" t="inlineStr">
        <is>
          <t>6.7折</t>
        </is>
      </c>
      <c r="F169">
        <f>HYPERLINK("https://i0.hdslb.com/bfs/mall/mall/7c/11/7c1122f1989e41730e2b955093448bb6.png", "点击查看图片")</f>
        <v/>
      </c>
      <c r="G169">
        <f>HYPERLINK("https://mall.bilibili.com/neul-next/index.html?page=magic-market_detail&amp;noTitleBar=1&amp;itemsId=109869918876&amp;from=market_index", "点击打开")</f>
        <v/>
      </c>
    </row>
    <row r="170">
      <c r="A170" t="inlineStr">
        <is>
          <t>S-FIRE 绫波零 Q版手办</t>
        </is>
      </c>
      <c r="B170" t="inlineStr">
        <is>
          <t>128.00元</t>
        </is>
      </c>
      <c r="C170" t="inlineStr">
        <is>
          <t>324.00元</t>
        </is>
      </c>
      <c r="D170" t="inlineStr">
        <is>
          <t>196.00元</t>
        </is>
      </c>
      <c r="E170" t="inlineStr">
        <is>
          <t>4.0折</t>
        </is>
      </c>
      <c r="F170">
        <f>HYPERLINK("https://i0.hdslb.com/bfs/mall/mall/6f/66/6f668577d1bcfe43ac5e2e4cd62b3d51.png", "点击查看图片")</f>
        <v/>
      </c>
      <c r="G170">
        <f>HYPERLINK("https://mall.bilibili.com/neul-next/index.html?page=magic-market_detail&amp;noTitleBar=1&amp;itemsId=110472136356&amp;from=market_index", "点击打开")</f>
        <v/>
      </c>
    </row>
    <row r="171">
      <c r="A171" t="inlineStr">
        <is>
          <t>TAITO 春日野穹 景品手办 再版</t>
        </is>
      </c>
      <c r="B171" t="inlineStr">
        <is>
          <t>77.70元</t>
        </is>
      </c>
      <c r="C171" t="inlineStr">
        <is>
          <t>112.00元</t>
        </is>
      </c>
      <c r="D171" t="inlineStr">
        <is>
          <t>34.30元</t>
        </is>
      </c>
      <c r="E171" t="inlineStr">
        <is>
          <t>6.9折</t>
        </is>
      </c>
      <c r="F171">
        <f>HYPERLINK("https://i0.hdslb.com/bfs/mall/mall/7f/b0/7fb069f68bd8a755230161c6f135b20c.png", "点击查看图片")</f>
        <v/>
      </c>
      <c r="G171">
        <f>HYPERLINK("https://mall.bilibili.com/neul-next/index.html?page=magic-market_detail&amp;noTitleBar=1&amp;itemsId=109812993082&amp;from=market_index", "点击打开")</f>
        <v/>
      </c>
    </row>
    <row r="172">
      <c r="A172" t="inlineStr">
        <is>
          <t>FuRyu 赛马娘 爱慕织姬  景品手办</t>
        </is>
      </c>
      <c r="B172" t="inlineStr">
        <is>
          <t>65.00元</t>
        </is>
      </c>
      <c r="C172" t="inlineStr">
        <is>
          <t>85.00元</t>
        </is>
      </c>
      <c r="D172" t="inlineStr">
        <is>
          <t>20.00元</t>
        </is>
      </c>
      <c r="E172" t="inlineStr">
        <is>
          <t>7.6折</t>
        </is>
      </c>
      <c r="F172">
        <f>HYPERLINK("https://i0.hdslb.com/bfs/mall/mall/80/d9/80d9346e6714d17732240066f1b8ff93.png", "点击查看图片")</f>
        <v/>
      </c>
      <c r="G172">
        <f>HYPERLINK("https://mall.bilibili.com/neul-next/index.html?page=magic-market_detail&amp;noTitleBar=1&amp;itemsId=106955707355&amp;from=market_index", "点击打开")</f>
        <v/>
      </c>
    </row>
    <row r="173">
      <c r="A173" t="inlineStr">
        <is>
          <t>TAITO 芙莉莲 景品手办</t>
        </is>
      </c>
      <c r="B173" t="inlineStr">
        <is>
          <t>169.00元</t>
        </is>
      </c>
      <c r="C173" t="inlineStr">
        <is>
          <t>224.00元</t>
        </is>
      </c>
      <c r="D173" t="inlineStr">
        <is>
          <t>55.00元</t>
        </is>
      </c>
      <c r="E173" t="inlineStr">
        <is>
          <t>7.5折</t>
        </is>
      </c>
      <c r="F173">
        <f>HYPERLINK("https://i0.hdslb.com/bfs/mall/mall/45/ca/45ca371f849f8128dd04429c04d8e2a3.png", "点击查看图片")</f>
        <v/>
      </c>
      <c r="G173">
        <f>HYPERLINK("https://mall.bilibili.com/neul-next/index.html?page=magic-market_detail&amp;noTitleBar=1&amp;itemsId=109892011883&amp;from=market_index", "点击打开")</f>
        <v/>
      </c>
    </row>
    <row r="174">
      <c r="A174" t="inlineStr">
        <is>
          <t>世嘉 不愿败北 Debby·the·Corsifa 景品手办</t>
        </is>
      </c>
      <c r="B174" t="inlineStr">
        <is>
          <t>78.00元</t>
        </is>
      </c>
      <c r="C174" t="inlineStr">
        <is>
          <t>119.00元</t>
        </is>
      </c>
      <c r="D174" t="inlineStr">
        <is>
          <t>41.00元</t>
        </is>
      </c>
      <c r="E174" t="inlineStr">
        <is>
          <t>6.6折</t>
        </is>
      </c>
      <c r="F174">
        <f>HYPERLINK("https://i0.hdslb.com/bfs/mall/mall/a4/ea/a4ead30b50b3001a1e01d7cff4ea5aa6.png", "点击查看图片")</f>
        <v/>
      </c>
      <c r="G174">
        <f>HYPERLINK("https://mall.bilibili.com/neul-next/index.html?page=magic-market_detail&amp;noTitleBar=1&amp;itemsId=106941735969&amp;from=market_index", "点击打开")</f>
        <v/>
      </c>
    </row>
    <row r="175">
      <c r="A175" t="inlineStr">
        <is>
          <t>FuRyu 中野二乃 景品手办</t>
        </is>
      </c>
      <c r="B175" t="inlineStr">
        <is>
          <t>61.00元</t>
        </is>
      </c>
      <c r="C175" t="inlineStr">
        <is>
          <t>119.00元</t>
        </is>
      </c>
      <c r="D175" t="inlineStr">
        <is>
          <t>58.00元</t>
        </is>
      </c>
      <c r="E175" t="inlineStr">
        <is>
          <t>5.1折</t>
        </is>
      </c>
      <c r="F175">
        <f>HYPERLINK("https://i0.hdslb.com/bfs/mall/mall/30/f3/30f3ddd0180bb3affe4ad15e93ee8982.png", "点击查看图片")</f>
        <v/>
      </c>
      <c r="G175">
        <f>HYPERLINK("https://mall.bilibili.com/neul-next/index.html?page=magic-market_detail&amp;noTitleBar=1&amp;itemsId=109821158962&amp;from=market_index", "点击打开")</f>
        <v/>
      </c>
    </row>
    <row r="176">
      <c r="A176" t="inlineStr">
        <is>
          <t>PalVerse 狼与香辛料 MERCHANT MEETS THE WISE WOLF 赫萝 Q版手办</t>
        </is>
      </c>
      <c r="B176" t="inlineStr">
        <is>
          <t>111.00元</t>
        </is>
      </c>
      <c r="C176" t="inlineStr">
        <is>
          <t>150.00元</t>
        </is>
      </c>
      <c r="D176" t="inlineStr">
        <is>
          <t>39.00元</t>
        </is>
      </c>
      <c r="E176" t="inlineStr">
        <is>
          <t>7.4折</t>
        </is>
      </c>
      <c r="F176">
        <f>HYPERLINK("https://i0.hdslb.com/bfs/mall/mall/66/40/664033327cc1dfea50eee350c5b968bf.png", "点击查看图片")</f>
        <v/>
      </c>
      <c r="G176">
        <f>HYPERLINK("https://mall.bilibili.com/neul-next/index.html?page=magic-market_detail&amp;noTitleBar=1&amp;itemsId=110474876084&amp;from=market_index", "点击打开")</f>
        <v/>
      </c>
    </row>
    <row r="177">
      <c r="A177" t="inlineStr">
        <is>
          <t>世嘉 阿尼亚·福杰 景品手办</t>
        </is>
      </c>
      <c r="B177" t="inlineStr">
        <is>
          <t>85.00元</t>
        </is>
      </c>
      <c r="C177" t="inlineStr">
        <is>
          <t>109.00元</t>
        </is>
      </c>
      <c r="D177" t="inlineStr">
        <is>
          <t>24.00元</t>
        </is>
      </c>
      <c r="E177" t="inlineStr">
        <is>
          <t>7.8折</t>
        </is>
      </c>
      <c r="F177">
        <f>HYPERLINK("https://i0.hdslb.com/bfs/mall/mall/ee/e1/eee16854943fd5fb2359d6f54d5f6c6c.png", "点击查看图片")</f>
        <v/>
      </c>
      <c r="G177">
        <f>HYPERLINK("https://mall.bilibili.com/neul-next/index.html?page=magic-market_detail&amp;noTitleBar=1&amp;itemsId=107108172155&amp;from=market_index", "点击打开")</f>
        <v/>
      </c>
    </row>
    <row r="178">
      <c r="A178" t="inlineStr">
        <is>
          <t>世嘉 泽村·斯潘塞·英梨梨 景品手办</t>
        </is>
      </c>
      <c r="B178" t="inlineStr">
        <is>
          <t>85.00元</t>
        </is>
      </c>
      <c r="C178" t="inlineStr">
        <is>
          <t>109.00元</t>
        </is>
      </c>
      <c r="D178" t="inlineStr">
        <is>
          <t>24.00元</t>
        </is>
      </c>
      <c r="E178" t="inlineStr">
        <is>
          <t>7.8折</t>
        </is>
      </c>
      <c r="F178">
        <f>HYPERLINK("https://i0.hdslb.com/bfs/mall/mall/27/6e/276e8b77a9310ce18607910e630d8a78.png", "点击查看图片")</f>
        <v/>
      </c>
      <c r="G178">
        <f>HYPERLINK("https://mall.bilibili.com/neul-next/index.html?page=magic-market_detail&amp;noTitleBar=1&amp;itemsId=107154215947&amp;from=market_index", "点击打开")</f>
        <v/>
      </c>
    </row>
    <row r="179">
      <c r="A179" t="inlineStr">
        <is>
          <t>FuRyu 初音未来 盛装出行 景品手办</t>
        </is>
      </c>
      <c r="B179" t="inlineStr">
        <is>
          <t>67.79元</t>
        </is>
      </c>
      <c r="C179" t="inlineStr">
        <is>
          <t>119.00元</t>
        </is>
      </c>
      <c r="D179" t="inlineStr">
        <is>
          <t>51.21元</t>
        </is>
      </c>
      <c r="E179" t="inlineStr">
        <is>
          <t>5.7折</t>
        </is>
      </c>
      <c r="F179">
        <f>HYPERLINK("https://i0.hdslb.com/bfs/mall/mall/5f/70/5f700f82e5c5b4a9940f709db75b67a0.png", "点击查看图片")</f>
        <v/>
      </c>
      <c r="G179">
        <f>HYPERLINK("https://mall.bilibili.com/neul-next/index.html?page=magic-market_detail&amp;noTitleBar=1&amp;itemsId=109818090551&amp;from=market_index", "点击打开")</f>
        <v/>
      </c>
    </row>
    <row r="180">
      <c r="A180" t="inlineStr">
        <is>
          <t>FuRyu 中野三玖 水手服 景品手办</t>
        </is>
      </c>
      <c r="B180" t="inlineStr">
        <is>
          <t>105.00元</t>
        </is>
      </c>
      <c r="C180" t="inlineStr">
        <is>
          <t>129.00元</t>
        </is>
      </c>
      <c r="D180" t="inlineStr">
        <is>
          <t>24.00元</t>
        </is>
      </c>
      <c r="E180" t="inlineStr">
        <is>
          <t>8.1折</t>
        </is>
      </c>
      <c r="F180">
        <f>HYPERLINK("https://i0.hdslb.com/bfs/mall/mall/3e/25/3e25f62e526e579028edfd26085f77b6.png", "点击查看图片")</f>
        <v/>
      </c>
      <c r="G180">
        <f>HYPERLINK("https://mall.bilibili.com/neul-next/index.html?page=magic-market_detail&amp;noTitleBar=1&amp;itemsId=111913910075&amp;from=market_index", "点击打开")</f>
        <v/>
      </c>
    </row>
    <row r="181">
      <c r="A181" t="inlineStr">
        <is>
          <t>世嘉 初音未来 雪未来SKY TOWN 景品手办</t>
        </is>
      </c>
      <c r="B181" t="inlineStr">
        <is>
          <t>88.99元</t>
        </is>
      </c>
      <c r="C181" t="inlineStr">
        <is>
          <t>115.00元</t>
        </is>
      </c>
      <c r="D181" t="inlineStr">
        <is>
          <t>26.01元</t>
        </is>
      </c>
      <c r="E181" t="inlineStr">
        <is>
          <t>7.7折</t>
        </is>
      </c>
      <c r="F181">
        <f>HYPERLINK("https://i0.hdslb.com/bfs/mall/mall/6b/4d/6b4d47056e8a3092af9c02f225e236ea.png", "点击查看图片")</f>
        <v/>
      </c>
      <c r="G181">
        <f>HYPERLINK("https://mall.bilibili.com/neul-next/index.html?page=magic-market_detail&amp;noTitleBar=1&amp;itemsId=107141721553&amp;from=market_index", "点击打开")</f>
        <v/>
      </c>
    </row>
    <row r="182">
      <c r="A182" t="inlineStr">
        <is>
          <t>FuRyu 樱岛麻衣 景品手办</t>
        </is>
      </c>
      <c r="B182" t="inlineStr">
        <is>
          <t>65.00元</t>
        </is>
      </c>
      <c r="C182" t="inlineStr">
        <is>
          <t>129.00元</t>
        </is>
      </c>
      <c r="D182" t="inlineStr">
        <is>
          <t>64.00元</t>
        </is>
      </c>
      <c r="E182" t="inlineStr">
        <is>
          <t>5.0折</t>
        </is>
      </c>
      <c r="F182">
        <f>HYPERLINK("https://i0.hdslb.com/bfs/mall/mall/b5/2f/b52f43daf8bbd4a0d008781947e0fc36.png", "点击查看图片")</f>
        <v/>
      </c>
      <c r="G182">
        <f>HYPERLINK("https://mall.bilibili.com/neul-next/index.html?page=magic-market_detail&amp;noTitleBar=1&amp;itemsId=107142470295&amp;from=market_index", "点击打开")</f>
        <v/>
      </c>
    </row>
    <row r="183">
      <c r="A183" t="inlineStr">
        <is>
          <t>世嘉 莱莎琳·斯托特 景品手办</t>
        </is>
      </c>
      <c r="B183" t="inlineStr">
        <is>
          <t>145.83元</t>
        </is>
      </c>
      <c r="C183" t="inlineStr">
        <is>
          <t>218.00元</t>
        </is>
      </c>
      <c r="D183" t="inlineStr">
        <is>
          <t>72.17元</t>
        </is>
      </c>
      <c r="E183" t="inlineStr">
        <is>
          <t>6.7折</t>
        </is>
      </c>
      <c r="F183">
        <f>HYPERLINK("https://i0.hdslb.com/bfs/mall/mall/96/a8/96a8acdaa283f82179556001311c13f4.png", "点击查看图片")</f>
        <v/>
      </c>
      <c r="G183">
        <f>HYPERLINK("https://mall.bilibili.com/neul-next/index.html?page=magic-market_detail&amp;noTitleBar=1&amp;itemsId=109875448610&amp;from=market_index", "点击打开")</f>
        <v/>
      </c>
    </row>
    <row r="184">
      <c r="A184" t="inlineStr">
        <is>
          <t>TAITO 莱莎琳·斯托特 景品手办</t>
        </is>
      </c>
      <c r="B184" t="inlineStr">
        <is>
          <t>100.00元</t>
        </is>
      </c>
      <c r="C184" t="inlineStr">
        <is>
          <t>119.00元</t>
        </is>
      </c>
      <c r="D184" t="inlineStr">
        <is>
          <t>19.00元</t>
        </is>
      </c>
      <c r="E184" t="inlineStr">
        <is>
          <t>8.4折</t>
        </is>
      </c>
      <c r="F184">
        <f>HYPERLINK("https://i0.hdslb.com/bfs/mall/mall/38/66/38660ffaf31a14766636fad6380a08c0.png", "点击查看图片")</f>
        <v/>
      </c>
      <c r="G184">
        <f>HYPERLINK("https://mall.bilibili.com/neul-next/index.html?page=magic-market_detail&amp;noTitleBar=1&amp;itemsId=111913392794&amp;from=market_index", "点击打开")</f>
        <v/>
      </c>
    </row>
    <row r="185">
      <c r="A185" t="inlineStr">
        <is>
          <t>TAITO 雅儿贝德 水着ver. Renewal 景品手办</t>
        </is>
      </c>
      <c r="B185" t="inlineStr">
        <is>
          <t>87.61元</t>
        </is>
      </c>
      <c r="C185" t="inlineStr">
        <is>
          <t>112.00元</t>
        </is>
      </c>
      <c r="D185" t="inlineStr">
        <is>
          <t>24.39元</t>
        </is>
      </c>
      <c r="E185" t="inlineStr">
        <is>
          <t>7.8折</t>
        </is>
      </c>
      <c r="F185">
        <f>HYPERLINK("https://i0.hdslb.com/bfs/mall/mall/1f/af/1faf366d8c5bb1902212e03b2719531f.png", "点击查看图片")</f>
        <v/>
      </c>
      <c r="G185">
        <f>HYPERLINK("https://mall.bilibili.com/neul-next/index.html?page=magic-market_detail&amp;noTitleBar=1&amp;itemsId=109807404356&amp;from=market_index", "点击打开")</f>
        <v/>
      </c>
    </row>
    <row r="186">
      <c r="A186" t="inlineStr">
        <is>
          <t>FuRyu 拉芙塔莉雅 兔女郎Ver. 景品手办</t>
        </is>
      </c>
      <c r="B186" t="inlineStr">
        <is>
          <t>100.00元</t>
        </is>
      </c>
      <c r="C186" t="inlineStr">
        <is>
          <t>138.00元</t>
        </is>
      </c>
      <c r="D186" t="inlineStr">
        <is>
          <t>38.00元</t>
        </is>
      </c>
      <c r="E186" t="inlineStr">
        <is>
          <t>7.2折</t>
        </is>
      </c>
      <c r="F186">
        <f>HYPERLINK("https://i0.hdslb.com/bfs/mall/mall/6a/4e/6a4ee36be89a89dfbf4c308175b1967a.png", "点击查看图片")</f>
        <v/>
      </c>
      <c r="G186">
        <f>HYPERLINK("https://mall.bilibili.com/neul-next/index.html?page=magic-market_detail&amp;noTitleBar=1&amp;itemsId=109884019342&amp;from=market_index", "点击打开")</f>
        <v/>
      </c>
    </row>
    <row r="187">
      <c r="A187" t="inlineStr">
        <is>
          <t>S-FIRE Meiko Q版手办</t>
        </is>
      </c>
      <c r="B187" t="inlineStr">
        <is>
          <t>189.00元</t>
        </is>
      </c>
      <c r="C187" t="inlineStr">
        <is>
          <t>324.00元</t>
        </is>
      </c>
      <c r="D187" t="inlineStr">
        <is>
          <t>135.00元</t>
        </is>
      </c>
      <c r="E187" t="inlineStr">
        <is>
          <t>5.8折</t>
        </is>
      </c>
      <c r="F187">
        <f>HYPERLINK("https://i0.hdslb.com/bfs/mall/mall/1a/0c/1a0c7dceda75c7c8eef06caa87e17c4a.png", "点击查看图片")</f>
        <v/>
      </c>
      <c r="G187">
        <f>HYPERLINK("https://mall.bilibili.com/neul-next/index.html?page=magic-market_detail&amp;noTitleBar=1&amp;itemsId=111907656910&amp;from=market_index", "点击打开")</f>
        <v/>
      </c>
    </row>
    <row r="188">
      <c r="A188" t="inlineStr">
        <is>
          <t>世嘉 广井菊里 景品手办</t>
        </is>
      </c>
      <c r="B188" t="inlineStr">
        <is>
          <t>51.00元</t>
        </is>
      </c>
      <c r="C188" t="inlineStr">
        <is>
          <t>105.00元</t>
        </is>
      </c>
      <c r="D188" t="inlineStr">
        <is>
          <t>54.00元</t>
        </is>
      </c>
      <c r="E188" t="inlineStr">
        <is>
          <t>4.9折</t>
        </is>
      </c>
      <c r="F188">
        <f>HYPERLINK("https://i0.hdslb.com/bfs/mall/mall/f5/e7/f5e7146f5f009658f8ccdddb2db329bc.png", "点击查看图片")</f>
        <v/>
      </c>
      <c r="G188">
        <f>HYPERLINK("https://mall.bilibili.com/neul-next/index.html?page=magic-market_detail&amp;noTitleBar=1&amp;itemsId=109807157774&amp;from=market_index", "点击打开")</f>
        <v/>
      </c>
    </row>
    <row r="189">
      <c r="A189" t="inlineStr">
        <is>
          <t>世嘉 大室樱子 景品手办</t>
        </is>
      </c>
      <c r="B189" t="inlineStr">
        <is>
          <t>55.00元</t>
        </is>
      </c>
      <c r="C189" t="inlineStr">
        <is>
          <t>105.00元</t>
        </is>
      </c>
      <c r="D189" t="inlineStr">
        <is>
          <t>50.00元</t>
        </is>
      </c>
      <c r="E189" t="inlineStr">
        <is>
          <t>5.2折</t>
        </is>
      </c>
      <c r="F189">
        <f>HYPERLINK("https://i0.hdslb.com/bfs/mall/mall/74/47/7447e8a11e1d0c44a52685580399b160.png", "点击查看图片")</f>
        <v/>
      </c>
      <c r="G189">
        <f>HYPERLINK("https://mall.bilibili.com/neul-next/index.html?page=magic-market_detail&amp;noTitleBar=1&amp;itemsId=109812852491&amp;from=market_index", "点击打开")</f>
        <v/>
      </c>
    </row>
    <row r="190">
      <c r="A190" t="inlineStr">
        <is>
          <t>System Service 后藤独  景品手办</t>
        </is>
      </c>
      <c r="B190" t="inlineStr">
        <is>
          <t>59.00元</t>
        </is>
      </c>
      <c r="C190" t="inlineStr">
        <is>
          <t>125.00元</t>
        </is>
      </c>
      <c r="D190" t="inlineStr">
        <is>
          <t>66.00元</t>
        </is>
      </c>
      <c r="E190" t="inlineStr">
        <is>
          <t>4.7折</t>
        </is>
      </c>
      <c r="F190">
        <f>HYPERLINK("https://i0.hdslb.com/bfs/mall/mall/89/6e/896e149f301c78ac7bf202af03baf299.png", "点击查看图片")</f>
        <v/>
      </c>
      <c r="G190">
        <f>HYPERLINK("https://mall.bilibili.com/neul-next/index.html?page=magic-market_detail&amp;noTitleBar=1&amp;itemsId=109803864759&amp;from=market_index", "点击打开")</f>
        <v/>
      </c>
    </row>
    <row r="191">
      <c r="A191" t="inlineStr">
        <is>
          <t>FuRyu 樱岛麻衣 夏装 景品手办</t>
        </is>
      </c>
      <c r="B191" t="inlineStr">
        <is>
          <t>79.50元</t>
        </is>
      </c>
      <c r="C191" t="inlineStr">
        <is>
          <t>115.00元</t>
        </is>
      </c>
      <c r="D191" t="inlineStr">
        <is>
          <t>35.50元</t>
        </is>
      </c>
      <c r="E191" t="inlineStr">
        <is>
          <t>6.9折</t>
        </is>
      </c>
      <c r="F191">
        <f>HYPERLINK("https://i0.hdslb.com/bfs/mall/mall/f9/3a/f93ae8b1c85f22e4ea7d1fd3392dc9d9.png", "点击查看图片")</f>
        <v/>
      </c>
      <c r="G191">
        <f>HYPERLINK("https://mall.bilibili.com/neul-next/index.html?page=magic-market_detail&amp;noTitleBar=1&amp;itemsId=107148324927&amp;from=market_index", "点击打开")</f>
        <v/>
      </c>
    </row>
    <row r="192">
      <c r="A192" t="inlineStr">
        <is>
          <t>FuRyu 星宫六喰 水着Ver. 景品手办</t>
        </is>
      </c>
      <c r="B192" t="inlineStr">
        <is>
          <t>56.80元</t>
        </is>
      </c>
      <c r="C192" t="inlineStr">
        <is>
          <t>115.00元</t>
        </is>
      </c>
      <c r="D192" t="inlineStr">
        <is>
          <t>58.20元</t>
        </is>
      </c>
      <c r="E192" t="inlineStr">
        <is>
          <t>4.9折</t>
        </is>
      </c>
      <c r="F192">
        <f>HYPERLINK("https://i0.hdslb.com/bfs/mall/mall/eb/d4/ebd4f9af1bce3f93b853c2619943c6a0.png", "点击查看图片")</f>
        <v/>
      </c>
      <c r="G192">
        <f>HYPERLINK("https://mall.bilibili.com/neul-next/index.html?page=magic-market_detail&amp;noTitleBar=1&amp;itemsId=109811945686&amp;from=market_index", "点击打开")</f>
        <v/>
      </c>
    </row>
    <row r="193">
      <c r="A193" t="inlineStr">
        <is>
          <t>世嘉 拉姆 景品手办</t>
        </is>
      </c>
      <c r="B193" t="inlineStr">
        <is>
          <t>84.99元</t>
        </is>
      </c>
      <c r="C193" t="inlineStr">
        <is>
          <t>109.00元</t>
        </is>
      </c>
      <c r="D193" t="inlineStr">
        <is>
          <t>24.01元</t>
        </is>
      </c>
      <c r="E193" t="inlineStr">
        <is>
          <t>7.8折</t>
        </is>
      </c>
      <c r="F193">
        <f>HYPERLINK("https://i0.hdslb.com/bfs/mall/mall/19/16/191660bc78281a3acf9c2b1e2f197859.png", "点击查看图片")</f>
        <v/>
      </c>
      <c r="G193">
        <f>HYPERLINK("https://mall.bilibili.com/neul-next/index.html?page=magic-market_detail&amp;noTitleBar=1&amp;itemsId=107142874817&amp;from=market_index", "点击打开")</f>
        <v/>
      </c>
    </row>
    <row r="194">
      <c r="A194" t="inlineStr">
        <is>
          <t>FuRyu 赫萝 景品手办</t>
        </is>
      </c>
      <c r="B194" t="inlineStr">
        <is>
          <t>65.00元</t>
        </is>
      </c>
      <c r="C194" t="inlineStr">
        <is>
          <t>129.00元</t>
        </is>
      </c>
      <c r="D194" t="inlineStr">
        <is>
          <t>64.00元</t>
        </is>
      </c>
      <c r="E194" t="inlineStr">
        <is>
          <t>5.0折</t>
        </is>
      </c>
      <c r="F194">
        <f>HYPERLINK("https://i0.hdslb.com/bfs/mall/mall/6e/f4/6ef413ffc2b5b568fc7d2c2103d7be5e.png", "点击查看图片")</f>
        <v/>
      </c>
      <c r="G194">
        <f>HYPERLINK("https://mall.bilibili.com/neul-next/index.html?page=magic-market_detail&amp;noTitleBar=1&amp;itemsId=109808873628&amp;from=market_index", "点击打开")</f>
        <v/>
      </c>
    </row>
    <row r="195">
      <c r="A195" t="inlineStr">
        <is>
          <t>FuRyu 洛天依 兔女郎Ver. 景品手办</t>
        </is>
      </c>
      <c r="B195" t="inlineStr">
        <is>
          <t>76.00元</t>
        </is>
      </c>
      <c r="C195" t="inlineStr">
        <is>
          <t>129.00元</t>
        </is>
      </c>
      <c r="D195" t="inlineStr">
        <is>
          <t>53.00元</t>
        </is>
      </c>
      <c r="E195" t="inlineStr">
        <is>
          <t>5.9折</t>
        </is>
      </c>
      <c r="F195">
        <f>HYPERLINK("https://i0.hdslb.com/bfs/mall/mall/3d/f2/3df25d7c415337c32497de2905b131b2.png", "点击查看图片")</f>
        <v/>
      </c>
      <c r="G195">
        <f>HYPERLINK("https://mall.bilibili.com/neul-next/index.html?page=magic-market_detail&amp;noTitleBar=1&amp;itemsId=109815268889&amp;from=market_index", "点击打开")</f>
        <v/>
      </c>
    </row>
    <row r="196">
      <c r="A196" t="inlineStr">
        <is>
          <t>FuRyu 时崎狂三 兔女郎Ver. 景品手办</t>
        </is>
      </c>
      <c r="B196" t="inlineStr">
        <is>
          <t>84.00元</t>
        </is>
      </c>
      <c r="C196" t="inlineStr">
        <is>
          <t>129.00元</t>
        </is>
      </c>
      <c r="D196" t="inlineStr">
        <is>
          <t>45.00元</t>
        </is>
      </c>
      <c r="E196" t="inlineStr">
        <is>
          <t>6.5折</t>
        </is>
      </c>
      <c r="F196">
        <f>HYPERLINK("https://i0.hdslb.com/bfs/mall/mall/da/a3/daa348442396617124f2919ac4e2a215.png", "点击查看图片")</f>
        <v/>
      </c>
      <c r="G196">
        <f>HYPERLINK("https://mall.bilibili.com/neul-next/index.html?page=magic-market_detail&amp;noTitleBar=1&amp;itemsId=107054003525&amp;from=market_index", "点击打开")</f>
        <v/>
      </c>
    </row>
    <row r="197">
      <c r="A197" t="inlineStr">
        <is>
          <t>S-FIRE 镜音铃 Q版手办</t>
        </is>
      </c>
      <c r="B197" t="inlineStr">
        <is>
          <t>179.00元</t>
        </is>
      </c>
      <c r="C197" t="inlineStr">
        <is>
          <t>324.00元</t>
        </is>
      </c>
      <c r="D197" t="inlineStr">
        <is>
          <t>145.00元</t>
        </is>
      </c>
      <c r="E197" t="inlineStr">
        <is>
          <t>5.5折</t>
        </is>
      </c>
      <c r="F197">
        <f>HYPERLINK("https://i0.hdslb.com/bfs/mall/mall/64/4e/644ebee77b0cae7fa8b409e1d250f024.png", "点击查看图片")</f>
        <v/>
      </c>
      <c r="G197">
        <f>HYPERLINK("https://mall.bilibili.com/neul-next/index.html?page=magic-market_detail&amp;noTitleBar=1&amp;itemsId=111918023982&amp;from=market_index", "点击打开")</f>
        <v/>
      </c>
    </row>
    <row r="198">
      <c r="A198" t="inlineStr">
        <is>
          <t>TAITO 锦木千束 景品手办</t>
        </is>
      </c>
      <c r="B198" t="inlineStr">
        <is>
          <t>178.00元</t>
        </is>
      </c>
      <c r="C198" t="inlineStr">
        <is>
          <t>224.00元</t>
        </is>
      </c>
      <c r="D198" t="inlineStr">
        <is>
          <t>46.00元</t>
        </is>
      </c>
      <c r="E198" t="inlineStr">
        <is>
          <t>7.9折</t>
        </is>
      </c>
      <c r="F198">
        <f>HYPERLINK("https://i0.hdslb.com/bfs/mall/mall/70/50/7050da3ad8c530b91252beea08b73873.png", "点击查看图片")</f>
        <v/>
      </c>
      <c r="G198">
        <f>HYPERLINK("https://mall.bilibili.com/neul-next/index.html?page=magic-market_detail&amp;noTitleBar=1&amp;itemsId=111902932852&amp;from=market_index", "点击打开")</f>
        <v/>
      </c>
    </row>
    <row r="199">
      <c r="A199" t="inlineStr">
        <is>
          <t>FuRyu 白河月爱 景品手办</t>
        </is>
      </c>
      <c r="B199" t="inlineStr">
        <is>
          <t>76.00元</t>
        </is>
      </c>
      <c r="C199" t="inlineStr">
        <is>
          <t>119.00元</t>
        </is>
      </c>
      <c r="D199" t="inlineStr">
        <is>
          <t>43.00元</t>
        </is>
      </c>
      <c r="E199" t="inlineStr">
        <is>
          <t>6.4折</t>
        </is>
      </c>
      <c r="F199">
        <f>HYPERLINK("https://i0.hdslb.com/bfs/mall/mall/3f/74/3f74fd8cf24b81c9814c0853e302389c.png", "点击查看图片")</f>
        <v/>
      </c>
      <c r="G199">
        <f>HYPERLINK("https://mall.bilibili.com/neul-next/index.html?page=magic-market_detail&amp;noTitleBar=1&amp;itemsId=107103714907&amp;from=market_index", "点击打开")</f>
        <v/>
      </c>
    </row>
    <row r="200">
      <c r="A200" t="inlineStr">
        <is>
          <t>世嘉 兰卡·李 景品手办</t>
        </is>
      </c>
      <c r="B200" t="inlineStr">
        <is>
          <t>128.99元</t>
        </is>
      </c>
      <c r="C200" t="inlineStr">
        <is>
          <t>218.00元</t>
        </is>
      </c>
      <c r="D200" t="inlineStr">
        <is>
          <t>89.01元</t>
        </is>
      </c>
      <c r="E200" t="inlineStr">
        <is>
          <t>5.9折</t>
        </is>
      </c>
      <c r="F200">
        <f>HYPERLINK("https://i0.hdslb.com/bfs/mall/mall/dd/d9/ddd9909236ea9a0c752927d80127d00d.png", "点击查看图片")</f>
        <v/>
      </c>
      <c r="G200">
        <f>HYPERLINK("https://mall.bilibili.com/neul-next/index.html?page=magic-market_detail&amp;noTitleBar=1&amp;itemsId=111914170276&amp;from=market_index", "点击打开")</f>
        <v/>
      </c>
    </row>
    <row r="201">
      <c r="A201" t="inlineStr">
        <is>
          <t>TAITO 踩葡萄的少女Renewal 景品手办</t>
        </is>
      </c>
      <c r="B201" t="inlineStr">
        <is>
          <t>112.00元</t>
        </is>
      </c>
      <c r="C201" t="inlineStr">
        <is>
          <t>112.00元</t>
        </is>
      </c>
      <c r="D201" t="inlineStr">
        <is>
          <t>0.00元</t>
        </is>
      </c>
      <c r="E201" t="inlineStr">
        <is>
          <t>10.0折</t>
        </is>
      </c>
      <c r="F201">
        <f>HYPERLINK("https://i0.hdslb.com/bfs/mall/mall/23/d9/23d9b9365251d412b48dab033f49379f.png", "点击查看图片")</f>
        <v/>
      </c>
      <c r="G201">
        <f>HYPERLINK("https://mall.bilibili.com/neul-next/index.html?page=magic-market_detail&amp;noTitleBar=1&amp;itemsId=109885612257&amp;from=market_index", "点击打开")</f>
        <v/>
      </c>
    </row>
    <row r="202">
      <c r="A202" t="inlineStr">
        <is>
          <t>TAITO 星野露比 制服ver. 景品手办</t>
        </is>
      </c>
      <c r="B202" t="inlineStr">
        <is>
          <t>160.00元</t>
        </is>
      </c>
      <c r="C202" t="inlineStr">
        <is>
          <t>224.00元</t>
        </is>
      </c>
      <c r="D202" t="inlineStr">
        <is>
          <t>64.00元</t>
        </is>
      </c>
      <c r="E202" t="inlineStr">
        <is>
          <t>7.1折</t>
        </is>
      </c>
      <c r="F202">
        <f>HYPERLINK("https://i0.hdslb.com/bfs/mall/mall/f5/c4/f5c406a9e4f3530fa835a4a8b8a8210c.png", "点击查看图片")</f>
        <v/>
      </c>
      <c r="G202">
        <f>HYPERLINK("https://mall.bilibili.com/neul-next/index.html?page=magic-market_detail&amp;noTitleBar=1&amp;itemsId=109870053670&amp;from=market_index", "点击打开")</f>
        <v/>
      </c>
    </row>
    <row r="203">
      <c r="A203" t="inlineStr">
        <is>
          <t>世嘉 初音未来 芭蕾舞 景品手办</t>
        </is>
      </c>
      <c r="B203" t="inlineStr">
        <is>
          <t>649.49元</t>
        </is>
      </c>
      <c r="C203" t="inlineStr">
        <is>
          <t>1090.00元</t>
        </is>
      </c>
      <c r="D203" t="inlineStr">
        <is>
          <t>440.51元</t>
        </is>
      </c>
      <c r="E203" t="inlineStr">
        <is>
          <t>6.0折</t>
        </is>
      </c>
      <c r="F203">
        <f>HYPERLINK("https://i0.hdslb.com/bfs/mall/mall/a3/2d/a32d0b2b68b954784b31b61d2ffbe61d.png", "点击查看图片")</f>
        <v/>
      </c>
      <c r="G203">
        <f>HYPERLINK("https://mall.bilibili.com/neul-next/index.html?page=magic-market_detail&amp;noTitleBar=1&amp;itemsId=111917512934&amp;from=market_index", "点击打开")</f>
        <v/>
      </c>
    </row>
    <row r="204">
      <c r="A204" t="inlineStr">
        <is>
          <t>FuRyu 初音未来 圣诞蛋糕 树莓味 景品手办</t>
        </is>
      </c>
      <c r="B204" t="inlineStr">
        <is>
          <t>749.19元</t>
        </is>
      </c>
      <c r="C204" t="inlineStr">
        <is>
          <t>1290.00元</t>
        </is>
      </c>
      <c r="D204" t="inlineStr">
        <is>
          <t>540.81元</t>
        </is>
      </c>
      <c r="E204" t="inlineStr">
        <is>
          <t>5.8折</t>
        </is>
      </c>
      <c r="F204">
        <f>HYPERLINK("https://i0.hdslb.com/bfs/mall/mall/0e/b7/0eb730a9bc18ea9bf3275777d59f660d.png", "点击查看图片")</f>
        <v/>
      </c>
      <c r="G204">
        <f>HYPERLINK("https://mall.bilibili.com/neul-next/index.html?page=magic-market_detail&amp;noTitleBar=1&amp;itemsId=111919017264&amp;from=market_index", "点击打开")</f>
        <v/>
      </c>
    </row>
    <row r="205">
      <c r="A205" t="inlineStr">
        <is>
          <t>宝可梦 仙子伊布 正比手办</t>
        </is>
      </c>
      <c r="B205" t="inlineStr">
        <is>
          <t>38.00元</t>
        </is>
      </c>
      <c r="C205" t="inlineStr">
        <is>
          <t>69.00元</t>
        </is>
      </c>
      <c r="D205" t="inlineStr">
        <is>
          <t>31.00元</t>
        </is>
      </c>
      <c r="E205" t="inlineStr">
        <is>
          <t>5.5折</t>
        </is>
      </c>
      <c r="F205">
        <f>HYPERLINK("https://i0.hdslb.com/bfs/mall/mall/7b/ff/7bff980ba635251bdcbd27011e25d582.png", "点击查看图片")</f>
        <v/>
      </c>
      <c r="G205">
        <f>HYPERLINK("https://mall.bilibili.com/neul-next/index.html?page=magic-market_detail&amp;noTitleBar=1&amp;itemsId=107004178024&amp;from=market_index", "点击打开")</f>
        <v/>
      </c>
    </row>
    <row r="206">
      <c r="A206" t="inlineStr">
        <is>
          <t>GSAS 明日香 制服Ver. Q版手办</t>
        </is>
      </c>
      <c r="B206" t="inlineStr">
        <is>
          <t>118.00元</t>
        </is>
      </c>
      <c r="C206" t="inlineStr">
        <is>
          <t>170.00元</t>
        </is>
      </c>
      <c r="D206" t="inlineStr">
        <is>
          <t>52.00元</t>
        </is>
      </c>
      <c r="E206" t="inlineStr">
        <is>
          <t>6.9折</t>
        </is>
      </c>
      <c r="F206">
        <f>HYPERLINK("https://i0.hdslb.com/bfs/mall/mall/c1/bc/c1bcca8455464c24c2043b98f85e09c6.png", "点击查看图片")</f>
        <v/>
      </c>
      <c r="G206">
        <f>HYPERLINK("https://mall.bilibili.com/neul-next/index.html?page=magic-market_detail&amp;noTitleBar=1&amp;itemsId=111912740956&amp;from=market_index", "点击打开")</f>
        <v/>
      </c>
    </row>
    <row r="207">
      <c r="A207" t="inlineStr">
        <is>
          <t>TAITO 后藤独 私服ver. 景品手办</t>
        </is>
      </c>
      <c r="B207" t="inlineStr">
        <is>
          <t>160.00元</t>
        </is>
      </c>
      <c r="C207" t="inlineStr">
        <is>
          <t>224.00元</t>
        </is>
      </c>
      <c r="D207" t="inlineStr">
        <is>
          <t>64.00元</t>
        </is>
      </c>
      <c r="E207" t="inlineStr">
        <is>
          <t>7.1折</t>
        </is>
      </c>
      <c r="F207">
        <f>HYPERLINK("https://i0.hdslb.com/bfs/mall/mall/ad/10/ad107c8f73048f94d3000804d3744381.png", "点击查看图片")</f>
        <v/>
      </c>
      <c r="G207">
        <f>HYPERLINK("https://mall.bilibili.com/neul-next/index.html?page=magic-market_detail&amp;noTitleBar=1&amp;itemsId=109876558891&amp;from=market_index", "点击打开")</f>
        <v/>
      </c>
    </row>
    <row r="208">
      <c r="A208" t="inlineStr">
        <is>
          <t>BANPRESTO 爱娜·萨哈林 景品手办</t>
        </is>
      </c>
      <c r="B208" t="inlineStr">
        <is>
          <t>78.00元</t>
        </is>
      </c>
      <c r="C208" t="inlineStr">
        <is>
          <t>129.00元</t>
        </is>
      </c>
      <c r="D208" t="inlineStr">
        <is>
          <t>51.00元</t>
        </is>
      </c>
      <c r="E208" t="inlineStr">
        <is>
          <t>6.0折</t>
        </is>
      </c>
      <c r="F208">
        <f>HYPERLINK("https://i0.hdslb.com/bfs/mall/mall/35/9f/359f9e0a80a5e74d78b384971dbd3e28.png", "点击查看图片")</f>
        <v/>
      </c>
      <c r="G208">
        <f>HYPERLINK("https://mall.bilibili.com/neul-next/index.html?page=magic-market_detail&amp;noTitleBar=1&amp;itemsId=106983229862&amp;from=market_index", "点击打开")</f>
        <v/>
      </c>
    </row>
    <row r="209">
      <c r="A209" t="inlineStr">
        <is>
          <t>FuRyu 芙莉莲 景品手办 再版</t>
        </is>
      </c>
      <c r="B209" t="inlineStr">
        <is>
          <t>145.00元</t>
        </is>
      </c>
      <c r="C209" t="inlineStr">
        <is>
          <t>230.00元</t>
        </is>
      </c>
      <c r="D209" t="inlineStr">
        <is>
          <t>85.00元</t>
        </is>
      </c>
      <c r="E209" t="inlineStr">
        <is>
          <t>6.3折</t>
        </is>
      </c>
      <c r="F209">
        <f>HYPERLINK("https://i0.hdslb.com/bfs/mall/mall/de/bd/debd46ba6517a860cb8fe29f581e0d55.png", "点击查看图片")</f>
        <v/>
      </c>
      <c r="G209">
        <f>HYPERLINK("https://mall.bilibili.com/neul-next/index.html?page=magic-market_detail&amp;noTitleBar=1&amp;itemsId=109868876908&amp;from=market_index", "点击打开")</f>
        <v/>
      </c>
    </row>
    <row r="210">
      <c r="A210" t="inlineStr">
        <is>
          <t>System Service 绪山真寻 景品手办</t>
        </is>
      </c>
      <c r="B210" t="inlineStr">
        <is>
          <t>64.00元</t>
        </is>
      </c>
      <c r="C210" t="inlineStr">
        <is>
          <t>109.00元</t>
        </is>
      </c>
      <c r="D210" t="inlineStr">
        <is>
          <t>45.00元</t>
        </is>
      </c>
      <c r="E210" t="inlineStr">
        <is>
          <t>5.9折</t>
        </is>
      </c>
      <c r="F210">
        <f>HYPERLINK("https://i0.hdslb.com/bfs/mall/mall/80/c5/80c52a3c8a6dbef142cf82865472d251.png", "点击查看图片")</f>
        <v/>
      </c>
      <c r="G210">
        <f>HYPERLINK("https://mall.bilibili.com/neul-next/index.html?page=magic-market_detail&amp;noTitleBar=1&amp;itemsId=107093827399&amp;from=market_index", "点击打开")</f>
        <v/>
      </c>
    </row>
    <row r="211">
      <c r="A211" t="inlineStr">
        <is>
          <t>BANPRESTO 气槽 景品手办</t>
        </is>
      </c>
      <c r="B211" t="inlineStr">
        <is>
          <t>85.00元</t>
        </is>
      </c>
      <c r="C211" t="inlineStr">
        <is>
          <t>129.00元</t>
        </is>
      </c>
      <c r="D211" t="inlineStr">
        <is>
          <t>44.00元</t>
        </is>
      </c>
      <c r="E211" t="inlineStr">
        <is>
          <t>6.6折</t>
        </is>
      </c>
      <c r="F211">
        <f>HYPERLINK("https://i0.hdslb.com/bfs/mall/mall/cc/14/cc14e2909ff83d6d4557d48bf2b60347.png", "点击查看图片")</f>
        <v/>
      </c>
      <c r="G211">
        <f>HYPERLINK("https://mall.bilibili.com/neul-next/index.html?page=magic-market_detail&amp;noTitleBar=1&amp;itemsId=106888239194&amp;from=market_index", "点击打开")</f>
        <v/>
      </c>
    </row>
    <row r="212">
      <c r="A212" t="inlineStr">
        <is>
          <t>世嘉 绫波零 景品手办</t>
        </is>
      </c>
      <c r="B212" t="inlineStr">
        <is>
          <t>66.00元</t>
        </is>
      </c>
      <c r="C212" t="inlineStr">
        <is>
          <t>109.00元</t>
        </is>
      </c>
      <c r="D212" t="inlineStr">
        <is>
          <t>43.00元</t>
        </is>
      </c>
      <c r="E212" t="inlineStr">
        <is>
          <t>6.1折</t>
        </is>
      </c>
      <c r="F212">
        <f>HYPERLINK("https://i0.hdslb.com/bfs/mall/mall/dc/b5/dcb5fb5566074c8d56ba77e3350f7c48.png", "点击查看图片")</f>
        <v/>
      </c>
      <c r="G212">
        <f>HYPERLINK("https://mall.bilibili.com/neul-next/index.html?page=magic-market_detail&amp;noTitleBar=1&amp;itemsId=109811509163&amp;from=market_index", "点击打开")</f>
        <v/>
      </c>
    </row>
    <row r="213">
      <c r="A213" t="inlineStr">
        <is>
          <t>FuRyu 中野五月 景品手办</t>
        </is>
      </c>
      <c r="B213" t="inlineStr">
        <is>
          <t>89.00元</t>
        </is>
      </c>
      <c r="C213" t="inlineStr">
        <is>
          <t>129.00元</t>
        </is>
      </c>
      <c r="D213" t="inlineStr">
        <is>
          <t>40.00元</t>
        </is>
      </c>
      <c r="E213" t="inlineStr">
        <is>
          <t>6.9折</t>
        </is>
      </c>
      <c r="F213">
        <f>HYPERLINK("https://i0.hdslb.com/bfs/mall/mall/46/04/4604f218369ab07348fdb436ba5435ab.png", "点击查看图片")</f>
        <v/>
      </c>
      <c r="G213">
        <f>HYPERLINK("https://mall.bilibili.com/neul-next/index.html?page=magic-market_detail&amp;noTitleBar=1&amp;itemsId=109808279594&amp;from=market_index", "点击打开")</f>
        <v/>
      </c>
    </row>
    <row r="214">
      <c r="A214" t="inlineStr">
        <is>
          <t>S-FIRE 拉姆 Q版手办</t>
        </is>
      </c>
      <c r="B214" t="inlineStr">
        <is>
          <t>103.98元</t>
        </is>
      </c>
      <c r="C214" t="inlineStr">
        <is>
          <t>324.00元</t>
        </is>
      </c>
      <c r="D214" t="inlineStr">
        <is>
          <t>220.02元</t>
        </is>
      </c>
      <c r="E214" t="inlineStr">
        <is>
          <t>3.2折</t>
        </is>
      </c>
      <c r="F214">
        <f>HYPERLINK("https://i0.hdslb.com/bfs/mall/mall/86/6c/866c05d6da4a9f86aec00b27d7b6e1b1.png", "点击查看图片")</f>
        <v/>
      </c>
      <c r="G214">
        <f>HYPERLINK("https://mall.bilibili.com/neul-next/index.html?page=magic-market_detail&amp;noTitleBar=1&amp;itemsId=111909819995&amp;from=market_index", "点击打开")</f>
        <v/>
      </c>
    </row>
    <row r="215">
      <c r="A215" t="inlineStr">
        <is>
          <t>FuRyu 中野三玖 居家服 景品手办</t>
        </is>
      </c>
      <c r="B215" t="inlineStr">
        <is>
          <t>73.80元</t>
        </is>
      </c>
      <c r="C215" t="inlineStr">
        <is>
          <t>115.00元</t>
        </is>
      </c>
      <c r="D215" t="inlineStr">
        <is>
          <t>41.20元</t>
        </is>
      </c>
      <c r="E215" t="inlineStr">
        <is>
          <t>6.4折</t>
        </is>
      </c>
      <c r="F215">
        <f>HYPERLINK("https://i0.hdslb.com/bfs/mall/mall/1b/33/1b332e72288c397a4ab47c75ec5cfeb1.png", "点击查看图片")</f>
        <v/>
      </c>
      <c r="G215">
        <f>HYPERLINK("https://mall.bilibili.com/neul-next/index.html?page=magic-market_detail&amp;noTitleBar=1&amp;itemsId=106886740616&amp;from=market_index", "点击打开")</f>
        <v/>
      </c>
    </row>
    <row r="216">
      <c r="A216" t="inlineStr">
        <is>
          <t>BANPRESTO 熊猫 景品</t>
        </is>
      </c>
      <c r="B216" t="inlineStr">
        <is>
          <t>60.00元</t>
        </is>
      </c>
      <c r="C216" t="inlineStr">
        <is>
          <t>119.00元</t>
        </is>
      </c>
      <c r="D216" t="inlineStr">
        <is>
          <t>59.00元</t>
        </is>
      </c>
      <c r="E216" t="inlineStr">
        <is>
          <t>5.0折</t>
        </is>
      </c>
      <c r="F216">
        <f>HYPERLINK("https://i0.hdslb.com/bfs/mall/mall/92/8d/928dad38893d80f0435251f15ac971d2.png", "点击查看图片")</f>
        <v/>
      </c>
      <c r="G216">
        <f>HYPERLINK("https://mall.bilibili.com/neul-next/index.html?page=magic-market_detail&amp;noTitleBar=1&amp;itemsId=109806729344&amp;from=market_index", "点击打开")</f>
        <v/>
      </c>
    </row>
    <row r="217">
      <c r="A217" t="inlineStr">
        <is>
          <t>FuRyu 鲁道夫象征 景品手办</t>
        </is>
      </c>
      <c r="B217" t="inlineStr">
        <is>
          <t>160.00元</t>
        </is>
      </c>
      <c r="C217" t="inlineStr">
        <is>
          <t>279.00元</t>
        </is>
      </c>
      <c r="D217" t="inlineStr">
        <is>
          <t>119.00元</t>
        </is>
      </c>
      <c r="E217" t="inlineStr">
        <is>
          <t>5.7折</t>
        </is>
      </c>
      <c r="F217">
        <f>HYPERLINK("https://i0.hdslb.com/bfs/mall/mall/dc/88/dc88c32b163a13115352eac7c482638e.png", "点击查看图片")</f>
        <v/>
      </c>
      <c r="G217">
        <f>HYPERLINK("https://mall.bilibili.com/neul-next/index.html?page=magic-market_detail&amp;noTitleBar=1&amp;itemsId=111909914661&amp;from=market_index", "点击打开")</f>
        <v/>
      </c>
    </row>
    <row r="218">
      <c r="A218" t="inlineStr">
        <is>
          <t>世嘉 中野二乃 景品手办</t>
        </is>
      </c>
      <c r="B218" t="inlineStr">
        <is>
          <t>40.00元</t>
        </is>
      </c>
      <c r="C218" t="inlineStr">
        <is>
          <t>109.00元</t>
        </is>
      </c>
      <c r="D218" t="inlineStr">
        <is>
          <t>69.00元</t>
        </is>
      </c>
      <c r="E218" t="inlineStr">
        <is>
          <t>3.7折</t>
        </is>
      </c>
      <c r="F218">
        <f>HYPERLINK("https://i0.hdslb.com/bfs/mall/mall/90/17/9017e5249430950917922b60e88db920.png", "点击查看图片")</f>
        <v/>
      </c>
      <c r="G218">
        <f>HYPERLINK("https://mall.bilibili.com/neul-next/index.html?page=magic-market_detail&amp;noTitleBar=1&amp;itemsId=109811990636&amp;from=market_index", "点击打开")</f>
        <v/>
      </c>
    </row>
    <row r="219">
      <c r="A219" t="inlineStr">
        <is>
          <t>FuRyu 雷姆 鸟笼裙 景品手办</t>
        </is>
      </c>
      <c r="B219" t="inlineStr">
        <is>
          <t>135.89元</t>
        </is>
      </c>
      <c r="C219" t="inlineStr">
        <is>
          <t>258.00元</t>
        </is>
      </c>
      <c r="D219" t="inlineStr">
        <is>
          <t>122.11元</t>
        </is>
      </c>
      <c r="E219" t="inlineStr">
        <is>
          <t>5.3折</t>
        </is>
      </c>
      <c r="F219">
        <f>HYPERLINK("https://i0.hdslb.com/bfs/mall/mall/dd/af/ddafa9fe8d26d78b0dabf82897b40ef3.png", "点击查看图片")</f>
        <v/>
      </c>
      <c r="G219">
        <f>HYPERLINK("https://mall.bilibili.com/neul-next/index.html?page=magic-market_detail&amp;noTitleBar=1&amp;itemsId=109863253551&amp;from=market_index", "点击打开")</f>
        <v/>
      </c>
    </row>
    <row r="220">
      <c r="A220" t="inlineStr">
        <is>
          <t>FuRyu 雷姆 闪耀派对Ver. 异色 景品手办</t>
        </is>
      </c>
      <c r="B220" t="inlineStr">
        <is>
          <t>52.00元</t>
        </is>
      </c>
      <c r="C220" t="inlineStr">
        <is>
          <t>115.00元</t>
        </is>
      </c>
      <c r="D220" t="inlineStr">
        <is>
          <t>63.00元</t>
        </is>
      </c>
      <c r="E220" t="inlineStr">
        <is>
          <t>4.5折</t>
        </is>
      </c>
      <c r="F220">
        <f>HYPERLINK("https://i0.hdslb.com/bfs/mall/mall/9b/f9/9bf99891803f2f06afaf73f0637404e2.png", "点击查看图片")</f>
        <v/>
      </c>
      <c r="G220">
        <f>HYPERLINK("https://mall.bilibili.com/neul-next/index.html?page=magic-market_detail&amp;noTitleBar=1&amp;itemsId=107003199776&amp;from=market_index", "点击打开")</f>
        <v/>
      </c>
    </row>
    <row r="221">
      <c r="A221" t="inlineStr">
        <is>
          <t>世嘉 伊地知虹夏 景品手办</t>
        </is>
      </c>
      <c r="B221" t="inlineStr">
        <is>
          <t>76.00元</t>
        </is>
      </c>
      <c r="C221" t="inlineStr">
        <is>
          <t>115.00元</t>
        </is>
      </c>
      <c r="D221" t="inlineStr">
        <is>
          <t>39.00元</t>
        </is>
      </c>
      <c r="E221" t="inlineStr">
        <is>
          <t>6.6折</t>
        </is>
      </c>
      <c r="F221">
        <f>HYPERLINK("https://i0.hdslb.com/bfs/mall/mall/19/96/19963cf3c07206c6216bc4b647e0e7db.png", "点击查看图片")</f>
        <v/>
      </c>
      <c r="G221">
        <f>HYPERLINK("https://mall.bilibili.com/neul-next/index.html?page=magic-market_detail&amp;noTitleBar=1&amp;itemsId=107079851603&amp;from=market_index", "点击打开")</f>
        <v/>
      </c>
    </row>
    <row r="222">
      <c r="A222" t="inlineStr">
        <is>
          <t>BANPRESTO 城崎美嘉 重涂版 景品手办</t>
        </is>
      </c>
      <c r="B222" t="inlineStr">
        <is>
          <t>69.90元</t>
        </is>
      </c>
      <c r="C222" t="inlineStr">
        <is>
          <t>129.00元</t>
        </is>
      </c>
      <c r="D222" t="inlineStr">
        <is>
          <t>59.10元</t>
        </is>
      </c>
      <c r="E222" t="inlineStr">
        <is>
          <t>5.4折</t>
        </is>
      </c>
      <c r="F222">
        <f>HYPERLINK("https://i0.hdslb.com/bfs/mall/mall/c0/97/c0971088d6d31af6aaeda08008070e54.png", "点击查看图片")</f>
        <v/>
      </c>
      <c r="G222">
        <f>HYPERLINK("https://mall.bilibili.com/neul-next/index.html?page=magic-market_detail&amp;noTitleBar=1&amp;itemsId=106734481755&amp;from=market_index", "点击打开")</f>
        <v/>
      </c>
    </row>
    <row r="223">
      <c r="A223" t="inlineStr">
        <is>
          <t>TAITO 后藤独 居家服 景品手办</t>
        </is>
      </c>
      <c r="B223" t="inlineStr">
        <is>
          <t>79.00元</t>
        </is>
      </c>
      <c r="C223" t="inlineStr">
        <is>
          <t>112.00元</t>
        </is>
      </c>
      <c r="D223" t="inlineStr">
        <is>
          <t>33.00元</t>
        </is>
      </c>
      <c r="E223" t="inlineStr">
        <is>
          <t>7.1折</t>
        </is>
      </c>
      <c r="F223">
        <f>HYPERLINK("https://i0.hdslb.com/bfs/mall/mall/81/80/8180270839a4241fb70f5c8bc631d97f.png", "点击查看图片")</f>
        <v/>
      </c>
      <c r="G223">
        <f>HYPERLINK("https://mall.bilibili.com/neul-next/index.html?page=magic-market_detail&amp;noTitleBar=1&amp;itemsId=109815033133&amp;from=market_index", "点击打开")</f>
        <v/>
      </c>
    </row>
    <row r="224">
      <c r="A224" t="inlineStr">
        <is>
          <t>世嘉 伊地知虹夏 景品手办</t>
        </is>
      </c>
      <c r="B224" t="inlineStr">
        <is>
          <t>185.00元</t>
        </is>
      </c>
      <c r="C224" t="inlineStr">
        <is>
          <t>330.00元</t>
        </is>
      </c>
      <c r="D224" t="inlineStr">
        <is>
          <t>145.00元</t>
        </is>
      </c>
      <c r="E224" t="inlineStr">
        <is>
          <t>5.6折</t>
        </is>
      </c>
      <c r="F224">
        <f>HYPERLINK("https://i0.hdslb.com/bfs/mall/mall/83/b3/83b3cd2a8cea74c3bf32f72dd8e34e6b.png", "点击查看图片")</f>
        <v/>
      </c>
      <c r="G224">
        <f>HYPERLINK("https://mall.bilibili.com/neul-next/index.html?page=magic-market_detail&amp;noTitleBar=1&amp;itemsId=110456911081&amp;from=market_index", "点击打开")</f>
        <v/>
      </c>
    </row>
    <row r="225">
      <c r="A225" t="inlineStr">
        <is>
          <t>世嘉 初音未来 景品手办</t>
        </is>
      </c>
      <c r="B225" t="inlineStr">
        <is>
          <t>74.99元</t>
        </is>
      </c>
      <c r="C225" t="inlineStr">
        <is>
          <t>109.00元</t>
        </is>
      </c>
      <c r="D225" t="inlineStr">
        <is>
          <t>34.01元</t>
        </is>
      </c>
      <c r="E225" t="inlineStr">
        <is>
          <t>6.9折</t>
        </is>
      </c>
      <c r="F225">
        <f>HYPERLINK("https://i0.hdslb.com/bfs/mall/mall/c2/fa/c2fab7347a07d76d1e2a9398fc26f5c6.png", "点击查看图片")</f>
        <v/>
      </c>
      <c r="G225">
        <f>HYPERLINK("https://mall.bilibili.com/neul-next/index.html?page=magic-market_detail&amp;noTitleBar=1&amp;itemsId=107100434767&amp;from=market_index", "点击打开")</f>
        <v/>
      </c>
    </row>
    <row r="226">
      <c r="A226" t="inlineStr">
        <is>
          <t>世嘉 阿尼亚·福杰 景品手办</t>
        </is>
      </c>
      <c r="B226" t="inlineStr">
        <is>
          <t>80.00元</t>
        </is>
      </c>
      <c r="C226" t="inlineStr">
        <is>
          <t>109.00元</t>
        </is>
      </c>
      <c r="D226" t="inlineStr">
        <is>
          <t>29.00元</t>
        </is>
      </c>
      <c r="E226" t="inlineStr">
        <is>
          <t>7.3折</t>
        </is>
      </c>
      <c r="F226">
        <f>HYPERLINK("https://i0.hdslb.com/bfs/mall/mall/29/5a/295ac387723836d6c9d5e63e0d5849f5.png", "点击查看图片")</f>
        <v/>
      </c>
      <c r="G226">
        <f>HYPERLINK("https://mall.bilibili.com/neul-next/index.html?page=magic-market_detail&amp;noTitleBar=1&amp;itemsId=107069482234&amp;from=market_index", "点击打开")</f>
        <v/>
      </c>
    </row>
    <row r="227">
      <c r="A227" t="inlineStr">
        <is>
          <t>TAITO 伊地知虹夏 私服Ver. 景品手办</t>
        </is>
      </c>
      <c r="B227" t="inlineStr">
        <is>
          <t>78.00元</t>
        </is>
      </c>
      <c r="C227" t="inlineStr">
        <is>
          <t>112.00元</t>
        </is>
      </c>
      <c r="D227" t="inlineStr">
        <is>
          <t>34.00元</t>
        </is>
      </c>
      <c r="E227" t="inlineStr">
        <is>
          <t>7.0折</t>
        </is>
      </c>
      <c r="F227">
        <f>HYPERLINK("https://i0.hdslb.com/bfs/mall/mall/95/c9/95c9110dc54212ea7c7f2a6ad2e39338.png", "点击查看图片")</f>
        <v/>
      </c>
      <c r="G227">
        <f>HYPERLINK("https://mall.bilibili.com/neul-next/index.html?page=magic-market_detail&amp;noTitleBar=1&amp;itemsId=109812252843&amp;from=market_index", "点击打开")</f>
        <v/>
      </c>
    </row>
    <row r="228">
      <c r="A228" t="inlineStr">
        <is>
          <t>FuRyu 星之杖 景品手办</t>
        </is>
      </c>
      <c r="B228" t="inlineStr">
        <is>
          <t>83.87元</t>
        </is>
      </c>
      <c r="C228" t="inlineStr">
        <is>
          <t>115.00元</t>
        </is>
      </c>
      <c r="D228" t="inlineStr">
        <is>
          <t>31.13元</t>
        </is>
      </c>
      <c r="E228" t="inlineStr">
        <is>
          <t>7.3折</t>
        </is>
      </c>
      <c r="F228">
        <f>HYPERLINK("https://i0.hdslb.com/bfs/mall/mall/a3/a4/a3a468530c116fe8fcfc932ca8bd59b1.png", "点击查看图片")</f>
        <v/>
      </c>
      <c r="G228">
        <f>HYPERLINK("https://mall.bilibili.com/neul-next/index.html?page=magic-market_detail&amp;noTitleBar=1&amp;itemsId=109810785029&amp;from=market_index", "点击打开")</f>
        <v/>
      </c>
    </row>
    <row r="229">
      <c r="A229" t="inlineStr">
        <is>
          <t>TAITO 娜娜奇 景品手办 再版</t>
        </is>
      </c>
      <c r="B229" t="inlineStr">
        <is>
          <t>100.00元</t>
        </is>
      </c>
      <c r="C229" t="inlineStr">
        <is>
          <t>112.00元</t>
        </is>
      </c>
      <c r="D229" t="inlineStr">
        <is>
          <t>12.00元</t>
        </is>
      </c>
      <c r="E229" t="inlineStr">
        <is>
          <t>8.9折</t>
        </is>
      </c>
      <c r="F229">
        <f>HYPERLINK("https://i0.hdslb.com/bfs/mall/mall/76/d3/76d3658c6e47d3cf5d945644a716a480.png", "点击查看图片")</f>
        <v/>
      </c>
      <c r="G229">
        <f>HYPERLINK("https://mall.bilibili.com/neul-next/index.html?page=magic-market_detail&amp;noTitleBar=1&amp;itemsId=109878887374&amp;from=market_index", "点击打开")</f>
        <v/>
      </c>
    </row>
    <row r="230">
      <c r="A230" t="inlineStr">
        <is>
          <t>BANPRESTO 雷姆Special color ver. 景品手办</t>
        </is>
      </c>
      <c r="B230" t="inlineStr">
        <is>
          <t>139.90元</t>
        </is>
      </c>
      <c r="C230" t="inlineStr">
        <is>
          <t>258.00元</t>
        </is>
      </c>
      <c r="D230" t="inlineStr">
        <is>
          <t>118.10元</t>
        </is>
      </c>
      <c r="E230" t="inlineStr">
        <is>
          <t>5.4折</t>
        </is>
      </c>
      <c r="F230">
        <f>HYPERLINK("https://i0.hdslb.com/bfs/mall/mall/b7/01/b7019da21ade0d6dd1ddfa8326ac03a6.png", "点击查看图片")</f>
        <v/>
      </c>
      <c r="G230">
        <f>HYPERLINK("https://mall.bilibili.com/neul-next/index.html?page=magic-market_detail&amp;noTitleBar=1&amp;itemsId=109877573705&amp;from=market_index", "点击打开")</f>
        <v/>
      </c>
    </row>
    <row r="231">
      <c r="A231" t="inlineStr">
        <is>
          <t>哔哩哔哩 33娘 干杯Ver. 景品手办</t>
        </is>
      </c>
      <c r="B231" t="inlineStr">
        <is>
          <t>60.00元</t>
        </is>
      </c>
      <c r="C231" t="inlineStr">
        <is>
          <t>99.00元</t>
        </is>
      </c>
      <c r="D231" t="inlineStr">
        <is>
          <t>39.00元</t>
        </is>
      </c>
      <c r="E231" t="inlineStr">
        <is>
          <t>6.1折</t>
        </is>
      </c>
      <c r="F231">
        <f>HYPERLINK("https://i0.hdslb.com/bfs/mall/mall/23/6a/236a24340bf643d966bcd72eed24f410.png", "点击查看图片")</f>
        <v/>
      </c>
      <c r="G231">
        <f>HYPERLINK("https://mall.bilibili.com/neul-next/index.html?page=magic-market_detail&amp;noTitleBar=1&amp;itemsId=107060304704&amp;from=market_index", "点击打开")</f>
        <v/>
      </c>
    </row>
    <row r="232">
      <c r="A232" t="inlineStr">
        <is>
          <t>世嘉 明日香 赛车女郎 景品手办</t>
        </is>
      </c>
      <c r="B232" t="inlineStr">
        <is>
          <t>80.78元</t>
        </is>
      </c>
      <c r="C232" t="inlineStr">
        <is>
          <t>109.00元</t>
        </is>
      </c>
      <c r="D232" t="inlineStr">
        <is>
          <t>28.22元</t>
        </is>
      </c>
      <c r="E232" t="inlineStr">
        <is>
          <t>7.4折</t>
        </is>
      </c>
      <c r="F232">
        <f>HYPERLINK("https://i0.hdslb.com/bfs/mall/mall/67/cd/67cd5df5ce790af1f7039e7222405493.png", "点击查看图片")</f>
        <v/>
      </c>
      <c r="G232">
        <f>HYPERLINK("https://mall.bilibili.com/neul-next/index.html?page=magic-market_detail&amp;noTitleBar=1&amp;itemsId=106995867774&amp;from=market_index", "点击打开")</f>
        <v/>
      </c>
    </row>
    <row r="233">
      <c r="A233" t="inlineStr">
        <is>
          <t>TAITO 雅儿贝德 旗袍Ver. 景品手办</t>
        </is>
      </c>
      <c r="B233" t="inlineStr">
        <is>
          <t>100.00元</t>
        </is>
      </c>
      <c r="C233" t="inlineStr">
        <is>
          <t>112.00元</t>
        </is>
      </c>
      <c r="D233" t="inlineStr">
        <is>
          <t>12.00元</t>
        </is>
      </c>
      <c r="E233" t="inlineStr">
        <is>
          <t>8.9折</t>
        </is>
      </c>
      <c r="F233">
        <f>HYPERLINK("https://i0.hdslb.com/bfs/mall/mall/1e/50/1e50d278d3913e7ab333153632d10607.png", "点击查看图片")</f>
        <v/>
      </c>
      <c r="G233">
        <f>HYPERLINK("https://mall.bilibili.com/neul-next/index.html?page=magic-market_detail&amp;noTitleBar=1&amp;itemsId=111910779268&amp;from=market_index", "点击打开")</f>
        <v/>
      </c>
    </row>
    <row r="234">
      <c r="A234" t="inlineStr">
        <is>
          <t>BANPRESTO 樋口圆香 景品手办</t>
        </is>
      </c>
      <c r="B234" t="inlineStr">
        <is>
          <t>74.90元</t>
        </is>
      </c>
      <c r="C234" t="inlineStr">
        <is>
          <t>129.00元</t>
        </is>
      </c>
      <c r="D234" t="inlineStr">
        <is>
          <t>54.10元</t>
        </is>
      </c>
      <c r="E234" t="inlineStr">
        <is>
          <t>5.8折</t>
        </is>
      </c>
      <c r="F234">
        <f>HYPERLINK("https://i0.hdslb.com/bfs/mall/mall/ef/ee/efee3268651ef8d80e2436c8d73394e7.png", "点击查看图片")</f>
        <v/>
      </c>
      <c r="G234">
        <f>HYPERLINK("https://mall.bilibili.com/neul-next/index.html?page=magic-market_detail&amp;noTitleBar=1&amp;itemsId=106733992392&amp;from=market_index", "点击打开")</f>
        <v/>
      </c>
    </row>
    <row r="235">
      <c r="A235" t="inlineStr">
        <is>
          <t>S-FIRE 巡音流歌 Q版手办</t>
        </is>
      </c>
      <c r="B235" t="inlineStr">
        <is>
          <t>120.65元</t>
        </is>
      </c>
      <c r="C235" t="inlineStr">
        <is>
          <t>162.00元</t>
        </is>
      </c>
      <c r="D235" t="inlineStr">
        <is>
          <t>41.35元</t>
        </is>
      </c>
      <c r="E235" t="inlineStr">
        <is>
          <t>7.4折</t>
        </is>
      </c>
      <c r="F235">
        <f>HYPERLINK("https://i0.hdslb.com/bfs/mall/mall/0f/4b/0f4bc6df20838430a48d233649502aee.png", "点击查看图片")</f>
        <v/>
      </c>
      <c r="G235">
        <f>HYPERLINK("https://mall.bilibili.com/neul-next/index.html?page=magic-market_detail&amp;noTitleBar=1&amp;itemsId=109868500524&amp;from=market_index", "点击打开")</f>
        <v/>
      </c>
    </row>
    <row r="236">
      <c r="A236" t="inlineStr">
        <is>
          <t>TAITO 莱莎琳·斯托特 景品手办</t>
        </is>
      </c>
      <c r="B236" t="inlineStr">
        <is>
          <t>71.01元</t>
        </is>
      </c>
      <c r="C236" t="inlineStr">
        <is>
          <t>112.00元</t>
        </is>
      </c>
      <c r="D236" t="inlineStr">
        <is>
          <t>40.99元</t>
        </is>
      </c>
      <c r="E236" t="inlineStr">
        <is>
          <t>6.3折</t>
        </is>
      </c>
      <c r="F236">
        <f>HYPERLINK("https://i0.hdslb.com/bfs/mall/mall/26/94/2694ca1860fcbe0f884dff2d3377d318.png", "点击查看图片")</f>
        <v/>
      </c>
      <c r="G236">
        <f>HYPERLINK("https://mall.bilibili.com/neul-next/index.html?page=magic-market_detail&amp;noTitleBar=1&amp;itemsId=109816023494&amp;from=market_index", "点击打开")</f>
        <v/>
      </c>
    </row>
    <row r="237">
      <c r="A237" t="inlineStr">
        <is>
          <t>Orange Rouge 凪诚士郎 Q版手办</t>
        </is>
      </c>
      <c r="B237" t="inlineStr">
        <is>
          <t>50.00元</t>
        </is>
      </c>
      <c r="C237" t="inlineStr">
        <is>
          <t>89.00元</t>
        </is>
      </c>
      <c r="D237" t="inlineStr">
        <is>
          <t>39.00元</t>
        </is>
      </c>
      <c r="E237" t="inlineStr">
        <is>
          <t>5.6折</t>
        </is>
      </c>
      <c r="F237">
        <f>HYPERLINK("https://i0.hdslb.com/bfs/mall/mall/f5/4b/f54b119d98b890dd03b5a153be210641.png", "点击查看图片")</f>
        <v/>
      </c>
      <c r="G237">
        <f>HYPERLINK("https://mall.bilibili.com/neul-next/index.html?page=magic-market_detail&amp;noTitleBar=1&amp;itemsId=107071868079&amp;from=market_index", "点击打开")</f>
        <v/>
      </c>
    </row>
    <row r="238">
      <c r="A238" t="inlineStr">
        <is>
          <t>FuRyu 拉姆 景品手办</t>
        </is>
      </c>
      <c r="B238" t="inlineStr">
        <is>
          <t>75.00元</t>
        </is>
      </c>
      <c r="C238" t="inlineStr">
        <is>
          <t>119.00元</t>
        </is>
      </c>
      <c r="D238" t="inlineStr">
        <is>
          <t>44.00元</t>
        </is>
      </c>
      <c r="E238" t="inlineStr">
        <is>
          <t>6.3折</t>
        </is>
      </c>
      <c r="F238">
        <f>HYPERLINK("https://i0.hdslb.com/bfs/mall/mall/cf/ca/cfcae33ece2bba25834face8063a77b9.png", "点击查看图片")</f>
        <v/>
      </c>
      <c r="G238">
        <f>HYPERLINK("https://mall.bilibili.com/neul-next/index.html?page=magic-market_detail&amp;noTitleBar=1&amp;itemsId=109810301644&amp;from=market_index", "点击打开")</f>
        <v/>
      </c>
    </row>
    <row r="239">
      <c r="A239" t="inlineStr">
        <is>
          <t>世嘉 雷姆 企鹅服 景品手办 再版</t>
        </is>
      </c>
      <c r="B239" t="inlineStr">
        <is>
          <t>85.00元</t>
        </is>
      </c>
      <c r="C239" t="inlineStr">
        <is>
          <t>109.00元</t>
        </is>
      </c>
      <c r="D239" t="inlineStr">
        <is>
          <t>24.00元</t>
        </is>
      </c>
      <c r="E239" t="inlineStr">
        <is>
          <t>7.8折</t>
        </is>
      </c>
      <c r="F239">
        <f>HYPERLINK("https://i0.hdslb.com/bfs/mall/mall/ec/7c/ec7c4517ec3f631bff70c004bb67b732.png", "点击查看图片")</f>
        <v/>
      </c>
      <c r="G239">
        <f>HYPERLINK("https://mall.bilibili.com/neul-next/index.html?page=magic-market_detail&amp;noTitleBar=1&amp;itemsId=107153252216&amp;from=market_index", "点击打开")</f>
        <v/>
      </c>
    </row>
    <row r="240">
      <c r="A240" t="inlineStr">
        <is>
          <t>BANPRESTO 有马加奈 景品手办</t>
        </is>
      </c>
      <c r="B240" t="inlineStr">
        <is>
          <t>79.00元</t>
        </is>
      </c>
      <c r="C240" t="inlineStr">
        <is>
          <t>129.00元</t>
        </is>
      </c>
      <c r="D240" t="inlineStr">
        <is>
          <t>50.00元</t>
        </is>
      </c>
      <c r="E240" t="inlineStr">
        <is>
          <t>6.1折</t>
        </is>
      </c>
      <c r="F240">
        <f>HYPERLINK("https://i0.hdslb.com/bfs/mall/mall/59/b5/59b5a115a5741733c07155e916f36abe.png", "点击查看图片")</f>
        <v/>
      </c>
      <c r="G240">
        <f>HYPERLINK("https://mall.bilibili.com/neul-next/index.html?page=magic-market_detail&amp;noTitleBar=1&amp;itemsId=106995558398&amp;from=market_index", "点击打开")</f>
        <v/>
      </c>
    </row>
    <row r="241">
      <c r="A241" t="inlineStr">
        <is>
          <t>世嘉  艾莉 校服Ver. 景品手办</t>
        </is>
      </c>
      <c r="B241" t="inlineStr">
        <is>
          <t>54.00元</t>
        </is>
      </c>
      <c r="C241" t="inlineStr">
        <is>
          <t>112.00元</t>
        </is>
      </c>
      <c r="D241" t="inlineStr">
        <is>
          <t>58.00元</t>
        </is>
      </c>
      <c r="E241" t="inlineStr">
        <is>
          <t>4.8折</t>
        </is>
      </c>
      <c r="F241">
        <f>HYPERLINK("https://i0.hdslb.com/bfs/mall/mall/35/30/3530d45bb9e490231c3f948dc4cdf040.png", "点击查看图片")</f>
        <v/>
      </c>
      <c r="G241">
        <f>HYPERLINK("https://mall.bilibili.com/neul-next/index.html?page=magic-market_detail&amp;noTitleBar=1&amp;itemsId=109813353193&amp;from=market_index", "点击打开")</f>
        <v/>
      </c>
    </row>
    <row r="242">
      <c r="A242" t="inlineStr">
        <is>
          <t>世嘉 森林宝穴  景品手办</t>
        </is>
      </c>
      <c r="B242" t="inlineStr">
        <is>
          <t>61.00元</t>
        </is>
      </c>
      <c r="C242" t="inlineStr">
        <is>
          <t>109.00元</t>
        </is>
      </c>
      <c r="D242" t="inlineStr">
        <is>
          <t>48.00元</t>
        </is>
      </c>
      <c r="E242" t="inlineStr">
        <is>
          <t>5.6折</t>
        </is>
      </c>
      <c r="F242">
        <f>HYPERLINK("https://i0.hdslb.com/bfs/mall/mall/46/96/469680754f90711d13040a3c0fefda15.png", "点击查看图片")</f>
        <v/>
      </c>
      <c r="G242">
        <f>HYPERLINK("https://mall.bilibili.com/neul-next/index.html?page=magic-market_detail&amp;noTitleBar=1&amp;itemsId=107154400701&amp;from=market_index", "点击打开")</f>
        <v/>
      </c>
    </row>
    <row r="243">
      <c r="A243" t="inlineStr">
        <is>
          <t xml:space="preserve">BANPRESTO 大崎甘奈 景品 </t>
        </is>
      </c>
      <c r="B243" t="inlineStr">
        <is>
          <t>71.99元</t>
        </is>
      </c>
      <c r="C243" t="inlineStr">
        <is>
          <t>119.00元</t>
        </is>
      </c>
      <c r="D243" t="inlineStr">
        <is>
          <t>47.01元</t>
        </is>
      </c>
      <c r="E243" t="inlineStr">
        <is>
          <t>6.0折</t>
        </is>
      </c>
      <c r="F243">
        <f>HYPERLINK("https://i0.hdslb.com/bfs/mall/mall/e1/a1/e1a1d8fe8a8080cd510ed5db19b1ff8e.png", "点击查看图片")</f>
        <v/>
      </c>
      <c r="G243">
        <f>HYPERLINK("https://mall.bilibili.com/neul-next/index.html?page=magic-market_detail&amp;noTitleBar=1&amp;itemsId=107089712035&amp;from=market_index", "点击打开")</f>
        <v/>
      </c>
    </row>
    <row r="244">
      <c r="A244" t="inlineStr">
        <is>
          <t>FuRyu 星野爱 晚安好梦 景品手办</t>
        </is>
      </c>
      <c r="B244" t="inlineStr">
        <is>
          <t>50.00元</t>
        </is>
      </c>
      <c r="C244" t="inlineStr">
        <is>
          <t>115.00元</t>
        </is>
      </c>
      <c r="D244" t="inlineStr">
        <is>
          <t>65.00元</t>
        </is>
      </c>
      <c r="E244" t="inlineStr">
        <is>
          <t>4.3折</t>
        </is>
      </c>
      <c r="F244">
        <f>HYPERLINK("https://i0.hdslb.com/bfs/mall/mall/80/7e/807e7cc31692a63475732c78a576cfaa.png", "点击查看图片")</f>
        <v/>
      </c>
      <c r="G244">
        <f>HYPERLINK("https://mall.bilibili.com/neul-next/index.html?page=magic-market_detail&amp;noTitleBar=1&amp;itemsId=109811374434&amp;from=market_index", "点击打开")</f>
        <v/>
      </c>
    </row>
    <row r="245">
      <c r="A245" t="inlineStr">
        <is>
          <t>BANPRESTO 初音未来 天鹅湖 景品手办</t>
        </is>
      </c>
      <c r="B245" t="inlineStr">
        <is>
          <t>76.19元</t>
        </is>
      </c>
      <c r="C245" t="inlineStr">
        <is>
          <t>129.00元</t>
        </is>
      </c>
      <c r="D245" t="inlineStr">
        <is>
          <t>52.81元</t>
        </is>
      </c>
      <c r="E245" t="inlineStr">
        <is>
          <t>5.9折</t>
        </is>
      </c>
      <c r="F245">
        <f>HYPERLINK("https://i0.hdslb.com/bfs/mall/mall/2e/69/2e69bcc9d84962c369bafbb75503311c.png", "点击查看图片")</f>
        <v/>
      </c>
      <c r="G245">
        <f>HYPERLINK("https://mall.bilibili.com/neul-next/index.html?page=magic-market_detail&amp;noTitleBar=1&amp;itemsId=109819183311&amp;from=market_index", "点击打开")</f>
        <v/>
      </c>
    </row>
    <row r="246">
      <c r="A246" t="inlineStr">
        <is>
          <t>世嘉 阿尼亚·福杰 时尚穿搭1.5 景品手办</t>
        </is>
      </c>
      <c r="B246" t="inlineStr">
        <is>
          <t>73.00元</t>
        </is>
      </c>
      <c r="C246" t="inlineStr">
        <is>
          <t>109.00元</t>
        </is>
      </c>
      <c r="D246" t="inlineStr">
        <is>
          <t>36.00元</t>
        </is>
      </c>
      <c r="E246" t="inlineStr">
        <is>
          <t>6.7折</t>
        </is>
      </c>
      <c r="F246">
        <f>HYPERLINK("https://i0.hdslb.com/bfs/mall/mall/fd/01/fd01b4851a1b42b345189966374da121.png", "点击查看图片")</f>
        <v/>
      </c>
      <c r="G246">
        <f>HYPERLINK("https://mall.bilibili.com/neul-next/index.html?page=magic-market_detail&amp;noTitleBar=1&amp;itemsId=107091781167&amp;from=market_index", "点击打开")</f>
        <v/>
      </c>
    </row>
    <row r="247">
      <c r="A247" t="inlineStr">
        <is>
          <t>世嘉 Debby·the·Corsifa 水着Ver. 景品手办</t>
        </is>
      </c>
      <c r="B247" t="inlineStr">
        <is>
          <t>75.00元</t>
        </is>
      </c>
      <c r="C247" t="inlineStr">
        <is>
          <t>115.00元</t>
        </is>
      </c>
      <c r="D247" t="inlineStr">
        <is>
          <t>40.00元</t>
        </is>
      </c>
      <c r="E247" t="inlineStr">
        <is>
          <t>6.5折</t>
        </is>
      </c>
      <c r="F247">
        <f>HYPERLINK("https://i0.hdslb.com/bfs/mall/mall/df/bb/dfbb863416c1654b54a9f0ab4c3d7eed.png", "点击查看图片")</f>
        <v/>
      </c>
      <c r="G247">
        <f>HYPERLINK("https://mall.bilibili.com/neul-next/index.html?page=magic-market_detail&amp;noTitleBar=1&amp;itemsId=106901867320&amp;from=market_index", "点击打开")</f>
        <v/>
      </c>
    </row>
    <row r="248">
      <c r="A248" t="inlineStr">
        <is>
          <t>世嘉 山田凉 景品手办</t>
        </is>
      </c>
      <c r="B248" t="inlineStr">
        <is>
          <t>82.00元</t>
        </is>
      </c>
      <c r="C248" t="inlineStr">
        <is>
          <t>105.00元</t>
        </is>
      </c>
      <c r="D248" t="inlineStr">
        <is>
          <t>23.00元</t>
        </is>
      </c>
      <c r="E248" t="inlineStr">
        <is>
          <t>7.8折</t>
        </is>
      </c>
      <c r="F248">
        <f>HYPERLINK("https://i0.hdslb.com/bfs/mall/mall/6f/3a/6f3aca3d8fbcd23cc7ee5faf82c35174.png", "点击查看图片")</f>
        <v/>
      </c>
      <c r="G248">
        <f>HYPERLINK("https://mall.bilibili.com/neul-next/index.html?page=magic-market_detail&amp;noTitleBar=1&amp;itemsId=107148488536&amp;from=market_index", "点击打开")</f>
        <v/>
      </c>
    </row>
    <row r="249">
      <c r="A249" t="inlineStr">
        <is>
          <t>TAITO 伊地知虹夏 居家服Ver. 景品手办</t>
        </is>
      </c>
      <c r="B249" t="inlineStr">
        <is>
          <t>79.00元</t>
        </is>
      </c>
      <c r="C249" t="inlineStr">
        <is>
          <t>112.00元</t>
        </is>
      </c>
      <c r="D249" t="inlineStr">
        <is>
          <t>33.00元</t>
        </is>
      </c>
      <c r="E249" t="inlineStr">
        <is>
          <t>7.1折</t>
        </is>
      </c>
      <c r="F249">
        <f>HYPERLINK("https://i0.hdslb.com/bfs/mall/mall/60/fd/60fd1ef9f8732bcf8801acd27f0e320a.png", "点击查看图片")</f>
        <v/>
      </c>
      <c r="G249">
        <f>HYPERLINK("https://mall.bilibili.com/neul-next/index.html?page=magic-market_detail&amp;noTitleBar=1&amp;itemsId=106947283057&amp;from=market_index", "点击打开")</f>
        <v/>
      </c>
    </row>
    <row r="250">
      <c r="A250" t="inlineStr">
        <is>
          <t>S-FIRE 镜音连 Q版手办</t>
        </is>
      </c>
      <c r="B250" t="inlineStr">
        <is>
          <t>108.00元</t>
        </is>
      </c>
      <c r="C250" t="inlineStr">
        <is>
          <t>162.00元</t>
        </is>
      </c>
      <c r="D250" t="inlineStr">
        <is>
          <t>54.00元</t>
        </is>
      </c>
      <c r="E250" t="inlineStr">
        <is>
          <t>6.7折</t>
        </is>
      </c>
      <c r="F250">
        <f>HYPERLINK("https://i0.hdslb.com/bfs/mall/mall/10/db/10db1bd7040cdc539331d444446d9d8c.png", "点击查看图片")</f>
        <v/>
      </c>
      <c r="G250">
        <f>HYPERLINK("https://mall.bilibili.com/neul-next/index.html?page=magic-market_detail&amp;noTitleBar=1&amp;itemsId=111914183207&amp;from=market_index", "点击打开")</f>
        <v/>
      </c>
    </row>
    <row r="251">
      <c r="A251" t="inlineStr">
        <is>
          <t>世嘉 拉姆 雨过天晴 景品手办 再版</t>
        </is>
      </c>
      <c r="B251" t="inlineStr">
        <is>
          <t>75.00元</t>
        </is>
      </c>
      <c r="C251" t="inlineStr">
        <is>
          <t>105.00元</t>
        </is>
      </c>
      <c r="D251" t="inlineStr">
        <is>
          <t>30.00元</t>
        </is>
      </c>
      <c r="E251" t="inlineStr">
        <is>
          <t>7.1折</t>
        </is>
      </c>
      <c r="F251">
        <f>HYPERLINK("https://i0.hdslb.com/bfs/mall/mall/42/c3/42c3fc3f27c559f6f08e144fc68379ca.png", "点击查看图片")</f>
        <v/>
      </c>
      <c r="G251">
        <f>HYPERLINK("https://mall.bilibili.com/neul-next/index.html?page=magic-market_detail&amp;noTitleBar=1&amp;itemsId=109813258481&amp;from=market_index", "点击打开")</f>
        <v/>
      </c>
    </row>
    <row r="252">
      <c r="A252" t="inlineStr">
        <is>
          <t>世嘉 中野四叶 景品手办</t>
        </is>
      </c>
      <c r="B252" t="inlineStr">
        <is>
          <t>69.00元</t>
        </is>
      </c>
      <c r="C252" t="inlineStr">
        <is>
          <t>112.00元</t>
        </is>
      </c>
      <c r="D252" t="inlineStr">
        <is>
          <t>43.00元</t>
        </is>
      </c>
      <c r="E252" t="inlineStr">
        <is>
          <t>6.2折</t>
        </is>
      </c>
      <c r="F252">
        <f>HYPERLINK("https://i0.hdslb.com/bfs/mall/mall/64/06/6406ce43ba31e5755bd58fbed11c6632.png", "点击查看图片")</f>
        <v/>
      </c>
      <c r="G252">
        <f>HYPERLINK("https://mall.bilibili.com/neul-next/index.html?page=magic-market_detail&amp;noTitleBar=1&amp;itemsId=109806755926&amp;from=market_index", "点击打开")</f>
        <v/>
      </c>
    </row>
    <row r="253">
      <c r="A253" t="inlineStr">
        <is>
          <t>BANPRESTO 泽塔奥特曼  ver.B 景品</t>
        </is>
      </c>
      <c r="B253" t="inlineStr">
        <is>
          <t>50.95元</t>
        </is>
      </c>
      <c r="C253" t="inlineStr">
        <is>
          <t>119.00元</t>
        </is>
      </c>
      <c r="D253" t="inlineStr">
        <is>
          <t>68.05元</t>
        </is>
      </c>
      <c r="E253" t="inlineStr">
        <is>
          <t>4.3折</t>
        </is>
      </c>
      <c r="F253">
        <f>HYPERLINK("https://i0.hdslb.com/bfs/mall/mall/aa/9b/aa9b68211b2dcfe3cf7885b243ddbb59.png", "点击查看图片")</f>
        <v/>
      </c>
      <c r="G253">
        <f>HYPERLINK("https://mall.bilibili.com/neul-next/index.html?page=magic-market_detail&amp;noTitleBar=1&amp;itemsId=106978157350&amp;from=market_index", "点击打开")</f>
        <v/>
      </c>
    </row>
    <row r="254">
      <c r="A254" t="inlineStr">
        <is>
          <t>宝可梦  路卡利欧 正比手办</t>
        </is>
      </c>
      <c r="B254" t="inlineStr">
        <is>
          <t>55.00元</t>
        </is>
      </c>
      <c r="C254" t="inlineStr">
        <is>
          <t>69.00元</t>
        </is>
      </c>
      <c r="D254" t="inlineStr">
        <is>
          <t>14.00元</t>
        </is>
      </c>
      <c r="E254" t="inlineStr">
        <is>
          <t>8.0折</t>
        </is>
      </c>
      <c r="F254">
        <f>HYPERLINK("https://i0.hdslb.com/bfs/mall/mall/8f/be/8fbe7671b55beb3e94ae692f642578ef.png", "点击查看图片")</f>
        <v/>
      </c>
      <c r="G254">
        <f>HYPERLINK("https://mall.bilibili.com/neul-next/index.html?page=magic-market_detail&amp;noTitleBar=1&amp;itemsId=109804876072&amp;from=market_index", "点击打开")</f>
        <v/>
      </c>
    </row>
    <row r="255">
      <c r="A255" t="inlineStr">
        <is>
          <t>TAITO 井上泷奈 制服Ver. 景品手办</t>
        </is>
      </c>
      <c r="B255" t="inlineStr">
        <is>
          <t>88.00元</t>
        </is>
      </c>
      <c r="C255" t="inlineStr">
        <is>
          <t>112.00元</t>
        </is>
      </c>
      <c r="D255" t="inlineStr">
        <is>
          <t>24.00元</t>
        </is>
      </c>
      <c r="E255" t="inlineStr">
        <is>
          <t>7.9折</t>
        </is>
      </c>
      <c r="F255">
        <f>HYPERLINK("https://i0.hdslb.com/bfs/mall/mall/6e/c2/6ec265c85b318382572ce65995901370.png", "点击查看图片")</f>
        <v/>
      </c>
      <c r="G255">
        <f>HYPERLINK("https://mall.bilibili.com/neul-next/index.html?page=magic-market_detail&amp;noTitleBar=1&amp;itemsId=109808262561&amp;from=market_index", "点击打开")</f>
        <v/>
      </c>
    </row>
    <row r="256">
      <c r="A256" t="inlineStr">
        <is>
          <t>TAITO 有马加奈 景品手办</t>
        </is>
      </c>
      <c r="B256" t="inlineStr">
        <is>
          <t>151.15元</t>
        </is>
      </c>
      <c r="C256" t="inlineStr">
        <is>
          <t>224.00元</t>
        </is>
      </c>
      <c r="D256" t="inlineStr">
        <is>
          <t>72.85元</t>
        </is>
      </c>
      <c r="E256" t="inlineStr">
        <is>
          <t>6.7折</t>
        </is>
      </c>
      <c r="F256">
        <f>HYPERLINK("https://i0.hdslb.com/bfs/mall/mall/8c/b2/8cb29df0316bc1e82ac7abd12f378d08.png", "点击查看图片")</f>
        <v/>
      </c>
      <c r="G256">
        <f>HYPERLINK("https://mall.bilibili.com/neul-next/index.html?page=magic-market_detail&amp;noTitleBar=1&amp;itemsId=111909830664&amp;from=market_index", "点击打开")</f>
        <v/>
      </c>
    </row>
    <row r="257">
      <c r="A257" t="inlineStr">
        <is>
          <t>S-FIRE 初音未来 Q版手办</t>
        </is>
      </c>
      <c r="B257" t="inlineStr">
        <is>
          <t>128.00元</t>
        </is>
      </c>
      <c r="C257" t="inlineStr">
        <is>
          <t>162.00元</t>
        </is>
      </c>
      <c r="D257" t="inlineStr">
        <is>
          <t>34.00元</t>
        </is>
      </c>
      <c r="E257" t="inlineStr">
        <is>
          <t>7.9折</t>
        </is>
      </c>
      <c r="F257">
        <f>HYPERLINK("https://i0.hdslb.com/bfs/mall/mall/51/94/5194b0a19c6cc42718fe630c76828307.png", "点击查看图片")</f>
        <v/>
      </c>
      <c r="G257">
        <f>HYPERLINK("https://mall.bilibili.com/neul-next/index.html?page=magic-market_detail&amp;noTitleBar=1&amp;itemsId=111918610864&amp;from=market_index", "点击打开")</f>
        <v/>
      </c>
    </row>
    <row r="258">
      <c r="A258" t="inlineStr">
        <is>
          <t>S-FIRE 明日香 Q版手办</t>
        </is>
      </c>
      <c r="B258" t="inlineStr">
        <is>
          <t>188.00元</t>
        </is>
      </c>
      <c r="C258" t="inlineStr">
        <is>
          <t>324.00元</t>
        </is>
      </c>
      <c r="D258" t="inlineStr">
        <is>
          <t>136.00元</t>
        </is>
      </c>
      <c r="E258" t="inlineStr">
        <is>
          <t>5.8折</t>
        </is>
      </c>
      <c r="F258">
        <f>HYPERLINK("https://i0.hdslb.com/bfs/mall/mall/b2/a0/b2a089fb91c71c2b262720eeda6b956e.png", "点击查看图片")</f>
        <v/>
      </c>
      <c r="G258">
        <f>HYPERLINK("https://mall.bilibili.com/neul-next/index.html?page=magic-market_detail&amp;noTitleBar=1&amp;itemsId=111918735678&amp;from=market_index", "点击打开")</f>
        <v/>
      </c>
    </row>
    <row r="259">
      <c r="A259" t="inlineStr">
        <is>
          <t>世嘉 莲 景品手办</t>
        </is>
      </c>
      <c r="B259" t="inlineStr">
        <is>
          <t>84.49元</t>
        </is>
      </c>
      <c r="C259" t="inlineStr">
        <is>
          <t>109.00元</t>
        </is>
      </c>
      <c r="D259" t="inlineStr">
        <is>
          <t>24.51元</t>
        </is>
      </c>
      <c r="E259" t="inlineStr">
        <is>
          <t>7.8折</t>
        </is>
      </c>
      <c r="F259">
        <f>HYPERLINK("https://i0.hdslb.com/bfs/mall/mall/96/3f/963f07735fe2eca772bc31fea389f933.png", "点击查看图片")</f>
        <v/>
      </c>
      <c r="G259">
        <f>HYPERLINK("https://mall.bilibili.com/neul-next/index.html?page=magic-market_detail&amp;noTitleBar=1&amp;itemsId=107001290847&amp;from=market_index", "点击打开")</f>
        <v/>
      </c>
    </row>
    <row r="260">
      <c r="A260" t="inlineStr">
        <is>
          <t>TAITO 阿库娅 水着ver. 景品手办</t>
        </is>
      </c>
      <c r="B260" t="inlineStr">
        <is>
          <t>70.00元</t>
        </is>
      </c>
      <c r="C260" t="inlineStr">
        <is>
          <t>112.00元</t>
        </is>
      </c>
      <c r="D260" t="inlineStr">
        <is>
          <t>42.00元</t>
        </is>
      </c>
      <c r="E260" t="inlineStr">
        <is>
          <t>6.2折</t>
        </is>
      </c>
      <c r="F260">
        <f>HYPERLINK("https://i0.hdslb.com/bfs/mall/mall/e8/73/e8739fc434d4c8909afc52e4f438beea.png", "点击查看图片")</f>
        <v/>
      </c>
      <c r="G260">
        <f>HYPERLINK("https://mall.bilibili.com/neul-next/index.html?page=magic-market_detail&amp;noTitleBar=1&amp;itemsId=109814914114&amp;from=market_index", "点击打开")</f>
        <v/>
      </c>
    </row>
    <row r="261">
      <c r="A261" t="inlineStr">
        <is>
          <t>世嘉 藤岛慈 景品手办</t>
        </is>
      </c>
      <c r="B261" t="inlineStr">
        <is>
          <t>50.79元</t>
        </is>
      </c>
      <c r="C261" t="inlineStr">
        <is>
          <t>115.00元</t>
        </is>
      </c>
      <c r="D261" t="inlineStr">
        <is>
          <t>64.21元</t>
        </is>
      </c>
      <c r="E261" t="inlineStr">
        <is>
          <t>4.4折</t>
        </is>
      </c>
      <c r="F261">
        <f>HYPERLINK("https://i0.hdslb.com/bfs/mall/mall/e0/14/e014276aea70c275e1d2c49f8d4293df.png", "点击查看图片")</f>
        <v/>
      </c>
      <c r="G261">
        <f>HYPERLINK("https://mall.bilibili.com/neul-next/index.html?page=magic-market_detail&amp;noTitleBar=1&amp;itemsId=109813872749&amp;from=market_index", "点击打开")</f>
        <v/>
      </c>
    </row>
    <row r="262">
      <c r="A262" t="inlineStr">
        <is>
          <t>System Service 绪山美波里 景品手办</t>
        </is>
      </c>
      <c r="B262" t="inlineStr">
        <is>
          <t>68.00元</t>
        </is>
      </c>
      <c r="C262" t="inlineStr">
        <is>
          <t>125.00元</t>
        </is>
      </c>
      <c r="D262" t="inlineStr">
        <is>
          <t>57.00元</t>
        </is>
      </c>
      <c r="E262" t="inlineStr">
        <is>
          <t>5.4折</t>
        </is>
      </c>
      <c r="F262">
        <f>HYPERLINK("https://i0.hdslb.com/bfs/mall/mall/6c/6d/6c6d92c50205b41e3ac8b1590bb2fc03.png", "点击查看图片")</f>
        <v/>
      </c>
      <c r="G262">
        <f>HYPERLINK("https://mall.bilibili.com/neul-next/index.html?page=magic-market_detail&amp;noTitleBar=1&amp;itemsId=106934778341&amp;from=market_index", "点击打开")</f>
        <v/>
      </c>
    </row>
    <row r="263">
      <c r="A263" t="inlineStr">
        <is>
          <t>世嘉 樱岛麻衣 书包女孩 景品手办</t>
        </is>
      </c>
      <c r="B263" t="inlineStr">
        <is>
          <t>85.00元</t>
        </is>
      </c>
      <c r="C263" t="inlineStr">
        <is>
          <t>115.00元</t>
        </is>
      </c>
      <c r="D263" t="inlineStr">
        <is>
          <t>30.00元</t>
        </is>
      </c>
      <c r="E263" t="inlineStr">
        <is>
          <t>7.4折</t>
        </is>
      </c>
      <c r="F263">
        <f>HYPERLINK("https://i0.hdslb.com/bfs/mall/mall/6f/12/6f122fe18898c965058f75d1ac87ca62.png", "点击查看图片")</f>
        <v/>
      </c>
      <c r="G263">
        <f>HYPERLINK("https://mall.bilibili.com/neul-next/index.html?page=magic-market_detail&amp;noTitleBar=1&amp;itemsId=109813793947&amp;from=market_index", "点击打开")</f>
        <v/>
      </c>
    </row>
    <row r="264">
      <c r="A264" t="inlineStr">
        <is>
          <t>TAITO 立华奏 景品手办</t>
        </is>
      </c>
      <c r="B264" t="inlineStr">
        <is>
          <t>80.00元</t>
        </is>
      </c>
      <c r="C264" t="inlineStr">
        <is>
          <t>112.00元</t>
        </is>
      </c>
      <c r="D264" t="inlineStr">
        <is>
          <t>32.00元</t>
        </is>
      </c>
      <c r="E264" t="inlineStr">
        <is>
          <t>7.1折</t>
        </is>
      </c>
      <c r="F264">
        <f>HYPERLINK("https://i0.hdslb.com/bfs/mall/mall/2b/a8/2ba8c1bfa1050bc42b29462483abcb44.png", "点击查看图片")</f>
        <v/>
      </c>
      <c r="G264">
        <f>HYPERLINK("https://mall.bilibili.com/neul-next/index.html?page=magic-market_detail&amp;noTitleBar=1&amp;itemsId=109807519293&amp;from=market_index", "点击打开")</f>
        <v/>
      </c>
    </row>
    <row r="265">
      <c r="A265" t="inlineStr">
        <is>
          <t>世嘉 艾莉 水着 景品手办</t>
        </is>
      </c>
      <c r="B265" t="inlineStr">
        <is>
          <t>58.97元</t>
        </is>
      </c>
      <c r="C265" t="inlineStr">
        <is>
          <t>112.00元</t>
        </is>
      </c>
      <c r="D265" t="inlineStr">
        <is>
          <t>53.03元</t>
        </is>
      </c>
      <c r="E265" t="inlineStr">
        <is>
          <t>5.3折</t>
        </is>
      </c>
      <c r="F265">
        <f>HYPERLINK("https://i0.hdslb.com/bfs/mall/mall/ae/3f/ae3f62b6216c7497fd232d447bf3d9ef.png", "点击查看图片")</f>
        <v/>
      </c>
      <c r="G265">
        <f>HYPERLINK("https://mall.bilibili.com/neul-next/index.html?page=magic-market_detail&amp;noTitleBar=1&amp;itemsId=107151454551&amp;from=market_index", "点击打开")</f>
        <v/>
      </c>
    </row>
    <row r="266">
      <c r="A266" t="inlineStr">
        <is>
          <t>世嘉 毒蛇 景品手办</t>
        </is>
      </c>
      <c r="B266" t="inlineStr">
        <is>
          <t>95.00元</t>
        </is>
      </c>
      <c r="C266" t="inlineStr">
        <is>
          <t>112.00元</t>
        </is>
      </c>
      <c r="D266" t="inlineStr">
        <is>
          <t>17.00元</t>
        </is>
      </c>
      <c r="E266" t="inlineStr">
        <is>
          <t>8.5折</t>
        </is>
      </c>
      <c r="F266">
        <f>HYPERLINK("https://i0.hdslb.com/bfs/mall/mall/56/2c/562cfb8839ed78ebb85b0378b7c8307c.png", "点击查看图片")</f>
        <v/>
      </c>
      <c r="G266">
        <f>HYPERLINK("https://mall.bilibili.com/neul-next/index.html?page=magic-market_detail&amp;noTitleBar=1&amp;itemsId=109811158400&amp;from=market_index", "点击打开")</f>
        <v/>
      </c>
    </row>
    <row r="267">
      <c r="A267" t="inlineStr">
        <is>
          <t>世嘉 真希波 景品手办</t>
        </is>
      </c>
      <c r="B267" t="inlineStr">
        <is>
          <t>60.00元</t>
        </is>
      </c>
      <c r="C267" t="inlineStr">
        <is>
          <t>109.00元</t>
        </is>
      </c>
      <c r="D267" t="inlineStr">
        <is>
          <t>49.00元</t>
        </is>
      </c>
      <c r="E267" t="inlineStr">
        <is>
          <t>5.5折</t>
        </is>
      </c>
      <c r="F267">
        <f>HYPERLINK("https://i0.hdslb.com/bfs/mall/mall/c1/68/c168fb596c39ad0034dcd646306032f3.png", "点击查看图片")</f>
        <v/>
      </c>
      <c r="G267">
        <f>HYPERLINK("https://mall.bilibili.com/neul-next/index.html?page=magic-market_detail&amp;noTitleBar=1&amp;itemsId=109814080724&amp;from=market_index", "点击打开")</f>
        <v/>
      </c>
    </row>
    <row r="268">
      <c r="A268" t="inlineStr">
        <is>
          <t>BANPRESTO 爱丽速子 景品手办</t>
        </is>
      </c>
      <c r="B268" t="inlineStr">
        <is>
          <t>85.00元</t>
        </is>
      </c>
      <c r="C268" t="inlineStr">
        <is>
          <t>129.00元</t>
        </is>
      </c>
      <c r="D268" t="inlineStr">
        <is>
          <t>44.00元</t>
        </is>
      </c>
      <c r="E268" t="inlineStr">
        <is>
          <t>6.6折</t>
        </is>
      </c>
      <c r="F268">
        <f>HYPERLINK("https://i0.hdslb.com/bfs/mall/mall/6a/02/6a025cd5339c891348ada2b5f1446b63.png", "点击查看图片")</f>
        <v/>
      </c>
      <c r="G268">
        <f>HYPERLINK("https://mall.bilibili.com/neul-next/index.html?page=magic-market_detail&amp;noTitleBar=1&amp;itemsId=106887168494&amp;from=market_index", "点击打开")</f>
        <v/>
      </c>
    </row>
    <row r="269">
      <c r="A269" t="inlineStr">
        <is>
          <t>GSAS 9S Q版手办</t>
        </is>
      </c>
      <c r="B269" t="inlineStr">
        <is>
          <t>108.00元</t>
        </is>
      </c>
      <c r="C269" t="inlineStr">
        <is>
          <t>178.00元</t>
        </is>
      </c>
      <c r="D269" t="inlineStr">
        <is>
          <t>70.00元</t>
        </is>
      </c>
      <c r="E269" t="inlineStr">
        <is>
          <t>6.1折</t>
        </is>
      </c>
      <c r="F269">
        <f>HYPERLINK("https://i0.hdslb.com/bfs/mall/mall/40/16/4016fef9bfba1d5564f5e0454187efd1.png", "点击查看图片")</f>
        <v/>
      </c>
      <c r="G269">
        <f>HYPERLINK("https://mall.bilibili.com/neul-next/index.html?page=magic-market_detail&amp;noTitleBar=1&amp;itemsId=109828074022&amp;from=market_index", "点击打开")</f>
        <v/>
      </c>
    </row>
    <row r="270">
      <c r="A270" t="inlineStr">
        <is>
          <t>BANPRESTO 四糸乃 景品手办</t>
        </is>
      </c>
      <c r="B270" t="inlineStr">
        <is>
          <t>73.64元</t>
        </is>
      </c>
      <c r="C270" t="inlineStr">
        <is>
          <t>129.00元</t>
        </is>
      </c>
      <c r="D270" t="inlineStr">
        <is>
          <t>55.36元</t>
        </is>
      </c>
      <c r="E270" t="inlineStr">
        <is>
          <t>5.7折</t>
        </is>
      </c>
      <c r="F270">
        <f>HYPERLINK("https://i0.hdslb.com/bfs/mall/mall/db/e0/dbe0b3e2ccfd9ce5971d1e87e6ed25a4.png", "点击查看图片")</f>
        <v/>
      </c>
      <c r="G270">
        <f>HYPERLINK("https://mall.bilibili.com/neul-next/index.html?page=magic-market_detail&amp;noTitleBar=1&amp;itemsId=106928070874&amp;from=market_index", "点击打开")</f>
        <v/>
      </c>
    </row>
    <row r="271">
      <c r="A271" t="inlineStr">
        <is>
          <t>世嘉 拉姆 景品手办 再版</t>
        </is>
      </c>
      <c r="B271" t="inlineStr">
        <is>
          <t>75.00元</t>
        </is>
      </c>
      <c r="C271" t="inlineStr">
        <is>
          <t>109.00元</t>
        </is>
      </c>
      <c r="D271" t="inlineStr">
        <is>
          <t>34.00元</t>
        </is>
      </c>
      <c r="E271" t="inlineStr">
        <is>
          <t>6.9折</t>
        </is>
      </c>
      <c r="F271">
        <f>HYPERLINK("https://i0.hdslb.com/bfs/mall/mall/74/6c/746c0badf5c631d23aba25f395734d2f.png", "点击查看图片")</f>
        <v/>
      </c>
      <c r="G271">
        <f>HYPERLINK("https://mall.bilibili.com/neul-next/index.html?page=magic-market_detail&amp;noTitleBar=1&amp;itemsId=107151275771&amp;from=market_index", "点击打开")</f>
        <v/>
      </c>
    </row>
    <row r="272">
      <c r="A272" t="inlineStr">
        <is>
          <t>S-FIRE 雷姆 Q版手办</t>
        </is>
      </c>
      <c r="B272" t="inlineStr">
        <is>
          <t>103.98元</t>
        </is>
      </c>
      <c r="C272" t="inlineStr">
        <is>
          <t>324.00元</t>
        </is>
      </c>
      <c r="D272" t="inlineStr">
        <is>
          <t>220.02元</t>
        </is>
      </c>
      <c r="E272" t="inlineStr">
        <is>
          <t>3.2折</t>
        </is>
      </c>
      <c r="F272">
        <f>HYPERLINK("https://i0.hdslb.com/bfs/mall/mall/46/1a/461ae36ea6737051a5c12314b791532d.png", "点击查看图片")</f>
        <v/>
      </c>
      <c r="G272">
        <f>HYPERLINK("https://mall.bilibili.com/neul-next/index.html?page=magic-market_detail&amp;noTitleBar=1&amp;itemsId=111913349364&amp;from=market_index", "点击打开")</f>
        <v/>
      </c>
    </row>
    <row r="273">
      <c r="A273" t="inlineStr">
        <is>
          <t>BANPRESTO 初音未来 登山 景品手办</t>
        </is>
      </c>
      <c r="B273" t="inlineStr">
        <is>
          <t>72.00元</t>
        </is>
      </c>
      <c r="C273" t="inlineStr">
        <is>
          <t>129.00元</t>
        </is>
      </c>
      <c r="D273" t="inlineStr">
        <is>
          <t>57.00元</t>
        </is>
      </c>
      <c r="E273" t="inlineStr">
        <is>
          <t>5.6折</t>
        </is>
      </c>
      <c r="F273">
        <f>HYPERLINK("https://i0.hdslb.com/bfs/mall/mall/f3/7c/f37cf0573a57b1a3c3faf5181df638fc.png", "点击查看图片")</f>
        <v/>
      </c>
      <c r="G273">
        <f>HYPERLINK("https://mall.bilibili.com/neul-next/index.html?page=magic-market_detail&amp;noTitleBar=1&amp;itemsId=109809796527&amp;from=market_index", "点击打开")</f>
        <v/>
      </c>
    </row>
    <row r="274">
      <c r="A274" t="inlineStr">
        <is>
          <t>世嘉 露比 景品手办</t>
        </is>
      </c>
      <c r="B274" t="inlineStr">
        <is>
          <t>138.00元</t>
        </is>
      </c>
      <c r="C274" t="inlineStr">
        <is>
          <t>220.00元</t>
        </is>
      </c>
      <c r="D274" t="inlineStr">
        <is>
          <t>82.00元</t>
        </is>
      </c>
      <c r="E274" t="inlineStr">
        <is>
          <t>6.3折</t>
        </is>
      </c>
      <c r="F274">
        <f>HYPERLINK("https://i0.hdslb.com/bfs/mall/mall/c9/95/c9958120aa6d7fa5e9469be7418b8ddc.png", "点击查看图片")</f>
        <v/>
      </c>
      <c r="G274">
        <f>HYPERLINK("https://mall.bilibili.com/neul-next/index.html?page=magic-market_detail&amp;noTitleBar=1&amp;itemsId=111915487360&amp;from=market_index", "点击打开")</f>
        <v/>
      </c>
    </row>
    <row r="275">
      <c r="A275" t="inlineStr">
        <is>
          <t>世嘉 渚薰 司令服Ver. 景品手办</t>
        </is>
      </c>
      <c r="B275" t="inlineStr">
        <is>
          <t>160.00元</t>
        </is>
      </c>
      <c r="C275" t="inlineStr">
        <is>
          <t>330.00元</t>
        </is>
      </c>
      <c r="D275" t="inlineStr">
        <is>
          <t>170.00元</t>
        </is>
      </c>
      <c r="E275" t="inlineStr">
        <is>
          <t>4.8折</t>
        </is>
      </c>
      <c r="F275">
        <f>HYPERLINK("https://i0.hdslb.com/bfs/mall/mall/6b/60/6b60a28ea6450418e5fe93c4070b01c5.png", "点击查看图片")</f>
        <v/>
      </c>
      <c r="G275">
        <f>HYPERLINK("https://mall.bilibili.com/neul-next/index.html?page=magic-market_detail&amp;noTitleBar=1&amp;itemsId=110460376536&amp;from=market_index", "点击打开")</f>
        <v/>
      </c>
    </row>
    <row r="276">
      <c r="A276" t="inlineStr">
        <is>
          <t>FuRyu  阿尼亚·福杰  运动服 景品手办</t>
        </is>
      </c>
      <c r="B276" t="inlineStr">
        <is>
          <t>46.90元</t>
        </is>
      </c>
      <c r="C276" t="inlineStr">
        <is>
          <t>85.00元</t>
        </is>
      </c>
      <c r="D276" t="inlineStr">
        <is>
          <t>38.10元</t>
        </is>
      </c>
      <c r="E276" t="inlineStr">
        <is>
          <t>5.5折</t>
        </is>
      </c>
      <c r="F276">
        <f>HYPERLINK("https://i0.hdslb.com/bfs/mall/mall/fa/6f/fa6f60af6f08c7ce7474a4231f204e1f.png", "点击查看图片")</f>
        <v/>
      </c>
      <c r="G276">
        <f>HYPERLINK("https://mall.bilibili.com/neul-next/index.html?page=magic-market_detail&amp;noTitleBar=1&amp;itemsId=107093153464&amp;from=market_index", "点击打开")</f>
        <v/>
      </c>
    </row>
    <row r="277">
      <c r="A277" t="inlineStr">
        <is>
          <t>FuRyu 结城明日奈 兔女郎 景品手办</t>
        </is>
      </c>
      <c r="B277" t="inlineStr">
        <is>
          <t>88.00元</t>
        </is>
      </c>
      <c r="C277" t="inlineStr">
        <is>
          <t>129.00元</t>
        </is>
      </c>
      <c r="D277" t="inlineStr">
        <is>
          <t>41.00元</t>
        </is>
      </c>
      <c r="E277" t="inlineStr">
        <is>
          <t>6.8折</t>
        </is>
      </c>
      <c r="F277">
        <f>HYPERLINK("https://i0.hdslb.com/bfs/mall/mall/08/14/08142e5319c8cb1a9c9000e2871b5a30.png", "点击查看图片")</f>
        <v/>
      </c>
      <c r="G277">
        <f>HYPERLINK("https://mall.bilibili.com/neul-next/index.html?page=magic-market_detail&amp;noTitleBar=1&amp;itemsId=107066782513&amp;from=market_index", "点击打开")</f>
        <v/>
      </c>
    </row>
    <row r="278">
      <c r="A278" t="inlineStr">
        <is>
          <t>FuRyu 藤原千花 芭菲Ver.  景品手办</t>
        </is>
      </c>
      <c r="B278" t="inlineStr">
        <is>
          <t>72.85元</t>
        </is>
      </c>
      <c r="C278" t="inlineStr">
        <is>
          <t>129.00元</t>
        </is>
      </c>
      <c r="D278" t="inlineStr">
        <is>
          <t>56.15元</t>
        </is>
      </c>
      <c r="E278" t="inlineStr">
        <is>
          <t>5.6折</t>
        </is>
      </c>
      <c r="F278">
        <f>HYPERLINK("https://i0.hdslb.com/bfs/mall/mall/2b/f8/2bf85db45b7c1b1dea8a4df455e34cb6.png", "点击查看图片")</f>
        <v/>
      </c>
      <c r="G278">
        <f>HYPERLINK("https://mall.bilibili.com/neul-next/index.html?page=magic-market_detail&amp;noTitleBar=1&amp;itemsId=109810094937&amp;from=market_index", "点击打开")</f>
        <v/>
      </c>
    </row>
    <row r="279">
      <c r="A279" t="inlineStr">
        <is>
          <t>世嘉 伊地知虹夏 景品手办</t>
        </is>
      </c>
      <c r="B279" t="inlineStr">
        <is>
          <t>65.00元</t>
        </is>
      </c>
      <c r="C279" t="inlineStr">
        <is>
          <t>105.00元</t>
        </is>
      </c>
      <c r="D279" t="inlineStr">
        <is>
          <t>40.00元</t>
        </is>
      </c>
      <c r="E279" t="inlineStr">
        <is>
          <t>6.2折</t>
        </is>
      </c>
      <c r="F279">
        <f>HYPERLINK("https://i0.hdslb.com/bfs/mall/mall/57/b8/57b871f4c1bd2810470c6f4a9b31a5cd.png", "点击查看图片")</f>
        <v/>
      </c>
      <c r="G279">
        <f>HYPERLINK("https://mall.bilibili.com/neul-next/index.html?page=magic-market_detail&amp;noTitleBar=1&amp;itemsId=109821092036&amp;from=market_index", "点击打开")</f>
        <v/>
      </c>
    </row>
    <row r="280">
      <c r="A280" t="inlineStr">
        <is>
          <t>FuRyu 雅儿贝德 睡衣 景品手办</t>
        </is>
      </c>
      <c r="B280" t="inlineStr">
        <is>
          <t>68.58元</t>
        </is>
      </c>
      <c r="C280" t="inlineStr">
        <is>
          <t>115.00元</t>
        </is>
      </c>
      <c r="D280" t="inlineStr">
        <is>
          <t>46.42元</t>
        </is>
      </c>
      <c r="E280" t="inlineStr">
        <is>
          <t>6.0折</t>
        </is>
      </c>
      <c r="F280">
        <f>HYPERLINK("https://i0.hdslb.com/bfs/mall/mall/f9/5f/f95ff7ef9ef6b38604f2e23c17b76eb2.png", "点击查看图片")</f>
        <v/>
      </c>
      <c r="G280">
        <f>HYPERLINK("https://mall.bilibili.com/neul-next/index.html?page=magic-market_detail&amp;noTitleBar=1&amp;itemsId=109805870063&amp;from=market_index", "点击打开")</f>
        <v/>
      </c>
    </row>
    <row r="281">
      <c r="A281" t="inlineStr">
        <is>
          <t>TAITO 莱莎琳·斯托特 水着Ver. 景品手办</t>
        </is>
      </c>
      <c r="B281" t="inlineStr">
        <is>
          <t>70.40元</t>
        </is>
      </c>
      <c r="C281" t="inlineStr">
        <is>
          <t>112.00元</t>
        </is>
      </c>
      <c r="D281" t="inlineStr">
        <is>
          <t>41.60元</t>
        </is>
      </c>
      <c r="E281" t="inlineStr">
        <is>
          <t>6.3折</t>
        </is>
      </c>
      <c r="F281">
        <f>HYPERLINK("https://i0.hdslb.com/bfs/mall/mall/b6/63/b6637b9e80a0c3db5eb1ceff55cf5ffe.png", "点击查看图片")</f>
        <v/>
      </c>
      <c r="G281">
        <f>HYPERLINK("https://mall.bilibili.com/neul-next/index.html?page=magic-market_detail&amp;noTitleBar=1&amp;itemsId=107150636455&amp;from=market_index", "点击打开")</f>
        <v/>
      </c>
    </row>
    <row r="282">
      <c r="A282" t="inlineStr">
        <is>
          <t>BANPRESTO 里见光钻 景品手办</t>
        </is>
      </c>
      <c r="B282" t="inlineStr">
        <is>
          <t>79.85元</t>
        </is>
      </c>
      <c r="C282" t="inlineStr">
        <is>
          <t>129.00元</t>
        </is>
      </c>
      <c r="D282" t="inlineStr">
        <is>
          <t>49.15元</t>
        </is>
      </c>
      <c r="E282" t="inlineStr">
        <is>
          <t>6.2折</t>
        </is>
      </c>
      <c r="F282">
        <f>HYPERLINK("https://i0.hdslb.com/bfs/mall/mall/a5/e1/a5e123f9993d804c34672c335956132f.png", "点击查看图片")</f>
        <v/>
      </c>
      <c r="G282">
        <f>HYPERLINK("https://mall.bilibili.com/neul-next/index.html?page=magic-market_detail&amp;noTitleBar=1&amp;itemsId=107140505714&amp;from=market_index", "点击打开")</f>
        <v/>
      </c>
    </row>
    <row r="283">
      <c r="A283" t="inlineStr">
        <is>
          <t>FuRyu Weiss・Schnee 景品手办</t>
        </is>
      </c>
      <c r="B283" t="inlineStr">
        <is>
          <t>78.00元</t>
        </is>
      </c>
      <c r="C283" t="inlineStr">
        <is>
          <t>115.00元</t>
        </is>
      </c>
      <c r="D283" t="inlineStr">
        <is>
          <t>37.00元</t>
        </is>
      </c>
      <c r="E283" t="inlineStr">
        <is>
          <t>6.8折</t>
        </is>
      </c>
      <c r="F283">
        <f>HYPERLINK("https://i0.hdslb.com/bfs/mall/mall/42/b7/42b7b1507233211e70175a9428d5efb2.png", "点击查看图片")</f>
        <v/>
      </c>
      <c r="G283">
        <f>HYPERLINK("https://mall.bilibili.com/neul-next/index.html?page=magic-market_detail&amp;noTitleBar=1&amp;itemsId=106916821349&amp;from=market_index", "点击打开")</f>
        <v/>
      </c>
    </row>
    <row r="284">
      <c r="A284" t="inlineStr">
        <is>
          <t>世嘉 科洛蒂娅·巴兰茨 景品手办</t>
        </is>
      </c>
      <c r="B284" t="inlineStr">
        <is>
          <t>85.00元</t>
        </is>
      </c>
      <c r="C284" t="inlineStr">
        <is>
          <t>105.00元</t>
        </is>
      </c>
      <c r="D284" t="inlineStr">
        <is>
          <t>20.00元</t>
        </is>
      </c>
      <c r="E284" t="inlineStr">
        <is>
          <t>8.1折</t>
        </is>
      </c>
      <c r="F284">
        <f>HYPERLINK("https://i0.hdslb.com/bfs/mall/mall/5c/cc/5cccd01ab763e6d8c438849b3f30a8ab.png", "点击查看图片")</f>
        <v/>
      </c>
      <c r="G284">
        <f>HYPERLINK("https://mall.bilibili.com/neul-next/index.html?page=magic-market_detail&amp;noTitleBar=1&amp;itemsId=107146122446&amp;from=market_index", "点击打开")</f>
        <v/>
      </c>
    </row>
    <row r="285">
      <c r="A285" t="inlineStr">
        <is>
          <t>世嘉 劳埃德·福杰 景品</t>
        </is>
      </c>
      <c r="B285" t="inlineStr">
        <is>
          <t>54.00元</t>
        </is>
      </c>
      <c r="C285" t="inlineStr">
        <is>
          <t>109.00元</t>
        </is>
      </c>
      <c r="D285" t="inlineStr">
        <is>
          <t>55.00元</t>
        </is>
      </c>
      <c r="E285" t="inlineStr">
        <is>
          <t>5.0折</t>
        </is>
      </c>
      <c r="F285">
        <f>HYPERLINK("https://i0.hdslb.com/bfs/mall/mall/49/cc/49cc2f60d599da2714d8cd98577d8a08.png", "点击查看图片")</f>
        <v/>
      </c>
      <c r="G285">
        <f>HYPERLINK("https://mall.bilibili.com/neul-next/index.html?page=magic-market_detail&amp;noTitleBar=1&amp;itemsId=109822043138&amp;from=market_index", "点击打开")</f>
        <v/>
      </c>
    </row>
    <row r="286">
      <c r="A286" t="inlineStr">
        <is>
          <t>BANPRESTO 虎杖悠仁 Q版手办</t>
        </is>
      </c>
      <c r="B286" t="inlineStr">
        <is>
          <t>58.99元</t>
        </is>
      </c>
      <c r="C286" t="inlineStr">
        <is>
          <t>79.00元</t>
        </is>
      </c>
      <c r="D286" t="inlineStr">
        <is>
          <t>20.01元</t>
        </is>
      </c>
      <c r="E286" t="inlineStr">
        <is>
          <t>7.5折</t>
        </is>
      </c>
      <c r="F286">
        <f>HYPERLINK("https://i0.hdslb.com/bfs/mall/mall/82/29/82298f7ec3fbcec4a45d84eea2159ca1.png", "点击查看图片")</f>
        <v/>
      </c>
      <c r="G286">
        <f>HYPERLINK("https://mall.bilibili.com/neul-next/index.html?page=magic-market_detail&amp;noTitleBar=1&amp;itemsId=107066911906&amp;from=market_index", "点击打开")</f>
        <v/>
      </c>
    </row>
    <row r="287">
      <c r="A287" t="inlineStr">
        <is>
          <t>FuRyu 平泽唯 景品手办</t>
        </is>
      </c>
      <c r="B287" t="inlineStr">
        <is>
          <t>399.19元</t>
        </is>
      </c>
      <c r="C287" t="inlineStr">
        <is>
          <t>645.00元</t>
        </is>
      </c>
      <c r="D287" t="inlineStr">
        <is>
          <t>245.81元</t>
        </is>
      </c>
      <c r="E287" t="inlineStr">
        <is>
          <t>6.2折</t>
        </is>
      </c>
      <c r="F287">
        <f>HYPERLINK("https://i0.hdslb.com/bfs/mall/mall/fb/eb/fbeb867743106a519d5fb6f3d92f70a6.png", "点击查看图片")</f>
        <v/>
      </c>
      <c r="G287">
        <f>HYPERLINK("https://mall.bilibili.com/neul-next/index.html?page=magic-market_detail&amp;noTitleBar=1&amp;itemsId=109849834340&amp;from=market_index", "点击打开")</f>
        <v/>
      </c>
    </row>
    <row r="288">
      <c r="A288" t="inlineStr">
        <is>
          <t>世嘉 中野三玖 景品手办</t>
        </is>
      </c>
      <c r="B288" t="inlineStr">
        <is>
          <t>55.00元</t>
        </is>
      </c>
      <c r="C288" t="inlineStr">
        <is>
          <t>105.00元</t>
        </is>
      </c>
      <c r="D288" t="inlineStr">
        <is>
          <t>50.00元</t>
        </is>
      </c>
      <c r="E288" t="inlineStr">
        <is>
          <t>5.2折</t>
        </is>
      </c>
      <c r="F288">
        <f>HYPERLINK("https://i0.hdslb.com/bfs/mall/mall/8c/ff/8cff2fcc3f28d6c94f3462e36ae57e64.png", "点击查看图片")</f>
        <v/>
      </c>
      <c r="G288">
        <f>HYPERLINK("https://mall.bilibili.com/neul-next/index.html?page=magic-market_detail&amp;noTitleBar=1&amp;itemsId=107139649011&amp;from=market_index", "点击打开")</f>
        <v/>
      </c>
    </row>
    <row r="289">
      <c r="A289" t="inlineStr">
        <is>
          <t>TAITO 伊蕾娜 Renewal 景品手办</t>
        </is>
      </c>
      <c r="B289" t="inlineStr">
        <is>
          <t>80.00元</t>
        </is>
      </c>
      <c r="C289" t="inlineStr">
        <is>
          <t>112.00元</t>
        </is>
      </c>
      <c r="D289" t="inlineStr">
        <is>
          <t>32.00元</t>
        </is>
      </c>
      <c r="E289" t="inlineStr">
        <is>
          <t>7.1折</t>
        </is>
      </c>
      <c r="F289">
        <f>HYPERLINK("https://i0.hdslb.com/bfs/mall/mall/0b/6f/0b6f61245dee319f2c64ac1b8a1da4fd.png", "点击查看图片")</f>
        <v/>
      </c>
      <c r="G289">
        <f>HYPERLINK("https://mall.bilibili.com/neul-next/index.html?page=magic-market_detail&amp;noTitleBar=1&amp;itemsId=109811676722&amp;from=market_index", "点击打开")</f>
        <v/>
      </c>
    </row>
    <row r="290">
      <c r="A290" t="inlineStr">
        <is>
          <t>GSAS 绫波零 长发Ver. Q版手办</t>
        </is>
      </c>
      <c r="B290" t="inlineStr">
        <is>
          <t>48.00元</t>
        </is>
      </c>
      <c r="C290" t="inlineStr">
        <is>
          <t>89.00元</t>
        </is>
      </c>
      <c r="D290" t="inlineStr">
        <is>
          <t>41.00元</t>
        </is>
      </c>
      <c r="E290" t="inlineStr">
        <is>
          <t>5.4折</t>
        </is>
      </c>
      <c r="F290">
        <f>HYPERLINK("https://i0.hdslb.com/bfs/mall/mall/62/04/6204e8fb353d9675c4dfd6ed3da1344e.png", "点击查看图片")</f>
        <v/>
      </c>
      <c r="G290">
        <f>HYPERLINK("https://mall.bilibili.com/neul-next/index.html?page=magic-market_detail&amp;noTitleBar=1&amp;itemsId=107153425126&amp;from=market_index", "点击打开")</f>
        <v/>
      </c>
    </row>
    <row r="291">
      <c r="A291" t="inlineStr">
        <is>
          <t>FuRyu 佐切 景品手办</t>
        </is>
      </c>
      <c r="B291" t="inlineStr">
        <is>
          <t>46.00元</t>
        </is>
      </c>
      <c r="C291" t="inlineStr">
        <is>
          <t>119.00元</t>
        </is>
      </c>
      <c r="D291" t="inlineStr">
        <is>
          <t>73.00元</t>
        </is>
      </c>
      <c r="E291" t="inlineStr">
        <is>
          <t>3.9折</t>
        </is>
      </c>
      <c r="F291">
        <f>HYPERLINK("https://i0.hdslb.com/bfs/mall/mall/c1/a3/c1a3dc82e09a1c6e24ac5c8b438d3555.png", "点击查看图片")</f>
        <v/>
      </c>
      <c r="G291">
        <f>HYPERLINK("https://mall.bilibili.com/neul-next/index.html?page=magic-market_detail&amp;noTitleBar=1&amp;itemsId=107146697399&amp;from=market_index", "点击打开")</f>
        <v/>
      </c>
    </row>
    <row r="292">
      <c r="A292" t="inlineStr">
        <is>
          <t>世嘉 江户川柯南 椅子Ver. 景品手办 再版</t>
        </is>
      </c>
      <c r="B292" t="inlineStr">
        <is>
          <t>139.00元</t>
        </is>
      </c>
      <c r="C292" t="inlineStr">
        <is>
          <t>210.00元</t>
        </is>
      </c>
      <c r="D292" t="inlineStr">
        <is>
          <t>71.00元</t>
        </is>
      </c>
      <c r="E292" t="inlineStr">
        <is>
          <t>6.6折</t>
        </is>
      </c>
      <c r="F292">
        <f>HYPERLINK("https://i0.hdslb.com/bfs/mall/mall/c0/14/c014d3d0fc82072d3ae5dc6e6f7c2c4e.png", "点击查看图片")</f>
        <v/>
      </c>
      <c r="G292">
        <f>HYPERLINK("https://mall.bilibili.com/neul-next/index.html?page=magic-market_detail&amp;noTitleBar=1&amp;itemsId=109875231178&amp;from=market_index", "点击打开")</f>
        <v/>
      </c>
    </row>
    <row r="293">
      <c r="A293" t="inlineStr">
        <is>
          <t>FuRyu 初音未来 圣诞糖果 景品手办</t>
        </is>
      </c>
      <c r="B293" t="inlineStr">
        <is>
          <t>108.37元</t>
        </is>
      </c>
      <c r="C293" t="inlineStr">
        <is>
          <t>129.00元</t>
        </is>
      </c>
      <c r="D293" t="inlineStr">
        <is>
          <t>20.63元</t>
        </is>
      </c>
      <c r="E293" t="inlineStr">
        <is>
          <t>8.4折</t>
        </is>
      </c>
      <c r="F293">
        <f>HYPERLINK("https://i0.hdslb.com/bfs/mall/mall/e2/63/e263bf88f6fb9ee7bc16a08ce3beb79e.png", "点击查看图片")</f>
        <v/>
      </c>
      <c r="G293">
        <f>HYPERLINK("https://mall.bilibili.com/neul-next/index.html?page=magic-market_detail&amp;noTitleBar=1&amp;itemsId=111905537049&amp;from=market_index", "点击打开")</f>
        <v/>
      </c>
    </row>
    <row r="294">
      <c r="A294" t="inlineStr">
        <is>
          <t>世嘉 巡音流歌 景品手办</t>
        </is>
      </c>
      <c r="B294" t="inlineStr">
        <is>
          <t>75.00元</t>
        </is>
      </c>
      <c r="C294" t="inlineStr">
        <is>
          <t>109.00元</t>
        </is>
      </c>
      <c r="D294" t="inlineStr">
        <is>
          <t>34.00元</t>
        </is>
      </c>
      <c r="E294" t="inlineStr">
        <is>
          <t>6.9折</t>
        </is>
      </c>
      <c r="F294">
        <f>HYPERLINK("https://i0.hdslb.com/bfs/mall/mall/4a/1e/4a1eba2154121a06c8f5ec6c2ab2ba2c.png", "点击查看图片")</f>
        <v/>
      </c>
      <c r="G294">
        <f>HYPERLINK("https://mall.bilibili.com/neul-next/index.html?page=magic-market_detail&amp;noTitleBar=1&amp;itemsId=107096881836&amp;from=market_index", "点击打开")</f>
        <v/>
      </c>
    </row>
    <row r="295">
      <c r="A295" t="inlineStr">
        <is>
          <t>FuRyu 锦木千束 景品手办</t>
        </is>
      </c>
      <c r="B295" t="inlineStr">
        <is>
          <t>81.99元</t>
        </is>
      </c>
      <c r="C295" t="inlineStr">
        <is>
          <t>119.00元</t>
        </is>
      </c>
      <c r="D295" t="inlineStr">
        <is>
          <t>37.01元</t>
        </is>
      </c>
      <c r="E295" t="inlineStr">
        <is>
          <t>6.9折</t>
        </is>
      </c>
      <c r="F295">
        <f>HYPERLINK("https://i0.hdslb.com/bfs/mall/mall/5b/22/5b222fafee41f5c45bc9da48b499a7e2.png", "点击查看图片")</f>
        <v/>
      </c>
      <c r="G295">
        <f>HYPERLINK("https://mall.bilibili.com/neul-next/index.html?page=magic-market_detail&amp;noTitleBar=1&amp;itemsId=107063809234&amp;from=market_index", "点击打开")</f>
        <v/>
      </c>
    </row>
    <row r="296">
      <c r="A296" t="inlineStr">
        <is>
          <t>FuRyu 初音未来  Sporty Maid 泡面压 景品</t>
        </is>
      </c>
      <c r="B296" t="inlineStr">
        <is>
          <t>75.00元</t>
        </is>
      </c>
      <c r="C296" t="inlineStr">
        <is>
          <t>109.00元</t>
        </is>
      </c>
      <c r="D296" t="inlineStr">
        <is>
          <t>34.00元</t>
        </is>
      </c>
      <c r="E296" t="inlineStr">
        <is>
          <t>6.9折</t>
        </is>
      </c>
      <c r="F296">
        <f>HYPERLINK("https://i0.hdslb.com/bfs/mall/mall/1a/74/1a74e06c5c146ffa093d5d5361faf58b.png", "点击查看图片")</f>
        <v/>
      </c>
      <c r="G296">
        <f>HYPERLINK("https://mall.bilibili.com/neul-next/index.html?page=magic-market_detail&amp;noTitleBar=1&amp;itemsId=106773216664&amp;from=market_index", "点击打开")</f>
        <v/>
      </c>
    </row>
    <row r="297">
      <c r="A297" t="inlineStr">
        <is>
          <t>世嘉 锦木千束 景品手办 再版</t>
        </is>
      </c>
      <c r="B297" t="inlineStr">
        <is>
          <t>80.00元</t>
        </is>
      </c>
      <c r="C297" t="inlineStr">
        <is>
          <t>109.00元</t>
        </is>
      </c>
      <c r="D297" t="inlineStr">
        <is>
          <t>29.00元</t>
        </is>
      </c>
      <c r="E297" t="inlineStr">
        <is>
          <t>7.3折</t>
        </is>
      </c>
      <c r="F297">
        <f>HYPERLINK("https://i0.hdslb.com/bfs/mall/mall/4e/c2/4ec209f6291dac353879f6f1c6fb4a18.png", "点击查看图片")</f>
        <v/>
      </c>
      <c r="G297">
        <f>HYPERLINK("https://mall.bilibili.com/neul-next/index.html?page=magic-market_detail&amp;noTitleBar=1&amp;itemsId=106962223508&amp;from=market_index", "点击打开")</f>
        <v/>
      </c>
    </row>
    <row r="298">
      <c r="A298" t="inlineStr">
        <is>
          <t>BANPRESTO 乙仓悠贵  景品手办</t>
        </is>
      </c>
      <c r="B298" t="inlineStr">
        <is>
          <t>72.63元</t>
        </is>
      </c>
      <c r="C298" t="inlineStr">
        <is>
          <t>109.00元</t>
        </is>
      </c>
      <c r="D298" t="inlineStr">
        <is>
          <t>36.37元</t>
        </is>
      </c>
      <c r="E298" t="inlineStr">
        <is>
          <t>6.7折</t>
        </is>
      </c>
      <c r="F298">
        <f>HYPERLINK("https://i0.hdslb.com/bfs/mall/mall/a2/07/a2076c275a5d0b2c4f104e0f6a840f07.png", "点击查看图片")</f>
        <v/>
      </c>
      <c r="G298">
        <f>HYPERLINK("https://mall.bilibili.com/neul-next/index.html?page=magic-market_detail&amp;noTitleBar=1&amp;itemsId=107098432241&amp;from=market_index", "点击打开")</f>
        <v/>
      </c>
    </row>
    <row r="299">
      <c r="A299" t="inlineStr">
        <is>
          <t>FuRyu 索尼子 服务生Ver.  景品手办</t>
        </is>
      </c>
      <c r="B299" t="inlineStr">
        <is>
          <t>109.00元</t>
        </is>
      </c>
      <c r="C299" t="inlineStr">
        <is>
          <t>129.00元</t>
        </is>
      </c>
      <c r="D299" t="inlineStr">
        <is>
          <t>20.00元</t>
        </is>
      </c>
      <c r="E299" t="inlineStr">
        <is>
          <t>8.4折</t>
        </is>
      </c>
      <c r="F299">
        <f>HYPERLINK("https://i0.hdslb.com/bfs/mall/mall/32/f5/32f532270fc16c6060cbd694b20793a0.png", "点击查看图片")</f>
        <v/>
      </c>
      <c r="G299">
        <f>HYPERLINK("https://mall.bilibili.com/neul-next/index.html?page=magic-market_detail&amp;noTitleBar=1&amp;itemsId=111917608205&amp;from=market_index", "点击打开")</f>
        <v/>
      </c>
    </row>
    <row r="300">
      <c r="A300" t="inlineStr">
        <is>
          <t>FuRyu 阿尼亚·福杰 景品手办</t>
        </is>
      </c>
      <c r="B300" t="inlineStr">
        <is>
          <t>60.00元</t>
        </is>
      </c>
      <c r="C300" t="inlineStr">
        <is>
          <t>85.00元</t>
        </is>
      </c>
      <c r="D300" t="inlineStr">
        <is>
          <t>25.00元</t>
        </is>
      </c>
      <c r="E300" t="inlineStr">
        <is>
          <t>7.1折</t>
        </is>
      </c>
      <c r="F300">
        <f>HYPERLINK("https://i0.hdslb.com/bfs/mall/mall/20/09/2009f23d2717bc9285009a8709a3fb68.png", "点击查看图片")</f>
        <v/>
      </c>
      <c r="G300">
        <f>HYPERLINK("https://mall.bilibili.com/neul-next/index.html?page=magic-market_detail&amp;noTitleBar=1&amp;itemsId=107088452426&amp;from=market_index", "点击打开")</f>
        <v/>
      </c>
    </row>
    <row r="301">
      <c r="A301" t="inlineStr">
        <is>
          <t>FuRyu 朝比奈实玖瑠 兔女郎Ver. 景品手办</t>
        </is>
      </c>
      <c r="B301" t="inlineStr">
        <is>
          <t>79.90元</t>
        </is>
      </c>
      <c r="C301" t="inlineStr">
        <is>
          <t>129.00元</t>
        </is>
      </c>
      <c r="D301" t="inlineStr">
        <is>
          <t>49.10元</t>
        </is>
      </c>
      <c r="E301" t="inlineStr">
        <is>
          <t>6.2折</t>
        </is>
      </c>
      <c r="F301">
        <f>HYPERLINK("https://i0.hdslb.com/bfs/mall/mall/83/5e/835e571cb5e7dccbd3259367158204fb.png", "点击查看图片")</f>
        <v/>
      </c>
      <c r="G301">
        <f>HYPERLINK("https://mall.bilibili.com/neul-next/index.html?page=magic-market_detail&amp;noTitleBar=1&amp;itemsId=106774223883&amp;from=market_index", "点击打开")</f>
        <v/>
      </c>
    </row>
    <row r="302">
      <c r="A302" t="inlineStr">
        <is>
          <t>世嘉 锦木千束 景品手办 再版</t>
        </is>
      </c>
      <c r="B302" t="inlineStr">
        <is>
          <t>85.00元</t>
        </is>
      </c>
      <c r="C302" t="inlineStr">
        <is>
          <t>105.00元</t>
        </is>
      </c>
      <c r="D302" t="inlineStr">
        <is>
          <t>20.00元</t>
        </is>
      </c>
      <c r="E302" t="inlineStr">
        <is>
          <t>8.1折</t>
        </is>
      </c>
      <c r="F302">
        <f>HYPERLINK("https://i0.hdslb.com/bfs/mall/mall/10/f6/10f60f290118dd0815723a411d259095.png", "点击查看图片")</f>
        <v/>
      </c>
      <c r="G302">
        <f>HYPERLINK("https://mall.bilibili.com/neul-next/index.html?page=magic-market_detail&amp;noTitleBar=1&amp;itemsId=106773949632&amp;from=market_index", "点击打开")</f>
        <v/>
      </c>
    </row>
    <row r="303">
      <c r="A303" t="inlineStr">
        <is>
          <t>TAITO 初音未来 小红帽 景品手办 再版</t>
        </is>
      </c>
      <c r="B303" t="inlineStr">
        <is>
          <t>100.00元</t>
        </is>
      </c>
      <c r="C303" t="inlineStr">
        <is>
          <t>112.00元</t>
        </is>
      </c>
      <c r="D303" t="inlineStr">
        <is>
          <t>12.00元</t>
        </is>
      </c>
      <c r="E303" t="inlineStr">
        <is>
          <t>8.9折</t>
        </is>
      </c>
      <c r="F303">
        <f>HYPERLINK("https://i0.hdslb.com/bfs/mall/mall/7d/5e/7d5eaa338d2fbd3207c2edfcc7219235.png", "点击查看图片")</f>
        <v/>
      </c>
      <c r="G303">
        <f>HYPERLINK("https://mall.bilibili.com/neul-next/index.html?page=magic-market_detail&amp;noTitleBar=1&amp;itemsId=111921177247&amp;from=market_index", "点击打开")</f>
        <v/>
      </c>
    </row>
    <row r="304">
      <c r="A304" t="inlineStr">
        <is>
          <t>AniMester大漫匠  西丝特 手办</t>
        </is>
      </c>
      <c r="B304" t="inlineStr">
        <is>
          <t>187.38元</t>
        </is>
      </c>
      <c r="C304" t="inlineStr">
        <is>
          <t>288.00元</t>
        </is>
      </c>
      <c r="D304" t="inlineStr">
        <is>
          <t>100.62元</t>
        </is>
      </c>
      <c r="E304" t="inlineStr">
        <is>
          <t>6.5折</t>
        </is>
      </c>
      <c r="F304">
        <f>HYPERLINK("https://i0.hdslb.com/bfs/mall/mall/5d/b0/5db0c92dd190a0cecac98198bd8d5929.png", "点击查看图片")</f>
        <v/>
      </c>
      <c r="G304">
        <f>HYPERLINK("https://mall.bilibili.com/neul-next/index.html?page=magic-market_detail&amp;noTitleBar=1&amp;itemsId=111915672915&amp;from=market_index", "点击打开")</f>
        <v/>
      </c>
    </row>
    <row r="305">
      <c r="A305" t="inlineStr">
        <is>
          <t>TAITO 洛天依 小厨娘Ver. 景品手办 再版</t>
        </is>
      </c>
      <c r="B305" t="inlineStr">
        <is>
          <t>109.00元</t>
        </is>
      </c>
      <c r="C305" t="inlineStr">
        <is>
          <t>109.00元</t>
        </is>
      </c>
      <c r="D305" t="inlineStr">
        <is>
          <t>0.00元</t>
        </is>
      </c>
      <c r="E305" t="inlineStr">
        <is>
          <t>10.0折</t>
        </is>
      </c>
      <c r="F305">
        <f>HYPERLINK("https://i0.hdslb.com/bfs/mall/mall/7d/78/7d784a6e9125724d32351f2568474e2c.png", "点击查看图片")</f>
        <v/>
      </c>
      <c r="G305">
        <f>HYPERLINK("https://mall.bilibili.com/neul-next/index.html?page=magic-market_detail&amp;noTitleBar=1&amp;itemsId=111903988915&amp;from=market_index", "点击打开")</f>
        <v/>
      </c>
    </row>
    <row r="306">
      <c r="A306" t="inlineStr">
        <is>
          <t>TAITO 初音未来 朋克未来 景品手办</t>
        </is>
      </c>
      <c r="B306" t="inlineStr">
        <is>
          <t>100.00元</t>
        </is>
      </c>
      <c r="C306" t="inlineStr">
        <is>
          <t>112.00元</t>
        </is>
      </c>
      <c r="D306" t="inlineStr">
        <is>
          <t>12.00元</t>
        </is>
      </c>
      <c r="E306" t="inlineStr">
        <is>
          <t>8.9折</t>
        </is>
      </c>
      <c r="F306">
        <f>HYPERLINK("https://i0.hdslb.com/bfs/mall/mall/54/24/5424bcce7e57955b01aba96dc32e1898.png", "点击查看图片")</f>
        <v/>
      </c>
      <c r="G306">
        <f>HYPERLINK("https://mall.bilibili.com/neul-next/index.html?page=magic-market_detail&amp;noTitleBar=1&amp;itemsId=111906423300&amp;from=market_index", "点击打开")</f>
        <v/>
      </c>
    </row>
    <row r="307">
      <c r="A307" t="inlineStr">
        <is>
          <t>FuRyu 伊蕾娜 景品手办</t>
        </is>
      </c>
      <c r="B307" t="inlineStr">
        <is>
          <t>116.00元</t>
        </is>
      </c>
      <c r="C307" t="inlineStr">
        <is>
          <t>129.00元</t>
        </is>
      </c>
      <c r="D307" t="inlineStr">
        <is>
          <t>13.00元</t>
        </is>
      </c>
      <c r="E307" t="inlineStr">
        <is>
          <t>9.0折</t>
        </is>
      </c>
      <c r="F307">
        <f>HYPERLINK("https://i0.hdslb.com/bfs/mall/mall/c6/b0/c6b0c26b29a9fdc49e5cc8106a859193.png", "点击查看图片")</f>
        <v/>
      </c>
      <c r="G307">
        <f>HYPERLINK("https://mall.bilibili.com/neul-next/index.html?page=magic-market_detail&amp;noTitleBar=1&amp;itemsId=111906434460&amp;from=market_index", "点击打开")</f>
        <v/>
      </c>
    </row>
    <row r="308">
      <c r="A308" t="inlineStr">
        <is>
          <t>GSC 超绝最可爱天使酱 正比手办 二次再版</t>
        </is>
      </c>
      <c r="B308" t="inlineStr">
        <is>
          <t>161.62元</t>
        </is>
      </c>
      <c r="C308" t="inlineStr">
        <is>
          <t>225.00元</t>
        </is>
      </c>
      <c r="D308" t="inlineStr">
        <is>
          <t>63.38元</t>
        </is>
      </c>
      <c r="E308" t="inlineStr">
        <is>
          <t>7.2折</t>
        </is>
      </c>
      <c r="F308">
        <f>HYPERLINK("https://i0.hdslb.com/bfs/mall/mall/8a/2b/8a2b3b0d13bff2ae8c7dd2f57111bffa.png", "点击查看图片")</f>
        <v/>
      </c>
      <c r="G308">
        <f>HYPERLINK("https://mall.bilibili.com/neul-next/index.html?page=magic-market_detail&amp;noTitleBar=1&amp;itemsId=111912791332&amp;from=market_index", "点击打开")</f>
        <v/>
      </c>
    </row>
    <row r="309">
      <c r="A309" t="inlineStr">
        <is>
          <t>TAITO 白 猫耳T恤Ver. 景品手办</t>
        </is>
      </c>
      <c r="B309" t="inlineStr">
        <is>
          <t>100.00元</t>
        </is>
      </c>
      <c r="C309" t="inlineStr">
        <is>
          <t>112.00元</t>
        </is>
      </c>
      <c r="D309" t="inlineStr">
        <is>
          <t>12.00元</t>
        </is>
      </c>
      <c r="E309" t="inlineStr">
        <is>
          <t>8.9折</t>
        </is>
      </c>
      <c r="F309">
        <f>HYPERLINK("https://i0.hdslb.com/bfs/mall/mall/08/74/087474b121e485577aef12f1498c8472.png", "点击查看图片")</f>
        <v/>
      </c>
      <c r="G309">
        <f>HYPERLINK("https://mall.bilibili.com/neul-next/index.html?page=magic-market_detail&amp;noTitleBar=1&amp;itemsId=120676174395&amp;from=market_index", "点击打开")</f>
        <v/>
      </c>
    </row>
    <row r="310">
      <c r="A310" t="inlineStr">
        <is>
          <t>TAITO 牧濑红莉栖 景品手办 再版</t>
        </is>
      </c>
      <c r="B310" t="inlineStr">
        <is>
          <t>100.00元</t>
        </is>
      </c>
      <c r="C310" t="inlineStr">
        <is>
          <t>112.00元</t>
        </is>
      </c>
      <c r="D310" t="inlineStr">
        <is>
          <t>12.00元</t>
        </is>
      </c>
      <c r="E310" t="inlineStr">
        <is>
          <t>8.9折</t>
        </is>
      </c>
      <c r="F310">
        <f>HYPERLINK("https://i0.hdslb.com/bfs/mall/mall/35/ad/35ad2713b8b1c2ab2eca0b9637d513d0.png", "点击查看图片")</f>
        <v/>
      </c>
      <c r="G310">
        <f>HYPERLINK("https://mall.bilibili.com/neul-next/index.html?page=magic-market_detail&amp;noTitleBar=1&amp;itemsId=111905506982&amp;from=market_index", "点击打开")</f>
        <v/>
      </c>
    </row>
    <row r="311">
      <c r="A311" t="inlineStr">
        <is>
          <t>Max Factory 兔田佩克拉 正比手办 再版</t>
        </is>
      </c>
      <c r="B311" t="inlineStr">
        <is>
          <t>139.00元</t>
        </is>
      </c>
      <c r="C311" t="inlineStr">
        <is>
          <t>268.00元</t>
        </is>
      </c>
      <c r="D311" t="inlineStr">
        <is>
          <t>129.00元</t>
        </is>
      </c>
      <c r="E311" t="inlineStr">
        <is>
          <t>5.2折</t>
        </is>
      </c>
      <c r="F311">
        <f>HYPERLINK("https://i0.hdslb.com/bfs/mall/mall/8a/c7/8ac784c6264ec8fbe8d9f4f728e062d8.png", "点击查看图片")</f>
        <v/>
      </c>
      <c r="G311">
        <f>HYPERLINK("https://mall.bilibili.com/neul-next/index.html?page=magic-market_detail&amp;noTitleBar=1&amp;itemsId=111916793906&amp;from=market_index", "点击打开")</f>
        <v/>
      </c>
    </row>
    <row r="312">
      <c r="A312" t="inlineStr">
        <is>
          <t>FuRyu 初音未来 兔耳睡衣Ver. 景品手办</t>
        </is>
      </c>
      <c r="B312" t="inlineStr">
        <is>
          <t>103.50元</t>
        </is>
      </c>
      <c r="C312" t="inlineStr">
        <is>
          <t>115.00元</t>
        </is>
      </c>
      <c r="D312" t="inlineStr">
        <is>
          <t>11.50元</t>
        </is>
      </c>
      <c r="E312" t="inlineStr">
        <is>
          <t>9.0折</t>
        </is>
      </c>
      <c r="F312">
        <f>HYPERLINK("https://i0.hdslb.com/bfs/mall/mall/66/a0/66a0f204ed6d54d721098b4346b0ee05.png", "点击查看图片")</f>
        <v/>
      </c>
      <c r="G312">
        <f>HYPERLINK("https://mall.bilibili.com/neul-next/index.html?page=magic-market_detail&amp;noTitleBar=1&amp;itemsId=111901979925&amp;from=market_index", "点击打开")</f>
        <v/>
      </c>
    </row>
    <row r="313">
      <c r="A313" t="inlineStr">
        <is>
          <t>DIGIGIRL 地雷酱 手办</t>
        </is>
      </c>
      <c r="B313" t="inlineStr">
        <is>
          <t>152.85元</t>
        </is>
      </c>
      <c r="C313" t="inlineStr">
        <is>
          <t>238.00元</t>
        </is>
      </c>
      <c r="D313" t="inlineStr">
        <is>
          <t>85.15元</t>
        </is>
      </c>
      <c r="E313" t="inlineStr">
        <is>
          <t>6.4折</t>
        </is>
      </c>
      <c r="F313">
        <f>HYPERLINK("https://i0.hdslb.com/bfs/mall/mall/f6/19/f6199d67cd50782349afbcb61493865d.png", "点击查看图片")</f>
        <v/>
      </c>
      <c r="G313">
        <f>HYPERLINK("https://mall.bilibili.com/neul-next/index.html?page=magic-market_detail&amp;noTitleBar=1&amp;itemsId=111913773587&amp;from=market_index", "点击打开")</f>
        <v/>
      </c>
    </row>
    <row r="314">
      <c r="A314" t="inlineStr">
        <is>
          <t>GSC 初音未来 Little Missing Stars Ver. 正比手办</t>
        </is>
      </c>
      <c r="B314" t="inlineStr">
        <is>
          <t>158.00元</t>
        </is>
      </c>
      <c r="C314" t="inlineStr">
        <is>
          <t>240.00元</t>
        </is>
      </c>
      <c r="D314" t="inlineStr">
        <is>
          <t>82.00元</t>
        </is>
      </c>
      <c r="E314" t="inlineStr">
        <is>
          <t>6.6折</t>
        </is>
      </c>
      <c r="F314">
        <f>HYPERLINK("https://i0.hdslb.com/bfs/mall/mall/c6/a2/c6a2ee88b0400f67d624dfc42aaf8646.png", "点击查看图片")</f>
        <v/>
      </c>
      <c r="G314">
        <f>HYPERLINK("https://mall.bilibili.com/neul-next/index.html?page=magic-market_detail&amp;noTitleBar=1&amp;itemsId=111911928300&amp;from=market_index", "点击打开")</f>
        <v/>
      </c>
    </row>
    <row r="315">
      <c r="A315" t="inlineStr">
        <is>
          <t>BANPRESTO 星野爱 景品手办</t>
        </is>
      </c>
      <c r="B315" t="inlineStr">
        <is>
          <t>115.00元</t>
        </is>
      </c>
      <c r="C315" t="inlineStr">
        <is>
          <t>129.00元</t>
        </is>
      </c>
      <c r="D315" t="inlineStr">
        <is>
          <t>14.00元</t>
        </is>
      </c>
      <c r="E315" t="inlineStr">
        <is>
          <t>8.9折</t>
        </is>
      </c>
      <c r="F315">
        <f>HYPERLINK("https://i0.hdslb.com/bfs/mall/mall/47/db/47db53a2b1abbbaa834a1fb3fedbbba6.png", "点击查看图片")</f>
        <v/>
      </c>
      <c r="G315">
        <f>HYPERLINK("https://mall.bilibili.com/neul-next/index.html?page=magic-market_detail&amp;noTitleBar=1&amp;itemsId=111902865527&amp;from=market_index", "点击打开")</f>
        <v/>
      </c>
    </row>
    <row r="316">
      <c r="A316" t="inlineStr">
        <is>
          <t>FuRyu 爱丽丝 景品手办</t>
        </is>
      </c>
      <c r="B316" t="inlineStr">
        <is>
          <t>100.00元</t>
        </is>
      </c>
      <c r="C316" t="inlineStr">
        <is>
          <t>115.00元</t>
        </is>
      </c>
      <c r="D316" t="inlineStr">
        <is>
          <t>15.00元</t>
        </is>
      </c>
      <c r="E316" t="inlineStr">
        <is>
          <t>8.7折</t>
        </is>
      </c>
      <c r="F316">
        <f>HYPERLINK("https://i0.hdslb.com/bfs/mall/mall/6c/24/6c242dc8267388192187d07faa4ab78d.png", "点击查看图片")</f>
        <v/>
      </c>
      <c r="G316">
        <f>HYPERLINK("https://mall.bilibili.com/neul-next/index.html?page=magic-market_detail&amp;noTitleBar=1&amp;itemsId=111909363102&amp;from=market_index", "点击打开")</f>
        <v/>
      </c>
    </row>
    <row r="317">
      <c r="A317" t="inlineStr">
        <is>
          <t>TAITO 初音未来×Rody 39联名纪念Ver. 景品手办</t>
        </is>
      </c>
      <c r="B317" t="inlineStr">
        <is>
          <t>119.00元</t>
        </is>
      </c>
      <c r="C317" t="inlineStr">
        <is>
          <t>119.00元</t>
        </is>
      </c>
      <c r="D317" t="inlineStr">
        <is>
          <t>0.00元</t>
        </is>
      </c>
      <c r="E317" t="inlineStr">
        <is>
          <t>10.0折</t>
        </is>
      </c>
      <c r="F317">
        <f>HYPERLINK("https://i0.hdslb.com/bfs/mall/mall/7b/d9/7bd9451ed58264bfb0d2be6d47ee7d03.png", "点击查看图片")</f>
        <v/>
      </c>
      <c r="G317">
        <f>HYPERLINK("https://mall.bilibili.com/neul-next/index.html?page=magic-market_detail&amp;noTitleBar=1&amp;itemsId=120678373473&amp;from=market_index", "点击打开")</f>
        <v/>
      </c>
    </row>
    <row r="318">
      <c r="A318" t="inlineStr">
        <is>
          <t>GSC 星野瑠美衣 Q版手办</t>
        </is>
      </c>
      <c r="B318" t="inlineStr">
        <is>
          <t>188.00元</t>
        </is>
      </c>
      <c r="C318" t="inlineStr">
        <is>
          <t>269.00元</t>
        </is>
      </c>
      <c r="D318" t="inlineStr">
        <is>
          <t>81.00元</t>
        </is>
      </c>
      <c r="E318" t="inlineStr">
        <is>
          <t>7.0折</t>
        </is>
      </c>
      <c r="F318">
        <f>HYPERLINK("https://i0.hdslb.com/bfs/mall/mall/1e/19/1e19f32a631326949d8c7fde9da3738e.png", "点击查看图片")</f>
        <v/>
      </c>
      <c r="G318">
        <f>HYPERLINK("https://mall.bilibili.com/neul-next/index.html?page=magic-market_detail&amp;noTitleBar=1&amp;itemsId=111902953351&amp;from=market_index", "点击打开")</f>
        <v/>
      </c>
    </row>
    <row r="319">
      <c r="A319" t="inlineStr">
        <is>
          <t>FuRyu 中野梓 景品手办</t>
        </is>
      </c>
      <c r="B319" t="inlineStr">
        <is>
          <t>116.10元</t>
        </is>
      </c>
      <c r="C319" t="inlineStr">
        <is>
          <t>129.00元</t>
        </is>
      </c>
      <c r="D319" t="inlineStr">
        <is>
          <t>12.90元</t>
        </is>
      </c>
      <c r="E319" t="inlineStr">
        <is>
          <t>9.0折</t>
        </is>
      </c>
      <c r="F319">
        <f>HYPERLINK("https://i0.hdslb.com/bfs/mall/mall/78/53/7853eb6e0493539c756b568cbbea9d6f.png", "点击查看图片")</f>
        <v/>
      </c>
      <c r="G319">
        <f>HYPERLINK("https://mall.bilibili.com/neul-next/index.html?page=magic-market_detail&amp;noTitleBar=1&amp;itemsId=111921315115&amp;from=market_index", "点击打开")</f>
        <v/>
      </c>
    </row>
    <row r="320">
      <c r="A320" t="inlineStr">
        <is>
          <t>FuRyu 洛天依 CODE LUO ver. 景品手办</t>
        </is>
      </c>
      <c r="B320" t="inlineStr">
        <is>
          <t>103.50元</t>
        </is>
      </c>
      <c r="C320" t="inlineStr">
        <is>
          <t>115.00元</t>
        </is>
      </c>
      <c r="D320" t="inlineStr">
        <is>
          <t>11.50元</t>
        </is>
      </c>
      <c r="E320" t="inlineStr">
        <is>
          <t>9.0折</t>
        </is>
      </c>
      <c r="F320">
        <f>HYPERLINK("https://i0.hdslb.com/bfs/mall/mall/09/11/0911d27fffc58bbad650b4c0bfa87838.png", "点击查看图片")</f>
        <v/>
      </c>
      <c r="G320">
        <f>HYPERLINK("https://mall.bilibili.com/neul-next/index.html?page=magic-market_detail&amp;noTitleBar=1&amp;itemsId=111913921948&amp;from=market_index", "点击打开")</f>
        <v/>
      </c>
    </row>
    <row r="321">
      <c r="A321" t="inlineStr">
        <is>
          <t>GSC 宝钟玛琳 正比手办 再版</t>
        </is>
      </c>
      <c r="B321" t="inlineStr">
        <is>
          <t>140.00元</t>
        </is>
      </c>
      <c r="C321" t="inlineStr">
        <is>
          <t>255.00元</t>
        </is>
      </c>
      <c r="D321" t="inlineStr">
        <is>
          <t>115.00元</t>
        </is>
      </c>
      <c r="E321" t="inlineStr">
        <is>
          <t>5.5折</t>
        </is>
      </c>
      <c r="F321">
        <f>HYPERLINK("https://i0.hdslb.com/bfs/mall/mall/45/59/45593068960adee597da8aaafe0ab59c.png", "点击查看图片")</f>
        <v/>
      </c>
      <c r="G321">
        <f>HYPERLINK("https://mall.bilibili.com/neul-next/index.html?page=magic-market_detail&amp;noTitleBar=1&amp;itemsId=111910726084&amp;from=market_index", "点击打开")</f>
        <v/>
      </c>
    </row>
    <row r="322">
      <c r="A322" t="inlineStr">
        <is>
          <t>恋恋koikoi Mocha 正比手办</t>
        </is>
      </c>
      <c r="B322" t="inlineStr">
        <is>
          <t>101.47元</t>
        </is>
      </c>
      <c r="C322" t="inlineStr">
        <is>
          <t>199.00元</t>
        </is>
      </c>
      <c r="D322" t="inlineStr">
        <is>
          <t>97.53元</t>
        </is>
      </c>
      <c r="E322" t="inlineStr">
        <is>
          <t>5.1折</t>
        </is>
      </c>
      <c r="F322">
        <f>HYPERLINK("https://i0.hdslb.com/bfs/mall/mall/bc/4c/bc4cafc60c8d6177d3ffbedddc70c4af.png", "点击查看图片")</f>
        <v/>
      </c>
      <c r="G322">
        <f>HYPERLINK("https://mall.bilibili.com/neul-next/index.html?page=magic-market_detail&amp;noTitleBar=1&amp;itemsId=111902909054&amp;from=market_index", "点击打开")</f>
        <v/>
      </c>
    </row>
    <row r="323">
      <c r="A323" t="inlineStr">
        <is>
          <t>GSAS 宫园薰 伊始之春Ver. Q版手办</t>
        </is>
      </c>
      <c r="B323" t="inlineStr">
        <is>
          <t>139.00元</t>
        </is>
      </c>
      <c r="C323" t="inlineStr">
        <is>
          <t>189.00元</t>
        </is>
      </c>
      <c r="D323" t="inlineStr">
        <is>
          <t>50.00元</t>
        </is>
      </c>
      <c r="E323" t="inlineStr">
        <is>
          <t>7.4折</t>
        </is>
      </c>
      <c r="F323">
        <f>HYPERLINK("https://i0.hdslb.com/bfs/mall/mall/f5/24/f5245d020f3e62082e3c67fde7cec3b1.png", "点击查看图片")</f>
        <v/>
      </c>
      <c r="G323">
        <f>HYPERLINK("https://mall.bilibili.com/neul-next/index.html?page=magic-market_detail&amp;noTitleBar=1&amp;itemsId=120676074955&amp;from=market_index", "点击打开")</f>
        <v/>
      </c>
    </row>
    <row r="324">
      <c r="A324" t="inlineStr">
        <is>
          <t>ANIPLEX+  后藤独 女仆Ver. 手办</t>
        </is>
      </c>
      <c r="B324" t="inlineStr">
        <is>
          <t>269.00元</t>
        </is>
      </c>
      <c r="C324" t="inlineStr">
        <is>
          <t>285.00元</t>
        </is>
      </c>
      <c r="D324" t="inlineStr">
        <is>
          <t>16.00元</t>
        </is>
      </c>
      <c r="E324" t="inlineStr">
        <is>
          <t>9.4折</t>
        </is>
      </c>
      <c r="F324">
        <f>HYPERLINK("https://i0.hdslb.com/bfs/mall/mall/40/f4/40f4a86a6d0f84a09c8501d0d670bfec.png", "点击查看图片")</f>
        <v/>
      </c>
      <c r="G324">
        <f>HYPERLINK("https://mall.bilibili.com/neul-next/index.html?page=magic-market_detail&amp;noTitleBar=1&amp;itemsId=111904641536&amp;from=market_index", "点击打开")</f>
        <v/>
      </c>
    </row>
    <row r="325">
      <c r="A325" t="inlineStr">
        <is>
          <t>FREEing 樱岛麻衣 兔女郎Ver.  正比手办 再版</t>
        </is>
      </c>
      <c r="B325" t="inlineStr">
        <is>
          <t>1800.00元</t>
        </is>
      </c>
      <c r="C325" t="inlineStr">
        <is>
          <t>2009.00元</t>
        </is>
      </c>
      <c r="D325" t="inlineStr">
        <is>
          <t>209.00元</t>
        </is>
      </c>
      <c r="E325" t="inlineStr">
        <is>
          <t>9.0折</t>
        </is>
      </c>
      <c r="F325">
        <f>HYPERLINK("https://i0.hdslb.com/bfs/mall/mall/c8/47/c84705856ebcd4761aca7c9b5e723a1c.png", "点击查看图片")</f>
        <v/>
      </c>
      <c r="G325">
        <f>HYPERLINK("https://mall.bilibili.com/neul-next/index.html?page=magic-market_detail&amp;noTitleBar=1&amp;itemsId=111911185116&amp;from=market_index", "点击打开")</f>
        <v/>
      </c>
    </row>
    <row r="326">
      <c r="A326" t="inlineStr">
        <is>
          <t>FuRyu 长门有希 兔女郎Ver. 景品手办</t>
        </is>
      </c>
      <c r="B326" t="inlineStr">
        <is>
          <t>100.00元</t>
        </is>
      </c>
      <c r="C326" t="inlineStr">
        <is>
          <t>129.00元</t>
        </is>
      </c>
      <c r="D326" t="inlineStr">
        <is>
          <t>29.00元</t>
        </is>
      </c>
      <c r="E326" t="inlineStr">
        <is>
          <t>7.8折</t>
        </is>
      </c>
      <c r="F326">
        <f>HYPERLINK("https://i0.hdslb.com/bfs/mall/mall/6c/61/6c61cbfd6b4d3cc92b7ce052ff207474.png", "点击查看图片")</f>
        <v/>
      </c>
      <c r="G326">
        <f>HYPERLINK("https://mall.bilibili.com/neul-next/index.html?page=magic-market_detail&amp;noTitleBar=1&amp;itemsId=111908420384&amp;from=market_index", "点击打开")</f>
        <v/>
      </c>
    </row>
    <row r="327">
      <c r="A327" t="inlineStr">
        <is>
          <t>TAITO 喜多郁代 居家服 景品手办</t>
        </is>
      </c>
      <c r="B327" t="inlineStr">
        <is>
          <t>100.00元</t>
        </is>
      </c>
      <c r="C327" t="inlineStr">
        <is>
          <t>112.00元</t>
        </is>
      </c>
      <c r="D327" t="inlineStr">
        <is>
          <t>12.00元</t>
        </is>
      </c>
      <c r="E327" t="inlineStr">
        <is>
          <t>8.9折</t>
        </is>
      </c>
      <c r="F327">
        <f>HYPERLINK("https://i0.hdslb.com/bfs/mall/mall/34/fe/34fee1a55a2ac554ac7acf723b7eba5a.png", "点击查看图片")</f>
        <v/>
      </c>
      <c r="G327">
        <f>HYPERLINK("https://mall.bilibili.com/neul-next/index.html?page=magic-market_detail&amp;noTitleBar=1&amp;itemsId=111913894940&amp;from=market_index", "点击打开")</f>
        <v/>
      </c>
    </row>
    <row r="328">
      <c r="A328" t="inlineStr">
        <is>
          <t>MegaHouse 罗罗诺亚·索隆  手办</t>
        </is>
      </c>
      <c r="B328" t="inlineStr">
        <is>
          <t>1158.00元</t>
        </is>
      </c>
      <c r="C328" t="inlineStr">
        <is>
          <t>1589.00元</t>
        </is>
      </c>
      <c r="D328" t="inlineStr">
        <is>
          <t>431.00元</t>
        </is>
      </c>
      <c r="E328" t="inlineStr">
        <is>
          <t>7.3折</t>
        </is>
      </c>
      <c r="F328">
        <f>HYPERLINK("https://i0.hdslb.com/bfs/mall/mall/18/e0/18e08e65d66f1d8dc4c5916003eb407e.png", "点击查看图片")</f>
        <v/>
      </c>
      <c r="G328">
        <f>HYPERLINK("https://mall.bilibili.com/neul-next/index.html?page=magic-market_detail&amp;noTitleBar=1&amp;itemsId=109885416386&amp;from=market_index", "点击打开")</f>
        <v/>
      </c>
    </row>
    <row r="329">
      <c r="A329" t="inlineStr">
        <is>
          <t>F:NEX NIKKE：胜利女神 艾玛 手办</t>
        </is>
      </c>
      <c r="B329" t="inlineStr">
        <is>
          <t>828.00元</t>
        </is>
      </c>
      <c r="C329" t="inlineStr">
        <is>
          <t>1020.00元</t>
        </is>
      </c>
      <c r="D329" t="inlineStr">
        <is>
          <t>192.00元</t>
        </is>
      </c>
      <c r="E329" t="inlineStr">
        <is>
          <t>8.1折</t>
        </is>
      </c>
      <c r="F329">
        <f>HYPERLINK("https://i0.hdslb.com/bfs/mall/mall/74/d0/74d08c3167f81f0c75b97ed9f98fd632.png", "点击查看图片")</f>
        <v/>
      </c>
      <c r="G329">
        <f>HYPERLINK("https://mall.bilibili.com/neul-next/index.html?page=magic-market_detail&amp;noTitleBar=1&amp;itemsId=111914282335&amp;from=market_index", "点击打开")</f>
        <v/>
      </c>
    </row>
    <row r="330">
      <c r="A330" t="inlineStr">
        <is>
          <t>FREEing B-sytle 碧蓝航线 朱利奥·凯撒 阳光下的Alta marea 手办</t>
        </is>
      </c>
      <c r="B330" t="inlineStr">
        <is>
          <t>615.00元</t>
        </is>
      </c>
      <c r="C330" t="inlineStr">
        <is>
          <t>1180.00元</t>
        </is>
      </c>
      <c r="D330" t="inlineStr">
        <is>
          <t>565.00元</t>
        </is>
      </c>
      <c r="E330" t="inlineStr">
        <is>
          <t>5.2折</t>
        </is>
      </c>
      <c r="F330">
        <f>HYPERLINK("https://i0.hdslb.com/bfs/mall/mall/22/b3/22b346d7933ce3234765a7049b5b965b.png", "点击查看图片")</f>
        <v/>
      </c>
      <c r="G330">
        <f>HYPERLINK("https://mall.bilibili.com/neul-next/index.html?page=magic-market_detail&amp;noTitleBar=1&amp;itemsId=111911674154&amp;from=market_index", "点击打开")</f>
        <v/>
      </c>
    </row>
    <row r="331">
      <c r="A331" t="inlineStr">
        <is>
          <t>F:NEX VOCALOID 初音未来×MTV 手办</t>
        </is>
      </c>
      <c r="B331" t="inlineStr">
        <is>
          <t>555.00元</t>
        </is>
      </c>
      <c r="C331" t="inlineStr">
        <is>
          <t>1199.00元</t>
        </is>
      </c>
      <c r="D331" t="inlineStr">
        <is>
          <t>644.00元</t>
        </is>
      </c>
      <c r="E331" t="inlineStr">
        <is>
          <t>4.6折</t>
        </is>
      </c>
      <c r="F331">
        <f>HYPERLINK("https://i0.hdslb.com/bfs/mall/mall/b5/ce/b5ce1f88a6bf53fecdae371e284cdc95.png", "点击查看图片")</f>
        <v/>
      </c>
      <c r="G331">
        <f>HYPERLINK("https://mall.bilibili.com/neul-next/index.html?page=magic-market_detail&amp;noTitleBar=1&amp;itemsId=111911606936&amp;from=market_index", "点击打开")</f>
        <v/>
      </c>
    </row>
    <row r="332">
      <c r="A332" t="inlineStr">
        <is>
          <t>BANPRESTO B款桃之助 景品手办</t>
        </is>
      </c>
      <c r="B332" t="inlineStr">
        <is>
          <t>38.00元</t>
        </is>
      </c>
      <c r="C332" t="inlineStr">
        <is>
          <t>59.00元</t>
        </is>
      </c>
      <c r="D332" t="inlineStr">
        <is>
          <t>21.00元</t>
        </is>
      </c>
      <c r="E332" t="inlineStr">
        <is>
          <t>6.4折</t>
        </is>
      </c>
      <c r="F332">
        <f>HYPERLINK("https://i0.hdslb.com/bfs/mall/mall/ce/c2/cec22abfc464511c71df28f9e59b4215.png", "点击查看图片")</f>
        <v/>
      </c>
      <c r="G332">
        <f>HYPERLINK("https://mall.bilibili.com/neul-next/index.html?page=magic-market_detail&amp;noTitleBar=1&amp;itemsId=106785435757&amp;from=market_index", "点击打开")</f>
        <v/>
      </c>
    </row>
    <row r="333">
      <c r="A333" t="inlineStr">
        <is>
          <t>宝可梦 葱游兵 正比手办</t>
        </is>
      </c>
      <c r="B333" t="inlineStr">
        <is>
          <t>44.00元</t>
        </is>
      </c>
      <c r="C333" t="inlineStr">
        <is>
          <t>69.00元</t>
        </is>
      </c>
      <c r="D333" t="inlineStr">
        <is>
          <t>25.00元</t>
        </is>
      </c>
      <c r="E333" t="inlineStr">
        <is>
          <t>6.4折</t>
        </is>
      </c>
      <c r="F333">
        <f>HYPERLINK("https://i0.hdslb.com/bfs/mall/mall/03/0e/030ec18e2df63eda1e56e195e5e9854e.png", "点击查看图片")</f>
        <v/>
      </c>
      <c r="G333">
        <f>HYPERLINK("https://mall.bilibili.com/neul-next/index.html?page=magic-market_detail&amp;noTitleBar=1&amp;itemsId=109816230353&amp;from=market_index", "点击打开")</f>
        <v/>
      </c>
    </row>
    <row r="334">
      <c r="A334" t="inlineStr">
        <is>
          <t>恋恋koikoi 索菲亚· F· 希琳 比基尼Ver. 手办</t>
        </is>
      </c>
      <c r="B334" t="inlineStr">
        <is>
          <t>159.00元</t>
        </is>
      </c>
      <c r="C334" t="inlineStr">
        <is>
          <t>249.00元</t>
        </is>
      </c>
      <c r="D334" t="inlineStr">
        <is>
          <t>90.00元</t>
        </is>
      </c>
      <c r="E334" t="inlineStr">
        <is>
          <t>6.4折</t>
        </is>
      </c>
      <c r="F334">
        <f>HYPERLINK("https://i0.hdslb.com/bfs/mall/mall/d5/a8/d5a892c032bd6213d32d5ca3b160bd15.png", "点击查看图片")</f>
        <v/>
      </c>
      <c r="G334">
        <f>HYPERLINK("https://mall.bilibili.com/neul-next/index.html?page=magic-market_detail&amp;noTitleBar=1&amp;itemsId=111917819164&amp;from=market_index", "点击打开")</f>
        <v/>
      </c>
    </row>
    <row r="335">
      <c r="A335" t="inlineStr">
        <is>
          <t>光菱 恶毒 μ兵装 手办</t>
        </is>
      </c>
      <c r="B335" t="inlineStr">
        <is>
          <t>849.00元</t>
        </is>
      </c>
      <c r="C335" t="inlineStr">
        <is>
          <t>1415.00元</t>
        </is>
      </c>
      <c r="D335" t="inlineStr">
        <is>
          <t>566.00元</t>
        </is>
      </c>
      <c r="E335" t="inlineStr">
        <is>
          <t>6.0折</t>
        </is>
      </c>
      <c r="F335">
        <f>HYPERLINK("https://i0.hdslb.com/bfs/mall/mall/d6/4b/d64b7200379dca4ba08370ee044f9010.png", "点击查看图片")</f>
        <v/>
      </c>
      <c r="G335">
        <f>HYPERLINK("https://mall.bilibili.com/neul-next/index.html?page=magic-market_detail&amp;noTitleBar=1&amp;itemsId=110475856308&amp;from=market_index", "点击打开")</f>
        <v/>
      </c>
    </row>
    <row r="336">
      <c r="A336" t="inlineStr">
        <is>
          <t>PROOF 为美好的世界献上祝福！ 达克妮斯 童话Ver. 手办</t>
        </is>
      </c>
      <c r="B336" t="inlineStr">
        <is>
          <t>666.00元</t>
        </is>
      </c>
      <c r="C336" t="inlineStr">
        <is>
          <t>1120.00元</t>
        </is>
      </c>
      <c r="D336" t="inlineStr">
        <is>
          <t>454.00元</t>
        </is>
      </c>
      <c r="E336" t="inlineStr">
        <is>
          <t>5.9折</t>
        </is>
      </c>
      <c r="F336">
        <f>HYPERLINK("https://i0.hdslb.com/bfs/mall/mall/ab/1e/ab1eb74fa4f9d6fc7d284261cb27c48b.png", "点击查看图片")</f>
        <v/>
      </c>
      <c r="G336">
        <f>HYPERLINK("https://mall.bilibili.com/neul-next/index.html?page=magic-market_detail&amp;noTitleBar=1&amp;itemsId=111920089685&amp;from=market_index", "点击打开")</f>
        <v/>
      </c>
    </row>
    <row r="337">
      <c r="A337" t="inlineStr">
        <is>
          <t>GSC 绫波零 Q版手办 再版</t>
        </is>
      </c>
      <c r="B337" t="inlineStr">
        <is>
          <t>209.00元</t>
        </is>
      </c>
      <c r="C337" t="inlineStr">
        <is>
          <t>279.00元</t>
        </is>
      </c>
      <c r="D337" t="inlineStr">
        <is>
          <t>70.00元</t>
        </is>
      </c>
      <c r="E337" t="inlineStr">
        <is>
          <t>7.5折</t>
        </is>
      </c>
      <c r="F337">
        <f>HYPERLINK("https://i0.hdslb.com/bfs/mall/mall/a2/50/a250290e44344844bc189ef6ce5ee772.png", "点击查看图片")</f>
        <v/>
      </c>
      <c r="G337">
        <f>HYPERLINK("https://mall.bilibili.com/neul-next/index.html?page=magic-market_detail&amp;noTitleBar=1&amp;itemsId=111912352768&amp;from=market_index", "点击打开")</f>
        <v/>
      </c>
    </row>
    <row r="338">
      <c r="A338" t="inlineStr">
        <is>
          <t>AMAKUNI 原创 褐色旗袍娘 菲琳娜·瓦尔 手办</t>
        </is>
      </c>
      <c r="B338" t="inlineStr">
        <is>
          <t>888.00元</t>
        </is>
      </c>
      <c r="C338" t="inlineStr">
        <is>
          <t>1035.00元</t>
        </is>
      </c>
      <c r="D338" t="inlineStr">
        <is>
          <t>147.00元</t>
        </is>
      </c>
      <c r="E338" t="inlineStr">
        <is>
          <t>8.6折</t>
        </is>
      </c>
      <c r="F338">
        <f>HYPERLINK("https://i0.hdslb.com/bfs/mall/mall/6d/bd/6dbd4f3bce2016e275d3e445bf8b34a7.png", "点击查看图片")</f>
        <v/>
      </c>
      <c r="G338">
        <f>HYPERLINK("https://mall.bilibili.com/neul-next/index.html?page=magic-market_detail&amp;noTitleBar=1&amp;itemsId=106968295679&amp;from=market_index", "点击打开")</f>
        <v/>
      </c>
    </row>
    <row r="339">
      <c r="A339" t="inlineStr">
        <is>
          <t>GSAS 名侦探柯南 正比手办</t>
        </is>
      </c>
      <c r="B339" t="inlineStr">
        <is>
          <t>169.00元</t>
        </is>
      </c>
      <c r="C339" t="inlineStr">
        <is>
          <t>245.00元</t>
        </is>
      </c>
      <c r="D339" t="inlineStr">
        <is>
          <t>76.00元</t>
        </is>
      </c>
      <c r="E339" t="inlineStr">
        <is>
          <t>6.9折</t>
        </is>
      </c>
      <c r="F339">
        <f>HYPERLINK("https://i0.hdslb.com/bfs/mall/mall/de/50/de50622816e0cf53c8740cbac28e0dbd.png", "点击查看图片")</f>
        <v/>
      </c>
      <c r="G339">
        <f>HYPERLINK("https://mall.bilibili.com/neul-next/index.html?page=magic-market_detail&amp;noTitleBar=1&amp;itemsId=111910371485&amp;from=market_index", "点击打开")</f>
        <v/>
      </c>
    </row>
    <row r="340">
      <c r="A340" t="inlineStr">
        <is>
          <t>FuRyu 山田凉 咖啡店Ver.  手办</t>
        </is>
      </c>
      <c r="B340" t="inlineStr">
        <is>
          <t>211.94元</t>
        </is>
      </c>
      <c r="C340" t="inlineStr">
        <is>
          <t>285.00元</t>
        </is>
      </c>
      <c r="D340" t="inlineStr">
        <is>
          <t>73.06元</t>
        </is>
      </c>
      <c r="E340" t="inlineStr">
        <is>
          <t>7.4折</t>
        </is>
      </c>
      <c r="F340">
        <f>HYPERLINK("https://i0.hdslb.com/bfs/mall/mall/ba/02/ba02d26662e88e38bcc2803cd8fcbfb1.png", "点击查看图片")</f>
        <v/>
      </c>
      <c r="G340">
        <f>HYPERLINK("https://mall.bilibili.com/neul-next/index.html?page=magic-market_detail&amp;noTitleBar=1&amp;itemsId=111914906610&amp;from=market_index", "点击打开")</f>
        <v/>
      </c>
    </row>
    <row r="341">
      <c r="A341" t="inlineStr">
        <is>
          <t>Ensoutoys 兔女郎丽奈 手办</t>
        </is>
      </c>
      <c r="B341" t="inlineStr">
        <is>
          <t>278.00元</t>
        </is>
      </c>
      <c r="C341" t="inlineStr">
        <is>
          <t>699.00元</t>
        </is>
      </c>
      <c r="D341" t="inlineStr">
        <is>
          <t>421.00元</t>
        </is>
      </c>
      <c r="E341" t="inlineStr">
        <is>
          <t>4.0折</t>
        </is>
      </c>
      <c r="F341">
        <f>HYPERLINK("https://i0.hdslb.com/bfs/mall/mall/35/d2/35d2c114028d297e508548d920aa7b71.png", "点击查看图片")</f>
        <v/>
      </c>
      <c r="G341">
        <f>HYPERLINK("https://mall.bilibili.com/neul-next/index.html?page=magic-market_detail&amp;noTitleBar=1&amp;itemsId=111919316101&amp;from=market_index", "点击打开")</f>
        <v/>
      </c>
    </row>
    <row r="342">
      <c r="A342" t="inlineStr">
        <is>
          <t>Union Creative 原创 桃馒酱 手办</t>
        </is>
      </c>
      <c r="B342" t="inlineStr">
        <is>
          <t>528.00元</t>
        </is>
      </c>
      <c r="C342" t="inlineStr">
        <is>
          <t>810.00元</t>
        </is>
      </c>
      <c r="D342" t="inlineStr">
        <is>
          <t>282.00元</t>
        </is>
      </c>
      <c r="E342" t="inlineStr">
        <is>
          <t>6.5折</t>
        </is>
      </c>
      <c r="F342">
        <f>HYPERLINK("https://i0.hdslb.com/bfs/mall/mall/bd/16/bd1648b8464af71df5d08edd5e63c2cd.png", "点击查看图片")</f>
        <v/>
      </c>
      <c r="G342">
        <f>HYPERLINK("https://mall.bilibili.com/neul-next/index.html?page=magic-market_detail&amp;noTitleBar=1&amp;itemsId=111919230935&amp;from=market_index", "点击打开")</f>
        <v/>
      </c>
    </row>
    <row r="343">
      <c r="A343" t="inlineStr">
        <is>
          <t>GSAS 逢坂大河 正比手办</t>
        </is>
      </c>
      <c r="B343" t="inlineStr">
        <is>
          <t>225.00元</t>
        </is>
      </c>
      <c r="C343" t="inlineStr">
        <is>
          <t>245.00元</t>
        </is>
      </c>
      <c r="D343" t="inlineStr">
        <is>
          <t>20.00元</t>
        </is>
      </c>
      <c r="E343" t="inlineStr">
        <is>
          <t>9.2折</t>
        </is>
      </c>
      <c r="F343">
        <f>HYPERLINK("https://i0.hdslb.com/bfs/mall/mall/15/48/15488fa275ae6a869e9c4130739c9d5f.png", "点击查看图片")</f>
        <v/>
      </c>
      <c r="G343">
        <f>HYPERLINK("https://mall.bilibili.com/neul-next/index.html?page=magic-market_detail&amp;noTitleBar=1&amp;itemsId=111910237799&amp;from=market_index", "点击打开")</f>
        <v/>
      </c>
    </row>
    <row r="344">
      <c r="A344" t="inlineStr">
        <is>
          <t xml:space="preserve"> F:NEX 初音未来 手办</t>
        </is>
      </c>
      <c r="B344" t="inlineStr">
        <is>
          <t>999.00元</t>
        </is>
      </c>
      <c r="C344" t="inlineStr">
        <is>
          <t>1269.00元</t>
        </is>
      </c>
      <c r="D344" t="inlineStr">
        <is>
          <t>270.00元</t>
        </is>
      </c>
      <c r="E344" t="inlineStr">
        <is>
          <t>7.9折</t>
        </is>
      </c>
      <c r="F344">
        <f>HYPERLINK("https://i0.hdslb.com/bfs/mall/mall/3e/93/3e939e12263fbd222e892d6ca7e6ab3c.png", "点击查看图片")</f>
        <v/>
      </c>
      <c r="G344">
        <f>HYPERLINK("https://mall.bilibili.com/neul-next/index.html?page=magic-market_detail&amp;noTitleBar=1&amp;itemsId=109863559597&amp;from=market_index", "点击打开")</f>
        <v/>
      </c>
    </row>
    <row r="345">
      <c r="A345" t="inlineStr">
        <is>
          <t>FREEing 克洛伊·冯·爱因兹贝伦 裸足兔女郎Ver. 正比手办</t>
        </is>
      </c>
      <c r="B345" t="inlineStr">
        <is>
          <t>1259.92元</t>
        </is>
      </c>
      <c r="C345" t="inlineStr">
        <is>
          <t>2009.00元</t>
        </is>
      </c>
      <c r="D345" t="inlineStr">
        <is>
          <t>749.08元</t>
        </is>
      </c>
      <c r="E345" t="inlineStr">
        <is>
          <t>6.3折</t>
        </is>
      </c>
      <c r="F345">
        <f>HYPERLINK("https://i0.hdslb.com/bfs/mall/mall/54/ce/54ceb72efb6991dfdb69ecada1de356c.png", "点击查看图片")</f>
        <v/>
      </c>
      <c r="G345">
        <f>HYPERLINK("https://mall.bilibili.com/neul-next/index.html?page=magic-market_detail&amp;noTitleBar=1&amp;itemsId=111913309840&amp;from=market_index", "点击打开")</f>
        <v/>
      </c>
    </row>
    <row r="346">
      <c r="A346" t="inlineStr">
        <is>
          <t>BellFine High School D×D 莉雅丝·吉蒙里 睡衣ver. 手办 再版</t>
        </is>
      </c>
      <c r="B346" t="inlineStr">
        <is>
          <t>467.99元</t>
        </is>
      </c>
      <c r="C346" t="inlineStr">
        <is>
          <t>675.00元</t>
        </is>
      </c>
      <c r="D346" t="inlineStr">
        <is>
          <t>207.01元</t>
        </is>
      </c>
      <c r="E346" t="inlineStr">
        <is>
          <t>6.9折</t>
        </is>
      </c>
      <c r="F346">
        <f>HYPERLINK("https://i0.hdslb.com/bfs/mall/mall/61/6c/616c552a6af82f9634f7958d10e5ec3e.png", "点击查看图片")</f>
        <v/>
      </c>
      <c r="G346">
        <f>HYPERLINK("https://mall.bilibili.com/neul-next/index.html?page=magic-market_detail&amp;noTitleBar=1&amp;itemsId=111910354601&amp;from=market_index", "点击打开")</f>
        <v/>
      </c>
    </row>
    <row r="347">
      <c r="A347" t="inlineStr">
        <is>
          <t>GSAS 拉毗 经典假期 手办</t>
        </is>
      </c>
      <c r="B347" t="inlineStr">
        <is>
          <t>477.99元</t>
        </is>
      </c>
      <c r="C347" t="inlineStr">
        <is>
          <t>659.00元</t>
        </is>
      </c>
      <c r="D347" t="inlineStr">
        <is>
          <t>181.01元</t>
        </is>
      </c>
      <c r="E347" t="inlineStr">
        <is>
          <t>7.3折</t>
        </is>
      </c>
      <c r="F347">
        <f>HYPERLINK("https://i0.hdslb.com/bfs/mall/mall/23/e0/23e08a7fce05bcb8a505d621c37185c4.png", "点击查看图片")</f>
        <v/>
      </c>
      <c r="G347">
        <f>HYPERLINK("https://mall.bilibili.com/neul-next/index.html?page=magic-market_detail&amp;noTitleBar=1&amp;itemsId=109851124637&amp;from=market_index", "点击打开")</f>
        <v/>
      </c>
    </row>
    <row r="348">
      <c r="A348" t="inlineStr">
        <is>
          <t>GSC 莉法 手办</t>
        </is>
      </c>
      <c r="B348" t="inlineStr">
        <is>
          <t>134.60元</t>
        </is>
      </c>
      <c r="C348" t="inlineStr">
        <is>
          <t>229.00元</t>
        </is>
      </c>
      <c r="D348" t="inlineStr">
        <is>
          <t>94.40元</t>
        </is>
      </c>
      <c r="E348" t="inlineStr">
        <is>
          <t>5.9折</t>
        </is>
      </c>
      <c r="F348">
        <f>HYPERLINK("https://i0.hdslb.com/bfs/mall/mall/b6/48/b64866d0ee3aeeafbc2a3a56fb4939ec.png", "点击查看图片")</f>
        <v/>
      </c>
      <c r="G348">
        <f>HYPERLINK("https://mall.bilibili.com/neul-next/index.html?page=magic-market_detail&amp;noTitleBar=1&amp;itemsId=111919555515&amp;from=market_index", "点击打开")</f>
        <v/>
      </c>
    </row>
    <row r="349">
      <c r="A349" t="inlineStr">
        <is>
          <t>ALTER 赛马娘 Pretty Derby 东海帝皇 Beyond the Horizon Ver. 1/7手办</t>
        </is>
      </c>
      <c r="B349" t="inlineStr">
        <is>
          <t>988.00元</t>
        </is>
      </c>
      <c r="C349" t="inlineStr">
        <is>
          <t>1160.00元</t>
        </is>
      </c>
      <c r="D349" t="inlineStr">
        <is>
          <t>172.00元</t>
        </is>
      </c>
      <c r="E349" t="inlineStr">
        <is>
          <t>8.5折</t>
        </is>
      </c>
      <c r="F349">
        <f>HYPERLINK("https://i0.hdslb.com/bfs/mall/mall/ff/62/ff626186c0908fb1ebf421c33d0f20b8.png", "点击查看图片")</f>
        <v/>
      </c>
      <c r="G349">
        <f>HYPERLINK("https://mall.bilibili.com/neul-next/index.html?page=magic-market_detail&amp;noTitleBar=1&amp;itemsId=111908826157&amp;from=market_index", "点击打开")</f>
        <v/>
      </c>
    </row>
    <row r="350">
      <c r="A350" t="inlineStr">
        <is>
          <t>TAITO 伊蕾娜 毛衣ver.～Renewal 景品手办</t>
        </is>
      </c>
      <c r="B350" t="inlineStr">
        <is>
          <t>64.00元</t>
        </is>
      </c>
      <c r="C350" t="inlineStr">
        <is>
          <t>112.00元</t>
        </is>
      </c>
      <c r="D350" t="inlineStr">
        <is>
          <t>48.00元</t>
        </is>
      </c>
      <c r="E350" t="inlineStr">
        <is>
          <t>5.7折</t>
        </is>
      </c>
      <c r="F350">
        <f>HYPERLINK("https://i0.hdslb.com/bfs/mall/mall/a9/9b/a99b172bfea8757d6f517b94f6342bb0.png", "点击查看图片")</f>
        <v/>
      </c>
      <c r="G350">
        <f>HYPERLINK("https://mall.bilibili.com/neul-next/index.html?page=magic-market_detail&amp;noTitleBar=1&amp;itemsId=109806324358&amp;from=market_index", "点击打开")</f>
        <v/>
      </c>
    </row>
    <row r="351">
      <c r="A351" t="inlineStr">
        <is>
          <t>GSC 终极圆神 Q版手办 再版</t>
        </is>
      </c>
      <c r="B351" t="inlineStr">
        <is>
          <t>337.00元</t>
        </is>
      </c>
      <c r="C351" t="inlineStr">
        <is>
          <t>375.00元</t>
        </is>
      </c>
      <c r="D351" t="inlineStr">
        <is>
          <t>38.00元</t>
        </is>
      </c>
      <c r="E351" t="inlineStr">
        <is>
          <t>9.0折</t>
        </is>
      </c>
      <c r="F351">
        <f>HYPERLINK("https://i0.hdslb.com/bfs/mall/mall/fd/2b/fd2b76f1af17da4b77a06113331b86fa.png", "点击查看图片")</f>
        <v/>
      </c>
      <c r="G351">
        <f>HYPERLINK("https://mall.bilibili.com/neul-next/index.html?page=magic-market_detail&amp;noTitleBar=1&amp;itemsId=111912040626&amp;from=market_index", "点击打开")</f>
        <v/>
      </c>
    </row>
    <row r="352">
      <c r="A352" t="inlineStr">
        <is>
          <t>GSC 百江渚 正比手办</t>
        </is>
      </c>
      <c r="B352" t="inlineStr">
        <is>
          <t>111.00元</t>
        </is>
      </c>
      <c r="C352" t="inlineStr">
        <is>
          <t>215.00元</t>
        </is>
      </c>
      <c r="D352" t="inlineStr">
        <is>
          <t>104.00元</t>
        </is>
      </c>
      <c r="E352" t="inlineStr">
        <is>
          <t>5.2折</t>
        </is>
      </c>
      <c r="F352">
        <f>HYPERLINK("https://i0.hdslb.com/bfs/mall/mall/5e/3b/5e3b4dfc677e8cea1f82e089b69b4e7d.png", "点击查看图片")</f>
        <v/>
      </c>
      <c r="G352">
        <f>HYPERLINK("https://mall.bilibili.com/neul-next/index.html?page=magic-market_detail&amp;noTitleBar=1&amp;itemsId=111904714225&amp;from=market_index", "点击打开")</f>
        <v/>
      </c>
    </row>
    <row r="353">
      <c r="A353" t="inlineStr">
        <is>
          <t>GSC 粘土人 蔚蓝档案 杏山和纱 Q版手办</t>
        </is>
      </c>
      <c r="B353" t="inlineStr">
        <is>
          <t>279.00元</t>
        </is>
      </c>
      <c r="C353" t="inlineStr">
        <is>
          <t>315.00元</t>
        </is>
      </c>
      <c r="D353" t="inlineStr">
        <is>
          <t>36.00元</t>
        </is>
      </c>
      <c r="E353" t="inlineStr">
        <is>
          <t>8.9折</t>
        </is>
      </c>
      <c r="F353">
        <f>HYPERLINK("https://i0.hdslb.com/bfs/mall/mall/f8/c8/f8c8ec5b2d7c1756f6575f44515a1916.png", "点击查看图片")</f>
        <v/>
      </c>
      <c r="G353">
        <f>HYPERLINK("https://mall.bilibili.com/neul-next/index.html?page=magic-market_detail&amp;noTitleBar=1&amp;itemsId=111910297695&amp;from=market_index", "点击打开")</f>
        <v/>
      </c>
    </row>
    <row r="354">
      <c r="A354" t="inlineStr">
        <is>
          <t>AniMester大漫匠 南宫樱桃 手办</t>
        </is>
      </c>
      <c r="B354" t="inlineStr">
        <is>
          <t>183.10元</t>
        </is>
      </c>
      <c r="C354" t="inlineStr">
        <is>
          <t>248.00元</t>
        </is>
      </c>
      <c r="D354" t="inlineStr">
        <is>
          <t>64.90元</t>
        </is>
      </c>
      <c r="E354" t="inlineStr">
        <is>
          <t>7.4折</t>
        </is>
      </c>
      <c r="F354">
        <f>HYPERLINK("https://i0.hdslb.com/bfs/mall/mall/00/69/00698abe64f951d074b1fa571f511c51.png", "点击查看图片")</f>
        <v/>
      </c>
      <c r="G354">
        <f>HYPERLINK("https://mall.bilibili.com/neul-next/index.html?page=magic-market_detail&amp;noTitleBar=1&amp;itemsId=106907522258&amp;from=market_index", "点击打开")</f>
        <v/>
      </c>
    </row>
    <row r="355">
      <c r="A355" t="inlineStr">
        <is>
          <t>ANIPLEX ONLINE 亚托莉 手办</t>
        </is>
      </c>
      <c r="B355" t="inlineStr">
        <is>
          <t>1000.00元</t>
        </is>
      </c>
      <c r="C355" t="inlineStr">
        <is>
          <t>1276.00元</t>
        </is>
      </c>
      <c r="D355" t="inlineStr">
        <is>
          <t>276.00元</t>
        </is>
      </c>
      <c r="E355" t="inlineStr">
        <is>
          <t>7.8折</t>
        </is>
      </c>
      <c r="F355">
        <f>HYPERLINK("https://i0.hdslb.com/bfs/mall/mall/63/e5/63e5695a1d29602838f174dea0e0cc5a.png", "点击查看图片")</f>
        <v/>
      </c>
      <c r="G355">
        <f>HYPERLINK("https://mall.bilibili.com/neul-next/index.html?page=magic-market_detail&amp;noTitleBar=1&amp;itemsId=109874552993&amp;from=market_index", "点击打开")</f>
        <v/>
      </c>
    </row>
    <row r="356">
      <c r="A356" t="inlineStr">
        <is>
          <t>Union Creative 魔女之旅 伊蕾娜 手办 再版</t>
        </is>
      </c>
      <c r="B356" t="inlineStr">
        <is>
          <t>319.00元</t>
        </is>
      </c>
      <c r="C356" t="inlineStr">
        <is>
          <t>690.00元</t>
        </is>
      </c>
      <c r="D356" t="inlineStr">
        <is>
          <t>371.00元</t>
        </is>
      </c>
      <c r="E356" t="inlineStr">
        <is>
          <t>4.6折</t>
        </is>
      </c>
      <c r="F356">
        <f>HYPERLINK("https://i0.hdslb.com/bfs/mall/mall/ef/bc/efbcdcd2fb4ec73d759f38ef89e59a64.png", "点击查看图片")</f>
        <v/>
      </c>
      <c r="G356">
        <f>HYPERLINK("https://mall.bilibili.com/neul-next/index.html?page=magic-market_detail&amp;noTitleBar=1&amp;itemsId=111920466636&amp;from=market_index", "点击打开")</f>
        <v/>
      </c>
    </row>
    <row r="357">
      <c r="A357" t="inlineStr">
        <is>
          <t>F:NEX 碧蓝航线 赫莉米娜亲王 专属舞台·Heinrich Ver. 1/7手办</t>
        </is>
      </c>
      <c r="B357" t="inlineStr">
        <is>
          <t>700.00元</t>
        </is>
      </c>
      <c r="C357" t="inlineStr">
        <is>
          <t>1210.00元</t>
        </is>
      </c>
      <c r="D357" t="inlineStr">
        <is>
          <t>510.00元</t>
        </is>
      </c>
      <c r="E357" t="inlineStr">
        <is>
          <t>5.8折</t>
        </is>
      </c>
      <c r="F357">
        <f>HYPERLINK("https://i0.hdslb.com/bfs/mall/mall/e1/5b/e15b8e6eb16758e3206741a0bbaef9a5.png", "点击查看图片")</f>
        <v/>
      </c>
      <c r="G357">
        <f>HYPERLINK("https://mall.bilibili.com/neul-next/index.html?page=magic-market_detail&amp;noTitleBar=1&amp;itemsId=111906527714&amp;from=market_index", "点击打开")</f>
        <v/>
      </c>
    </row>
    <row r="358">
      <c r="A358" t="inlineStr">
        <is>
          <t>宝可梦 皮卡丘 雄版 手办</t>
        </is>
      </c>
      <c r="B358" t="inlineStr">
        <is>
          <t>165.00元</t>
        </is>
      </c>
      <c r="C358" t="inlineStr">
        <is>
          <t>199.00元</t>
        </is>
      </c>
      <c r="D358" t="inlineStr">
        <is>
          <t>34.00元</t>
        </is>
      </c>
      <c r="E358" t="inlineStr">
        <is>
          <t>8.3折</t>
        </is>
      </c>
      <c r="F358">
        <f>HYPERLINK("https://i0.hdslb.com/bfs/mall/mall/d6/0c/d60c1a8cfe77f0d0281c900e89af7fb3.png", "点击查看图片")</f>
        <v/>
      </c>
      <c r="G358">
        <f>HYPERLINK("https://mall.bilibili.com/neul-next/index.html?page=magic-market_detail&amp;noTitleBar=1&amp;itemsId=111922066637&amp;from=market_index", "点击打开")</f>
        <v/>
      </c>
    </row>
    <row r="359">
      <c r="A359" t="inlineStr">
        <is>
          <t>世嘉 初音未来 圣诞2024 景品手办</t>
        </is>
      </c>
      <c r="B359" t="inlineStr">
        <is>
          <t>104.68元</t>
        </is>
      </c>
      <c r="C359" t="inlineStr">
        <is>
          <t>109.00元</t>
        </is>
      </c>
      <c r="D359" t="inlineStr">
        <is>
          <t>4.32元</t>
        </is>
      </c>
      <c r="E359" t="inlineStr">
        <is>
          <t>9.6折</t>
        </is>
      </c>
      <c r="F359">
        <f>HYPERLINK("https://i0.hdslb.com/bfs/mall/mall/b4/ae/b4ae1538b490048a3a4093adf4c0a751.png", "点击查看图片")</f>
        <v/>
      </c>
      <c r="G359">
        <f>HYPERLINK("https://mall.bilibili.com/neul-next/index.html?page=magic-market_detail&amp;noTitleBar=1&amp;itemsId=111910656919&amp;from=market_index", "点击打开")</f>
        <v/>
      </c>
    </row>
    <row r="360">
      <c r="A360" t="inlineStr">
        <is>
          <t>Plum 偶像大师 灰姑娘女孩 U149 橘爱丽丝 1/7手办 Memorial Edition</t>
        </is>
      </c>
      <c r="B360" t="inlineStr">
        <is>
          <t>653.34元</t>
        </is>
      </c>
      <c r="C360" t="inlineStr">
        <is>
          <t>850.00元</t>
        </is>
      </c>
      <c r="D360" t="inlineStr">
        <is>
          <t>196.66元</t>
        </is>
      </c>
      <c r="E360" t="inlineStr">
        <is>
          <t>7.7折</t>
        </is>
      </c>
      <c r="F360">
        <f>HYPERLINK("https://i0.hdslb.com/bfs/mall/mall/a6/8d/a68d8a7f6e6f9ea5369a046e0c538f6b.png", "点击查看图片")</f>
        <v/>
      </c>
      <c r="G360">
        <f>HYPERLINK("https://mall.bilibili.com/neul-next/index.html?page=magic-market_detail&amp;noTitleBar=1&amp;itemsId=111909357220&amp;from=market_index", "点击打开")</f>
        <v/>
      </c>
    </row>
    <row r="361">
      <c r="A361" t="inlineStr">
        <is>
          <t>Max Factory 樱巫女 正比手办 再版</t>
        </is>
      </c>
      <c r="B361" t="inlineStr">
        <is>
          <t>135.00元</t>
        </is>
      </c>
      <c r="C361" t="inlineStr">
        <is>
          <t>255.00元</t>
        </is>
      </c>
      <c r="D361" t="inlineStr">
        <is>
          <t>120.00元</t>
        </is>
      </c>
      <c r="E361" t="inlineStr">
        <is>
          <t>5.3折</t>
        </is>
      </c>
      <c r="F361">
        <f>HYPERLINK("https://i0.hdslb.com/bfs/mall/mall/03/80/03803bf9af57a9d8b2e9cb315ebbdd60.png", "点击查看图片")</f>
        <v/>
      </c>
      <c r="G361">
        <f>HYPERLINK("https://mall.bilibili.com/neul-next/index.html?page=magic-market_detail&amp;noTitleBar=1&amp;itemsId=111912160523&amp;from=market_index", "点击打开")</f>
        <v/>
      </c>
    </row>
    <row r="362">
      <c r="A362" t="inlineStr">
        <is>
          <t>GOLDEN HEAD 蔚蓝档案 响(应援团) 1/7手办</t>
        </is>
      </c>
      <c r="B362" t="inlineStr">
        <is>
          <t>628.01元</t>
        </is>
      </c>
      <c r="C362" t="inlineStr">
        <is>
          <t>950.00元</t>
        </is>
      </c>
      <c r="D362" t="inlineStr">
        <is>
          <t>321.99元</t>
        </is>
      </c>
      <c r="E362" t="inlineStr">
        <is>
          <t>6.6折</t>
        </is>
      </c>
      <c r="F362">
        <f>HYPERLINK("https://i0.hdslb.com/bfs/mall/mall/3f/c1/3fc106120f1dcdd4529c2c6ecb15b680.png", "点击查看图片")</f>
        <v/>
      </c>
      <c r="G362">
        <f>HYPERLINK("https://mall.bilibili.com/neul-next/index.html?page=magic-market_detail&amp;noTitleBar=1&amp;itemsId=111910359979&amp;from=market_index", "点击打开")</f>
        <v/>
      </c>
    </row>
    <row r="363">
      <c r="A363" t="inlineStr">
        <is>
          <t>S-FIRE 初音未来 月西江 手办</t>
        </is>
      </c>
      <c r="B363" t="inlineStr">
        <is>
          <t>1043.00元</t>
        </is>
      </c>
      <c r="C363" t="inlineStr">
        <is>
          <t>1159.00元</t>
        </is>
      </c>
      <c r="D363" t="inlineStr">
        <is>
          <t>116.00元</t>
        </is>
      </c>
      <c r="E363" t="inlineStr">
        <is>
          <t>9.0折</t>
        </is>
      </c>
      <c r="F363">
        <f>HYPERLINK("https://i0.hdslb.com/bfs/mall/mall/82/0c/820cd24a4ba4031c7ed3615053bb6ae1.png", "点击查看图片")</f>
        <v/>
      </c>
      <c r="G363">
        <f>HYPERLINK("https://mall.bilibili.com/neul-next/index.html?page=magic-market_detail&amp;noTitleBar=1&amp;itemsId=111921135848&amp;from=market_index", "点击打开")</f>
        <v/>
      </c>
    </row>
    <row r="364">
      <c r="A364" t="inlineStr">
        <is>
          <t>TAITO 樱未来 提灯ver. 景品手办 再版</t>
        </is>
      </c>
      <c r="B364" t="inlineStr">
        <is>
          <t>102.50元</t>
        </is>
      </c>
      <c r="C364" t="inlineStr">
        <is>
          <t>129.00元</t>
        </is>
      </c>
      <c r="D364" t="inlineStr">
        <is>
          <t>26.50元</t>
        </is>
      </c>
      <c r="E364" t="inlineStr">
        <is>
          <t>7.9折</t>
        </is>
      </c>
      <c r="F364">
        <f>HYPERLINK("https://i0.hdslb.com/bfs/mall/mall/db/54/db54f516f34fb72e170ccbb20c0ecc0c.png", "点击查看图片")</f>
        <v/>
      </c>
      <c r="G364">
        <f>HYPERLINK("https://mall.bilibili.com/neul-next/index.html?page=magic-market_detail&amp;noTitleBar=1&amp;itemsId=111911275581&amp;from=market_index", "点击打开")</f>
        <v/>
      </c>
    </row>
    <row r="365">
      <c r="A365" t="inlineStr">
        <is>
          <t>世嘉 阿尼亚·福杰 景品</t>
        </is>
      </c>
      <c r="B365" t="inlineStr">
        <is>
          <t>80.00元</t>
        </is>
      </c>
      <c r="C365" t="inlineStr">
        <is>
          <t>109.00元</t>
        </is>
      </c>
      <c r="D365" t="inlineStr">
        <is>
          <t>29.00元</t>
        </is>
      </c>
      <c r="E365" t="inlineStr">
        <is>
          <t>7.3折</t>
        </is>
      </c>
      <c r="F365">
        <f>HYPERLINK("https://i0.hdslb.com/bfs/mall/mall/92/5f/925f347455cec054a7a4bb30089b6944.png", "点击查看图片")</f>
        <v/>
      </c>
      <c r="G365">
        <f>HYPERLINK("https://mall.bilibili.com/neul-next/index.html?page=magic-market_detail&amp;noTitleBar=1&amp;itemsId=107043860859&amp;from=market_index", "点击打开")</f>
        <v/>
      </c>
    </row>
    <row r="366">
      <c r="A366" t="inlineStr">
        <is>
          <t>AmiAmi 碧蓝航线 可畏 海边的“皇家淑女”ver. 手办</t>
        </is>
      </c>
      <c r="B366" t="inlineStr">
        <is>
          <t>768.00元</t>
        </is>
      </c>
      <c r="C366" t="inlineStr">
        <is>
          <t>1120.00元</t>
        </is>
      </c>
      <c r="D366" t="inlineStr">
        <is>
          <t>352.00元</t>
        </is>
      </c>
      <c r="E366" t="inlineStr">
        <is>
          <t>6.9折</t>
        </is>
      </c>
      <c r="F366">
        <f>HYPERLINK("https://i0.hdslb.com/bfs/mall/mall/43/8b/438b7a73bfe5d1bb29d38632257c0038.png", "点击查看图片")</f>
        <v/>
      </c>
      <c r="G366">
        <f>HYPERLINK("https://mall.bilibili.com/neul-next/index.html?page=magic-market_detail&amp;noTitleBar=1&amp;itemsId=111916427332&amp;from=market_index", "点击打开")</f>
        <v/>
      </c>
    </row>
    <row r="367">
      <c r="A367" t="inlineStr">
        <is>
          <t>MIMEYOI 碧蓝航线 标枪 幸福纯白ver, 手办</t>
        </is>
      </c>
      <c r="B367" t="inlineStr">
        <is>
          <t>837.92元</t>
        </is>
      </c>
      <c r="C367" t="inlineStr">
        <is>
          <t>1150.00元</t>
        </is>
      </c>
      <c r="D367" t="inlineStr">
        <is>
          <t>312.08元</t>
        </is>
      </c>
      <c r="E367" t="inlineStr">
        <is>
          <t>7.3折</t>
        </is>
      </c>
      <c r="F367">
        <f>HYPERLINK("https://i0.hdslb.com/bfs/mall/mall/35/04/3504e595711bab145fee436ab5802168.png", "点击查看图片")</f>
        <v/>
      </c>
      <c r="G367">
        <f>HYPERLINK("https://mall.bilibili.com/neul-next/index.html?page=magic-market_detail&amp;noTitleBar=1&amp;itemsId=111910265410&amp;from=market_index", "点击打开")</f>
        <v/>
      </c>
    </row>
    <row r="368">
      <c r="A368" t="inlineStr">
        <is>
          <t>GSC 芙莉莲 Q版手办</t>
        </is>
      </c>
      <c r="B368" t="inlineStr">
        <is>
          <t>475.00元</t>
        </is>
      </c>
      <c r="C368" t="inlineStr">
        <is>
          <t>519.00元</t>
        </is>
      </c>
      <c r="D368" t="inlineStr">
        <is>
          <t>44.00元</t>
        </is>
      </c>
      <c r="E368" t="inlineStr">
        <is>
          <t>9.2折</t>
        </is>
      </c>
      <c r="F368">
        <f>HYPERLINK("https://i0.hdslb.com/bfs/mall/mall/a0/ba/a0ba78f9ace6b587baba60f3a51b1769.png", "点击查看图片")</f>
        <v/>
      </c>
      <c r="G368">
        <f>HYPERLINK("https://mall.bilibili.com/neul-next/index.html?page=magic-market_detail&amp;noTitleBar=1&amp;itemsId=111921348926&amp;from=market_index", "点击打开")</f>
        <v/>
      </c>
    </row>
    <row r="369">
      <c r="A369" t="inlineStr">
        <is>
          <t>APEX 王者荣耀 瑶 遇见神鹿VER. 1/7 手办</t>
        </is>
      </c>
      <c r="B369" t="inlineStr">
        <is>
          <t>886.00元</t>
        </is>
      </c>
      <c r="C369" t="inlineStr">
        <is>
          <t>999.00元</t>
        </is>
      </c>
      <c r="D369" t="inlineStr">
        <is>
          <t>113.00元</t>
        </is>
      </c>
      <c r="E369" t="inlineStr">
        <is>
          <t>8.9折</t>
        </is>
      </c>
      <c r="F369">
        <f>HYPERLINK("https://i0.hdslb.com/bfs/mall/mall/5d/fa/5dfaeb2561a90a5bfd1be760366285cb.png", "点击查看图片")</f>
        <v/>
      </c>
      <c r="G369">
        <f>HYPERLINK("https://mall.bilibili.com/neul-next/index.html?page=magic-market_detail&amp;noTitleBar=1&amp;itemsId=110464995996&amp;from=market_index", "点击打开")</f>
        <v/>
      </c>
    </row>
    <row r="370">
      <c r="A370" t="inlineStr">
        <is>
          <t>TAITO 喜多川海梦 ～黒江雫 ver.～ 景品手办 再版</t>
        </is>
      </c>
      <c r="B370" t="inlineStr">
        <is>
          <t>158.00元</t>
        </is>
      </c>
      <c r="C370" t="inlineStr">
        <is>
          <t>198.00元</t>
        </is>
      </c>
      <c r="D370" t="inlineStr">
        <is>
          <t>40.00元</t>
        </is>
      </c>
      <c r="E370" t="inlineStr">
        <is>
          <t>8.0折</t>
        </is>
      </c>
      <c r="F370">
        <f>HYPERLINK("https://i0.hdslb.com/bfs/mall/mall/6f/38/6f38f73c9971b1b7a6ae7aca4ffd7697.png", "点击查看图片")</f>
        <v/>
      </c>
      <c r="G370">
        <f>HYPERLINK("https://mall.bilibili.com/neul-next/index.html?page=magic-market_detail&amp;noTitleBar=1&amp;itemsId=111907866322&amp;from=market_index", "点击打开")</f>
        <v/>
      </c>
    </row>
    <row r="371">
      <c r="A371" t="inlineStr">
        <is>
          <t>Hobbymax 明日香 Ver.RADIO EVA Part.3  正比手办</t>
        </is>
      </c>
      <c r="B371" t="inlineStr">
        <is>
          <t>650.00元</t>
        </is>
      </c>
      <c r="C371" t="inlineStr">
        <is>
          <t>899.00元</t>
        </is>
      </c>
      <c r="D371" t="inlineStr">
        <is>
          <t>249.00元</t>
        </is>
      </c>
      <c r="E371" t="inlineStr">
        <is>
          <t>7.2折</t>
        </is>
      </c>
      <c r="F371">
        <f>HYPERLINK("https://i0.hdslb.com/bfs/mall/mall/62/3d/623df81d605d4c3bae43bf11fccd8485.png", "点击查看图片")</f>
        <v/>
      </c>
      <c r="G371">
        <f>HYPERLINK("https://mall.bilibili.com/neul-next/index.html?page=magic-market_detail&amp;noTitleBar=1&amp;itemsId=111916518319&amp;from=market_index", "点击打开")</f>
        <v/>
      </c>
    </row>
    <row r="372">
      <c r="A372" t="inlineStr">
        <is>
          <t>GSC 明日香 Q版手办 再版</t>
        </is>
      </c>
      <c r="B372" t="inlineStr">
        <is>
          <t>245.20元</t>
        </is>
      </c>
      <c r="C372" t="inlineStr">
        <is>
          <t>269.00元</t>
        </is>
      </c>
      <c r="D372" t="inlineStr">
        <is>
          <t>23.80元</t>
        </is>
      </c>
      <c r="E372" t="inlineStr">
        <is>
          <t>9.1折</t>
        </is>
      </c>
      <c r="F372">
        <f>HYPERLINK("https://i0.hdslb.com/bfs/mall/mall/e5/ce/e5ceb264762b1db0ca4f4eb5aa74abf1.png", "点击查看图片")</f>
        <v/>
      </c>
      <c r="G372">
        <f>HYPERLINK("https://mall.bilibili.com/neul-next/index.html?page=magic-market_detail&amp;noTitleBar=1&amp;itemsId=111918266592&amp;from=market_index", "点击打开")</f>
        <v/>
      </c>
    </row>
    <row r="373">
      <c r="A373" t="inlineStr">
        <is>
          <t>BellFine High School D×D 姬岛朱乃 睡衣ver. 1/7手办 再版</t>
        </is>
      </c>
      <c r="B373" t="inlineStr">
        <is>
          <t>515.00元</t>
        </is>
      </c>
      <c r="C373" t="inlineStr">
        <is>
          <t>675.00元</t>
        </is>
      </c>
      <c r="D373" t="inlineStr">
        <is>
          <t>160.00元</t>
        </is>
      </c>
      <c r="E373" t="inlineStr">
        <is>
          <t>7.6折</t>
        </is>
      </c>
      <c r="F373">
        <f>HYPERLINK("https://i0.hdslb.com/bfs/mall/mall/f6/3e/f63ea9869a67f6cd2896311a486178af.png", "点击查看图片")</f>
        <v/>
      </c>
      <c r="G373">
        <f>HYPERLINK("https://mall.bilibili.com/neul-next/index.html?page=magic-market_detail&amp;noTitleBar=1&amp;itemsId=111909643430&amp;from=market_index", "点击打开")</f>
        <v/>
      </c>
    </row>
    <row r="374">
      <c r="A374" t="inlineStr">
        <is>
          <t>Union Creative 出包王女 娜娜·阿丝达·戴比路克 Darkness ver. 手办 再版</t>
        </is>
      </c>
      <c r="B374" t="inlineStr">
        <is>
          <t>450.00元</t>
        </is>
      </c>
      <c r="C374" t="inlineStr">
        <is>
          <t>790.00元</t>
        </is>
      </c>
      <c r="D374" t="inlineStr">
        <is>
          <t>340.00元</t>
        </is>
      </c>
      <c r="E374" t="inlineStr">
        <is>
          <t>5.7折</t>
        </is>
      </c>
      <c r="F374">
        <f>HYPERLINK("https://i0.hdslb.com/bfs/mall/mall/dc/16/dc16ab0c5c733d1d757a753987c07999.png", "点击查看图片")</f>
        <v/>
      </c>
      <c r="G374">
        <f>HYPERLINK("https://mall.bilibili.com/neul-next/index.html?page=magic-market_detail&amp;noTitleBar=1&amp;itemsId=111916058450&amp;from=market_index", "点击打开")</f>
        <v/>
      </c>
    </row>
    <row r="375">
      <c r="A375" t="inlineStr">
        <is>
          <t>FuRyu 初音未来 恋爱西装外套 景品手办</t>
        </is>
      </c>
      <c r="B375" t="inlineStr">
        <is>
          <t>92.00元</t>
        </is>
      </c>
      <c r="C375" t="inlineStr">
        <is>
          <t>115.00元</t>
        </is>
      </c>
      <c r="D375" t="inlineStr">
        <is>
          <t>23.00元</t>
        </is>
      </c>
      <c r="E375" t="inlineStr">
        <is>
          <t>8.0折</t>
        </is>
      </c>
      <c r="F375">
        <f>HYPERLINK("https://i0.hdslb.com/bfs/mall/mall/ae/1b/ae1b1888d7a1cba6e2cb7da95bca9f12.png", "点击查看图片")</f>
        <v/>
      </c>
      <c r="G375">
        <f>HYPERLINK("https://mall.bilibili.com/neul-next/index.html?page=magic-market_detail&amp;noTitleBar=1&amp;itemsId=109816123586&amp;from=market_index", "点击打开")</f>
        <v/>
      </c>
    </row>
    <row r="376">
      <c r="A376" t="inlineStr">
        <is>
          <t>S-FIRE 绫波零 长发 正比手办</t>
        </is>
      </c>
      <c r="B376" t="inlineStr">
        <is>
          <t>488.00元</t>
        </is>
      </c>
      <c r="C376" t="inlineStr">
        <is>
          <t>789.00元</t>
        </is>
      </c>
      <c r="D376" t="inlineStr">
        <is>
          <t>301.00元</t>
        </is>
      </c>
      <c r="E376" t="inlineStr">
        <is>
          <t>6.2折</t>
        </is>
      </c>
      <c r="F376">
        <f>HYPERLINK("https://i0.hdslb.com/bfs/mall/mall/f6/29/f629705d3f9e7ef3bd256c683dbeb97a.png", "点击查看图片")</f>
        <v/>
      </c>
      <c r="G376">
        <f>HYPERLINK("https://mall.bilibili.com/neul-next/index.html?page=magic-market_detail&amp;noTitleBar=1&amp;itemsId=111914613350&amp;from=market_index", "点击打开")</f>
        <v/>
      </c>
    </row>
    <row r="377">
      <c r="A377" t="inlineStr">
        <is>
          <t>大气工业 碧蓝航线 䲠 鸣子小夏ver. 手办</t>
        </is>
      </c>
      <c r="B377" t="inlineStr">
        <is>
          <t>866.69元</t>
        </is>
      </c>
      <c r="C377" t="inlineStr">
        <is>
          <t>1360.00元</t>
        </is>
      </c>
      <c r="D377" t="inlineStr">
        <is>
          <t>493.31元</t>
        </is>
      </c>
      <c r="E377" t="inlineStr">
        <is>
          <t>6.4折</t>
        </is>
      </c>
      <c r="F377">
        <f>HYPERLINK("https://i0.hdslb.com/bfs/mall/mall/3b/fc/3bfc2854b657f04a169d8d48d8ac78c2.png", "点击查看图片")</f>
        <v/>
      </c>
      <c r="G377">
        <f>HYPERLINK("https://mall.bilibili.com/neul-next/index.html?page=magic-market_detail&amp;noTitleBar=1&amp;itemsId=111918622811&amp;from=market_index", "点击打开")</f>
        <v/>
      </c>
    </row>
    <row r="378">
      <c r="A378" t="inlineStr">
        <is>
          <t>FuRyu 中野一花 国风公主 景品手办</t>
        </is>
      </c>
      <c r="B378" t="inlineStr">
        <is>
          <t>95.00元</t>
        </is>
      </c>
      <c r="C378" t="inlineStr">
        <is>
          <t>135.00元</t>
        </is>
      </c>
      <c r="D378" t="inlineStr">
        <is>
          <t>40.00元</t>
        </is>
      </c>
      <c r="E378" t="inlineStr">
        <is>
          <t>7.0折</t>
        </is>
      </c>
      <c r="F378">
        <f>HYPERLINK("https://i0.hdslb.com/bfs/mall/mall/01/3c/013c306e190da67a4a0af4da999e1604.png", "点击查看图片")</f>
        <v/>
      </c>
      <c r="G378">
        <f>HYPERLINK("https://mall.bilibili.com/neul-next/index.html?page=magic-market_detail&amp;noTitleBar=1&amp;itemsId=107051273138&amp;from=market_index", "点击打开")</f>
        <v/>
      </c>
    </row>
    <row r="379">
      <c r="A379" t="inlineStr">
        <is>
          <t>Prime 1 Studio 克洛伊·冯·爱因兹贝伦  手办</t>
        </is>
      </c>
      <c r="B379" t="inlineStr">
        <is>
          <t>805.00元</t>
        </is>
      </c>
      <c r="C379" t="inlineStr">
        <is>
          <t>1235.00元</t>
        </is>
      </c>
      <c r="D379" t="inlineStr">
        <is>
          <t>430.00元</t>
        </is>
      </c>
      <c r="E379" t="inlineStr">
        <is>
          <t>6.5折</t>
        </is>
      </c>
      <c r="F379">
        <f>HYPERLINK("https://i0.hdslb.com/bfs/mall/mall/a1/35/a135505c587c5ab7e570fe4e8923cad3.png", "点击查看图片")</f>
        <v/>
      </c>
      <c r="G379">
        <f>HYPERLINK("https://mall.bilibili.com/neul-next/index.html?page=magic-market_detail&amp;noTitleBar=1&amp;itemsId=110456995703&amp;from=market_index", "点击打开")</f>
        <v/>
      </c>
    </row>
    <row r="380">
      <c r="A380" t="inlineStr">
        <is>
          <t>Hobbymax 阿修罗 手办</t>
        </is>
      </c>
      <c r="B380" t="inlineStr">
        <is>
          <t>910.00元</t>
        </is>
      </c>
      <c r="C380" t="inlineStr">
        <is>
          <t>1258.00元</t>
        </is>
      </c>
      <c r="D380" t="inlineStr">
        <is>
          <t>348.00元</t>
        </is>
      </c>
      <c r="E380" t="inlineStr">
        <is>
          <t>7.2折</t>
        </is>
      </c>
      <c r="F380">
        <f>HYPERLINK("https://i0.hdslb.com/bfs/mall/mall/db/15/db156d86416314e13c0c9dc70b828cb1.png", "点击查看图片")</f>
        <v/>
      </c>
      <c r="G380">
        <f>HYPERLINK("https://mall.bilibili.com/neul-next/index.html?page=magic-market_detail&amp;noTitleBar=1&amp;itemsId=111911461596&amp;from=market_index", "点击打开")</f>
        <v/>
      </c>
    </row>
    <row r="381">
      <c r="A381" t="inlineStr">
        <is>
          <t xml:space="preserve"> F:NEX 鲼 白无垢大作战Ver. 手办 </t>
        </is>
      </c>
      <c r="B381" t="inlineStr">
        <is>
          <t>928.00元</t>
        </is>
      </c>
      <c r="C381" t="inlineStr">
        <is>
          <t>1299.00元</t>
        </is>
      </c>
      <c r="D381" t="inlineStr">
        <is>
          <t>371.00元</t>
        </is>
      </c>
      <c r="E381" t="inlineStr">
        <is>
          <t>7.1折</t>
        </is>
      </c>
      <c r="F381">
        <f>HYPERLINK("https://i0.hdslb.com/bfs/mall/mall/d3/d1/d3d1b7a43e62a48b86a76324179ab613.png", "点击查看图片")</f>
        <v/>
      </c>
      <c r="G381">
        <f>HYPERLINK("https://mall.bilibili.com/neul-next/index.html?page=magic-market_detail&amp;noTitleBar=1&amp;itemsId=111914429362&amp;from=market_index", "点击打开")</f>
        <v/>
      </c>
    </row>
    <row r="382">
      <c r="A382" t="inlineStr">
        <is>
          <t>GSAS 高松灯 Q版手办</t>
        </is>
      </c>
      <c r="B382" t="inlineStr">
        <is>
          <t>269.00元</t>
        </is>
      </c>
      <c r="C382" t="inlineStr">
        <is>
          <t>295.00元</t>
        </is>
      </c>
      <c r="D382" t="inlineStr">
        <is>
          <t>26.00元</t>
        </is>
      </c>
      <c r="E382" t="inlineStr">
        <is>
          <t>9.1折</t>
        </is>
      </c>
      <c r="F382">
        <f>HYPERLINK("https://i0.hdslb.com/bfs/mall/mall/30/3c/303c0f520dc8d47d39eff07fe3379f00.png", "点击查看图片")</f>
        <v/>
      </c>
      <c r="G382">
        <f>HYPERLINK("https://mall.bilibili.com/neul-next/index.html?page=magic-market_detail&amp;noTitleBar=1&amp;itemsId=111914033956&amp;from=market_index", "点击打开")</f>
        <v/>
      </c>
    </row>
    <row r="383">
      <c r="A383" t="inlineStr">
        <is>
          <t>角川 KDcolle 新世纪福音战士 绫波零 爱藏版 1/7手办 通常版</t>
        </is>
      </c>
      <c r="B383" t="inlineStr">
        <is>
          <t>551.54元</t>
        </is>
      </c>
      <c r="C383" t="inlineStr">
        <is>
          <t>947.00元</t>
        </is>
      </c>
      <c r="D383" t="inlineStr">
        <is>
          <t>395.46元</t>
        </is>
      </c>
      <c r="E383" t="inlineStr">
        <is>
          <t>5.8折</t>
        </is>
      </c>
      <c r="F383">
        <f>HYPERLINK("https://i0.hdslb.com/bfs/mall/mall/87/33/873329ac3fbe5bbda1224136e26e93e4.png", "点击查看图片")</f>
        <v/>
      </c>
      <c r="G383">
        <f>HYPERLINK("https://mall.bilibili.com/neul-next/index.html?page=magic-market_detail&amp;noTitleBar=1&amp;itemsId=111915819764&amp;from=market_index", "点击打开")</f>
        <v/>
      </c>
    </row>
    <row r="384">
      <c r="A384" t="inlineStr">
        <is>
          <t>寿屋 偶像大师 百万现场 樱守歌织 -Aesthetic Serenity- 手办</t>
        </is>
      </c>
      <c r="B384" t="inlineStr">
        <is>
          <t>588.00元</t>
        </is>
      </c>
      <c r="C384" t="inlineStr">
        <is>
          <t>1090.00元</t>
        </is>
      </c>
      <c r="D384" t="inlineStr">
        <is>
          <t>502.00元</t>
        </is>
      </c>
      <c r="E384" t="inlineStr">
        <is>
          <t>5.4折</t>
        </is>
      </c>
      <c r="F384">
        <f>HYPERLINK("https://i0.hdslb.com/bfs/mall/mall/86/cd/86cd468cbbd7941bd621113da6e7ffa1.png", "点击查看图片")</f>
        <v/>
      </c>
      <c r="G384">
        <f>HYPERLINK("https://mall.bilibili.com/neul-next/index.html?page=magic-market_detail&amp;noTitleBar=1&amp;itemsId=111915774782&amp;from=market_index", "点击打开")</f>
        <v/>
      </c>
    </row>
    <row r="385">
      <c r="A385" t="inlineStr">
        <is>
          <t>GSC 锦木千束 Q版手办</t>
        </is>
      </c>
      <c r="B385" t="inlineStr">
        <is>
          <t>305.55元</t>
        </is>
      </c>
      <c r="C385" t="inlineStr">
        <is>
          <t>405.00元</t>
        </is>
      </c>
      <c r="D385" t="inlineStr">
        <is>
          <t>99.45元</t>
        </is>
      </c>
      <c r="E385" t="inlineStr">
        <is>
          <t>7.5折</t>
        </is>
      </c>
      <c r="F385">
        <f>HYPERLINK("https://i0.hdslb.com/bfs/mall/mall/01/cb/01cbeac58f33a1d4fb77920379f2b51a.png", "点击查看图片")</f>
        <v/>
      </c>
      <c r="G385">
        <f>HYPERLINK("https://mall.bilibili.com/neul-next/index.html?page=magic-market_detail&amp;noTitleBar=1&amp;itemsId=109881715077&amp;from=market_index", "点击打开")</f>
        <v/>
      </c>
    </row>
    <row r="386">
      <c r="A386" t="inlineStr">
        <is>
          <t>角川 恶魔高校D×D HERO 莉雅丝·吉蒙里 白无垢比基尼ver. 手办</t>
        </is>
      </c>
      <c r="B386" t="inlineStr">
        <is>
          <t>1709.00元</t>
        </is>
      </c>
      <c r="C386" t="inlineStr">
        <is>
          <t>1999.00元</t>
        </is>
      </c>
      <c r="D386" t="inlineStr">
        <is>
          <t>290.00元</t>
        </is>
      </c>
      <c r="E386" t="inlineStr">
        <is>
          <t>8.5折</t>
        </is>
      </c>
      <c r="F386">
        <f>HYPERLINK("https://i0.hdslb.com/bfs/mall/mall/95/d4/95d426ac5e0269aa76120dacff71dfe8.png", "点击查看图片")</f>
        <v/>
      </c>
      <c r="G386">
        <f>HYPERLINK("https://mall.bilibili.com/neul-next/index.html?page=magic-market_detail&amp;noTitleBar=1&amp;itemsId=109833308962&amp;from=market_index", "点击打开")</f>
        <v/>
      </c>
    </row>
    <row r="387">
      <c r="A387" t="inlineStr">
        <is>
          <t>SIKI ANIM 原创 被束缚的猫 手办</t>
        </is>
      </c>
      <c r="B387" t="inlineStr">
        <is>
          <t>198.00元</t>
        </is>
      </c>
      <c r="C387" t="inlineStr">
        <is>
          <t>299.00元</t>
        </is>
      </c>
      <c r="D387" t="inlineStr">
        <is>
          <t>101.00元</t>
        </is>
      </c>
      <c r="E387" t="inlineStr">
        <is>
          <t>6.6折</t>
        </is>
      </c>
      <c r="F387">
        <f>HYPERLINK("https://i0.hdslb.com/bfs/mall/mall/dd/ea/ddea7d10b8d936e95c1ca99a8b8021b7.png", "点击查看图片")</f>
        <v/>
      </c>
      <c r="G387">
        <f>HYPERLINK("https://mall.bilibili.com/neul-next/index.html?page=magic-market_detail&amp;noTitleBar=1&amp;itemsId=111914214847&amp;from=market_index", "点击打开")</f>
        <v/>
      </c>
    </row>
    <row r="388">
      <c r="A388" t="inlineStr">
        <is>
          <t>GSC 猫猫 正比手办</t>
        </is>
      </c>
      <c r="B388" t="inlineStr">
        <is>
          <t>442.00元</t>
        </is>
      </c>
      <c r="C388" t="inlineStr">
        <is>
          <t>619.00元</t>
        </is>
      </c>
      <c r="D388" t="inlineStr">
        <is>
          <t>177.00元</t>
        </is>
      </c>
      <c r="E388" t="inlineStr">
        <is>
          <t>7.1折</t>
        </is>
      </c>
      <c r="F388">
        <f>HYPERLINK("https://i0.hdslb.com/bfs/mall/mall/a6/56/a656669c5c0086c958b43e76b05c75af.png", "点击查看图片")</f>
        <v/>
      </c>
      <c r="G388">
        <f>HYPERLINK("https://mall.bilibili.com/neul-next/index.html?page=magic-market_detail&amp;noTitleBar=1&amp;itemsId=111923046339&amp;from=market_index", "点击打开")</f>
        <v/>
      </c>
    </row>
    <row r="389">
      <c r="A389" t="inlineStr">
        <is>
          <t>Stronger 初音未来  正比手办</t>
        </is>
      </c>
      <c r="B389" t="inlineStr">
        <is>
          <t>1585.00元</t>
        </is>
      </c>
      <c r="C389" t="inlineStr">
        <is>
          <t>2499.00元</t>
        </is>
      </c>
      <c r="D389" t="inlineStr">
        <is>
          <t>914.00元</t>
        </is>
      </c>
      <c r="E389" t="inlineStr">
        <is>
          <t>6.3折</t>
        </is>
      </c>
      <c r="F389">
        <f>HYPERLINK("https://i0.hdslb.com/bfs/mall/mall/1c/20/1c20d782a1487bd1808be7ddb4326157.png", "点击查看图片")</f>
        <v/>
      </c>
      <c r="G389">
        <f>HYPERLINK("https://mall.bilibili.com/neul-next/index.html?page=magic-market_detail&amp;noTitleBar=1&amp;itemsId=111916670769&amp;from=market_index", "点击打开")</f>
        <v/>
      </c>
    </row>
    <row r="390">
      <c r="A390" t="inlineStr">
        <is>
          <t>世嘉 菲伦 景品手办</t>
        </is>
      </c>
      <c r="B390" t="inlineStr">
        <is>
          <t>109.00元</t>
        </is>
      </c>
      <c r="C390" t="inlineStr">
        <is>
          <t>109.00元</t>
        </is>
      </c>
      <c r="D390" t="inlineStr">
        <is>
          <t>0.00元</t>
        </is>
      </c>
      <c r="E390" t="inlineStr">
        <is>
          <t>10.0折</t>
        </is>
      </c>
      <c r="F390">
        <f>HYPERLINK("https://i0.hdslb.com/bfs/mall/mall/8d/4f/8d4f5ca80710a0ae5cc5c4c85bf1144c.png", "点击查看图片")</f>
        <v/>
      </c>
      <c r="G390">
        <f>HYPERLINK("https://mall.bilibili.com/neul-next/index.html?page=magic-market_detail&amp;noTitleBar=1&amp;itemsId=111912902346&amp;from=market_index", "点击打开")</f>
        <v/>
      </c>
    </row>
    <row r="391">
      <c r="A391" t="inlineStr">
        <is>
          <t>GSC 丰见琴里 应援团 手办</t>
        </is>
      </c>
      <c r="B391" t="inlineStr">
        <is>
          <t>129.08元</t>
        </is>
      </c>
      <c r="C391" t="inlineStr">
        <is>
          <t>249.00元</t>
        </is>
      </c>
      <c r="D391" t="inlineStr">
        <is>
          <t>119.92元</t>
        </is>
      </c>
      <c r="E391" t="inlineStr">
        <is>
          <t>5.2折</t>
        </is>
      </c>
      <c r="F391">
        <f>HYPERLINK("https://i0.hdslb.com/bfs/mall/mall/45/70/457013043ea4eec7b6b8e300b2e41d62.png", "点击查看图片")</f>
        <v/>
      </c>
      <c r="G391">
        <f>HYPERLINK("https://mall.bilibili.com/neul-next/index.html?page=magic-market_detail&amp;noTitleBar=1&amp;itemsId=111905912701&amp;from=market_index", "点击打开")</f>
        <v/>
      </c>
    </row>
    <row r="392">
      <c r="A392" t="inlineStr">
        <is>
          <t>艺华境 初音未来 Stylist 可捏 手办</t>
        </is>
      </c>
      <c r="B392" t="inlineStr">
        <is>
          <t>142.90元</t>
        </is>
      </c>
      <c r="C392" t="inlineStr">
        <is>
          <t>228.00元</t>
        </is>
      </c>
      <c r="D392" t="inlineStr">
        <is>
          <t>85.10元</t>
        </is>
      </c>
      <c r="E392" t="inlineStr">
        <is>
          <t>6.3折</t>
        </is>
      </c>
      <c r="F392">
        <f>HYPERLINK("https://i0.hdslb.com/bfs/mall/mall/3d/c4/3dc40a085d8543a37e235b85c6b764fd.png", "点击查看图片")</f>
        <v/>
      </c>
      <c r="G392">
        <f>HYPERLINK("https://mall.bilibili.com/neul-next/index.html?page=magic-market_detail&amp;noTitleBar=1&amp;itemsId=111905807731&amp;from=market_index", "点击打开")</f>
        <v/>
      </c>
    </row>
    <row r="393">
      <c r="A393" t="inlineStr">
        <is>
          <t>TAITO 锦木千束 夏威夷 景品手办</t>
        </is>
      </c>
      <c r="B393" t="inlineStr">
        <is>
          <t>100.00元</t>
        </is>
      </c>
      <c r="C393" t="inlineStr">
        <is>
          <t>112.00元</t>
        </is>
      </c>
      <c r="D393" t="inlineStr">
        <is>
          <t>12.00元</t>
        </is>
      </c>
      <c r="E393" t="inlineStr">
        <is>
          <t>8.9折</t>
        </is>
      </c>
      <c r="F393">
        <f>HYPERLINK("https://i0.hdslb.com/bfs/mall/mall/8d/87/8d87e378d2e2ac7dccd4b29bdbe3873c.png", "点击查看图片")</f>
        <v/>
      </c>
      <c r="G393">
        <f>HYPERLINK("https://mall.bilibili.com/neul-next/index.html?page=magic-market_detail&amp;noTitleBar=1&amp;itemsId=106790644837&amp;from=market_index", "点击打开")</f>
        <v/>
      </c>
    </row>
    <row r="394">
      <c r="A394" t="inlineStr">
        <is>
          <t>TAITO 伊蕾娜 居家毛衣Ver. 景品手办</t>
        </is>
      </c>
      <c r="B394" t="inlineStr">
        <is>
          <t>105.00元</t>
        </is>
      </c>
      <c r="C394" t="inlineStr">
        <is>
          <t>119.00元</t>
        </is>
      </c>
      <c r="D394" t="inlineStr">
        <is>
          <t>14.00元</t>
        </is>
      </c>
      <c r="E394" t="inlineStr">
        <is>
          <t>8.8折</t>
        </is>
      </c>
      <c r="F394">
        <f>HYPERLINK("https://i0.hdslb.com/bfs/mall/mall/d0/03/d003417ab4caeb8a4dd1a2a54b9fcdc8.png", "点击查看图片")</f>
        <v/>
      </c>
      <c r="G394">
        <f>HYPERLINK("https://mall.bilibili.com/neul-next/index.html?page=magic-market_detail&amp;noTitleBar=1&amp;itemsId=110471525185&amp;from=market_index", "点击打开")</f>
        <v/>
      </c>
    </row>
    <row r="395">
      <c r="A395" t="inlineStr">
        <is>
          <t>GSAS 查理苏 Q版手办</t>
        </is>
      </c>
      <c r="B395" t="inlineStr">
        <is>
          <t>170.00元</t>
        </is>
      </c>
      <c r="C395" t="inlineStr">
        <is>
          <t>189.00元</t>
        </is>
      </c>
      <c r="D395" t="inlineStr">
        <is>
          <t>19.00元</t>
        </is>
      </c>
      <c r="E395" t="inlineStr">
        <is>
          <t>9.0折</t>
        </is>
      </c>
      <c r="F395">
        <f>HYPERLINK("https://i0.hdslb.com/bfs/mall/mall/49/53/49531e95cac0f217f712f454f7c673d0.png", "点击查看图片")</f>
        <v/>
      </c>
      <c r="G395">
        <f>HYPERLINK("https://mall.bilibili.com/neul-next/index.html?page=magic-market_detail&amp;noTitleBar=1&amp;itemsId=111910907691&amp;from=market_index", "点击打开")</f>
        <v/>
      </c>
    </row>
    <row r="396">
      <c r="A396" t="inlineStr">
        <is>
          <t>FuRyu 不死川玄弥 景品手办</t>
        </is>
      </c>
      <c r="B396" t="inlineStr">
        <is>
          <t>25.00元</t>
        </is>
      </c>
      <c r="C396" t="inlineStr">
        <is>
          <t>85.00元</t>
        </is>
      </c>
      <c r="D396" t="inlineStr">
        <is>
          <t>60.00元</t>
        </is>
      </c>
      <c r="E396" t="inlineStr">
        <is>
          <t>2.9折</t>
        </is>
      </c>
      <c r="F396">
        <f>HYPERLINK("https://i0.hdslb.com/bfs/mall/mall/d3/1f/d31ff0b5de730f86a838295b2054fea1.png", "点击查看图片")</f>
        <v/>
      </c>
      <c r="G396">
        <f>HYPERLINK("https://mall.bilibili.com/neul-next/index.html?page=magic-market_detail&amp;noTitleBar=1&amp;itemsId=106941481797&amp;from=market_index", "点击打开")</f>
        <v/>
      </c>
    </row>
    <row r="397">
      <c r="A397" t="inlineStr">
        <is>
          <t>宝可梦 伊布 手办</t>
        </is>
      </c>
      <c r="B397" t="inlineStr">
        <is>
          <t>105.00元</t>
        </is>
      </c>
      <c r="C397" t="inlineStr">
        <is>
          <t>199.00元</t>
        </is>
      </c>
      <c r="D397" t="inlineStr">
        <is>
          <t>94.00元</t>
        </is>
      </c>
      <c r="E397" t="inlineStr">
        <is>
          <t>5.3折</t>
        </is>
      </c>
      <c r="F397">
        <f>HYPERLINK("https://i0.hdslb.com/bfs/mall/mall/95/66/956646e482a7b73769ae17855fee5e86.png", "点击查看图片")</f>
        <v/>
      </c>
      <c r="G397">
        <f>HYPERLINK("https://mall.bilibili.com/neul-next/index.html?page=magic-market_detail&amp;noTitleBar=1&amp;itemsId=110479381708&amp;from=market_index", "点击打开")</f>
        <v/>
      </c>
    </row>
    <row r="398">
      <c r="A398" t="inlineStr">
        <is>
          <t>FuRyu 时雨羽衣 景品手办</t>
        </is>
      </c>
      <c r="B398" t="inlineStr">
        <is>
          <t>116.10元</t>
        </is>
      </c>
      <c r="C398" t="inlineStr">
        <is>
          <t>129.00元</t>
        </is>
      </c>
      <c r="D398" t="inlineStr">
        <is>
          <t>12.90元</t>
        </is>
      </c>
      <c r="E398" t="inlineStr">
        <is>
          <t>9.0折</t>
        </is>
      </c>
      <c r="F398">
        <f>HYPERLINK("https://i0.hdslb.com/bfs/mall/mall/8d/9b/8d9b34c9389c2a558fce601d170ff9ae.png", "点击查看图片")</f>
        <v/>
      </c>
      <c r="G398">
        <f>HYPERLINK("https://mall.bilibili.com/neul-next/index.html?page=magic-market_detail&amp;noTitleBar=1&amp;itemsId=120676083893&amp;from=market_index", "点击打开")</f>
        <v/>
      </c>
    </row>
    <row r="399">
      <c r="A399" t="inlineStr">
        <is>
          <t>Max Factory 天音彼方 手办</t>
        </is>
      </c>
      <c r="B399" t="inlineStr">
        <is>
          <t>195.00元</t>
        </is>
      </c>
      <c r="C399" t="inlineStr">
        <is>
          <t>269.00元</t>
        </is>
      </c>
      <c r="D399" t="inlineStr">
        <is>
          <t>74.00元</t>
        </is>
      </c>
      <c r="E399" t="inlineStr">
        <is>
          <t>7.2折</t>
        </is>
      </c>
      <c r="F399">
        <f>HYPERLINK("https://i0.hdslb.com/bfs/mall/mall/a3/7f/a37f52241b4e2b750bdb644da4d83fde.png", "点击查看图片")</f>
        <v/>
      </c>
      <c r="G399">
        <f>HYPERLINK("https://mall.bilibili.com/neul-next/index.html?page=magic-market_detail&amp;noTitleBar=1&amp;itemsId=111920254204&amp;from=market_index", "点击打开")</f>
        <v/>
      </c>
    </row>
    <row r="400">
      <c r="A400" t="inlineStr">
        <is>
          <t>AniMester大漫匠 辛西娅 手办</t>
        </is>
      </c>
      <c r="B400" t="inlineStr">
        <is>
          <t>176.95元</t>
        </is>
      </c>
      <c r="C400" t="inlineStr">
        <is>
          <t>215.00元</t>
        </is>
      </c>
      <c r="D400" t="inlineStr">
        <is>
          <t>38.05元</t>
        </is>
      </c>
      <c r="E400" t="inlineStr">
        <is>
          <t>8.2折</t>
        </is>
      </c>
      <c r="F400">
        <f>HYPERLINK("https://i0.hdslb.com/bfs/mall/mall/7d/b6/7db60265d66b9e6fe46cd4e2caf71607.png", "点击查看图片")</f>
        <v/>
      </c>
      <c r="G400">
        <f>HYPERLINK("https://mall.bilibili.com/neul-next/index.html?page=magic-market_detail&amp;noTitleBar=1&amp;itemsId=111916131380&amp;from=market_index", "点击打开")</f>
        <v/>
      </c>
    </row>
    <row r="401">
      <c r="A401" t="inlineStr">
        <is>
          <t>GSAS 忍野忍 正比手办</t>
        </is>
      </c>
      <c r="B401" t="inlineStr">
        <is>
          <t>157.92元</t>
        </is>
      </c>
      <c r="C401" t="inlineStr">
        <is>
          <t>245.00元</t>
        </is>
      </c>
      <c r="D401" t="inlineStr">
        <is>
          <t>87.08元</t>
        </is>
      </c>
      <c r="E401" t="inlineStr">
        <is>
          <t>6.4折</t>
        </is>
      </c>
      <c r="F401">
        <f>HYPERLINK("https://i0.hdslb.com/bfs/mall/mall/69/bf/69bf4bed356f8bfd23b7056b908264fc.png", "点击查看图片")</f>
        <v/>
      </c>
      <c r="G401">
        <f>HYPERLINK("https://mall.bilibili.com/neul-next/index.html?page=magic-market_detail&amp;noTitleBar=1&amp;itemsId=111907494070&amp;from=market_index", "点击打开")</f>
        <v/>
      </c>
    </row>
    <row r="402">
      <c r="A402" t="inlineStr">
        <is>
          <t>FuRyu 奥伯龙 景品手办</t>
        </is>
      </c>
      <c r="B402" t="inlineStr">
        <is>
          <t>106.00元</t>
        </is>
      </c>
      <c r="C402" t="inlineStr">
        <is>
          <t>126.00元</t>
        </is>
      </c>
      <c r="D402" t="inlineStr">
        <is>
          <t>20.00元</t>
        </is>
      </c>
      <c r="E402" t="inlineStr">
        <is>
          <t>8.4折</t>
        </is>
      </c>
      <c r="F402">
        <f>HYPERLINK("https://i0.hdslb.com/bfs/mall/mall/6c/f3/6cf3ced05dcc124501cca9cef0bcc4fa.png", "点击查看图片")</f>
        <v/>
      </c>
      <c r="G402">
        <f>HYPERLINK("https://mall.bilibili.com/neul-next/index.html?page=magic-market_detail&amp;noTitleBar=1&amp;itemsId=109883414148&amp;from=market_index", "点击打开")</f>
        <v/>
      </c>
    </row>
    <row r="403">
      <c r="A403" t="inlineStr">
        <is>
          <t>万代 约尔·福杰 Q版手办</t>
        </is>
      </c>
      <c r="B403" t="inlineStr">
        <is>
          <t>105.68元</t>
        </is>
      </c>
      <c r="C403" t="inlineStr">
        <is>
          <t>152.00元</t>
        </is>
      </c>
      <c r="D403" t="inlineStr">
        <is>
          <t>46.32元</t>
        </is>
      </c>
      <c r="E403" t="inlineStr">
        <is>
          <t>7.0折</t>
        </is>
      </c>
      <c r="F403">
        <f>HYPERLINK("https://i0.hdslb.com/bfs/mall/mall/b1/51/b1510b741aefbc372682ffde97bb2290.png", "点击查看图片")</f>
        <v/>
      </c>
      <c r="G403">
        <f>HYPERLINK("https://mall.bilibili.com/neul-next/index.html?page=magic-market_detail&amp;noTitleBar=1&amp;itemsId=111907976437&amp;from=market_index", "点击打开")</f>
        <v/>
      </c>
    </row>
    <row r="404">
      <c r="A404" t="inlineStr">
        <is>
          <t>Myethos 林月如 手办</t>
        </is>
      </c>
      <c r="B404" t="inlineStr">
        <is>
          <t>195.00元</t>
        </is>
      </c>
      <c r="C404" t="inlineStr">
        <is>
          <t>199.00元</t>
        </is>
      </c>
      <c r="D404" t="inlineStr">
        <is>
          <t>4.00元</t>
        </is>
      </c>
      <c r="E404" t="inlineStr">
        <is>
          <t>9.8折</t>
        </is>
      </c>
      <c r="F404">
        <f>HYPERLINK("https://i0.hdslb.com/bfs/mall/mall/d7/f4/d7f463789e0d0297a78a87c2d2dc72ae.png", "点击查看图片")</f>
        <v/>
      </c>
      <c r="G404">
        <f>HYPERLINK("https://mall.bilibili.com/neul-next/index.html?page=magic-market_detail&amp;noTitleBar=1&amp;itemsId=107104750044&amp;from=market_index", "点击打开")</f>
        <v/>
      </c>
    </row>
    <row r="405">
      <c r="A405" t="inlineStr">
        <is>
          <t>GSC 初音未来 透明色Ver.手办</t>
        </is>
      </c>
      <c r="B405" t="inlineStr">
        <is>
          <t>164.92元</t>
        </is>
      </c>
      <c r="C405" t="inlineStr">
        <is>
          <t>219.00元</t>
        </is>
      </c>
      <c r="D405" t="inlineStr">
        <is>
          <t>54.08元</t>
        </is>
      </c>
      <c r="E405" t="inlineStr">
        <is>
          <t>7.5折</t>
        </is>
      </c>
      <c r="F405">
        <f>HYPERLINK("https://i0.hdslb.com/bfs/mall/mall/78/3f/783f2168ff8886ff277a1823739a8553.png", "点击查看图片")</f>
        <v/>
      </c>
      <c r="G405">
        <f>HYPERLINK("https://mall.bilibili.com/neul-next/index.html?page=magic-market_detail&amp;noTitleBar=1&amp;itemsId=111910971274&amp;from=market_index", "点击打开")</f>
        <v/>
      </c>
    </row>
    <row r="406">
      <c r="A406" t="inlineStr">
        <is>
          <t>BANPRESTO 蒙奇·D·路飞  景品手办</t>
        </is>
      </c>
      <c r="B406" t="inlineStr">
        <is>
          <t>117.60元</t>
        </is>
      </c>
      <c r="C406" t="inlineStr">
        <is>
          <t>129.00元</t>
        </is>
      </c>
      <c r="D406" t="inlineStr">
        <is>
          <t>11.40元</t>
        </is>
      </c>
      <c r="E406" t="inlineStr">
        <is>
          <t>9.1折</t>
        </is>
      </c>
      <c r="F406">
        <f>HYPERLINK("https://i0.hdslb.com/bfs/mall/mall/33/c6/33c6148c3bea3bf30410e526f686d46e.png", "点击查看图片")</f>
        <v/>
      </c>
      <c r="G406">
        <f>HYPERLINK("https://mall.bilibili.com/neul-next/index.html?page=magic-market_detail&amp;noTitleBar=1&amp;itemsId=111911382175&amp;from=market_index", "点击打开")</f>
        <v/>
      </c>
    </row>
    <row r="407">
      <c r="A407" t="inlineStr">
        <is>
          <t>TAITO 夜刀神十香 日式哥特 景品手办</t>
        </is>
      </c>
      <c r="B407" t="inlineStr">
        <is>
          <t>100.99元</t>
        </is>
      </c>
      <c r="C407" t="inlineStr">
        <is>
          <t>112.00元</t>
        </is>
      </c>
      <c r="D407" t="inlineStr">
        <is>
          <t>11.01元</t>
        </is>
      </c>
      <c r="E407" t="inlineStr">
        <is>
          <t>9.0折</t>
        </is>
      </c>
      <c r="F407">
        <f>HYPERLINK("https://i0.hdslb.com/bfs/mall/mall/d9/bc/d9bc20c221404f37dedba9419399eab0.png", "点击查看图片")</f>
        <v/>
      </c>
      <c r="G407">
        <f>HYPERLINK("https://mall.bilibili.com/neul-next/index.html?page=magic-market_detail&amp;noTitleBar=1&amp;itemsId=111907754993&amp;from=market_index", "点击打开")</f>
        <v/>
      </c>
    </row>
    <row r="408">
      <c r="A408" t="inlineStr">
        <is>
          <t>世嘉 真希波 景品手办</t>
        </is>
      </c>
      <c r="B408" t="inlineStr">
        <is>
          <t>112.00元</t>
        </is>
      </c>
      <c r="C408" t="inlineStr">
        <is>
          <t>112.00元</t>
        </is>
      </c>
      <c r="D408" t="inlineStr">
        <is>
          <t>0.00元</t>
        </is>
      </c>
      <c r="E408" t="inlineStr">
        <is>
          <t>10.0折</t>
        </is>
      </c>
      <c r="F408">
        <f>HYPERLINK("https://i0.hdslb.com/bfs/mall/mall/a8/95/a8953c31a67f9372a8129f98c03de92b.png", "点击查看图片")</f>
        <v/>
      </c>
      <c r="G408">
        <f>HYPERLINK("https://mall.bilibili.com/neul-next/index.html?page=magic-market_detail&amp;noTitleBar=1&amp;itemsId=106787383782&amp;from=market_index", "点击打开")</f>
        <v/>
      </c>
    </row>
    <row r="409">
      <c r="A409" t="inlineStr">
        <is>
          <t>星萝馆 糯米米 正比手办</t>
        </is>
      </c>
      <c r="B409" t="inlineStr">
        <is>
          <t>199.00元</t>
        </is>
      </c>
      <c r="C409" t="inlineStr">
        <is>
          <t>228.00元</t>
        </is>
      </c>
      <c r="D409" t="inlineStr">
        <is>
          <t>29.00元</t>
        </is>
      </c>
      <c r="E409" t="inlineStr">
        <is>
          <t>8.7折</t>
        </is>
      </c>
      <c r="F409">
        <f>HYPERLINK("https://i0.hdslb.com/bfs/mall/mall/f8/fc/f8fc44c0240b606c08f1b6b3e174dac0.png", "点击查看图片")</f>
        <v/>
      </c>
      <c r="G409">
        <f>HYPERLINK("https://mall.bilibili.com/neul-next/index.html?page=magic-market_detail&amp;noTitleBar=1&amp;itemsId=110458792556&amp;from=market_index", "点击打开")</f>
        <v/>
      </c>
    </row>
    <row r="410">
      <c r="A410" t="inlineStr">
        <is>
          <t>阅文好物 涂山红红 Q版手办</t>
        </is>
      </c>
      <c r="B410" t="inlineStr">
        <is>
          <t>189.99元</t>
        </is>
      </c>
      <c r="C410" t="inlineStr">
        <is>
          <t>229.00元</t>
        </is>
      </c>
      <c r="D410" t="inlineStr">
        <is>
          <t>39.01元</t>
        </is>
      </c>
      <c r="E410" t="inlineStr">
        <is>
          <t>8.3折</t>
        </is>
      </c>
      <c r="F410">
        <f>HYPERLINK("https://i0.hdslb.com/bfs/mall/mall/3f/be/3fbe30427e7f76bebdc9ec5d34c2f4cd.png", "点击查看图片")</f>
        <v/>
      </c>
      <c r="G410">
        <f>HYPERLINK("https://mall.bilibili.com/neul-next/index.html?page=magic-market_detail&amp;noTitleBar=1&amp;itemsId=109870254673&amp;from=market_index", "点击打开")</f>
        <v/>
      </c>
    </row>
    <row r="411">
      <c r="A411" t="inlineStr">
        <is>
          <t>BANPRESTO 木之本樱 景品手办</t>
        </is>
      </c>
      <c r="B411" t="inlineStr">
        <is>
          <t>75.00元</t>
        </is>
      </c>
      <c r="C411" t="inlineStr">
        <is>
          <t>129.00元</t>
        </is>
      </c>
      <c r="D411" t="inlineStr">
        <is>
          <t>54.00元</t>
        </is>
      </c>
      <c r="E411" t="inlineStr">
        <is>
          <t>5.8折</t>
        </is>
      </c>
      <c r="F411">
        <f>HYPERLINK("https://i0.hdslb.com/bfs/mall/mall/25/32/2532cc181100bd336ed87b7adda0ef56.png", "点击查看图片")</f>
        <v/>
      </c>
      <c r="G411">
        <f>HYPERLINK("https://mall.bilibili.com/neul-next/index.html?page=magic-market_detail&amp;noTitleBar=1&amp;itemsId=106921758391&amp;from=market_index", "点击打开")</f>
        <v/>
      </c>
    </row>
    <row r="412">
      <c r="A412" t="inlineStr">
        <is>
          <t>GSC 苗木野空 Q版手办</t>
        </is>
      </c>
      <c r="B412" t="inlineStr">
        <is>
          <t>221.00元</t>
        </is>
      </c>
      <c r="C412" t="inlineStr">
        <is>
          <t>295.00元</t>
        </is>
      </c>
      <c r="D412" t="inlineStr">
        <is>
          <t>74.00元</t>
        </is>
      </c>
      <c r="E412" t="inlineStr">
        <is>
          <t>7.5折</t>
        </is>
      </c>
      <c r="F412">
        <f>HYPERLINK("https://i0.hdslb.com/bfs/mall/mall/d1/fb/d1fb6ca1cd4e5295c1d7a2f566c6ae74.png", "点击查看图片")</f>
        <v/>
      </c>
      <c r="G412">
        <f>HYPERLINK("https://mall.bilibili.com/neul-next/index.html?page=magic-market_detail&amp;noTitleBar=1&amp;itemsId=120678489662&amp;from=market_index", "点击打开")</f>
        <v/>
      </c>
    </row>
    <row r="413">
      <c r="A413" t="inlineStr">
        <is>
          <t>Union Creative 出包王女 籾冈里纱 Darkness ver. 手办</t>
        </is>
      </c>
      <c r="B413" t="inlineStr">
        <is>
          <t>619.00元</t>
        </is>
      </c>
      <c r="C413" t="inlineStr">
        <is>
          <t>870.00元</t>
        </is>
      </c>
      <c r="D413" t="inlineStr">
        <is>
          <t>251.00元</t>
        </is>
      </c>
      <c r="E413" t="inlineStr">
        <is>
          <t>7.1折</t>
        </is>
      </c>
      <c r="F413">
        <f>HYPERLINK("https://i0.hdslb.com/bfs/mall/mall/6a/6f/6a6fb0158afe8c63282db5eb3d87c10e.png", "点击查看图片")</f>
        <v/>
      </c>
      <c r="G413">
        <f>HYPERLINK("https://mall.bilibili.com/neul-next/index.html?page=magic-market_detail&amp;noTitleBar=1&amp;itemsId=111917485599&amp;from=market_index", "点击打开")</f>
        <v/>
      </c>
    </row>
    <row r="414">
      <c r="A414" t="inlineStr">
        <is>
          <t>Phat! 休比·多拉 手办 再版</t>
        </is>
      </c>
      <c r="B414" t="inlineStr">
        <is>
          <t>735.00元</t>
        </is>
      </c>
      <c r="C414" t="inlineStr">
        <is>
          <t>1055.00元</t>
        </is>
      </c>
      <c r="D414" t="inlineStr">
        <is>
          <t>320.00元</t>
        </is>
      </c>
      <c r="E414" t="inlineStr">
        <is>
          <t>7.0折</t>
        </is>
      </c>
      <c r="F414">
        <f>HYPERLINK("https://i0.hdslb.com/bfs/mall/mall/26/d9/26d91d5ab5f4b808627ccade3e94a9e3.png", "点击查看图片")</f>
        <v/>
      </c>
      <c r="G414">
        <f>HYPERLINK("https://mall.bilibili.com/neul-next/index.html?page=magic-market_detail&amp;noTitleBar=1&amp;itemsId=109874999898&amp;from=market_index", "点击打开")</f>
        <v/>
      </c>
    </row>
    <row r="415">
      <c r="A415" t="inlineStr">
        <is>
          <t>Max Factory 室笠茜 兔女郎Ver. 正比手办</t>
        </is>
      </c>
      <c r="B415" t="inlineStr">
        <is>
          <t>780.00元</t>
        </is>
      </c>
      <c r="C415" t="inlineStr">
        <is>
          <t>1185.00元</t>
        </is>
      </c>
      <c r="D415" t="inlineStr">
        <is>
          <t>405.00元</t>
        </is>
      </c>
      <c r="E415" t="inlineStr">
        <is>
          <t>6.6折</t>
        </is>
      </c>
      <c r="F415">
        <f>HYPERLINK("https://i0.hdslb.com/bfs/mall/mall/4c/31/4c313d49e5d8945b2109eb90c495c23f.png", "点击查看图片")</f>
        <v/>
      </c>
      <c r="G415">
        <f>HYPERLINK("https://mall.bilibili.com/neul-next/index.html?page=magic-market_detail&amp;noTitleBar=1&amp;itemsId=110472372302&amp;from=market_index", "点击打开")</f>
        <v/>
      </c>
    </row>
    <row r="416">
      <c r="A416" t="inlineStr">
        <is>
          <t>SSF 电锯人 玛奇玛 手办</t>
        </is>
      </c>
      <c r="B416" t="inlineStr">
        <is>
          <t>890.00元</t>
        </is>
      </c>
      <c r="C416" t="inlineStr">
        <is>
          <t>1280.00元</t>
        </is>
      </c>
      <c r="D416" t="inlineStr">
        <is>
          <t>390.00元</t>
        </is>
      </c>
      <c r="E416" t="inlineStr">
        <is>
          <t>7.0折</t>
        </is>
      </c>
      <c r="F416">
        <f>HYPERLINK("https://i0.hdslb.com/bfs/mall/mall/c6/d3/c6d372ec15cde9f20137b4f59532fa44.png", "点击查看图片")</f>
        <v/>
      </c>
      <c r="G416">
        <f>HYPERLINK("https://mall.bilibili.com/neul-next/index.html?page=magic-market_detail&amp;noTitleBar=1&amp;itemsId=111907948383&amp;from=market_index", "点击打开")</f>
        <v/>
      </c>
    </row>
    <row r="417">
      <c r="A417" t="inlineStr">
        <is>
          <t>GOLDEN HEAD 蔚蓝档案 阿罗娜 手办 再版</t>
        </is>
      </c>
      <c r="B417" t="inlineStr">
        <is>
          <t>838.00元</t>
        </is>
      </c>
      <c r="C417" t="inlineStr">
        <is>
          <t>1089.00元</t>
        </is>
      </c>
      <c r="D417" t="inlineStr">
        <is>
          <t>251.00元</t>
        </is>
      </c>
      <c r="E417" t="inlineStr">
        <is>
          <t>7.7折</t>
        </is>
      </c>
      <c r="F417">
        <f>HYPERLINK("https://i0.hdslb.com/bfs/mall/mall/da/9b/da9bb60031ecd342cb1cc32b490de1dc.png", "点击查看图片")</f>
        <v/>
      </c>
      <c r="G417">
        <f>HYPERLINK("https://mall.bilibili.com/neul-next/index.html?page=magic-market_detail&amp;noTitleBar=1&amp;itemsId=111914067516&amp;from=market_index", "点击打开")</f>
        <v/>
      </c>
    </row>
    <row r="418">
      <c r="A418" t="inlineStr">
        <is>
          <t>ALTER 出包王女 菈菈・萨塔琳・戴比路克 女仆Ver. 1/7手办 再版</t>
        </is>
      </c>
      <c r="B418" t="inlineStr">
        <is>
          <t>525.00元</t>
        </is>
      </c>
      <c r="C418" t="inlineStr">
        <is>
          <t>780.00元</t>
        </is>
      </c>
      <c r="D418" t="inlineStr">
        <is>
          <t>255.00元</t>
        </is>
      </c>
      <c r="E418" t="inlineStr">
        <is>
          <t>6.7折</t>
        </is>
      </c>
      <c r="F418">
        <f>HYPERLINK("https://i0.hdslb.com/bfs/mall/mall/98/a0/98a0e0e16473f1ec963a0e65e8a19203.png", "点击查看图片")</f>
        <v/>
      </c>
      <c r="G418">
        <f>HYPERLINK("https://mall.bilibili.com/neul-next/index.html?page=magic-market_detail&amp;noTitleBar=1&amp;itemsId=111911877765&amp;from=market_index", "点击打开")</f>
        <v/>
      </c>
    </row>
    <row r="419">
      <c r="A419" t="inlineStr">
        <is>
          <t>Max Factory 喜多川海梦 手办</t>
        </is>
      </c>
      <c r="B419" t="inlineStr">
        <is>
          <t>775.00元</t>
        </is>
      </c>
      <c r="C419" t="inlineStr">
        <is>
          <t>775.00元</t>
        </is>
      </c>
      <c r="D419" t="inlineStr">
        <is>
          <t>0.00元</t>
        </is>
      </c>
      <c r="E419" t="inlineStr">
        <is>
          <t>10.0折</t>
        </is>
      </c>
      <c r="F419">
        <f>HYPERLINK("https://i0.hdslb.com/bfs/mall/mall/d9/ea/d9ea445b1398c3b15a2adfb75fb9b8bc.png", "点击查看图片")</f>
        <v/>
      </c>
      <c r="G419">
        <f>HYPERLINK("https://mall.bilibili.com/neul-next/index.html?page=magic-market_detail&amp;noTitleBar=1&amp;itemsId=111916101203&amp;from=market_index", "点击打开")</f>
        <v/>
      </c>
    </row>
    <row r="420">
      <c r="A420" t="inlineStr">
        <is>
          <t>eclipse collectibles 牧野Makino 正比手办</t>
        </is>
      </c>
      <c r="B420" t="inlineStr">
        <is>
          <t>304.92元</t>
        </is>
      </c>
      <c r="C420" t="inlineStr">
        <is>
          <t>599.00元</t>
        </is>
      </c>
      <c r="D420" t="inlineStr">
        <is>
          <t>294.08元</t>
        </is>
      </c>
      <c r="E420" t="inlineStr">
        <is>
          <t>5.1折</t>
        </is>
      </c>
      <c r="F420">
        <f>HYPERLINK("https://i0.hdslb.com/bfs/mall/mall/2d/e4/2de4cc6a742da56aa60a518318abfd5b.png", "点击查看图片")</f>
        <v/>
      </c>
      <c r="G420">
        <f>HYPERLINK("https://mall.bilibili.com/neul-next/index.html?page=magic-market_detail&amp;noTitleBar=1&amp;itemsId=111919065715&amp;from=market_index", "点击打开")</f>
        <v/>
      </c>
    </row>
    <row r="421">
      <c r="A421" t="inlineStr">
        <is>
          <t>maxcute 口罩少女-尤娜 正比手办</t>
        </is>
      </c>
      <c r="B421" t="inlineStr">
        <is>
          <t>499.00元</t>
        </is>
      </c>
      <c r="C421" t="inlineStr">
        <is>
          <t>699.00元</t>
        </is>
      </c>
      <c r="D421" t="inlineStr">
        <is>
          <t>200.00元</t>
        </is>
      </c>
      <c r="E421" t="inlineStr">
        <is>
          <t>7.1折</t>
        </is>
      </c>
      <c r="F421">
        <f>HYPERLINK("https://i0.hdslb.com/bfs/mall/mall/45/e9/45e939ecf31e7605a522faf6c6aebf32.png", "点击查看图片")</f>
        <v/>
      </c>
      <c r="G421">
        <f>HYPERLINK("https://mall.bilibili.com/neul-next/index.html?page=magic-market_detail&amp;noTitleBar=1&amp;itemsId=110463833954&amp;from=market_index", "点击打开")</f>
        <v/>
      </c>
    </row>
    <row r="422">
      <c r="A422" t="inlineStr">
        <is>
          <t>GSC 狸猫巫女 优衣 Q版手办</t>
        </is>
      </c>
      <c r="B422" t="inlineStr">
        <is>
          <t>413.17元</t>
        </is>
      </c>
      <c r="C422" t="inlineStr">
        <is>
          <t>485.00元</t>
        </is>
      </c>
      <c r="D422" t="inlineStr">
        <is>
          <t>71.83元</t>
        </is>
      </c>
      <c r="E422" t="inlineStr">
        <is>
          <t>8.5折</t>
        </is>
      </c>
      <c r="F422">
        <f>HYPERLINK("https://i0.hdslb.com/bfs/mall/mall/ca/84/ca848b2c008e080123022ed5de7ab240.png", "点击查看图片")</f>
        <v/>
      </c>
      <c r="G422">
        <f>HYPERLINK("https://mall.bilibili.com/neul-next/index.html?page=magic-market_detail&amp;noTitleBar=1&amp;itemsId=106938633030&amp;from=market_index", "点击打开")</f>
        <v/>
      </c>
    </row>
    <row r="423">
      <c r="A423" t="inlineStr">
        <is>
          <t>PalVerse Finana Ryugu Q版手办</t>
        </is>
      </c>
      <c r="B423" t="inlineStr">
        <is>
          <t>142.00元</t>
        </is>
      </c>
      <c r="C423" t="inlineStr">
        <is>
          <t>150.00元</t>
        </is>
      </c>
      <c r="D423" t="inlineStr">
        <is>
          <t>8.00元</t>
        </is>
      </c>
      <c r="E423" t="inlineStr">
        <is>
          <t>9.5折</t>
        </is>
      </c>
      <c r="F423">
        <f>HYPERLINK("https://i0.hdslb.com/bfs/mall/mall/56/00/56002b7cf02fab834d518f1a9db23d0d.png", "点击查看图片")</f>
        <v/>
      </c>
      <c r="G423">
        <f>HYPERLINK("https://mall.bilibili.com/neul-next/index.html?page=magic-market_detail&amp;noTitleBar=1&amp;itemsId=109891079230&amp;from=market_index", "点击打开")</f>
        <v/>
      </c>
    </row>
    <row r="424">
      <c r="A424" t="inlineStr">
        <is>
          <t>Model Way 莉莉 手办</t>
        </is>
      </c>
      <c r="B424" t="inlineStr">
        <is>
          <t>188.00元</t>
        </is>
      </c>
      <c r="C424" t="inlineStr">
        <is>
          <t>269.00元</t>
        </is>
      </c>
      <c r="D424" t="inlineStr">
        <is>
          <t>81.00元</t>
        </is>
      </c>
      <c r="E424" t="inlineStr">
        <is>
          <t>7.0折</t>
        </is>
      </c>
      <c r="F424">
        <f>HYPERLINK("https://i0.hdslb.com/bfs/mall/mall/ea/36/ea360e10aac38ef1e48b0bf4b645ced9.png", "点击查看图片")</f>
        <v/>
      </c>
      <c r="G424">
        <f>HYPERLINK("https://mall.bilibili.com/neul-next/index.html?page=magic-market_detail&amp;noTitleBar=1&amp;itemsId=110456937417&amp;from=market_index", "点击打开")</f>
        <v/>
      </c>
    </row>
    <row r="425">
      <c r="A425" t="inlineStr">
        <is>
          <t>MIMIK 伊万杰琳 手办</t>
        </is>
      </c>
      <c r="B425" t="inlineStr">
        <is>
          <t>455.00元</t>
        </is>
      </c>
      <c r="C425" t="inlineStr">
        <is>
          <t>769.00元</t>
        </is>
      </c>
      <c r="D425" t="inlineStr">
        <is>
          <t>314.00元</t>
        </is>
      </c>
      <c r="E425" t="inlineStr">
        <is>
          <t>5.9折</t>
        </is>
      </c>
      <c r="F425">
        <f>HYPERLINK("https://i0.hdslb.com/bfs/mall/mall/54/04/5404cde5707a499451d91ec5b6d297c6.png", "点击查看图片")</f>
        <v/>
      </c>
      <c r="G425">
        <f>HYPERLINK("https://mall.bilibili.com/neul-next/index.html?page=magic-market_detail&amp;noTitleBar=1&amp;itemsId=109881876553&amp;from=market_index", "点击打开")</f>
        <v/>
      </c>
    </row>
    <row r="426">
      <c r="A426" t="inlineStr">
        <is>
          <t>GSAS 宝多六花 晴空的车站 正比手办</t>
        </is>
      </c>
      <c r="B426" t="inlineStr">
        <is>
          <t>593.10元</t>
        </is>
      </c>
      <c r="C426" t="inlineStr">
        <is>
          <t>659.00元</t>
        </is>
      </c>
      <c r="D426" t="inlineStr">
        <is>
          <t>65.90元</t>
        </is>
      </c>
      <c r="E426" t="inlineStr">
        <is>
          <t>9.0折</t>
        </is>
      </c>
      <c r="F426">
        <f>HYPERLINK("https://i0.hdslb.com/bfs/mall/mall/40/e8/40e8976e6df47a66ad4ad2351d52c5d8.png", "点击查看图片")</f>
        <v/>
      </c>
      <c r="G426">
        <f>HYPERLINK("https://mall.bilibili.com/neul-next/index.html?page=magic-market_detail&amp;noTitleBar=1&amp;itemsId=111908423832&amp;from=market_index", "点击打开")</f>
        <v/>
      </c>
    </row>
    <row r="427">
      <c r="A427" t="inlineStr">
        <is>
          <t>GSC 缇拉鞠・加德斯布拉德 Q版手办</t>
        </is>
      </c>
      <c r="B427" t="inlineStr">
        <is>
          <t>322.00元</t>
        </is>
      </c>
      <c r="C427" t="inlineStr">
        <is>
          <t>322.00元</t>
        </is>
      </c>
      <c r="D427" t="inlineStr">
        <is>
          <t>0.00元</t>
        </is>
      </c>
      <c r="E427" t="inlineStr">
        <is>
          <t>10.0折</t>
        </is>
      </c>
      <c r="F427">
        <f>HYPERLINK("https://i0.hdslb.com/bfs/mall/mall/0d/d4/0dd45f928e096a717ba0138e4db0326f.png", "点击查看图片")</f>
        <v/>
      </c>
      <c r="G427">
        <f>HYPERLINK("https://mall.bilibili.com/neul-next/index.html?page=magic-market_detail&amp;noTitleBar=1&amp;itemsId=111920270492&amp;from=market_index", "点击打开")</f>
        <v/>
      </c>
    </row>
    <row r="428">
      <c r="A428" t="inlineStr">
        <is>
          <t>Union Creative 出包王女 梦梦·贝莉雅·戴比路克 护士服ver. 手办</t>
        </is>
      </c>
      <c r="B428" t="inlineStr">
        <is>
          <t>495.00元</t>
        </is>
      </c>
      <c r="C428" t="inlineStr">
        <is>
          <t>750.00元</t>
        </is>
      </c>
      <c r="D428" t="inlineStr">
        <is>
          <t>255.00元</t>
        </is>
      </c>
      <c r="E428" t="inlineStr">
        <is>
          <t>6.6折</t>
        </is>
      </c>
      <c r="F428">
        <f>HYPERLINK("https://i0.hdslb.com/bfs/mall/mall/e5/95/e595fc3a5805e4cc299ef4304f18ee35.png", "点击查看图片")</f>
        <v/>
      </c>
      <c r="G428">
        <f>HYPERLINK("https://mall.bilibili.com/neul-next/index.html?page=magic-market_detail&amp;noTitleBar=1&amp;itemsId=111912241853&amp;from=market_index", "点击打开")</f>
        <v/>
      </c>
    </row>
    <row r="429">
      <c r="A429" t="inlineStr">
        <is>
          <t>Reverse Studio 樱木真乃  花风Smiley ver. 手办</t>
        </is>
      </c>
      <c r="B429" t="inlineStr">
        <is>
          <t>618.00元</t>
        </is>
      </c>
      <c r="C429" t="inlineStr">
        <is>
          <t>799.00元</t>
        </is>
      </c>
      <c r="D429" t="inlineStr">
        <is>
          <t>181.00元</t>
        </is>
      </c>
      <c r="E429" t="inlineStr">
        <is>
          <t>7.7折</t>
        </is>
      </c>
      <c r="F429">
        <f>HYPERLINK("https://i0.hdslb.com/bfs/mall/mall/fb/a7/fba7820cec99b800a6990735399a5d53.png", "点击查看图片")</f>
        <v/>
      </c>
      <c r="G429">
        <f>HYPERLINK("https://mall.bilibili.com/neul-next/index.html?page=magic-market_detail&amp;noTitleBar=1&amp;itemsId=111909627100&amp;from=market_index", "点击打开")</f>
        <v/>
      </c>
    </row>
    <row r="430">
      <c r="A430" t="inlineStr">
        <is>
          <t>GSC 初音未来 居家装扮Ver. Q版手办</t>
        </is>
      </c>
      <c r="B430" t="inlineStr">
        <is>
          <t>431.39元</t>
        </is>
      </c>
      <c r="C430" t="inlineStr">
        <is>
          <t>520.00元</t>
        </is>
      </c>
      <c r="D430" t="inlineStr">
        <is>
          <t>88.61元</t>
        </is>
      </c>
      <c r="E430" t="inlineStr">
        <is>
          <t>8.3折</t>
        </is>
      </c>
      <c r="F430">
        <f>HYPERLINK("https://i0.hdslb.com/bfs/mall/mall/99/6b/996ba2eb8a2b828864d81628cbc8e1f9.png", "点击查看图片")</f>
        <v/>
      </c>
      <c r="G430">
        <f>HYPERLINK("https://mall.bilibili.com/neul-next/index.html?page=magic-market_detail&amp;noTitleBar=1&amp;itemsId=120679748891&amp;from=market_index", "点击打开")</f>
        <v/>
      </c>
    </row>
    <row r="431">
      <c r="A431" t="inlineStr">
        <is>
          <t>Union Creative 御门凉子 手办 再版</t>
        </is>
      </c>
      <c r="B431" t="inlineStr">
        <is>
          <t>444.00元</t>
        </is>
      </c>
      <c r="C431" t="inlineStr">
        <is>
          <t>719.00元</t>
        </is>
      </c>
      <c r="D431" t="inlineStr">
        <is>
          <t>275.00元</t>
        </is>
      </c>
      <c r="E431" t="inlineStr">
        <is>
          <t>6.2折</t>
        </is>
      </c>
      <c r="F431">
        <f>HYPERLINK("https://i0.hdslb.com/bfs/mall/mall/b0/f0/b0f022d1a48d21e859b480b93c41ab5e.png", "点击查看图片")</f>
        <v/>
      </c>
      <c r="G431">
        <f>HYPERLINK("https://mall.bilibili.com/neul-next/index.html?page=magic-market_detail&amp;noTitleBar=1&amp;itemsId=120670573176&amp;from=market_index", "点击打开")</f>
        <v/>
      </c>
    </row>
    <row r="432">
      <c r="A432" t="inlineStr">
        <is>
          <t>APEX 貅 Q版手办</t>
        </is>
      </c>
      <c r="B432" t="inlineStr">
        <is>
          <t>166.63元</t>
        </is>
      </c>
      <c r="C432" t="inlineStr">
        <is>
          <t>218.00元</t>
        </is>
      </c>
      <c r="D432" t="inlineStr">
        <is>
          <t>51.37元</t>
        </is>
      </c>
      <c r="E432" t="inlineStr">
        <is>
          <t>7.6折</t>
        </is>
      </c>
      <c r="F432">
        <f>HYPERLINK("https://i0.hdslb.com/bfs/mall/mall/09/4e/094ed59bd5d6a74bc9c83a97d1331db1.png", "点击查看图片")</f>
        <v/>
      </c>
      <c r="G432">
        <f>HYPERLINK("https://mall.bilibili.com/neul-next/index.html?page=magic-market_detail&amp;noTitleBar=1&amp;itemsId=109882805856&amp;from=market_index", "点击打开")</f>
        <v/>
      </c>
    </row>
    <row r="433">
      <c r="A433" t="inlineStr">
        <is>
          <t>GSC 阿尔托莉雅 手办</t>
        </is>
      </c>
      <c r="B433" t="inlineStr">
        <is>
          <t>999.00元</t>
        </is>
      </c>
      <c r="C433" t="inlineStr">
        <is>
          <t>1245.00元</t>
        </is>
      </c>
      <c r="D433" t="inlineStr">
        <is>
          <t>246.00元</t>
        </is>
      </c>
      <c r="E433" t="inlineStr">
        <is>
          <t>8.0折</t>
        </is>
      </c>
      <c r="F433">
        <f>HYPERLINK("https://i0.hdslb.com/bfs/mall/mall/6a/c2/6ac2807aa20209443a3cb257ad87532c.png", "点击查看图片")</f>
        <v/>
      </c>
      <c r="G433">
        <f>HYPERLINK("https://mall.bilibili.com/neul-next/index.html?page=magic-market_detail&amp;noTitleBar=1&amp;itemsId=110471482200&amp;from=market_index", "点击打开")</f>
        <v/>
      </c>
    </row>
    <row r="434">
      <c r="A434" t="inlineStr">
        <is>
          <t>世嘉 明日香 景品手办 再版</t>
        </is>
      </c>
      <c r="B434" t="inlineStr">
        <is>
          <t>138.99元</t>
        </is>
      </c>
      <c r="C434" t="inlineStr">
        <is>
          <t>210.00元</t>
        </is>
      </c>
      <c r="D434" t="inlineStr">
        <is>
          <t>71.01元</t>
        </is>
      </c>
      <c r="E434" t="inlineStr">
        <is>
          <t>6.6折</t>
        </is>
      </c>
      <c r="F434">
        <f>HYPERLINK("https://i0.hdslb.com/bfs/mall/mall/45/f3/45f31dad93d2aeb5b1125bfd08c6d8e6.png", "点击查看图片")</f>
        <v/>
      </c>
      <c r="G434">
        <f>HYPERLINK("https://mall.bilibili.com/neul-next/index.html?page=magic-market_detail&amp;noTitleBar=1&amp;itemsId=111905578342&amp;from=market_index", "点击打开")</f>
        <v/>
      </c>
    </row>
    <row r="435">
      <c r="A435" t="inlineStr">
        <is>
          <t>Plum 哈曼 改 手办 再版</t>
        </is>
      </c>
      <c r="B435" t="inlineStr">
        <is>
          <t>520.00元</t>
        </is>
      </c>
      <c r="C435" t="inlineStr">
        <is>
          <t>764.00元</t>
        </is>
      </c>
      <c r="D435" t="inlineStr">
        <is>
          <t>244.00元</t>
        </is>
      </c>
      <c r="E435" t="inlineStr">
        <is>
          <t>6.8折</t>
        </is>
      </c>
      <c r="F435">
        <f>HYPERLINK("https://i0.hdslb.com/bfs/mall/mall/c3/b4/c3b41841cf85b48f78eba5d330ea890a.png", "点击查看图片")</f>
        <v/>
      </c>
      <c r="G435">
        <f>HYPERLINK("https://mall.bilibili.com/neul-next/index.html?page=magic-market_detail&amp;noTitleBar=1&amp;itemsId=111918688444&amp;from=market_index", "点击打开")</f>
        <v/>
      </c>
    </row>
    <row r="436">
      <c r="A436" t="inlineStr">
        <is>
          <t>GSAS 镇海 正比手办</t>
        </is>
      </c>
      <c r="B436" t="inlineStr">
        <is>
          <t>588.00元</t>
        </is>
      </c>
      <c r="C436" t="inlineStr">
        <is>
          <t>945.00元</t>
        </is>
      </c>
      <c r="D436" t="inlineStr">
        <is>
          <t>357.00元</t>
        </is>
      </c>
      <c r="E436" t="inlineStr">
        <is>
          <t>6.2折</t>
        </is>
      </c>
      <c r="F436">
        <f>HYPERLINK("https://i0.hdslb.com/bfs/mall/mall/b7/72/b772736a203a831e298c9deff68e7725.png", "点击查看图片")</f>
        <v/>
      </c>
      <c r="G436">
        <f>HYPERLINK("https://mall.bilibili.com/neul-next/index.html?page=magic-market_detail&amp;noTitleBar=1&amp;itemsId=111907696636&amp;from=market_index", "点击打开")</f>
        <v/>
      </c>
    </row>
    <row r="437">
      <c r="A437" t="inlineStr">
        <is>
          <t>GSC 露西‧哈特菲利亚 纳兹的装扮Ver.  正比手办</t>
        </is>
      </c>
      <c r="B437" t="inlineStr">
        <is>
          <t>285.00元</t>
        </is>
      </c>
      <c r="C437" t="inlineStr">
        <is>
          <t>389.00元</t>
        </is>
      </c>
      <c r="D437" t="inlineStr">
        <is>
          <t>104.00元</t>
        </is>
      </c>
      <c r="E437" t="inlineStr">
        <is>
          <t>7.3折</t>
        </is>
      </c>
      <c r="F437">
        <f>HYPERLINK("https://i0.hdslb.com/bfs/mall/mall/b3/6b/b36b8d1357d6fcf51bbbb6f6e7ba6616.png", "点击查看图片")</f>
        <v/>
      </c>
      <c r="G437">
        <f>HYPERLINK("https://mall.bilibili.com/neul-next/index.html?page=magic-market_detail&amp;noTitleBar=1&amp;itemsId=111913668066&amp;from=market_index", "点击打开")</f>
        <v/>
      </c>
    </row>
    <row r="438">
      <c r="A438" t="inlineStr">
        <is>
          <t>PROOF 为美好的世界献上祝福！ 阿库娅 童话ver. 手办</t>
        </is>
      </c>
      <c r="B438" t="inlineStr">
        <is>
          <t>538.00元</t>
        </is>
      </c>
      <c r="C438" t="inlineStr">
        <is>
          <t>915.00元</t>
        </is>
      </c>
      <c r="D438" t="inlineStr">
        <is>
          <t>377.00元</t>
        </is>
      </c>
      <c r="E438" t="inlineStr">
        <is>
          <t>5.9折</t>
        </is>
      </c>
      <c r="F438">
        <f>HYPERLINK("https://i0.hdslb.com/bfs/mall/mall/c5/41/c5413c8c004bd97715e1bd1829e212c3.png", "点击查看图片")</f>
        <v/>
      </c>
      <c r="G438">
        <f>HYPERLINK("https://mall.bilibili.com/neul-next/index.html?page=magic-market_detail&amp;noTitleBar=1&amp;itemsId=111913728122&amp;from=market_index", "点击打开")</f>
        <v/>
      </c>
    </row>
    <row r="439">
      <c r="A439" t="inlineStr">
        <is>
          <t>Union Creative 三色院堇子 正比手办</t>
        </is>
      </c>
      <c r="B439" t="inlineStr">
        <is>
          <t>410.00元</t>
        </is>
      </c>
      <c r="C439" t="inlineStr">
        <is>
          <t>725.00元</t>
        </is>
      </c>
      <c r="D439" t="inlineStr">
        <is>
          <t>315.00元</t>
        </is>
      </c>
      <c r="E439" t="inlineStr">
        <is>
          <t>5.7折</t>
        </is>
      </c>
      <c r="F439">
        <f>HYPERLINK("https://i0.hdslb.com/bfs/mall/mall/ec/53/ec5316ddab5c7f0c79f56eca8c3ff830.png", "点击查看图片")</f>
        <v/>
      </c>
      <c r="G439">
        <f>HYPERLINK("https://mall.bilibili.com/neul-next/index.html?page=magic-market_detail&amp;noTitleBar=1&amp;itemsId=111922183192&amp;from=market_index", "点击打开")</f>
        <v/>
      </c>
    </row>
    <row r="440">
      <c r="A440" t="inlineStr">
        <is>
          <t xml:space="preserve"> 猫娘乐园 手办 进阶大礼包</t>
        </is>
      </c>
      <c r="B440" t="inlineStr">
        <is>
          <t>1218.99元</t>
        </is>
      </c>
      <c r="C440" t="inlineStr">
        <is>
          <t>1839.00元</t>
        </is>
      </c>
      <c r="D440" t="inlineStr">
        <is>
          <t>620.01元</t>
        </is>
      </c>
      <c r="E440" t="inlineStr">
        <is>
          <t>6.6折</t>
        </is>
      </c>
      <c r="F440">
        <f>HYPERLINK("https://i0.hdslb.com/bfs/mall/mall/3b/c1/3bc13160cb83b5b7ab044d78bd40f806.png", "点击查看图片")</f>
        <v/>
      </c>
      <c r="G440">
        <f>HYPERLINK("https://mall.bilibili.com/neul-next/index.html?page=magic-market_detail&amp;noTitleBar=1&amp;itemsId=111908825325&amp;from=market_index", "点击打开")</f>
        <v/>
      </c>
    </row>
    <row r="441">
      <c r="A441" t="inlineStr">
        <is>
          <t>ACTOYS 涂山红红 盛夏绽放 泳装Ver. 手办</t>
        </is>
      </c>
      <c r="B441" t="inlineStr">
        <is>
          <t>488.00元</t>
        </is>
      </c>
      <c r="C441" t="inlineStr">
        <is>
          <t>580.00元</t>
        </is>
      </c>
      <c r="D441" t="inlineStr">
        <is>
          <t>92.00元</t>
        </is>
      </c>
      <c r="E441" t="inlineStr">
        <is>
          <t>8.4折</t>
        </is>
      </c>
      <c r="F441">
        <f>HYPERLINK("https://i0.hdslb.com/bfs/mall/mall/60/46/6046bce9b828345a2b953168ba0ff569.png", "点击查看图片")</f>
        <v/>
      </c>
      <c r="G441">
        <f>HYPERLINK("https://mall.bilibili.com/neul-next/index.html?page=magic-market_detail&amp;noTitleBar=1&amp;itemsId=111914143803&amp;from=market_index", "点击打开")</f>
        <v/>
      </c>
    </row>
    <row r="442">
      <c r="A442" t="inlineStr">
        <is>
          <t>Miyuki 玛丽 正比手办</t>
        </is>
      </c>
      <c r="B442" t="inlineStr">
        <is>
          <t>849.00元</t>
        </is>
      </c>
      <c r="C442" t="inlineStr">
        <is>
          <t>1099.00元</t>
        </is>
      </c>
      <c r="D442" t="inlineStr">
        <is>
          <t>250.00元</t>
        </is>
      </c>
      <c r="E442" t="inlineStr">
        <is>
          <t>7.7折</t>
        </is>
      </c>
      <c r="F442">
        <f>HYPERLINK("https://i0.hdslb.com/bfs/mall/mall/74/14/74147605c411efd8f82ede8154eff1e0.png", "点击查看图片")</f>
        <v/>
      </c>
      <c r="G442">
        <f>HYPERLINK("https://mall.bilibili.com/neul-next/index.html?page=magic-market_detail&amp;noTitleBar=1&amp;itemsId=111919566046&amp;from=market_index", "点击打开")</f>
        <v/>
      </c>
    </row>
    <row r="443">
      <c r="A443" t="inlineStr">
        <is>
          <t>ToEyEsN DSmile 恶魔娘 正比手办</t>
        </is>
      </c>
      <c r="B443" t="inlineStr">
        <is>
          <t>525.00元</t>
        </is>
      </c>
      <c r="C443" t="inlineStr">
        <is>
          <t>699.00元</t>
        </is>
      </c>
      <c r="D443" t="inlineStr">
        <is>
          <t>174.00元</t>
        </is>
      </c>
      <c r="E443" t="inlineStr">
        <is>
          <t>7.5折</t>
        </is>
      </c>
      <c r="F443">
        <f>HYPERLINK("https://i0.hdslb.com/bfs/mall/mall/1f/82/1f826be38320fe716b45533ce74b3907.png", "点击查看图片")</f>
        <v/>
      </c>
      <c r="G443">
        <f>HYPERLINK("https://mall.bilibili.com/neul-next/index.html?page=magic-market_detail&amp;noTitleBar=1&amp;itemsId=109829336575&amp;from=market_index", "点击打开")</f>
        <v/>
      </c>
    </row>
    <row r="444">
      <c r="A444" t="inlineStr">
        <is>
          <t>GOOD SMILE COMPANY 美竹兰 手办</t>
        </is>
      </c>
      <c r="B444" t="inlineStr">
        <is>
          <t>818.00元</t>
        </is>
      </c>
      <c r="C444" t="inlineStr">
        <is>
          <t>1159.00元</t>
        </is>
      </c>
      <c r="D444" t="inlineStr">
        <is>
          <t>341.00元</t>
        </is>
      </c>
      <c r="E444" t="inlineStr">
        <is>
          <t>7.1折</t>
        </is>
      </c>
      <c r="F444">
        <f>HYPERLINK("https://i0.hdslb.com/bfs/mall/mall/31/e0/31e05719f481a165c56c009441c7e585.png", "点击查看图片")</f>
        <v/>
      </c>
      <c r="G444">
        <f>HYPERLINK("https://mall.bilibili.com/neul-next/index.html?page=magic-market_detail&amp;noTitleBar=1&amp;itemsId=111917380294&amp;from=market_index", "点击打开")</f>
        <v/>
      </c>
    </row>
    <row r="445">
      <c r="A445" t="inlineStr">
        <is>
          <t>寿屋 精灵宝可梦 小青&amp;新叶喵 手办</t>
        </is>
      </c>
      <c r="B445" t="inlineStr">
        <is>
          <t>588.00元</t>
        </is>
      </c>
      <c r="C445" t="inlineStr">
        <is>
          <t>651.00元</t>
        </is>
      </c>
      <c r="D445" t="inlineStr">
        <is>
          <t>63.00元</t>
        </is>
      </c>
      <c r="E445" t="inlineStr">
        <is>
          <t>9.0折</t>
        </is>
      </c>
      <c r="F445">
        <f>HYPERLINK("https://i0.hdslb.com/bfs/mall/mall/55/53/5553829e84444d6ff310ecc675ed2c61.png", "点击查看图片")</f>
        <v/>
      </c>
      <c r="G445">
        <f>HYPERLINK("https://mall.bilibili.com/neul-next/index.html?page=magic-market_detail&amp;noTitleBar=1&amp;itemsId=111920105700&amp;from=market_index", "点击打开")</f>
        <v/>
      </c>
    </row>
    <row r="446">
      <c r="A446" t="inlineStr">
        <is>
          <t>Raise Dream  丰年 恭贺新春  手办</t>
        </is>
      </c>
      <c r="B446" t="inlineStr">
        <is>
          <t>365.00元</t>
        </is>
      </c>
      <c r="C446" t="inlineStr">
        <is>
          <t>688.00元</t>
        </is>
      </c>
      <c r="D446" t="inlineStr">
        <is>
          <t>323.00元</t>
        </is>
      </c>
      <c r="E446" t="inlineStr">
        <is>
          <t>5.3折</t>
        </is>
      </c>
      <c r="F446">
        <f>HYPERLINK("https://i0.hdslb.com/bfs/mall/mall/79/96/7996eb6ff438dce4689edbf5fc91cac9.png", "点击查看图片")</f>
        <v/>
      </c>
      <c r="G446">
        <f>HYPERLINK("https://mall.bilibili.com/neul-next/index.html?page=magic-market_detail&amp;noTitleBar=1&amp;itemsId=111920595744&amp;from=market_index", "点击打开")</f>
        <v/>
      </c>
    </row>
    <row r="447">
      <c r="A447" t="inlineStr">
        <is>
          <t>T.E.S.T 原创 DZ12SX系列 辰崎龍 手办</t>
        </is>
      </c>
      <c r="B447" t="inlineStr">
        <is>
          <t>1059.92元</t>
        </is>
      </c>
      <c r="C447" t="inlineStr">
        <is>
          <t>1929.00元</t>
        </is>
      </c>
      <c r="D447" t="inlineStr">
        <is>
          <t>869.08元</t>
        </is>
      </c>
      <c r="E447" t="inlineStr">
        <is>
          <t>5.5折</t>
        </is>
      </c>
      <c r="F447">
        <f>HYPERLINK("https://i0.hdslb.com/bfs/mall/mall/c8/5f/c85fe04dcaaacd2d1a071e3e4333abd1.png", "点击查看图片")</f>
        <v/>
      </c>
      <c r="G447">
        <f>HYPERLINK("https://mall.bilibili.com/neul-next/index.html?page=magic-market_detail&amp;noTitleBar=1&amp;itemsId=111904656444&amp;from=market_index", "点击打开")</f>
        <v/>
      </c>
    </row>
    <row r="448">
      <c r="A448" t="inlineStr">
        <is>
          <t>PinkMango 園田麗華 手办</t>
        </is>
      </c>
      <c r="B448" t="inlineStr">
        <is>
          <t>548.00元</t>
        </is>
      </c>
      <c r="C448" t="inlineStr">
        <is>
          <t>780.00元</t>
        </is>
      </c>
      <c r="D448" t="inlineStr">
        <is>
          <t>232.00元</t>
        </is>
      </c>
      <c r="E448" t="inlineStr">
        <is>
          <t>7.0折</t>
        </is>
      </c>
      <c r="F448">
        <f>HYPERLINK("https://i0.hdslb.com/bfs/mall/mall/26/d0/26d088127847de1694f16a1f72e74653.png", "点击查看图片")</f>
        <v/>
      </c>
      <c r="G448">
        <f>HYPERLINK("https://mall.bilibili.com/neul-next/index.html?page=magic-market_detail&amp;noTitleBar=1&amp;itemsId=107067897276&amp;from=market_index", "点击打开")</f>
        <v/>
      </c>
    </row>
    <row r="449">
      <c r="A449" t="inlineStr">
        <is>
          <t>GSC 初音未来 交响乐 2023Ver. Q版手办</t>
        </is>
      </c>
      <c r="B449" t="inlineStr">
        <is>
          <t>348.00元</t>
        </is>
      </c>
      <c r="C449" t="inlineStr">
        <is>
          <t>449.00元</t>
        </is>
      </c>
      <c r="D449" t="inlineStr">
        <is>
          <t>101.00元</t>
        </is>
      </c>
      <c r="E449" t="inlineStr">
        <is>
          <t>7.8折</t>
        </is>
      </c>
      <c r="F449">
        <f>HYPERLINK("https://i0.hdslb.com/bfs/mall/mall/a5/3e/a53e7d1fdca549f725b224476ec63a88.png", "点击查看图片")</f>
        <v/>
      </c>
      <c r="G449">
        <f>HYPERLINK("https://mall.bilibili.com/neul-next/index.html?page=magic-market_detail&amp;noTitleBar=1&amp;itemsId=111912465831&amp;from=market_index", "点击打开")</f>
        <v/>
      </c>
    </row>
    <row r="450">
      <c r="A450" t="inlineStr">
        <is>
          <t>GSC 砂狼白子 泳装Ver. 手办</t>
        </is>
      </c>
      <c r="B450" t="inlineStr">
        <is>
          <t>679.99元</t>
        </is>
      </c>
      <c r="C450" t="inlineStr">
        <is>
          <t>705.00元</t>
        </is>
      </c>
      <c r="D450" t="inlineStr">
        <is>
          <t>25.01元</t>
        </is>
      </c>
      <c r="E450" t="inlineStr">
        <is>
          <t>9.6折</t>
        </is>
      </c>
      <c r="F450">
        <f>HYPERLINK("https://i0.hdslb.com/bfs/mall/mall/bc/ea/bcea01e46a595bb7d018379608e1a9a3.png", "点击查看图片")</f>
        <v/>
      </c>
      <c r="G450">
        <f>HYPERLINK("https://mall.bilibili.com/neul-next/index.html?page=magic-market_detail&amp;noTitleBar=1&amp;itemsId=111907508992&amp;from=market_index", "点击打开")</f>
        <v/>
      </c>
    </row>
    <row r="451">
      <c r="A451" t="inlineStr">
        <is>
          <t>WANDERER 新世纪福音战士剧场版 式波·明日香·兰格雷 手办</t>
        </is>
      </c>
      <c r="B451" t="inlineStr">
        <is>
          <t>399.00元</t>
        </is>
      </c>
      <c r="C451" t="inlineStr">
        <is>
          <t>799.00元</t>
        </is>
      </c>
      <c r="D451" t="inlineStr">
        <is>
          <t>400.00元</t>
        </is>
      </c>
      <c r="E451" t="inlineStr">
        <is>
          <t>5.0折</t>
        </is>
      </c>
      <c r="F451">
        <f>HYPERLINK("https://i0.hdslb.com/bfs/mall/mall/bc/c0/bcc0cc122becd7226e6e91bfd95d76f2.png", "点击查看图片")</f>
        <v/>
      </c>
      <c r="G451">
        <f>HYPERLINK("https://mall.bilibili.com/neul-next/index.html?page=magic-market_detail&amp;noTitleBar=1&amp;itemsId=111917799294&amp;from=market_index", "点击打开")</f>
        <v/>
      </c>
    </row>
    <row r="452">
      <c r="A452" t="inlineStr">
        <is>
          <t>FuRyu 后藤独 咖啡店Ver. 正比手办</t>
        </is>
      </c>
      <c r="B452" t="inlineStr">
        <is>
          <t>180.00元</t>
        </is>
      </c>
      <c r="C452" t="inlineStr">
        <is>
          <t>289.00元</t>
        </is>
      </c>
      <c r="D452" t="inlineStr">
        <is>
          <t>109.00元</t>
        </is>
      </c>
      <c r="E452" t="inlineStr">
        <is>
          <t>6.2折</t>
        </is>
      </c>
      <c r="F452">
        <f>HYPERLINK("https://i0.hdslb.com/bfs/mall/mall/53/2b/532bf35cdc89f3f1e126df93fd21121a.png", "点击查看图片")</f>
        <v/>
      </c>
      <c r="G452">
        <f>HYPERLINK("https://mall.bilibili.com/neul-next/index.html?page=magic-market_detail&amp;noTitleBar=1&amp;itemsId=111916525079&amp;from=market_index", "点击打开")</f>
        <v/>
      </c>
    </row>
    <row r="453">
      <c r="A453" t="inlineStr">
        <is>
          <t>寿屋 NO GAME NO LIFE 游戏人生 白 手办 再版</t>
        </is>
      </c>
      <c r="B453" t="inlineStr">
        <is>
          <t>586.00元</t>
        </is>
      </c>
      <c r="C453" t="inlineStr">
        <is>
          <t>665.00元</t>
        </is>
      </c>
      <c r="D453" t="inlineStr">
        <is>
          <t>79.00元</t>
        </is>
      </c>
      <c r="E453" t="inlineStr">
        <is>
          <t>8.8折</t>
        </is>
      </c>
      <c r="F453">
        <f>HYPERLINK("https://i0.hdslb.com/bfs/mall/mall/4d/22/4d22a04711e14da75f43cf668d020755.png", "点击查看图片")</f>
        <v/>
      </c>
      <c r="G453">
        <f>HYPERLINK("https://mall.bilibili.com/neul-next/index.html?page=magic-market_detail&amp;noTitleBar=1&amp;itemsId=111917210143&amp;from=market_index", "点击打开")</f>
        <v/>
      </c>
    </row>
    <row r="454">
      <c r="A454" t="inlineStr">
        <is>
          <t>Union Creative 碧蓝航线 的里雅斯特 期待的便当时间ver. 手办</t>
        </is>
      </c>
      <c r="B454" t="inlineStr">
        <is>
          <t>718.00元</t>
        </is>
      </c>
      <c r="C454" t="inlineStr">
        <is>
          <t>950.00元</t>
        </is>
      </c>
      <c r="D454" t="inlineStr">
        <is>
          <t>232.00元</t>
        </is>
      </c>
      <c r="E454" t="inlineStr">
        <is>
          <t>7.6折</t>
        </is>
      </c>
      <c r="F454">
        <f>HYPERLINK("https://i0.hdslb.com/bfs/mall/mall/7e/76/7e76cbb9acd9b35667c8812d7bcd1cb6.png", "点击查看图片")</f>
        <v/>
      </c>
      <c r="G454">
        <f>HYPERLINK("https://mall.bilibili.com/neul-next/index.html?page=magic-market_detail&amp;noTitleBar=1&amp;itemsId=110458808167&amp;from=market_index", "点击打开")</f>
        <v/>
      </c>
    </row>
    <row r="455">
      <c r="A455" t="inlineStr">
        <is>
          <t>F:NEX 宿命传说2 莉亚拉 手办</t>
        </is>
      </c>
      <c r="B455" t="inlineStr">
        <is>
          <t>1850.00元</t>
        </is>
      </c>
      <c r="C455" t="inlineStr">
        <is>
          <t>1850.00元</t>
        </is>
      </c>
      <c r="D455" t="inlineStr">
        <is>
          <t>0.00元</t>
        </is>
      </c>
      <c r="E455" t="inlineStr">
        <is>
          <t>10.0折</t>
        </is>
      </c>
      <c r="F455">
        <f>HYPERLINK("https://i0.hdslb.com/bfs/mall/mall/b3/5f/b35fa55efc3e20d619a974729cb8f57b.png", "点击查看图片")</f>
        <v/>
      </c>
      <c r="G455">
        <f>HYPERLINK("https://mall.bilibili.com/neul-next/index.html?page=magic-market_detail&amp;noTitleBar=1&amp;itemsId=109847314990&amp;from=market_index", "点击打开")</f>
        <v/>
      </c>
    </row>
    <row r="456">
      <c r="A456" t="inlineStr">
        <is>
          <t>世嘉 井上泷奈 景品手办 再版</t>
        </is>
      </c>
      <c r="B456" t="inlineStr">
        <is>
          <t>90.00元</t>
        </is>
      </c>
      <c r="C456" t="inlineStr">
        <is>
          <t>105.00元</t>
        </is>
      </c>
      <c r="D456" t="inlineStr">
        <is>
          <t>15.00元</t>
        </is>
      </c>
      <c r="E456" t="inlineStr">
        <is>
          <t>8.6折</t>
        </is>
      </c>
      <c r="F456">
        <f>HYPERLINK("https://i0.hdslb.com/bfs/mall/mall/53/08/53085d18e88e7c69f497eaa85f7ce40f.png", "点击查看图片")</f>
        <v/>
      </c>
      <c r="G456">
        <f>HYPERLINK("https://mall.bilibili.com/neul-next/index.html?page=magic-market_detail&amp;noTitleBar=1&amp;itemsId=106951359309&amp;from=market_index", "点击打开")</f>
        <v/>
      </c>
    </row>
    <row r="457">
      <c r="A457" t="inlineStr">
        <is>
          <t>MIMEYOI 布莱默顿 炙热的网球练习Ver. 手办 限定版</t>
        </is>
      </c>
      <c r="B457" t="inlineStr">
        <is>
          <t>499.00元</t>
        </is>
      </c>
      <c r="C457" t="inlineStr">
        <is>
          <t>829.00元</t>
        </is>
      </c>
      <c r="D457" t="inlineStr">
        <is>
          <t>330.00元</t>
        </is>
      </c>
      <c r="E457" t="inlineStr">
        <is>
          <t>6.0折</t>
        </is>
      </c>
      <c r="F457">
        <f>HYPERLINK("https://i0.hdslb.com/bfs/mall/mall/bf/0b/bf0b1136cbb1b66390d21a6e9bb39927.png", "点击查看图片")</f>
        <v/>
      </c>
      <c r="G457">
        <f>HYPERLINK("https://mall.bilibili.com/neul-next/index.html?page=magic-market_detail&amp;noTitleBar=1&amp;itemsId=111910394534&amp;from=market_index", "点击打开")</f>
        <v/>
      </c>
    </row>
    <row r="458">
      <c r="A458" t="inlineStr">
        <is>
          <t>GSC 伊地知虹夏 正比手办</t>
        </is>
      </c>
      <c r="B458" t="inlineStr">
        <is>
          <t>719.92元</t>
        </is>
      </c>
      <c r="C458" t="inlineStr">
        <is>
          <t>725.00元</t>
        </is>
      </c>
      <c r="D458" t="inlineStr">
        <is>
          <t>5.08元</t>
        </is>
      </c>
      <c r="E458" t="inlineStr">
        <is>
          <t>9.9折</t>
        </is>
      </c>
      <c r="F458">
        <f>HYPERLINK("https://i0.hdslb.com/bfs/mall/mall/ca/af/caaf0116f5b643232de0175ce56cad4e.png", "点击查看图片")</f>
        <v/>
      </c>
      <c r="G458">
        <f>HYPERLINK("https://mall.bilibili.com/neul-next/index.html?page=magic-market_detail&amp;noTitleBar=1&amp;itemsId=111904664353&amp;from=market_index", "点击打开")</f>
        <v/>
      </c>
    </row>
    <row r="459">
      <c r="A459" t="inlineStr">
        <is>
          <t>AniMester大漫匠 魅魅子 手办</t>
        </is>
      </c>
      <c r="B459" t="inlineStr">
        <is>
          <t>218.00元</t>
        </is>
      </c>
      <c r="C459" t="inlineStr">
        <is>
          <t>248.00元</t>
        </is>
      </c>
      <c r="D459" t="inlineStr">
        <is>
          <t>30.00元</t>
        </is>
      </c>
      <c r="E459" t="inlineStr">
        <is>
          <t>8.8折</t>
        </is>
      </c>
      <c r="F459">
        <f>HYPERLINK("https://i0.hdslb.com/bfs/mall/mall/b9/88/b98860965a7ca68608cc1a10cdf57d4a.png", "点击查看图片")</f>
        <v/>
      </c>
      <c r="G459">
        <f>HYPERLINK("https://mall.bilibili.com/neul-next/index.html?page=magic-market_detail&amp;noTitleBar=1&amp;itemsId=109859122492&amp;from=market_index", "点击打开")</f>
        <v/>
      </c>
    </row>
    <row r="460">
      <c r="A460" t="inlineStr">
        <is>
          <t>FuRyu 时雨羽衣 正比手办</t>
        </is>
      </c>
      <c r="B460" t="inlineStr">
        <is>
          <t>248.00元</t>
        </is>
      </c>
      <c r="C460" t="inlineStr">
        <is>
          <t>295.00元</t>
        </is>
      </c>
      <c r="D460" t="inlineStr">
        <is>
          <t>47.00元</t>
        </is>
      </c>
      <c r="E460" t="inlineStr">
        <is>
          <t>8.4折</t>
        </is>
      </c>
      <c r="F460">
        <f>HYPERLINK("https://i0.hdslb.com/bfs/mall/mall/50/30/503071c3570d96e4755a866482589366.png", "点击查看图片")</f>
        <v/>
      </c>
      <c r="G460">
        <f>HYPERLINK("https://mall.bilibili.com/neul-next/index.html?page=magic-market_detail&amp;noTitleBar=1&amp;itemsId=120669640169&amp;from=market_index", "点击打开")</f>
        <v/>
      </c>
    </row>
    <row r="461">
      <c r="A461" t="inlineStr">
        <is>
          <t>Plum 左藤空気原创角色 立花 爱玲菜 1/7手办 限定版</t>
        </is>
      </c>
      <c r="B461" t="inlineStr">
        <is>
          <t>728.00元</t>
        </is>
      </c>
      <c r="C461" t="inlineStr">
        <is>
          <t>883.00元</t>
        </is>
      </c>
      <c r="D461" t="inlineStr">
        <is>
          <t>155.00元</t>
        </is>
      </c>
      <c r="E461" t="inlineStr">
        <is>
          <t>8.2折</t>
        </is>
      </c>
      <c r="F461">
        <f>HYPERLINK("https://i0.hdslb.com/bfs/mall/mall/8b/7f/8b7f0b6722561c13e1c3ddad22089fef.png", "点击查看图片")</f>
        <v/>
      </c>
      <c r="G461">
        <f>HYPERLINK("https://mall.bilibili.com/neul-next/index.html?page=magic-market_detail&amp;noTitleBar=1&amp;itemsId=111920074466&amp;from=market_index", "点击打开")</f>
        <v/>
      </c>
    </row>
    <row r="462">
      <c r="A462" t="inlineStr">
        <is>
          <t>Union Creative 莉法&amp;桐谷直叶 正比手办</t>
        </is>
      </c>
      <c r="B462" t="inlineStr">
        <is>
          <t>1899.00元</t>
        </is>
      </c>
      <c r="C462" t="inlineStr">
        <is>
          <t>2588.00元</t>
        </is>
      </c>
      <c r="D462" t="inlineStr">
        <is>
          <t>689.00元</t>
        </is>
      </c>
      <c r="E462" t="inlineStr">
        <is>
          <t>7.3折</t>
        </is>
      </c>
      <c r="F462">
        <f>HYPERLINK("https://i0.hdslb.com/bfs/mall/mall/13/58/13584eef6641b06bd44a86ae238f19de.png", "点击查看图片")</f>
        <v/>
      </c>
      <c r="G462">
        <f>HYPERLINK("https://mall.bilibili.com/neul-next/index.html?page=magic-market_detail&amp;noTitleBar=1&amp;itemsId=109879364801&amp;from=market_index", "点击打开")</f>
        <v/>
      </c>
    </row>
    <row r="463">
      <c r="A463" t="inlineStr">
        <is>
          <t>Oriental Forest 蔚蓝档案 浦和花子 1/7手办 DX版</t>
        </is>
      </c>
      <c r="B463" t="inlineStr">
        <is>
          <t>950.00元</t>
        </is>
      </c>
      <c r="C463" t="inlineStr">
        <is>
          <t>1299.00元</t>
        </is>
      </c>
      <c r="D463" t="inlineStr">
        <is>
          <t>349.00元</t>
        </is>
      </c>
      <c r="E463" t="inlineStr">
        <is>
          <t>7.3折</t>
        </is>
      </c>
      <c r="F463">
        <f>HYPERLINK("https://i0.hdslb.com/bfs/mall/mall/8e/39/8e399a3f3637aae798111edb932e6854.png", "点击查看图片")</f>
        <v/>
      </c>
      <c r="G463">
        <f>HYPERLINK("https://mall.bilibili.com/neul-next/index.html?page=magic-market_detail&amp;noTitleBar=1&amp;itemsId=111916569883&amp;from=market_index", "点击打开")</f>
        <v/>
      </c>
    </row>
    <row r="464">
      <c r="A464" t="inlineStr">
        <is>
          <t>五维介质 星尘 手办</t>
        </is>
      </c>
      <c r="B464" t="inlineStr">
        <is>
          <t>428.00元</t>
        </is>
      </c>
      <c r="C464" t="inlineStr">
        <is>
          <t>598.00元</t>
        </is>
      </c>
      <c r="D464" t="inlineStr">
        <is>
          <t>170.00元</t>
        </is>
      </c>
      <c r="E464" t="inlineStr">
        <is>
          <t>7.2折</t>
        </is>
      </c>
      <c r="F464">
        <f>HYPERLINK("https://i0.hdslb.com/bfs/mall/mall/5f/2c/5f2c41891eab1848b656319e83d20521.png", "点击查看图片")</f>
        <v/>
      </c>
      <c r="G464">
        <f>HYPERLINK("https://mall.bilibili.com/neul-next/index.html?page=magic-market_detail&amp;noTitleBar=1&amp;itemsId=110475801371&amp;from=market_index", "点击打开")</f>
        <v/>
      </c>
    </row>
    <row r="465">
      <c r="A465" t="inlineStr">
        <is>
          <t>GSC 初音未来 RACING MIKU 2023Ver. 手办</t>
        </is>
      </c>
      <c r="B465" t="inlineStr">
        <is>
          <t>225.00元</t>
        </is>
      </c>
      <c r="C465" t="inlineStr">
        <is>
          <t>245.00元</t>
        </is>
      </c>
      <c r="D465" t="inlineStr">
        <is>
          <t>20.00元</t>
        </is>
      </c>
      <c r="E465" t="inlineStr">
        <is>
          <t>9.2折</t>
        </is>
      </c>
      <c r="F465">
        <f>HYPERLINK("https://i0.hdslb.com/bfs/mall/mall/f8/b4/f8b4d6d31630d11520168dab0c4f4a44.png", "点击查看图片")</f>
        <v/>
      </c>
      <c r="G465">
        <f>HYPERLINK("https://mall.bilibili.com/neul-next/index.html?page=magic-market_detail&amp;noTitleBar=1&amp;itemsId=120677973425&amp;from=market_index", "点击打开")</f>
        <v/>
      </c>
    </row>
    <row r="466">
      <c r="A466" t="inlineStr">
        <is>
          <t>MegaHouse 绫波零 手办</t>
        </is>
      </c>
      <c r="B466" t="inlineStr">
        <is>
          <t>868.00元</t>
        </is>
      </c>
      <c r="C466" t="inlineStr">
        <is>
          <t>1106.00元</t>
        </is>
      </c>
      <c r="D466" t="inlineStr">
        <is>
          <t>238.00元</t>
        </is>
      </c>
      <c r="E466" t="inlineStr">
        <is>
          <t>7.8折</t>
        </is>
      </c>
      <c r="F466">
        <f>HYPERLINK("https://i0.hdslb.com/bfs/mall/mall/be/95/be95c8f1cf04d008feeedefb81597f30.png", "点击查看图片")</f>
        <v/>
      </c>
      <c r="G466">
        <f>HYPERLINK("https://mall.bilibili.com/neul-next/index.html?page=magic-market_detail&amp;noTitleBar=1&amp;itemsId=109880626337&amp;from=market_index", "点击打开")</f>
        <v/>
      </c>
    </row>
    <row r="467">
      <c r="A467" t="inlineStr">
        <is>
          <t>APEX 雅努斯 踌躇的换衣时间Ver. 手办</t>
        </is>
      </c>
      <c r="B467" t="inlineStr">
        <is>
          <t>510.50元</t>
        </is>
      </c>
      <c r="C467" t="inlineStr">
        <is>
          <t>799.00元</t>
        </is>
      </c>
      <c r="D467" t="inlineStr">
        <is>
          <t>288.50元</t>
        </is>
      </c>
      <c r="E467" t="inlineStr">
        <is>
          <t>6.4折</t>
        </is>
      </c>
      <c r="F467">
        <f>HYPERLINK("https://i0.hdslb.com/bfs/mall/mall/ed/81/ed8189bc4938c814c94ff020210d1858.png", "点击查看图片")</f>
        <v/>
      </c>
      <c r="G467">
        <f>HYPERLINK("https://mall.bilibili.com/neul-next/index.html?page=magic-market_detail&amp;noTitleBar=1&amp;itemsId=111911249722&amp;from=market_index", "点击打开")</f>
        <v/>
      </c>
    </row>
    <row r="468">
      <c r="A468" t="inlineStr">
        <is>
          <t>DCTer 原创 龙妹 梦璃 手办 通常版</t>
        </is>
      </c>
      <c r="B468" t="inlineStr">
        <is>
          <t>468.00元</t>
        </is>
      </c>
      <c r="C468" t="inlineStr">
        <is>
          <t>648.00元</t>
        </is>
      </c>
      <c r="D468" t="inlineStr">
        <is>
          <t>180.00元</t>
        </is>
      </c>
      <c r="E468" t="inlineStr">
        <is>
          <t>7.2折</t>
        </is>
      </c>
      <c r="F468">
        <f>HYPERLINK("https://i0.hdslb.com/bfs/mall/mall/f8/9e/f89efa383d2fbda2bf602d4dee3ef571.png", "点击查看图片")</f>
        <v/>
      </c>
      <c r="G468">
        <f>HYPERLINK("https://mall.bilibili.com/neul-next/index.html?page=magic-market_detail&amp;noTitleBar=1&amp;itemsId=111922255104&amp;from=market_index", "点击打开")</f>
        <v/>
      </c>
    </row>
    <row r="469">
      <c r="A469" t="inlineStr">
        <is>
          <t>Wonderful Works 猫猫 园游会Ver. 正比手办</t>
        </is>
      </c>
      <c r="B469" t="inlineStr">
        <is>
          <t>883.86元</t>
        </is>
      </c>
      <c r="C469" t="inlineStr">
        <is>
          <t>1035.00元</t>
        </is>
      </c>
      <c r="D469" t="inlineStr">
        <is>
          <t>151.14元</t>
        </is>
      </c>
      <c r="E469" t="inlineStr">
        <is>
          <t>8.5折</t>
        </is>
      </c>
      <c r="F469">
        <f>HYPERLINK("https://i0.hdslb.com/bfs/mall/mall/4e/fa/4efab71f5392424369275e2ede4bb721.png", "点击查看图片")</f>
        <v/>
      </c>
      <c r="G469">
        <f>HYPERLINK("https://mall.bilibili.com/neul-next/index.html?page=magic-market_detail&amp;noTitleBar=1&amp;itemsId=109841646329&amp;from=market_index", "点击打开")</f>
        <v/>
      </c>
    </row>
    <row r="470">
      <c r="A470" t="inlineStr">
        <is>
          <t>Spiritale 初音未来 39's Special Day Ver.  手办</t>
        </is>
      </c>
      <c r="B470" t="inlineStr">
        <is>
          <t>1364.02元</t>
        </is>
      </c>
      <c r="C470" t="inlineStr">
        <is>
          <t>1499.00元</t>
        </is>
      </c>
      <c r="D470" t="inlineStr">
        <is>
          <t>134.98元</t>
        </is>
      </c>
      <c r="E470" t="inlineStr">
        <is>
          <t>9.1折</t>
        </is>
      </c>
      <c r="F470">
        <f>HYPERLINK("https://i0.hdslb.com/bfs/mall/mall/7d/29/7d29864fd57234f37d68054fe790dcc7.png", "点击查看图片")</f>
        <v/>
      </c>
      <c r="G470">
        <f>HYPERLINK("https://mall.bilibili.com/neul-next/index.html?page=magic-market_detail&amp;noTitleBar=1&amp;itemsId=111917383658&amp;from=market_index", "点击打开")</f>
        <v/>
      </c>
    </row>
    <row r="471">
      <c r="A471" t="inlineStr">
        <is>
          <t>GSAS 轻装版 Q版手办</t>
        </is>
      </c>
      <c r="B471" t="inlineStr">
        <is>
          <t>280.00元</t>
        </is>
      </c>
      <c r="C471" t="inlineStr">
        <is>
          <t>369.00元</t>
        </is>
      </c>
      <c r="D471" t="inlineStr">
        <is>
          <t>89.00元</t>
        </is>
      </c>
      <c r="E471" t="inlineStr">
        <is>
          <t>7.6折</t>
        </is>
      </c>
      <c r="F471">
        <f>HYPERLINK("https://i0.hdslb.com/bfs/mall/mall/31/c0/31c021fdf1a64306e9648dba6a1f59d7.png", "点击查看图片")</f>
        <v/>
      </c>
      <c r="G471">
        <f>HYPERLINK("https://mall.bilibili.com/neul-next/index.html?page=magic-market_detail&amp;noTitleBar=1&amp;itemsId=111912019095&amp;from=market_index", "点击打开")</f>
        <v/>
      </c>
    </row>
    <row r="472">
      <c r="A472" t="inlineStr">
        <is>
          <t>MEDICOS 绀 手办</t>
        </is>
      </c>
      <c r="B472" t="inlineStr">
        <is>
          <t>428.00元</t>
        </is>
      </c>
      <c r="C472" t="inlineStr">
        <is>
          <t>679.00元</t>
        </is>
      </c>
      <c r="D472" t="inlineStr">
        <is>
          <t>251.00元</t>
        </is>
      </c>
      <c r="E472" t="inlineStr">
        <is>
          <t>6.3折</t>
        </is>
      </c>
      <c r="F472">
        <f>HYPERLINK("https://i0.hdslb.com/bfs/mall/mall/f8/13/f813029fe36b1b300e23dfdb225e2d10.png", "点击查看图片")</f>
        <v/>
      </c>
      <c r="G472">
        <f>HYPERLINK("https://mall.bilibili.com/neul-next/index.html?page=magic-market_detail&amp;noTitleBar=1&amp;itemsId=111917310471&amp;from=market_index", "点击打开")</f>
        <v/>
      </c>
    </row>
    <row r="473">
      <c r="A473" t="inlineStr">
        <is>
          <t>GSAS 战部渡 Q版手办</t>
        </is>
      </c>
      <c r="B473" t="inlineStr">
        <is>
          <t>298.99元</t>
        </is>
      </c>
      <c r="C473" t="inlineStr">
        <is>
          <t>339.00元</t>
        </is>
      </c>
      <c r="D473" t="inlineStr">
        <is>
          <t>40.01元</t>
        </is>
      </c>
      <c r="E473" t="inlineStr">
        <is>
          <t>8.8折</t>
        </is>
      </c>
      <c r="F473">
        <f>HYPERLINK("https://i0.hdslb.com/bfs/mall/mall/e6/16/e6164a0ec5047946dd955f9b1832b7f9.png", "点击查看图片")</f>
        <v/>
      </c>
      <c r="G473">
        <f>HYPERLINK("https://mall.bilibili.com/neul-next/index.html?page=magic-market_detail&amp;noTitleBar=1&amp;itemsId=111918639383&amp;from=market_index", "点击打开")</f>
        <v/>
      </c>
    </row>
    <row r="474">
      <c r="A474" t="inlineStr">
        <is>
          <t>GSC 宝多六花 手办</t>
        </is>
      </c>
      <c r="B474" t="inlineStr">
        <is>
          <t>520.00元</t>
        </is>
      </c>
      <c r="C474" t="inlineStr">
        <is>
          <t>645.00元</t>
        </is>
      </c>
      <c r="D474" t="inlineStr">
        <is>
          <t>125.00元</t>
        </is>
      </c>
      <c r="E474" t="inlineStr">
        <is>
          <t>8.1折</t>
        </is>
      </c>
      <c r="F474">
        <f>HYPERLINK("https://i0.hdslb.com/bfs/mall/mall/7f/ed/7fed06ce3007db5737237a290427cb6e.png", "点击查看图片")</f>
        <v/>
      </c>
      <c r="G474">
        <f>HYPERLINK("https://mall.bilibili.com/neul-next/index.html?page=magic-market_detail&amp;noTitleBar=1&amp;itemsId=111902943738&amp;from=market_index", "点击打开")</f>
        <v/>
      </c>
    </row>
    <row r="475">
      <c r="A475" t="inlineStr">
        <is>
          <t>F:NEX VOCALOID 初音未来 「MIKU WITH YOU 未来有你 2024」Ver. 手办</t>
        </is>
      </c>
      <c r="B475" t="inlineStr">
        <is>
          <t>735.00元</t>
        </is>
      </c>
      <c r="C475" t="inlineStr">
        <is>
          <t>1199.00元</t>
        </is>
      </c>
      <c r="D475" t="inlineStr">
        <is>
          <t>464.00元</t>
        </is>
      </c>
      <c r="E475" t="inlineStr">
        <is>
          <t>6.1折</t>
        </is>
      </c>
      <c r="F475">
        <f>HYPERLINK("https://i0.hdslb.com/bfs/mall/mall/b1/9a/b19af12aebd78ec63592eee88f7a8904.png", "点击查看图片")</f>
        <v/>
      </c>
      <c r="G475">
        <f>HYPERLINK("https://mall.bilibili.com/neul-next/index.html?page=magic-market_detail&amp;noTitleBar=1&amp;itemsId=111919026853&amp;from=market_index", "点击打开")</f>
        <v/>
      </c>
    </row>
    <row r="476">
      <c r="A476" t="inlineStr">
        <is>
          <t xml:space="preserve">SSF 电锯人 帕瓦 手办 </t>
        </is>
      </c>
      <c r="B476" t="inlineStr">
        <is>
          <t>828.00元</t>
        </is>
      </c>
      <c r="C476" t="inlineStr">
        <is>
          <t>1299.00元</t>
        </is>
      </c>
      <c r="D476" t="inlineStr">
        <is>
          <t>471.00元</t>
        </is>
      </c>
      <c r="E476" t="inlineStr">
        <is>
          <t>6.4折</t>
        </is>
      </c>
      <c r="F476">
        <f>HYPERLINK("https://i0.hdslb.com/bfs/mall/mall/58/16/58160ca3fd8abb89a7a9b8cbcc3b1854.png", "点击查看图片")</f>
        <v/>
      </c>
      <c r="G476">
        <f>HYPERLINK("https://mall.bilibili.com/neul-next/index.html?page=magic-market_detail&amp;noTitleBar=1&amp;itemsId=111913654344&amp;from=market_index", "点击打开")</f>
        <v/>
      </c>
    </row>
    <row r="477">
      <c r="A477" t="inlineStr">
        <is>
          <t>FuRyu 橘 美花莉 正比手办</t>
        </is>
      </c>
      <c r="B477" t="inlineStr">
        <is>
          <t>310.79元</t>
        </is>
      </c>
      <c r="C477" t="inlineStr">
        <is>
          <t>439.00元</t>
        </is>
      </c>
      <c r="D477" t="inlineStr">
        <is>
          <t>128.21元</t>
        </is>
      </c>
      <c r="E477" t="inlineStr">
        <is>
          <t>7.1折</t>
        </is>
      </c>
      <c r="F477">
        <f>HYPERLINK("https://i0.hdslb.com/bfs/mall/mall/2f/50/2f501458f9eb2d01cc4855728d1bdc53.png", "点击查看图片")</f>
        <v/>
      </c>
      <c r="G477">
        <f>HYPERLINK("https://mall.bilibili.com/neul-next/index.html?page=magic-market_detail&amp;noTitleBar=1&amp;itemsId=110463332351&amp;from=market_index", "点击打开")</f>
        <v/>
      </c>
    </row>
    <row r="478">
      <c r="A478" t="inlineStr">
        <is>
          <t>Orange Rouge 卡多克·泽姆露普斯  Q版手办</t>
        </is>
      </c>
      <c r="B478" t="inlineStr">
        <is>
          <t>228.00元</t>
        </is>
      </c>
      <c r="C478" t="inlineStr">
        <is>
          <t>315.00元</t>
        </is>
      </c>
      <c r="D478" t="inlineStr">
        <is>
          <t>87.00元</t>
        </is>
      </c>
      <c r="E478" t="inlineStr">
        <is>
          <t>7.2折</t>
        </is>
      </c>
      <c r="F478">
        <f>HYPERLINK("https://i0.hdslb.com/bfs/mall/mall/27/d5/27d518c9a81bb32be882b0d1e6d1b753.png", "点击查看图片")</f>
        <v/>
      </c>
      <c r="G478">
        <f>HYPERLINK("https://mall.bilibili.com/neul-next/index.html?page=magic-market_detail&amp;noTitleBar=1&amp;itemsId=111913867858&amp;from=market_index", "点击打开")</f>
        <v/>
      </c>
    </row>
    <row r="479">
      <c r="A479" t="inlineStr">
        <is>
          <t>光菱 横山ishimi 黑兔女郎Ver. 正比手办</t>
        </is>
      </c>
      <c r="B479" t="inlineStr">
        <is>
          <t>365.00元</t>
        </is>
      </c>
      <c r="C479" t="inlineStr">
        <is>
          <t>709.00元</t>
        </is>
      </c>
      <c r="D479" t="inlineStr">
        <is>
          <t>344.00元</t>
        </is>
      </c>
      <c r="E479" t="inlineStr">
        <is>
          <t>5.1折</t>
        </is>
      </c>
      <c r="F479">
        <f>HYPERLINK("https://i0.hdslb.com/bfs/mall/mall/83/96/8396d81016f88c50368f24baa5ecf6ff.png", "点击查看图片")</f>
        <v/>
      </c>
      <c r="G479">
        <f>HYPERLINK("https://mall.bilibili.com/neul-next/index.html?page=magic-market_detail&amp;noTitleBar=1&amp;itemsId=111906927739&amp;from=market_index", "点击打开")</f>
        <v/>
      </c>
    </row>
    <row r="480">
      <c r="A480" t="inlineStr">
        <is>
          <t xml:space="preserve">枫荣FENGRONG 小克苏鲁 发呆的拉莱耶之主 手办 </t>
        </is>
      </c>
      <c r="B480" t="inlineStr">
        <is>
          <t>350.00元</t>
        </is>
      </c>
      <c r="C480" t="inlineStr">
        <is>
          <t>498.00元</t>
        </is>
      </c>
      <c r="D480" t="inlineStr">
        <is>
          <t>148.00元</t>
        </is>
      </c>
      <c r="E480" t="inlineStr">
        <is>
          <t>7.0折</t>
        </is>
      </c>
      <c r="F480">
        <f>HYPERLINK("https://i0.hdslb.com/bfs/mall/mall/eb/2e/eb2e9e268ef59b6237e3259febf9a13e.png", "点击查看图片")</f>
        <v/>
      </c>
      <c r="G480">
        <f>HYPERLINK("https://mall.bilibili.com/neul-next/index.html?page=magic-market_detail&amp;noTitleBar=1&amp;itemsId=110466691232&amp;from=market_index", "点击打开")</f>
        <v/>
      </c>
    </row>
    <row r="481">
      <c r="A481" t="inlineStr">
        <is>
          <t>GSC 凛 正比手办</t>
        </is>
      </c>
      <c r="B481" t="inlineStr">
        <is>
          <t>203.00元</t>
        </is>
      </c>
      <c r="C481" t="inlineStr">
        <is>
          <t>415.00元</t>
        </is>
      </c>
      <c r="D481" t="inlineStr">
        <is>
          <t>212.00元</t>
        </is>
      </c>
      <c r="E481" t="inlineStr">
        <is>
          <t>4.9折</t>
        </is>
      </c>
      <c r="F481">
        <f>HYPERLINK("https://i0.hdslb.com/bfs/mall/mall/fa/13/fa13038cc21b6efe01778940ce8faa1b.png", "点击查看图片")</f>
        <v/>
      </c>
      <c r="G481">
        <f>HYPERLINK("https://mall.bilibili.com/neul-next/index.html?page=magic-market_detail&amp;noTitleBar=1&amp;itemsId=106837546062&amp;from=market_index", "点击打开")</f>
        <v/>
      </c>
    </row>
    <row r="482">
      <c r="A482" t="inlineStr">
        <is>
          <t>Union Creative 王者的求婚 鸨岛喰良 手办</t>
        </is>
      </c>
      <c r="B482" t="inlineStr">
        <is>
          <t>600.00元</t>
        </is>
      </c>
      <c r="C482" t="inlineStr">
        <is>
          <t>960.00元</t>
        </is>
      </c>
      <c r="D482" t="inlineStr">
        <is>
          <t>360.00元</t>
        </is>
      </c>
      <c r="E482" t="inlineStr">
        <is>
          <t>6.2折</t>
        </is>
      </c>
      <c r="F482">
        <f>HYPERLINK("https://i0.hdslb.com/bfs/mall/mall/0c/e5/0ce5d58709cf988d7d422c2a1506bba4.png", "点击查看图片")</f>
        <v/>
      </c>
      <c r="G482">
        <f>HYPERLINK("https://mall.bilibili.com/neul-next/index.html?page=magic-market_detail&amp;noTitleBar=1&amp;itemsId=111911654120&amp;from=market_index", "点击打开")</f>
        <v/>
      </c>
    </row>
    <row r="483">
      <c r="A483" t="inlineStr">
        <is>
          <t>GSAS 本间芽衣子 正比手办</t>
        </is>
      </c>
      <c r="B483" t="inlineStr">
        <is>
          <t>239.00元</t>
        </is>
      </c>
      <c r="C483" t="inlineStr">
        <is>
          <t>245.00元</t>
        </is>
      </c>
      <c r="D483" t="inlineStr">
        <is>
          <t>6.00元</t>
        </is>
      </c>
      <c r="E483" t="inlineStr">
        <is>
          <t>9.8折</t>
        </is>
      </c>
      <c r="F483">
        <f>HYPERLINK("https://i0.hdslb.com/bfs/mall/mall/c5/99/c599d75c6796d94b99ec49790f47f33d.png", "点击查看图片")</f>
        <v/>
      </c>
      <c r="G483">
        <f>HYPERLINK("https://mall.bilibili.com/neul-next/index.html?page=magic-market_detail&amp;noTitleBar=1&amp;itemsId=120670571101&amp;from=market_index", "点击打开")</f>
        <v/>
      </c>
    </row>
    <row r="484">
      <c r="A484" t="inlineStr">
        <is>
          <t>F:NEX 孤独摇滚！ 后藤独 手办</t>
        </is>
      </c>
      <c r="B484" t="inlineStr">
        <is>
          <t>580.00元</t>
        </is>
      </c>
      <c r="C484" t="inlineStr">
        <is>
          <t>850.00元</t>
        </is>
      </c>
      <c r="D484" t="inlineStr">
        <is>
          <t>270.00元</t>
        </is>
      </c>
      <c r="E484" t="inlineStr">
        <is>
          <t>6.8折</t>
        </is>
      </c>
      <c r="F484">
        <f>HYPERLINK("https://i0.hdslb.com/bfs/mall/mall/62/44/6244c49d15caa8739a399a0afaa493fe.png", "点击查看图片")</f>
        <v/>
      </c>
      <c r="G484">
        <f>HYPERLINK("https://mall.bilibili.com/neul-next/index.html?page=magic-market_detail&amp;noTitleBar=1&amp;itemsId=111914206884&amp;from=market_index", "点击打开")</f>
        <v/>
      </c>
    </row>
    <row r="485">
      <c r="A485" t="inlineStr">
        <is>
          <t>AmiAmi×AMAKUNI 新世纪福音战士 绫波零 手办</t>
        </is>
      </c>
      <c r="B485" t="inlineStr">
        <is>
          <t>845.00元</t>
        </is>
      </c>
      <c r="C485" t="inlineStr">
        <is>
          <t>1029.00元</t>
        </is>
      </c>
      <c r="D485" t="inlineStr">
        <is>
          <t>184.00元</t>
        </is>
      </c>
      <c r="E485" t="inlineStr">
        <is>
          <t>8.2折</t>
        </is>
      </c>
      <c r="F485">
        <f>HYPERLINK("https://i0.hdslb.com/bfs/mall/mall/98/c0/98c00b6ec87bd2b57a46fc08874a3a75.png", "点击查看图片")</f>
        <v/>
      </c>
      <c r="G485">
        <f>HYPERLINK("https://mall.bilibili.com/neul-next/index.html?page=magic-market_detail&amp;noTitleBar=1&amp;itemsId=106795052415&amp;from=market_index", "点击打开")</f>
        <v/>
      </c>
    </row>
    <row r="486">
      <c r="A486" t="inlineStr">
        <is>
          <t>Union Creative 治愈系白色旗袍姐姐 手办</t>
        </is>
      </c>
      <c r="B486" t="inlineStr">
        <is>
          <t>498.88元</t>
        </is>
      </c>
      <c r="C486" t="inlineStr">
        <is>
          <t>750.00元</t>
        </is>
      </c>
      <c r="D486" t="inlineStr">
        <is>
          <t>251.12元</t>
        </is>
      </c>
      <c r="E486" t="inlineStr">
        <is>
          <t>6.7折</t>
        </is>
      </c>
      <c r="F486">
        <f>HYPERLINK("https://i0.hdslb.com/bfs/mall/mall/f0/71/f0717d4bb58d0af1aa7abed02d0297de.png", "点击查看图片")</f>
        <v/>
      </c>
      <c r="G486">
        <f>HYPERLINK("https://mall.bilibili.com/neul-next/index.html?page=magic-market_detail&amp;noTitleBar=1&amp;itemsId=111911233465&amp;from=market_index", "点击打开")</f>
        <v/>
      </c>
    </row>
    <row r="487">
      <c r="A487" t="inlineStr">
        <is>
          <t>BNTSH BNFigure 精灵宝可梦 皮卡丘 手办</t>
        </is>
      </c>
      <c r="B487" t="inlineStr">
        <is>
          <t>458.00元</t>
        </is>
      </c>
      <c r="C487" t="inlineStr">
        <is>
          <t>499.00元</t>
        </is>
      </c>
      <c r="D487" t="inlineStr">
        <is>
          <t>41.00元</t>
        </is>
      </c>
      <c r="E487" t="inlineStr">
        <is>
          <t>9.2折</t>
        </is>
      </c>
      <c r="F487">
        <f>HYPERLINK("https://i0.hdslb.com/bfs/mall/mall/a9/ff/a9ff8b5b8eda565b262a355f97ccd5a4.png", "点击查看图片")</f>
        <v/>
      </c>
      <c r="G487">
        <f>HYPERLINK("https://mall.bilibili.com/neul-next/index.html?page=magic-market_detail&amp;noTitleBar=1&amp;itemsId=110462592497&amp;from=market_index", "点击打开")</f>
        <v/>
      </c>
    </row>
    <row r="488">
      <c r="A488" t="inlineStr">
        <is>
          <t>GSC 哆哆 Q版手办</t>
        </is>
      </c>
      <c r="B488" t="inlineStr">
        <is>
          <t>188.00元</t>
        </is>
      </c>
      <c r="C488" t="inlineStr">
        <is>
          <t>285.00元</t>
        </is>
      </c>
      <c r="D488" t="inlineStr">
        <is>
          <t>97.00元</t>
        </is>
      </c>
      <c r="E488" t="inlineStr">
        <is>
          <t>6.6折</t>
        </is>
      </c>
      <c r="F488">
        <f>HYPERLINK("https://i0.hdslb.com/bfs/mall/mall/d7/f5/d7f587a9be97e1cbc0ff0644cfdd00ee.png", "点击查看图片")</f>
        <v/>
      </c>
      <c r="G488">
        <f>HYPERLINK("https://mall.bilibili.com/neul-next/index.html?page=magic-market_detail&amp;noTitleBar=1&amp;itemsId=109884225558&amp;from=market_index", "点击打开")</f>
        <v/>
      </c>
    </row>
    <row r="489">
      <c r="A489" t="inlineStr">
        <is>
          <t>AFORCE 春日野穹 正比手办</t>
        </is>
      </c>
      <c r="B489" t="inlineStr">
        <is>
          <t>560.00元</t>
        </is>
      </c>
      <c r="C489" t="inlineStr">
        <is>
          <t>699.00元</t>
        </is>
      </c>
      <c r="D489" t="inlineStr">
        <is>
          <t>139.00元</t>
        </is>
      </c>
      <c r="E489" t="inlineStr">
        <is>
          <t>8.0折</t>
        </is>
      </c>
      <c r="F489">
        <f>HYPERLINK("https://i0.hdslb.com/bfs/mall/mall/2c/35/2c35ed222f32da3cb61c9f49b6d4aad1.png", "点击查看图片")</f>
        <v/>
      </c>
      <c r="G489">
        <f>HYPERLINK("https://mall.bilibili.com/neul-next/index.html?page=magic-market_detail&amp;noTitleBar=1&amp;itemsId=111919455517&amp;from=market_index", "点击打开")</f>
        <v/>
      </c>
    </row>
    <row r="490">
      <c r="A490" t="inlineStr">
        <is>
          <t>角川 莉雅丝·吉蒙里 护士服Ver. 手办</t>
        </is>
      </c>
      <c r="B490" t="inlineStr">
        <is>
          <t>600.00元</t>
        </is>
      </c>
      <c r="C490" t="inlineStr">
        <is>
          <t>999.00元</t>
        </is>
      </c>
      <c r="D490" t="inlineStr">
        <is>
          <t>399.00元</t>
        </is>
      </c>
      <c r="E490" t="inlineStr">
        <is>
          <t>6.0折</t>
        </is>
      </c>
      <c r="F490">
        <f>HYPERLINK("https://i0.hdslb.com/bfs/mall/mall/dc/8a/dc8a27c46d401677bfc59c50e8311a42.png", "点击查看图片")</f>
        <v/>
      </c>
      <c r="G490">
        <f>HYPERLINK("https://mall.bilibili.com/neul-next/index.html?page=magic-market_detail&amp;noTitleBar=1&amp;itemsId=111920209741&amp;from=market_index", "点击打开")</f>
        <v/>
      </c>
    </row>
    <row r="491">
      <c r="A491" t="inlineStr">
        <is>
          <t>GSC 一之濑明日奈 Q版手办</t>
        </is>
      </c>
      <c r="B491" t="inlineStr">
        <is>
          <t>215.00元</t>
        </is>
      </c>
      <c r="C491" t="inlineStr">
        <is>
          <t>345.00元</t>
        </is>
      </c>
      <c r="D491" t="inlineStr">
        <is>
          <t>130.00元</t>
        </is>
      </c>
      <c r="E491" t="inlineStr">
        <is>
          <t>6.2折</t>
        </is>
      </c>
      <c r="F491">
        <f>HYPERLINK("https://i0.hdslb.com/bfs/mall/mall/1c/76/1c765968b3eb0730ba8a816a3331dbd0.png", "点击查看图片")</f>
        <v/>
      </c>
      <c r="G491">
        <f>HYPERLINK("https://mall.bilibili.com/neul-next/index.html?page=magic-market_detail&amp;noTitleBar=1&amp;itemsId=111906910862&amp;from=market_index", "点击打开")</f>
        <v/>
      </c>
    </row>
    <row r="492">
      <c r="A492" t="inlineStr">
        <is>
          <t>F:NEX Re:从零开始的异世界生活 雷姆 田园风情ver. 手办</t>
        </is>
      </c>
      <c r="B492" t="inlineStr">
        <is>
          <t>928.00元</t>
        </is>
      </c>
      <c r="C492" t="inlineStr">
        <is>
          <t>1299.00元</t>
        </is>
      </c>
      <c r="D492" t="inlineStr">
        <is>
          <t>371.00元</t>
        </is>
      </c>
      <c r="E492" t="inlineStr">
        <is>
          <t>7.1折</t>
        </is>
      </c>
      <c r="F492">
        <f>HYPERLINK("https://i0.hdslb.com/bfs/mall/mall/67/af/67af7a72e2ca439cc6fbee0fbb5a9fef.png", "点击查看图片")</f>
        <v/>
      </c>
      <c r="G492">
        <f>HYPERLINK("https://mall.bilibili.com/neul-next/index.html?page=magic-market_detail&amp;noTitleBar=1&amp;itemsId=110475891074&amp;from=market_index", "点击打开")</f>
        <v/>
      </c>
    </row>
    <row r="493">
      <c r="A493" t="inlineStr">
        <is>
          <t>Max Factory 沙花叉克萝伊 可动手办</t>
        </is>
      </c>
      <c r="B493" t="inlineStr">
        <is>
          <t>499.00元</t>
        </is>
      </c>
      <c r="C493" t="inlineStr">
        <is>
          <t>605.00元</t>
        </is>
      </c>
      <c r="D493" t="inlineStr">
        <is>
          <t>106.00元</t>
        </is>
      </c>
      <c r="E493" t="inlineStr">
        <is>
          <t>8.2折</t>
        </is>
      </c>
      <c r="F493">
        <f>HYPERLINK("https://i0.hdslb.com/bfs/mall/mall/e1/e5/e1e5d0536f11732ada02e943d448416b.png", "点击查看图片")</f>
        <v/>
      </c>
      <c r="G493">
        <f>HYPERLINK("https://mall.bilibili.com/neul-next/index.html?page=magic-market_detail&amp;noTitleBar=1&amp;itemsId=111915735269&amp;from=market_index", "点击打开")</f>
        <v/>
      </c>
    </row>
    <row r="494">
      <c r="A494" t="inlineStr">
        <is>
          <t>Union Creative 物语系列-猫物语（黑） 黑羽川&amp;羽川翼 手办 再版</t>
        </is>
      </c>
      <c r="B494" t="inlineStr">
        <is>
          <t>699.00元</t>
        </is>
      </c>
      <c r="C494" t="inlineStr">
        <is>
          <t>1035.00元</t>
        </is>
      </c>
      <c r="D494" t="inlineStr">
        <is>
          <t>336.00元</t>
        </is>
      </c>
      <c r="E494" t="inlineStr">
        <is>
          <t>6.8折</t>
        </is>
      </c>
      <c r="F494">
        <f>HYPERLINK("https://i0.hdslb.com/bfs/mall/mall/ed/4b/ed4bee50f9d8c534e6bb8011aff0b91b.png", "点击查看图片")</f>
        <v/>
      </c>
      <c r="G494">
        <f>HYPERLINK("https://mall.bilibili.com/neul-next/index.html?page=magic-market_detail&amp;noTitleBar=1&amp;itemsId=110480431490&amp;from=market_index", "点击打开")</f>
        <v/>
      </c>
    </row>
    <row r="495">
      <c r="A495" t="inlineStr">
        <is>
          <t>TAITO 星野爱 B小町ver. 景品手办</t>
        </is>
      </c>
      <c r="B495" t="inlineStr">
        <is>
          <t>112.00元</t>
        </is>
      </c>
      <c r="C495" t="inlineStr">
        <is>
          <t>112.00元</t>
        </is>
      </c>
      <c r="D495" t="inlineStr">
        <is>
          <t>0.00元</t>
        </is>
      </c>
      <c r="E495" t="inlineStr">
        <is>
          <t>10.0折</t>
        </is>
      </c>
      <c r="F495">
        <f>HYPERLINK("https://i0.hdslb.com/bfs/mall/mall/e6/ee/e6ee88d9a15ed920a527a8b7b1749733.png", "点击查看图片")</f>
        <v/>
      </c>
      <c r="G495">
        <f>HYPERLINK("https://mall.bilibili.com/neul-next/index.html?page=magic-market_detail&amp;noTitleBar=1&amp;itemsId=109844871980&amp;from=market_index", "点击打开")</f>
        <v/>
      </c>
    </row>
    <row r="496">
      <c r="A496" t="inlineStr">
        <is>
          <t>寿屋 想要成为影之实力者！ 德尔塔 片尾曲ver. 手办</t>
        </is>
      </c>
      <c r="B496" t="inlineStr">
        <is>
          <t>699.00元</t>
        </is>
      </c>
      <c r="C496" t="inlineStr">
        <is>
          <t>830.00元</t>
        </is>
      </c>
      <c r="D496" t="inlineStr">
        <is>
          <t>131.00元</t>
        </is>
      </c>
      <c r="E496" t="inlineStr">
        <is>
          <t>8.4折</t>
        </is>
      </c>
      <c r="F496">
        <f>HYPERLINK("https://i0.hdslb.com/bfs/mall/mall/66/59/6659e270c698d4b6cf358098f66001cb.png", "点击查看图片")</f>
        <v/>
      </c>
      <c r="G496">
        <f>HYPERLINK("https://mall.bilibili.com/neul-next/index.html?page=magic-market_detail&amp;noTitleBar=1&amp;itemsId=111905614806&amp;from=market_index", "点击打开")</f>
        <v/>
      </c>
    </row>
    <row r="497">
      <c r="A497" t="inlineStr">
        <is>
          <t>GSC 咒术回战五条悟 Q版手办</t>
        </is>
      </c>
      <c r="B497" t="inlineStr">
        <is>
          <t>169.99元</t>
        </is>
      </c>
      <c r="C497" t="inlineStr">
        <is>
          <t>170.00元</t>
        </is>
      </c>
      <c r="D497" t="inlineStr">
        <is>
          <t>0.01元</t>
        </is>
      </c>
      <c r="E497" t="inlineStr">
        <is>
          <t>10.0折</t>
        </is>
      </c>
      <c r="F497">
        <f>HYPERLINK("https://i0.hdslb.com/bfs/mall/mall/45/81/458131d66ccaaf1845c9de5c708b5378.png", "点击查看图片")</f>
        <v/>
      </c>
      <c r="G497">
        <f>HYPERLINK("https://mall.bilibili.com/neul-next/index.html?page=magic-market_detail&amp;noTitleBar=1&amp;itemsId=109847296042&amp;from=market_index", "点击打开")</f>
        <v/>
      </c>
    </row>
    <row r="498">
      <c r="A498" t="inlineStr">
        <is>
          <t>角川 我推的孩子 星野爱 手办</t>
        </is>
      </c>
      <c r="B498" t="inlineStr">
        <is>
          <t>665.52元</t>
        </is>
      </c>
      <c r="C498" t="inlineStr">
        <is>
          <t>999.00元</t>
        </is>
      </c>
      <c r="D498" t="inlineStr">
        <is>
          <t>333.48元</t>
        </is>
      </c>
      <c r="E498" t="inlineStr">
        <is>
          <t>6.7折</t>
        </is>
      </c>
      <c r="F498">
        <f>HYPERLINK("https://i0.hdslb.com/bfs/mall/mall/d1/25/d12540d9f1e8883c230eb06350b28f57.png", "点击查看图片")</f>
        <v/>
      </c>
      <c r="G498">
        <f>HYPERLINK("https://mall.bilibili.com/neul-next/index.html?page=magic-market_detail&amp;noTitleBar=1&amp;itemsId=110469382547&amp;from=market_index", "点击打开")</f>
        <v/>
      </c>
    </row>
    <row r="499">
      <c r="A499" t="inlineStr">
        <is>
          <t>ANIPLEX+ 亚丝娜 手办</t>
        </is>
      </c>
      <c r="B499" t="inlineStr">
        <is>
          <t>758.00元</t>
        </is>
      </c>
      <c r="C499" t="inlineStr">
        <is>
          <t>960.00元</t>
        </is>
      </c>
      <c r="D499" t="inlineStr">
        <is>
          <t>202.00元</t>
        </is>
      </c>
      <c r="E499" t="inlineStr">
        <is>
          <t>7.9折</t>
        </is>
      </c>
      <c r="F499">
        <f>HYPERLINK("https://i0.hdslb.com/bfs/mall/mall/9b/ab/9babf901ad334f898917669f35f0993c.png", "点击查看图片")</f>
        <v/>
      </c>
      <c r="G499">
        <f>HYPERLINK("https://mall.bilibili.com/neul-next/index.html?page=magic-market_detail&amp;noTitleBar=1&amp;itemsId=110480454332&amp;from=market_index", "点击打开")</f>
        <v/>
      </c>
    </row>
    <row r="500">
      <c r="A500" t="inlineStr">
        <is>
          <t>擎苍 洛天依 Q版手办</t>
        </is>
      </c>
      <c r="B500" t="inlineStr">
        <is>
          <t>189.99元</t>
        </is>
      </c>
      <c r="C500" t="inlineStr">
        <is>
          <t>199.00元</t>
        </is>
      </c>
      <c r="D500" t="inlineStr">
        <is>
          <t>9.01元</t>
        </is>
      </c>
      <c r="E500" t="inlineStr">
        <is>
          <t>9.5折</t>
        </is>
      </c>
      <c r="F500">
        <f>HYPERLINK("https://i0.hdslb.com/bfs/mall/mall/fc/ac/fcac5d6d3d97e35df6bb9cb733d32aef.png", "点击查看图片")</f>
        <v/>
      </c>
      <c r="G500">
        <f>HYPERLINK("https://mall.bilibili.com/neul-next/index.html?page=magic-market_detail&amp;noTitleBar=1&amp;itemsId=111905455498&amp;from=market_index", "点击打开")</f>
        <v/>
      </c>
    </row>
    <row r="501">
      <c r="A501" t="inlineStr">
        <is>
          <t>宝可梦 梦幻 正比手办</t>
        </is>
      </c>
      <c r="B501" t="inlineStr">
        <is>
          <t>39.00元</t>
        </is>
      </c>
      <c r="C501" t="inlineStr">
        <is>
          <t>69.00元</t>
        </is>
      </c>
      <c r="D501" t="inlineStr">
        <is>
          <t>30.00元</t>
        </is>
      </c>
      <c r="E501" t="inlineStr">
        <is>
          <t>5.7折</t>
        </is>
      </c>
      <c r="F501">
        <f>HYPERLINK("https://i0.hdslb.com/bfs/mall/mall/c1/71/c171a61b619a715ea6fd549168fb6e02.png", "点击查看图片")</f>
        <v/>
      </c>
      <c r="G501">
        <f>HYPERLINK("https://mall.bilibili.com/neul-next/index.html?page=magic-market_detail&amp;noTitleBar=1&amp;itemsId=107097982765&amp;from=market_index", "点击打开")</f>
        <v/>
      </c>
    </row>
    <row r="502">
      <c r="A502" t="inlineStr">
        <is>
          <t>TAITO 时崎狂三 小悪魔ver.Renewal 景品手办</t>
        </is>
      </c>
      <c r="B502" t="inlineStr">
        <is>
          <t>100.90元</t>
        </is>
      </c>
      <c r="C502" t="inlineStr">
        <is>
          <t>112.00元</t>
        </is>
      </c>
      <c r="D502" t="inlineStr">
        <is>
          <t>11.10元</t>
        </is>
      </c>
      <c r="E502" t="inlineStr">
        <is>
          <t>9.0折</t>
        </is>
      </c>
      <c r="F502">
        <f>HYPERLINK("https://i0.hdslb.com/bfs/mall/mall/05/1a/051ab6eb0779dde0ff6790e16bbd1094.png", "点击查看图片")</f>
        <v/>
      </c>
      <c r="G502">
        <f>HYPERLINK("https://mall.bilibili.com/neul-next/index.html?page=magic-market_detail&amp;noTitleBar=1&amp;itemsId=111906833427&amp;from=market_index", "点击打开")</f>
        <v/>
      </c>
    </row>
    <row r="503">
      <c r="A503" t="inlineStr">
        <is>
          <t>Alice Glint 貅 需要少冰吗？ 正比手办 普通版</t>
        </is>
      </c>
      <c r="B503" t="inlineStr">
        <is>
          <t>988.00元</t>
        </is>
      </c>
      <c r="C503" t="inlineStr">
        <is>
          <t>1190.00元</t>
        </is>
      </c>
      <c r="D503" t="inlineStr">
        <is>
          <t>202.00元</t>
        </is>
      </c>
      <c r="E503" t="inlineStr">
        <is>
          <t>8.3折</t>
        </is>
      </c>
      <c r="F503">
        <f>HYPERLINK("https://i0.hdslb.com/bfs/mall/mall/e1/bd/e1bdbaf6c3373345ac87be2699ceff8f.png", "点击查看图片")</f>
        <v/>
      </c>
      <c r="G503">
        <f>HYPERLINK("https://mall.bilibili.com/neul-next/index.html?page=magic-market_detail&amp;noTitleBar=1&amp;itemsId=111916330706&amp;from=market_index", "点击打开")</f>
        <v/>
      </c>
    </row>
    <row r="504">
      <c r="A504" t="inlineStr">
        <is>
          <t>角川 青春猪头少年不会梦到兔女郎学姐 樱岛麻衣 高校毕业ver. &amp; 红书包女孩 手办</t>
        </is>
      </c>
      <c r="B504" t="inlineStr">
        <is>
          <t>520.00元</t>
        </is>
      </c>
      <c r="C504" t="inlineStr">
        <is>
          <t>710.00元</t>
        </is>
      </c>
      <c r="D504" t="inlineStr">
        <is>
          <t>190.00元</t>
        </is>
      </c>
      <c r="E504" t="inlineStr">
        <is>
          <t>7.3折</t>
        </is>
      </c>
      <c r="F504">
        <f>HYPERLINK("https://i0.hdslb.com/bfs/mall/mall/cc/d5/ccd53a5d4d032645762623a932fa6a9b.png", "点击查看图片")</f>
        <v/>
      </c>
      <c r="G504">
        <f>HYPERLINK("https://mall.bilibili.com/neul-next/index.html?page=magic-market_detail&amp;noTitleBar=1&amp;itemsId=111919252893&amp;from=market_index", "点击打开")</f>
        <v/>
      </c>
    </row>
    <row r="505">
      <c r="A505" t="inlineStr">
        <is>
          <t>FREEing 碧蓝航线 曼彻斯特 白衣“恶魔”的狂欢夜ver. 1/4手办</t>
        </is>
      </c>
      <c r="B505" t="inlineStr">
        <is>
          <t>1199.00元</t>
        </is>
      </c>
      <c r="C505" t="inlineStr">
        <is>
          <t>1550.00元</t>
        </is>
      </c>
      <c r="D505" t="inlineStr">
        <is>
          <t>351.00元</t>
        </is>
      </c>
      <c r="E505" t="inlineStr">
        <is>
          <t>7.7折</t>
        </is>
      </c>
      <c r="F505">
        <f>HYPERLINK("https://i0.hdslb.com/bfs/mall/mall/90/c4/90c45a59aecb7a1b9d0846da9eda46c7.png", "点击查看图片")</f>
        <v/>
      </c>
      <c r="G505">
        <f>HYPERLINK("https://mall.bilibili.com/neul-next/index.html?page=magic-market_detail&amp;noTitleBar=1&amp;itemsId=111913417268&amp;from=market_index", "点击打开")</f>
        <v/>
      </c>
    </row>
    <row r="506">
      <c r="A506" t="inlineStr">
        <is>
          <t>TAITO 黑川茜 景品手办</t>
        </is>
      </c>
      <c r="B506" t="inlineStr">
        <is>
          <t>224.00元</t>
        </is>
      </c>
      <c r="C506" t="inlineStr">
        <is>
          <t>415.00元</t>
        </is>
      </c>
      <c r="D506" t="inlineStr">
        <is>
          <t>191.00元</t>
        </is>
      </c>
      <c r="E506" t="inlineStr">
        <is>
          <t>5.4折</t>
        </is>
      </c>
      <c r="F506">
        <f>HYPERLINK("https://i0.hdslb.com/bfs/mall/mall/79/62/7962b7412341660ce4950f5b39a44dea.png", "点击查看图片")</f>
        <v/>
      </c>
      <c r="G506">
        <f>HYPERLINK("https://mall.bilibili.com/neul-next/index.html?page=magic-market_detail&amp;noTitleBar=1&amp;itemsId=106989455108&amp;from=market_index", "点击打开")</f>
        <v/>
      </c>
    </row>
    <row r="507">
      <c r="A507" t="inlineStr">
        <is>
          <t>箱娘 哥布林猎人 女神官 手办</t>
        </is>
      </c>
      <c r="B507" t="inlineStr">
        <is>
          <t>699.00元</t>
        </is>
      </c>
      <c r="C507" t="inlineStr">
        <is>
          <t>1199.00元</t>
        </is>
      </c>
      <c r="D507" t="inlineStr">
        <is>
          <t>500.00元</t>
        </is>
      </c>
      <c r="E507" t="inlineStr">
        <is>
          <t>5.8折</t>
        </is>
      </c>
      <c r="F507">
        <f>HYPERLINK("https://i0.hdslb.com/bfs/mall/mall/9e/5d/9e5d12123fda0ea298d2103373fe9448.png", "点击查看图片")</f>
        <v/>
      </c>
      <c r="G507">
        <f>HYPERLINK("https://mall.bilibili.com/neul-next/index.html?page=magic-market_detail&amp;noTitleBar=1&amp;itemsId=111915784841&amp;from=market_index", "点击打开")</f>
        <v/>
      </c>
    </row>
    <row r="508">
      <c r="A508" t="inlineStr">
        <is>
          <t>阅文好物 萧薰儿 清水芙蓉  Q版手办</t>
        </is>
      </c>
      <c r="B508" t="inlineStr">
        <is>
          <t>104.99元</t>
        </is>
      </c>
      <c r="C508" t="inlineStr">
        <is>
          <t>199.00元</t>
        </is>
      </c>
      <c r="D508" t="inlineStr">
        <is>
          <t>94.01元</t>
        </is>
      </c>
      <c r="E508" t="inlineStr">
        <is>
          <t>5.3折</t>
        </is>
      </c>
      <c r="F508">
        <f>HYPERLINK("https://i0.hdslb.com/bfs/mall/mall/55/c6/55c69a3c16a5b0b8e32d29a56933486a.png", "点击查看图片")</f>
        <v/>
      </c>
      <c r="G508">
        <f>HYPERLINK("https://mall.bilibili.com/neul-next/index.html?page=magic-market_detail&amp;noTitleBar=1&amp;itemsId=109844916759&amp;from=market_index", "点击打开")</f>
        <v/>
      </c>
    </row>
    <row r="509">
      <c r="A509" t="inlineStr">
        <is>
          <t>GSC 狛枝凪斗 Q版手办</t>
        </is>
      </c>
      <c r="B509" t="inlineStr">
        <is>
          <t>263.86元</t>
        </is>
      </c>
      <c r="C509" t="inlineStr">
        <is>
          <t>325.00元</t>
        </is>
      </c>
      <c r="D509" t="inlineStr">
        <is>
          <t>61.14元</t>
        </is>
      </c>
      <c r="E509" t="inlineStr">
        <is>
          <t>8.1折</t>
        </is>
      </c>
      <c r="F509">
        <f>HYPERLINK("https://i0.hdslb.com/bfs/mall/mall/63/dc/63dcfbad5b23b54ffa31b80c1f206810.png", "点击查看图片")</f>
        <v/>
      </c>
      <c r="G509">
        <f>HYPERLINK("https://mall.bilibili.com/neul-next/index.html?page=magic-market_detail&amp;noTitleBar=1&amp;itemsId=111916057959&amp;from=market_index", "点击打开")</f>
        <v/>
      </c>
    </row>
    <row r="510">
      <c r="A510" t="inlineStr">
        <is>
          <t>FuRyu 中野四叶 国风公主 景品手办</t>
        </is>
      </c>
      <c r="B510" t="inlineStr">
        <is>
          <t>109.00元</t>
        </is>
      </c>
      <c r="C510" t="inlineStr">
        <is>
          <t>135.00元</t>
        </is>
      </c>
      <c r="D510" t="inlineStr">
        <is>
          <t>26.00元</t>
        </is>
      </c>
      <c r="E510" t="inlineStr">
        <is>
          <t>8.1折</t>
        </is>
      </c>
      <c r="F510">
        <f>HYPERLINK("https://i0.hdslb.com/bfs/mall/mall/88/b8/88b8831c4654b91dcefc2946b4b01aa1.png", "点击查看图片")</f>
        <v/>
      </c>
      <c r="G510">
        <f>HYPERLINK("https://mall.bilibili.com/neul-next/index.html?page=magic-market_detail&amp;noTitleBar=1&amp;itemsId=111912079966&amp;from=market_index", "点击打开")</f>
        <v/>
      </c>
    </row>
    <row r="511">
      <c r="A511" t="inlineStr">
        <is>
          <t>FIIL 钛空灰 耳机</t>
        </is>
      </c>
      <c r="B511" t="inlineStr">
        <is>
          <t>1900.00元</t>
        </is>
      </c>
      <c r="C511" t="inlineStr">
        <is>
          <t>1912.00元</t>
        </is>
      </c>
      <c r="D511" t="inlineStr">
        <is>
          <t>12.00元</t>
        </is>
      </c>
      <c r="E511" t="inlineStr">
        <is>
          <t>9.9折</t>
        </is>
      </c>
      <c r="F511">
        <f>HYPERLINK("https://i0.hdslb.com/bfs/mall/vendor/e1/28/e12856623942cec88fd0c0ef040f6e4b.png", "点击查看图片")</f>
        <v/>
      </c>
      <c r="G511">
        <f>HYPERLINK("https://mall.bilibili.com/neul-next/index.html?page=magic-market_detail&amp;noTitleBar=1&amp;itemsId=106794119707&amp;from=market_index", "点击打开")</f>
        <v/>
      </c>
    </row>
    <row r="512">
      <c r="A512" t="inlineStr">
        <is>
          <t>Max Factory 涩谷香音 可动手办</t>
        </is>
      </c>
      <c r="B512" t="inlineStr">
        <is>
          <t>238.00元</t>
        </is>
      </c>
      <c r="C512" t="inlineStr">
        <is>
          <t>359.00元</t>
        </is>
      </c>
      <c r="D512" t="inlineStr">
        <is>
          <t>121.00元</t>
        </is>
      </c>
      <c r="E512" t="inlineStr">
        <is>
          <t>6.6折</t>
        </is>
      </c>
      <c r="F512">
        <f>HYPERLINK("https://i0.hdslb.com/bfs/mall/mall/2b/f6/2bf638781f9a9040f9dad1b7559a3f70.png", "点击查看图片")</f>
        <v/>
      </c>
      <c r="G512">
        <f>HYPERLINK("https://mall.bilibili.com/neul-next/index.html?page=magic-market_detail&amp;noTitleBar=1&amp;itemsId=109817928987&amp;from=market_index", "点击打开")</f>
        <v/>
      </c>
    </row>
    <row r="513">
      <c r="A513" t="inlineStr">
        <is>
          <t>宝可梦 太阳伊布 正比手办</t>
        </is>
      </c>
      <c r="B513" t="inlineStr">
        <is>
          <t>148.00元</t>
        </is>
      </c>
      <c r="C513" t="inlineStr">
        <is>
          <t>269.00元</t>
        </is>
      </c>
      <c r="D513" t="inlineStr">
        <is>
          <t>121.00元</t>
        </is>
      </c>
      <c r="E513" t="inlineStr">
        <is>
          <t>5.5折</t>
        </is>
      </c>
      <c r="F513">
        <f>HYPERLINK("https://i0.hdslb.com/bfs/mall/mall/7f/90/7f904661dce81f38e84c27d735535a8b.png", "点击查看图片")</f>
        <v/>
      </c>
      <c r="G513">
        <f>HYPERLINK("https://mall.bilibili.com/neul-next/index.html?page=magic-market_detail&amp;noTitleBar=1&amp;itemsId=111918004861&amp;from=market_index", "点击打开")</f>
        <v/>
      </c>
    </row>
    <row r="514">
      <c r="A514" t="inlineStr">
        <is>
          <t>角川 伽摩 手办</t>
        </is>
      </c>
      <c r="B514" t="inlineStr">
        <is>
          <t>1555.00元</t>
        </is>
      </c>
      <c r="C514" t="inlineStr">
        <is>
          <t>2173.00元</t>
        </is>
      </c>
      <c r="D514" t="inlineStr">
        <is>
          <t>618.00元</t>
        </is>
      </c>
      <c r="E514" t="inlineStr">
        <is>
          <t>7.2折</t>
        </is>
      </c>
      <c r="F514">
        <f>HYPERLINK("https://i0.hdslb.com/bfs/mall/mall/12/dd/12ddaca1f733234e48888d5c8166e430.png", "点击查看图片")</f>
        <v/>
      </c>
      <c r="G514">
        <f>HYPERLINK("https://mall.bilibili.com/neul-next/index.html?page=magic-market_detail&amp;noTitleBar=1&amp;itemsId=109881578714&amp;from=market_index", "点击打开")</f>
        <v/>
      </c>
    </row>
    <row r="515">
      <c r="A515" t="inlineStr">
        <is>
          <t>GSC 初音未来 Q版手办</t>
        </is>
      </c>
      <c r="B515" t="inlineStr">
        <is>
          <t>300.00元</t>
        </is>
      </c>
      <c r="C515" t="inlineStr">
        <is>
          <t>425.00元</t>
        </is>
      </c>
      <c r="D515" t="inlineStr">
        <is>
          <t>125.00元</t>
        </is>
      </c>
      <c r="E515" t="inlineStr">
        <is>
          <t>7.1折</t>
        </is>
      </c>
      <c r="F515">
        <f>HYPERLINK("https://i0.hdslb.com/bfs/mall/mall/41/f5/41f53ce33df8025ad391c783adab847d.png", "点击查看图片")</f>
        <v/>
      </c>
      <c r="G515">
        <f>HYPERLINK("https://mall.bilibili.com/neul-next/index.html?page=magic-market_detail&amp;noTitleBar=1&amp;itemsId=111916618770&amp;from=market_index", "点击打开")</f>
        <v/>
      </c>
    </row>
    <row r="516">
      <c r="A516" t="inlineStr">
        <is>
          <t>F:NEX 魔卡少女樱 木之本樱 动画25周年纪念ver. 1/7手办</t>
        </is>
      </c>
      <c r="B516" t="inlineStr">
        <is>
          <t>768.00元</t>
        </is>
      </c>
      <c r="C516" t="inlineStr">
        <is>
          <t>850.00元</t>
        </is>
      </c>
      <c r="D516" t="inlineStr">
        <is>
          <t>82.00元</t>
        </is>
      </c>
      <c r="E516" t="inlineStr">
        <is>
          <t>9.0折</t>
        </is>
      </c>
      <c r="F516">
        <f>HYPERLINK("https://i0.hdslb.com/bfs/mall/mall/4b/46/4b46f73990d69daf28c7402478702267.png", "点击查看图片")</f>
        <v/>
      </c>
      <c r="G516">
        <f>HYPERLINK("https://mall.bilibili.com/neul-next/index.html?page=magic-market_detail&amp;noTitleBar=1&amp;itemsId=111904598412&amp;from=market_index", "点击打开")</f>
        <v/>
      </c>
    </row>
    <row r="517">
      <c r="A517" t="inlineStr">
        <is>
          <t>Plum 命运-冠位指定 枪兵-斯卡哈 手办 再版</t>
        </is>
      </c>
      <c r="B517" t="inlineStr">
        <is>
          <t>488.00元</t>
        </is>
      </c>
      <c r="C517" t="inlineStr">
        <is>
          <t>640.00元</t>
        </is>
      </c>
      <c r="D517" t="inlineStr">
        <is>
          <t>152.00元</t>
        </is>
      </c>
      <c r="E517" t="inlineStr">
        <is>
          <t>7.6折</t>
        </is>
      </c>
      <c r="F517">
        <f>HYPERLINK("https://i0.hdslb.com/bfs/mall/mall/99/f7/99f70df8e61639759f00386484297cd0.png", "点击查看图片")</f>
        <v/>
      </c>
      <c r="G517">
        <f>HYPERLINK("https://mall.bilibili.com/neul-next/index.html?page=magic-market_detail&amp;noTitleBar=1&amp;itemsId=109888115112&amp;from=market_index", "点击打开")</f>
        <v/>
      </c>
    </row>
    <row r="518">
      <c r="A518" t="inlineStr">
        <is>
          <t>角川 OVERLORD 雅儿贝德 10th Anniversary so-bin ver. 1/7手办</t>
        </is>
      </c>
      <c r="B518" t="inlineStr">
        <is>
          <t>999.00元</t>
        </is>
      </c>
      <c r="C518" t="inlineStr">
        <is>
          <t>1210.00元</t>
        </is>
      </c>
      <c r="D518" t="inlineStr">
        <is>
          <t>211.00元</t>
        </is>
      </c>
      <c r="E518" t="inlineStr">
        <is>
          <t>8.3折</t>
        </is>
      </c>
      <c r="F518">
        <f>HYPERLINK("https://i0.hdslb.com/bfs/mall/mall/05/cf/05cf0c7ed3c78d3fd1145ff708e1e05e.png", "点击查看图片")</f>
        <v/>
      </c>
      <c r="G518">
        <f>HYPERLINK("https://mall.bilibili.com/neul-next/index.html?page=magic-market_detail&amp;noTitleBar=1&amp;itemsId=111907695545&amp;from=market_index", "点击打开")</f>
        <v/>
      </c>
    </row>
    <row r="519">
      <c r="A519" t="inlineStr">
        <is>
          <t>奕狐 GC2009 游戏配件</t>
        </is>
      </c>
      <c r="B519" t="inlineStr">
        <is>
          <t>2130.00元</t>
        </is>
      </c>
      <c r="C519" t="inlineStr">
        <is>
          <t>2130.00元</t>
        </is>
      </c>
      <c r="D519" t="inlineStr">
        <is>
          <t>0.00元</t>
        </is>
      </c>
      <c r="E519" t="inlineStr">
        <is>
          <t>10.0折</t>
        </is>
      </c>
      <c r="F519">
        <f>HYPERLINK("https://i0.hdslb.com/bfs/mall/vendor/d3/fb/d3fb4dc3503d03d84b454b9699a82a90.png", "点击查看图片")</f>
        <v/>
      </c>
      <c r="G519">
        <f>HYPERLINK("https://mall.bilibili.com/neul-next/index.html?page=magic-market_detail&amp;noTitleBar=1&amp;itemsId=106794144842&amp;from=market_index", "点击打开")</f>
        <v/>
      </c>
    </row>
    <row r="520">
      <c r="A520" t="inlineStr">
        <is>
          <t>FREEing 博丽灵梦 正比手办 再版</t>
        </is>
      </c>
      <c r="B520" t="inlineStr">
        <is>
          <t>1460.00元</t>
        </is>
      </c>
      <c r="C520" t="inlineStr">
        <is>
          <t>2605.00元</t>
        </is>
      </c>
      <c r="D520" t="inlineStr">
        <is>
          <t>1145.00元</t>
        </is>
      </c>
      <c r="E520" t="inlineStr">
        <is>
          <t>5.6折</t>
        </is>
      </c>
      <c r="F520">
        <f>HYPERLINK("https://i0.hdslb.com/bfs/mall/mall/74/05/7405b2252d0f6c8e2feda090587f1a94.png", "点击查看图片")</f>
        <v/>
      </c>
      <c r="G520">
        <f>HYPERLINK("https://mall.bilibili.com/neul-next/index.html?page=magic-market_detail&amp;noTitleBar=1&amp;itemsId=111911493976&amp;from=market_index", "点击打开")</f>
        <v/>
      </c>
    </row>
    <row r="521">
      <c r="A521" t="inlineStr">
        <is>
          <t>FuRyu 艾莉 狐娘Ver. 手办</t>
        </is>
      </c>
      <c r="B521" t="inlineStr">
        <is>
          <t>299.00元</t>
        </is>
      </c>
      <c r="C521" t="inlineStr">
        <is>
          <t>429.00元</t>
        </is>
      </c>
      <c r="D521" t="inlineStr">
        <is>
          <t>130.00元</t>
        </is>
      </c>
      <c r="E521" t="inlineStr">
        <is>
          <t>7.0折</t>
        </is>
      </c>
      <c r="F521">
        <f>HYPERLINK("https://i0.hdslb.com/bfs/mall/mall/cc/92/cc92705a235dd61522ee263fa648a0f5.png", "点击查看图片")</f>
        <v/>
      </c>
      <c r="G521">
        <f>HYPERLINK("https://mall.bilibili.com/neul-next/index.html?page=magic-market_detail&amp;noTitleBar=1&amp;itemsId=111915453148&amp;from=market_index", "点击打开")</f>
        <v/>
      </c>
    </row>
    <row r="522">
      <c r="A522" t="inlineStr">
        <is>
          <t>HEA PREMIUM 普通版 正比手办</t>
        </is>
      </c>
      <c r="B522" t="inlineStr">
        <is>
          <t>263.00元</t>
        </is>
      </c>
      <c r="C522" t="inlineStr">
        <is>
          <t>528.00元</t>
        </is>
      </c>
      <c r="D522" t="inlineStr">
        <is>
          <t>265.00元</t>
        </is>
      </c>
      <c r="E522" t="inlineStr">
        <is>
          <t>5.0折</t>
        </is>
      </c>
      <c r="F522">
        <f>HYPERLINK("https://i0.hdslb.com/bfs/mall/mall/9c/9a/9c9a34f129427f416aff955e436aac86.png", "点击查看图片")</f>
        <v/>
      </c>
      <c r="G522">
        <f>HYPERLINK("https://mall.bilibili.com/neul-next/index.html?page=magic-market_detail&amp;noTitleBar=1&amp;itemsId=110474907825&amp;from=market_index", "点击打开")</f>
        <v/>
      </c>
    </row>
    <row r="523">
      <c r="A523" t="inlineStr">
        <is>
          <t>SHOWMON 丽莎Li-za 手办</t>
        </is>
      </c>
      <c r="B523" t="inlineStr">
        <is>
          <t>314.00元</t>
        </is>
      </c>
      <c r="C523" t="inlineStr">
        <is>
          <t>649.00元</t>
        </is>
      </c>
      <c r="D523" t="inlineStr">
        <is>
          <t>335.00元</t>
        </is>
      </c>
      <c r="E523" t="inlineStr">
        <is>
          <t>4.8折</t>
        </is>
      </c>
      <c r="F523">
        <f>HYPERLINK("https://i0.hdslb.com/bfs/mall/mall/8c/c9/8cc9762bfa85c6d39b500089472b4461.png", "点击查看图片")</f>
        <v/>
      </c>
      <c r="G523">
        <f>HYPERLINK("https://mall.bilibili.com/neul-next/index.html?page=magic-market_detail&amp;noTitleBar=1&amp;itemsId=111919523483&amp;from=market_index", "点击打开")</f>
        <v/>
      </c>
    </row>
    <row r="524">
      <c r="A524" t="inlineStr">
        <is>
          <t>Hobbymax 渚薰 Ver. Radio Eva 手办</t>
        </is>
      </c>
      <c r="B524" t="inlineStr">
        <is>
          <t>420.00元</t>
        </is>
      </c>
      <c r="C524" t="inlineStr">
        <is>
          <t>758.00元</t>
        </is>
      </c>
      <c r="D524" t="inlineStr">
        <is>
          <t>338.00元</t>
        </is>
      </c>
      <c r="E524" t="inlineStr">
        <is>
          <t>5.5折</t>
        </is>
      </c>
      <c r="F524">
        <f>HYPERLINK("https://i0.hdslb.com/bfs/mall/mall/0d/64/0d6410375bca02c85a9f086f3a46b65e.png", "点击查看图片")</f>
        <v/>
      </c>
      <c r="G524">
        <f>HYPERLINK("https://mall.bilibili.com/neul-next/index.html?page=magic-market_detail&amp;noTitleBar=1&amp;itemsId=111913747285&amp;from=market_index", "点击打开")</f>
        <v/>
      </c>
    </row>
    <row r="525">
      <c r="A525" t="inlineStr">
        <is>
          <t>Hobbymax G11 脑海中的橡皮擦 Ver. 手办</t>
        </is>
      </c>
      <c r="B525" t="inlineStr">
        <is>
          <t>588.00元</t>
        </is>
      </c>
      <c r="C525" t="inlineStr">
        <is>
          <t>899.00元</t>
        </is>
      </c>
      <c r="D525" t="inlineStr">
        <is>
          <t>311.00元</t>
        </is>
      </c>
      <c r="E525" t="inlineStr">
        <is>
          <t>6.5折</t>
        </is>
      </c>
      <c r="F525">
        <f>HYPERLINK("https://i0.hdslb.com/bfs/mall/mall/29/0f/290f4456577ff8a0add20b9ddb9fd0ba.png", "点击查看图片")</f>
        <v/>
      </c>
      <c r="G525">
        <f>HYPERLINK("https://mall.bilibili.com/neul-next/index.html?page=magic-market_detail&amp;noTitleBar=1&amp;itemsId=111904864215&amp;from=market_index", "点击打开")</f>
        <v/>
      </c>
    </row>
    <row r="526">
      <c r="A526" t="inlineStr">
        <is>
          <t>仟秋动漫 战术绵姬 手办</t>
        </is>
      </c>
      <c r="B526" t="inlineStr">
        <is>
          <t>788.00元</t>
        </is>
      </c>
      <c r="C526" t="inlineStr">
        <is>
          <t>999.00元</t>
        </is>
      </c>
      <c r="D526" t="inlineStr">
        <is>
          <t>211.00元</t>
        </is>
      </c>
      <c r="E526" t="inlineStr">
        <is>
          <t>7.9折</t>
        </is>
      </c>
      <c r="F526">
        <f>HYPERLINK("https://i0.hdslb.com/bfs/mall/mall/12/53/12531388554fc23cdd940d7db1947003.png", "点击查看图片")</f>
        <v/>
      </c>
      <c r="G526">
        <f>HYPERLINK("https://mall.bilibili.com/neul-next/index.html?page=magic-market_detail&amp;noTitleBar=1&amp;itemsId=111908976992&amp;from=market_index", "点击打开")</f>
        <v/>
      </c>
    </row>
    <row r="527">
      <c r="A527" t="inlineStr">
        <is>
          <t>Hobbymax 巡音流歌 潮流街头Ver. 正比手办</t>
        </is>
      </c>
      <c r="B527" t="inlineStr">
        <is>
          <t>518.00元</t>
        </is>
      </c>
      <c r="C527" t="inlineStr">
        <is>
          <t>869.00元</t>
        </is>
      </c>
      <c r="D527" t="inlineStr">
        <is>
          <t>351.00元</t>
        </is>
      </c>
      <c r="E527" t="inlineStr">
        <is>
          <t>6.0折</t>
        </is>
      </c>
      <c r="F527">
        <f>HYPERLINK("https://i0.hdslb.com/bfs/mall/mall/bc/20/bc202a27da7f8b3ad56b51e7d1092f26.png", "点击查看图片")</f>
        <v/>
      </c>
      <c r="G527">
        <f>HYPERLINK("https://mall.bilibili.com/neul-next/index.html?page=magic-market_detail&amp;noTitleBar=1&amp;itemsId=109821750659&amp;from=market_index", "点击打开")</f>
        <v/>
      </c>
    </row>
    <row r="528">
      <c r="A528" t="inlineStr">
        <is>
          <t>maxcute 阿尔维娜 制服 手办</t>
        </is>
      </c>
      <c r="B528" t="inlineStr">
        <is>
          <t>548.00元</t>
        </is>
      </c>
      <c r="C528" t="inlineStr">
        <is>
          <t>699.00元</t>
        </is>
      </c>
      <c r="D528" t="inlineStr">
        <is>
          <t>151.00元</t>
        </is>
      </c>
      <c r="E528" t="inlineStr">
        <is>
          <t>7.8折</t>
        </is>
      </c>
      <c r="F528">
        <f>HYPERLINK("https://i0.hdslb.com/bfs/mall/mall/e8/e0/e8e035f498bb8e7081c79847b2466e22.png", "点击查看图片")</f>
        <v/>
      </c>
      <c r="G528">
        <f>HYPERLINK("https://mall.bilibili.com/neul-next/index.html?page=magic-market_detail&amp;noTitleBar=1&amp;itemsId=109864906169&amp;from=market_index", "点击打开")</f>
        <v/>
      </c>
    </row>
    <row r="529">
      <c r="A529" t="inlineStr">
        <is>
          <t>AMAKUNI OVERLORD 娜贝拉尔・迦玛 so-bin 兔女郎Ver. 1/7手办</t>
        </is>
      </c>
      <c r="B529" t="inlineStr">
        <is>
          <t>1117.48元</t>
        </is>
      </c>
      <c r="C529" t="inlineStr">
        <is>
          <t>1505.00元</t>
        </is>
      </c>
      <c r="D529" t="inlineStr">
        <is>
          <t>387.52元</t>
        </is>
      </c>
      <c r="E529" t="inlineStr">
        <is>
          <t>7.4折</t>
        </is>
      </c>
      <c r="F529">
        <f>HYPERLINK("https://i0.hdslb.com/bfs/mall/mall/8d/48/8d486ce162fd607a8ffd35ba5ec74ecf.png", "点击查看图片")</f>
        <v/>
      </c>
      <c r="G529">
        <f>HYPERLINK("https://mall.bilibili.com/neul-next/index.html?page=magic-market_detail&amp;noTitleBar=1&amp;itemsId=111911981569&amp;from=market_index", "点击打开")</f>
        <v/>
      </c>
    </row>
    <row r="530">
      <c r="A530" t="inlineStr">
        <is>
          <t>Hobbymax UMP40 水中望月 Ver. 正比手办</t>
        </is>
      </c>
      <c r="B530" t="inlineStr">
        <is>
          <t>699.00元</t>
        </is>
      </c>
      <c r="C530" t="inlineStr">
        <is>
          <t>899.00元</t>
        </is>
      </c>
      <c r="D530" t="inlineStr">
        <is>
          <t>200.00元</t>
        </is>
      </c>
      <c r="E530" t="inlineStr">
        <is>
          <t>7.8折</t>
        </is>
      </c>
      <c r="F530">
        <f>HYPERLINK("https://i0.hdslb.com/bfs/mall/mall/12/73/12736d8b4dcde4f063245a0c636d1a29.png", "点击查看图片")</f>
        <v/>
      </c>
      <c r="G530">
        <f>HYPERLINK("https://mall.bilibili.com/neul-next/index.html?page=magic-market_detail&amp;noTitleBar=1&amp;itemsId=111914254660&amp;from=market_index", "点击打开")</f>
        <v/>
      </c>
    </row>
    <row r="531">
      <c r="A531" t="inlineStr">
        <is>
          <t>APEX 95式 春杪梦鸢人 Ver.  手办</t>
        </is>
      </c>
      <c r="B531" t="inlineStr">
        <is>
          <t>518.00元</t>
        </is>
      </c>
      <c r="C531" t="inlineStr">
        <is>
          <t>699.00元</t>
        </is>
      </c>
      <c r="D531" t="inlineStr">
        <is>
          <t>181.00元</t>
        </is>
      </c>
      <c r="E531" t="inlineStr">
        <is>
          <t>7.4折</t>
        </is>
      </c>
      <c r="F531">
        <f>HYPERLINK("https://i0.hdslb.com/bfs/mall/mall/fd/56/fd56d2092c1becb1db12b3d65d55d39e.png", "点击查看图片")</f>
        <v/>
      </c>
      <c r="G531">
        <f>HYPERLINK("https://mall.bilibili.com/neul-next/index.html?page=magic-market_detail&amp;noTitleBar=1&amp;itemsId=110467585377&amp;from=market_index", "点击打开")</f>
        <v/>
      </c>
    </row>
    <row r="532">
      <c r="A532" t="inlineStr">
        <is>
          <t>WING 碧蓝航线 敦刻尔克 “甜蜜”夏日ver. 手办</t>
        </is>
      </c>
      <c r="B532" t="inlineStr">
        <is>
          <t>1049.99元</t>
        </is>
      </c>
      <c r="C532" t="inlineStr">
        <is>
          <t>1450.00元</t>
        </is>
      </c>
      <c r="D532" t="inlineStr">
        <is>
          <t>400.01元</t>
        </is>
      </c>
      <c r="E532" t="inlineStr">
        <is>
          <t>7.2折</t>
        </is>
      </c>
      <c r="F532">
        <f>HYPERLINK("https://i0.hdslb.com/bfs/mall/mall/7d/29/7d298d9d81c117e699c58933e44c801d.png", "点击查看图片")</f>
        <v/>
      </c>
      <c r="G532">
        <f>HYPERLINK("https://mall.bilibili.com/neul-next/index.html?page=magic-market_detail&amp;noTitleBar=1&amp;itemsId=111903812253&amp;from=market_index", "点击打开")</f>
        <v/>
      </c>
    </row>
    <row r="533">
      <c r="A533" t="inlineStr">
        <is>
          <t>角川 朝香果林 SUPER NOVA ver.  正比手办</t>
        </is>
      </c>
      <c r="B533" t="inlineStr">
        <is>
          <t>765.20元</t>
        </is>
      </c>
      <c r="C533" t="inlineStr">
        <is>
          <t>910.00元</t>
        </is>
      </c>
      <c r="D533" t="inlineStr">
        <is>
          <t>144.80元</t>
        </is>
      </c>
      <c r="E533" t="inlineStr">
        <is>
          <t>8.4折</t>
        </is>
      </c>
      <c r="F533">
        <f>HYPERLINK("https://i0.hdslb.com/bfs/mall/mall/7d/5d/7d5d83f3a45d6507e82dc3e177f48905.png", "点击查看图片")</f>
        <v/>
      </c>
      <c r="G533">
        <f>HYPERLINK("https://mall.bilibili.com/neul-next/index.html?page=magic-market_detail&amp;noTitleBar=1&amp;itemsId=109886416812&amp;from=market_index", "点击打开")</f>
        <v/>
      </c>
    </row>
    <row r="534">
      <c r="A534" t="inlineStr">
        <is>
          <t>Lim Land 通常版 不含特典 正比手办</t>
        </is>
      </c>
      <c r="B534" t="inlineStr">
        <is>
          <t>688.00元</t>
        </is>
      </c>
      <c r="C534" t="inlineStr">
        <is>
          <t>868.00元</t>
        </is>
      </c>
      <c r="D534" t="inlineStr">
        <is>
          <t>180.00元</t>
        </is>
      </c>
      <c r="E534" t="inlineStr">
        <is>
          <t>7.9折</t>
        </is>
      </c>
      <c r="F534">
        <f>HYPERLINK("https://i0.hdslb.com/bfs/mall/mall/4c/3c/4c3c488dcec6fba1be52b14ea938a3b7.png", "点击查看图片")</f>
        <v/>
      </c>
      <c r="G534">
        <f>HYPERLINK("https://mall.bilibili.com/neul-next/index.html?page=magic-market_detail&amp;noTitleBar=1&amp;itemsId=110470279396&amp;from=market_index", "点击打开")</f>
        <v/>
      </c>
    </row>
    <row r="535">
      <c r="A535" t="inlineStr">
        <is>
          <t>Vsinger 龙年新春玩偶 毛绒玩偶</t>
        </is>
      </c>
      <c r="B535" t="inlineStr">
        <is>
          <t>200.00元</t>
        </is>
      </c>
      <c r="C535" t="inlineStr">
        <is>
          <t>446.00元</t>
        </is>
      </c>
      <c r="D535" t="inlineStr">
        <is>
          <t>246.00元</t>
        </is>
      </c>
      <c r="E535" t="inlineStr">
        <is>
          <t>4.5折</t>
        </is>
      </c>
      <c r="F535">
        <f>HYPERLINK("https://i0.hdslb.com/bfs/mall/mall/10/b3/10b3bd7df873e36b8cf248c4f7873e03.png", "点击查看图片")</f>
        <v/>
      </c>
      <c r="G535">
        <f>HYPERLINK("https://mall.bilibili.com/neul-next/index.html?page=magic-market_detail&amp;noTitleBar=1&amp;itemsId=110467381613&amp;from=market_index", "点击打开")</f>
        <v/>
      </c>
    </row>
    <row r="536">
      <c r="A536" t="inlineStr">
        <is>
          <t>GSC Saber Q版手办</t>
        </is>
      </c>
      <c r="B536" t="inlineStr">
        <is>
          <t>220.00元</t>
        </is>
      </c>
      <c r="C536" t="inlineStr">
        <is>
          <t>305.00元</t>
        </is>
      </c>
      <c r="D536" t="inlineStr">
        <is>
          <t>85.00元</t>
        </is>
      </c>
      <c r="E536" t="inlineStr">
        <is>
          <t>7.2折</t>
        </is>
      </c>
      <c r="F536">
        <f>HYPERLINK("https://i0.hdslb.com/bfs/mall/mall/93/41/9341059f56fc7a6989b5d6d2b311e40e.png", "点击查看图片")</f>
        <v/>
      </c>
      <c r="G536">
        <f>HYPERLINK("https://mall.bilibili.com/neul-next/index.html?page=magic-market_detail&amp;noTitleBar=1&amp;itemsId=109883524677&amp;from=market_index", "点击打开")</f>
        <v/>
      </c>
    </row>
    <row r="537">
      <c r="A537" t="inlineStr">
        <is>
          <t>寿屋 命运石之门 牧濑红莉栖 手办 再版</t>
        </is>
      </c>
      <c r="B537" t="inlineStr">
        <is>
          <t>395.00元</t>
        </is>
      </c>
      <c r="C537" t="inlineStr">
        <is>
          <t>466.00元</t>
        </is>
      </c>
      <c r="D537" t="inlineStr">
        <is>
          <t>71.00元</t>
        </is>
      </c>
      <c r="E537" t="inlineStr">
        <is>
          <t>8.5折</t>
        </is>
      </c>
      <c r="F537">
        <f>HYPERLINK("https://i0.hdslb.com/bfs/mall/mall/a6/ed/a6ed8f96bf947d1796566c7108e24441.png", "点击查看图片")</f>
        <v/>
      </c>
      <c r="G537">
        <f>HYPERLINK("https://mall.bilibili.com/neul-next/index.html?page=magic-market_detail&amp;noTitleBar=1&amp;itemsId=111915574391&amp;from=market_index", "点击打开")</f>
        <v/>
      </c>
    </row>
    <row r="538">
      <c r="A538" t="inlineStr">
        <is>
          <t xml:space="preserve"> F:NEX 时崎狂三  日式兔女郎 手办</t>
        </is>
      </c>
      <c r="B538" t="inlineStr">
        <is>
          <t>768.00元</t>
        </is>
      </c>
      <c r="C538" t="inlineStr">
        <is>
          <t>1060.00元</t>
        </is>
      </c>
      <c r="D538" t="inlineStr">
        <is>
          <t>292.00元</t>
        </is>
      </c>
      <c r="E538" t="inlineStr">
        <is>
          <t>7.2折</t>
        </is>
      </c>
      <c r="F538">
        <f>HYPERLINK("https://i0.hdslb.com/bfs/mall/mall/05/5c/055cc9161aaf224128aeb3e75634774e.png", "点击查看图片")</f>
        <v/>
      </c>
      <c r="G538">
        <f>HYPERLINK("https://mall.bilibili.com/neul-next/index.html?page=magic-market_detail&amp;noTitleBar=1&amp;itemsId=111915783168&amp;from=market_index", "点击打开")</f>
        <v/>
      </c>
    </row>
    <row r="539">
      <c r="A539" t="inlineStr">
        <is>
          <t>Phat! 栗花落香奈乎 手办</t>
        </is>
      </c>
      <c r="B539" t="inlineStr">
        <is>
          <t>758.00元</t>
        </is>
      </c>
      <c r="C539" t="inlineStr">
        <is>
          <t>949.00元</t>
        </is>
      </c>
      <c r="D539" t="inlineStr">
        <is>
          <t>191.00元</t>
        </is>
      </c>
      <c r="E539" t="inlineStr">
        <is>
          <t>8.0折</t>
        </is>
      </c>
      <c r="F539">
        <f>HYPERLINK("https://i0.hdslb.com/bfs/mall/mall/97/63/976385cb249f22d8799823e7278c8841.png", "点击查看图片")</f>
        <v/>
      </c>
      <c r="G539">
        <f>HYPERLINK("https://mall.bilibili.com/neul-next/index.html?page=magic-market_detail&amp;noTitleBar=1&amp;itemsId=111915036528&amp;from=market_index", "点击打开")</f>
        <v/>
      </c>
    </row>
    <row r="540">
      <c r="A540" t="inlineStr">
        <is>
          <t>F:NEX 东方Project 琪露诺 手办</t>
        </is>
      </c>
      <c r="B540" t="inlineStr">
        <is>
          <t>588.00元</t>
        </is>
      </c>
      <c r="C540" t="inlineStr">
        <is>
          <t>850.00元</t>
        </is>
      </c>
      <c r="D540" t="inlineStr">
        <is>
          <t>262.00元</t>
        </is>
      </c>
      <c r="E540" t="inlineStr">
        <is>
          <t>6.9折</t>
        </is>
      </c>
      <c r="F540">
        <f>HYPERLINK("https://i0.hdslb.com/bfs/mall/mall/1b/52/1b5229187cff875a94fdc89f155e5c1f.png", "点击查看图片")</f>
        <v/>
      </c>
      <c r="G540">
        <f>HYPERLINK("https://mall.bilibili.com/neul-next/index.html?page=magic-market_detail&amp;noTitleBar=1&amp;itemsId=111922016729&amp;from=market_index", "点击打开")</f>
        <v/>
      </c>
    </row>
    <row r="541">
      <c r="A541" t="inlineStr">
        <is>
          <t>NOCTURNAS 原创 兔女郎酱 手办</t>
        </is>
      </c>
      <c r="B541" t="inlineStr">
        <is>
          <t>958.00元</t>
        </is>
      </c>
      <c r="C541" t="inlineStr">
        <is>
          <t>1285.00元</t>
        </is>
      </c>
      <c r="D541" t="inlineStr">
        <is>
          <t>327.00元</t>
        </is>
      </c>
      <c r="E541" t="inlineStr">
        <is>
          <t>7.5折</t>
        </is>
      </c>
      <c r="F541">
        <f>HYPERLINK("https://i0.hdslb.com/bfs/mall/mall/ad/c5/adc5cff42e6e7f1b3d7d743bace7a923.png", "点击查看图片")</f>
        <v/>
      </c>
      <c r="G541">
        <f>HYPERLINK("https://mall.bilibili.com/neul-next/index.html?page=magic-market_detail&amp;noTitleBar=1&amp;itemsId=110459727564&amp;from=market_index", "点击打开")</f>
        <v/>
      </c>
    </row>
    <row r="542">
      <c r="A542" t="inlineStr">
        <is>
          <t>WANDERER 真希波·真理·伊拉丝多莉亚斯 手办</t>
        </is>
      </c>
      <c r="B542" t="inlineStr">
        <is>
          <t>480.00元</t>
        </is>
      </c>
      <c r="C542" t="inlineStr">
        <is>
          <t>799.00元</t>
        </is>
      </c>
      <c r="D542" t="inlineStr">
        <is>
          <t>319.00元</t>
        </is>
      </c>
      <c r="E542" t="inlineStr">
        <is>
          <t>6.0折</t>
        </is>
      </c>
      <c r="F542">
        <f>HYPERLINK("https://i0.hdslb.com/bfs/mall/mall/b2/e4/b2e4217c1190dbaa538dee60bd33a57a.png", "点击查看图片")</f>
        <v/>
      </c>
      <c r="G542">
        <f>HYPERLINK("https://mall.bilibili.com/neul-next/index.html?page=magic-market_detail&amp;noTitleBar=1&amp;itemsId=111912560345&amp;from=market_index", "点击打开")</f>
        <v/>
      </c>
    </row>
    <row r="543">
      <c r="A543" t="inlineStr">
        <is>
          <t>FuRyu 雷姆 Bridesmaid 景品手办</t>
        </is>
      </c>
      <c r="B543" t="inlineStr">
        <is>
          <t>1500.00元</t>
        </is>
      </c>
      <c r="C543" t="inlineStr">
        <is>
          <t>1501.90元</t>
        </is>
      </c>
      <c r="D543" t="inlineStr">
        <is>
          <t>1.90元</t>
        </is>
      </c>
      <c r="E543" t="inlineStr">
        <is>
          <t>10.0折</t>
        </is>
      </c>
      <c r="F543">
        <f>HYPERLINK("https://i0.hdslb.com/bfs/mall/mall/89/e1/89e1fc45e386ed20a71520c10dde4c11.png", "点击查看图片")</f>
        <v/>
      </c>
      <c r="G543">
        <f>HYPERLINK("https://mall.bilibili.com/neul-next/index.html?page=magic-market_detail&amp;noTitleBar=1&amp;itemsId=106788769912&amp;from=market_index", "点击打开")</f>
        <v/>
      </c>
    </row>
    <row r="544">
      <c r="A544" t="inlineStr">
        <is>
          <t xml:space="preserve"> F:NEX 雷姆  蛋壳Ver. 手办</t>
        </is>
      </c>
      <c r="B544" t="inlineStr">
        <is>
          <t>939.00元</t>
        </is>
      </c>
      <c r="C544" t="inlineStr">
        <is>
          <t>1259.00元</t>
        </is>
      </c>
      <c r="D544" t="inlineStr">
        <is>
          <t>320.00元</t>
        </is>
      </c>
      <c r="E544" t="inlineStr">
        <is>
          <t>7.5折</t>
        </is>
      </c>
      <c r="F544">
        <f>HYPERLINK("https://i0.hdslb.com/bfs/mall/mall/35/1e/351e129ac9bc32d034384ed438dc3644.png", "点击查看图片")</f>
        <v/>
      </c>
      <c r="G544">
        <f>HYPERLINK("https://mall.bilibili.com/neul-next/index.html?page=magic-market_detail&amp;noTitleBar=1&amp;itemsId=109837971945&amp;from=market_index", "点击打开")</f>
        <v/>
      </c>
    </row>
    <row r="545">
      <c r="A545" t="inlineStr">
        <is>
          <t>FREEing 梦梦·贝莉雅·戴比路克 泳装 with 运动服Ver. 正比手办</t>
        </is>
      </c>
      <c r="B545" t="inlineStr">
        <is>
          <t>2100.00元</t>
        </is>
      </c>
      <c r="C545" t="inlineStr">
        <is>
          <t>2539.00元</t>
        </is>
      </c>
      <c r="D545" t="inlineStr">
        <is>
          <t>439.00元</t>
        </is>
      </c>
      <c r="E545" t="inlineStr">
        <is>
          <t>8.3折</t>
        </is>
      </c>
      <c r="F545">
        <f>HYPERLINK("https://i0.hdslb.com/bfs/mall/mall/b8/d7/b8d72a9b3821c50d76c17822f8c0d525.png", "点击查看图片")</f>
        <v/>
      </c>
      <c r="G545">
        <f>HYPERLINK("https://mall.bilibili.com/neul-next/index.html?page=magic-market_detail&amp;noTitleBar=1&amp;itemsId=111921127749&amp;from=market_index", "点击打开")</f>
        <v/>
      </c>
    </row>
    <row r="546">
      <c r="A546" t="inlineStr">
        <is>
          <t>HOBBY STOCK 时崎狂三 囁告篇帙Ver. 正比手办</t>
        </is>
      </c>
      <c r="B546" t="inlineStr">
        <is>
          <t>1158.00元</t>
        </is>
      </c>
      <c r="C546" t="inlineStr">
        <is>
          <t>1459.00元</t>
        </is>
      </c>
      <c r="D546" t="inlineStr">
        <is>
          <t>301.00元</t>
        </is>
      </c>
      <c r="E546" t="inlineStr">
        <is>
          <t>7.9折</t>
        </is>
      </c>
      <c r="F546">
        <f>HYPERLINK("https://i0.hdslb.com/bfs/mall/mall/7e/5e/7e5e08880f5a5891c8370d32c7c7d75d.png", "点击查看图片")</f>
        <v/>
      </c>
      <c r="G546">
        <f>HYPERLINK("https://mall.bilibili.com/neul-next/index.html?page=magic-market_detail&amp;noTitleBar=1&amp;itemsId=110459459282&amp;from=market_index", "点击打开")</f>
        <v/>
      </c>
    </row>
    <row r="547">
      <c r="A547" t="inlineStr">
        <is>
          <t>Hobbymax 镜音连 潮流街头 Ver. 手办</t>
        </is>
      </c>
      <c r="B547" t="inlineStr">
        <is>
          <t>450.00元</t>
        </is>
      </c>
      <c r="C547" t="inlineStr">
        <is>
          <t>869.00元</t>
        </is>
      </c>
      <c r="D547" t="inlineStr">
        <is>
          <t>419.00元</t>
        </is>
      </c>
      <c r="E547" t="inlineStr">
        <is>
          <t>5.2折</t>
        </is>
      </c>
      <c r="F547">
        <f>HYPERLINK("https://i0.hdslb.com/bfs/mall/mall/3b/4e/3b4e548056bfe07590bc61937198884d.png", "点击查看图片")</f>
        <v/>
      </c>
      <c r="G547">
        <f>HYPERLINK("https://mall.bilibili.com/neul-next/index.html?page=magic-market_detail&amp;noTitleBar=1&amp;itemsId=120674360823&amp;from=market_index", "点击打开")</f>
        <v/>
      </c>
    </row>
    <row r="548">
      <c r="A548" t="inlineStr">
        <is>
          <t>ALTER 食蜂操祈  手办</t>
        </is>
      </c>
      <c r="B548" t="inlineStr">
        <is>
          <t>585.00元</t>
        </is>
      </c>
      <c r="C548" t="inlineStr">
        <is>
          <t>829.00元</t>
        </is>
      </c>
      <c r="D548" t="inlineStr">
        <is>
          <t>244.00元</t>
        </is>
      </c>
      <c r="E548" t="inlineStr">
        <is>
          <t>7.1折</t>
        </is>
      </c>
      <c r="F548">
        <f>HYPERLINK("https://i0.hdslb.com/bfs/mall/mall/da/ad/daad1a8762d8625fa21bf7c42e445bda.png", "点击查看图片")</f>
        <v/>
      </c>
      <c r="G548">
        <f>HYPERLINK("https://mall.bilibili.com/neul-next/index.html?page=magic-market_detail&amp;noTitleBar=1&amp;itemsId=109830507314&amp;from=market_index", "点击打开")</f>
        <v/>
      </c>
    </row>
    <row r="549">
      <c r="A549" t="inlineStr">
        <is>
          <t>FREEing 风卷祭里  兔女郎Ver. 手办</t>
        </is>
      </c>
      <c r="B549" t="inlineStr">
        <is>
          <t>1799.00元</t>
        </is>
      </c>
      <c r="C549" t="inlineStr">
        <is>
          <t>2749.00元</t>
        </is>
      </c>
      <c r="D549" t="inlineStr">
        <is>
          <t>950.00元</t>
        </is>
      </c>
      <c r="E549" t="inlineStr">
        <is>
          <t>6.5折</t>
        </is>
      </c>
      <c r="F549">
        <f>HYPERLINK("https://i0.hdslb.com/bfs/mall/mall/42/e0/42e04526e00e9e6330025d4f0ee5575e.png", "点击查看图片")</f>
        <v/>
      </c>
      <c r="G549">
        <f>HYPERLINK("https://mall.bilibili.com/neul-next/index.html?page=magic-market_detail&amp;noTitleBar=1&amp;itemsId=106907785218&amp;from=market_index", "点击打开")</f>
        <v/>
      </c>
    </row>
    <row r="550">
      <c r="A550" t="inlineStr">
        <is>
          <t>GSC 黑见芹香 Q版手办</t>
        </is>
      </c>
      <c r="B550" t="inlineStr">
        <is>
          <t>228.00元</t>
        </is>
      </c>
      <c r="C550" t="inlineStr">
        <is>
          <t>355.00元</t>
        </is>
      </c>
      <c r="D550" t="inlineStr">
        <is>
          <t>127.00元</t>
        </is>
      </c>
      <c r="E550" t="inlineStr">
        <is>
          <t>6.4折</t>
        </is>
      </c>
      <c r="F550">
        <f>HYPERLINK("https://i0.hdslb.com/bfs/mall/mall/9e/3a/9e3a9169959e65ec6efd3ea0f15ee14b.png", "点击查看图片")</f>
        <v/>
      </c>
      <c r="G550">
        <f>HYPERLINK("https://mall.bilibili.com/neul-next/index.html?page=magic-market_detail&amp;noTitleBar=1&amp;itemsId=109885417408&amp;from=market_index", "点击打开")</f>
        <v/>
      </c>
    </row>
    <row r="551">
      <c r="A551" t="inlineStr">
        <is>
          <t>BearPanda 妲己   时之彼端ver. 手办</t>
        </is>
      </c>
      <c r="B551" t="inlineStr">
        <is>
          <t>771.67元</t>
        </is>
      </c>
      <c r="C551" t="inlineStr">
        <is>
          <t>899.00元</t>
        </is>
      </c>
      <c r="D551" t="inlineStr">
        <is>
          <t>127.33元</t>
        </is>
      </c>
      <c r="E551" t="inlineStr">
        <is>
          <t>8.6折</t>
        </is>
      </c>
      <c r="F551">
        <f>HYPERLINK("https://i0.hdslb.com/bfs/mall/mall/94/96/949636506e7b38ad49625a103f4c09bd.png", "点击查看图片")</f>
        <v/>
      </c>
      <c r="G551">
        <f>HYPERLINK("https://mall.bilibili.com/neul-next/index.html?page=magic-market_detail&amp;noTitleBar=1&amp;itemsId=111904975305&amp;from=market_index", "点击打开")</f>
        <v/>
      </c>
    </row>
    <row r="552">
      <c r="A552" t="inlineStr">
        <is>
          <t>RIBOSE 奈美西斯·启明星Ver.  正比手办</t>
        </is>
      </c>
      <c r="B552" t="inlineStr">
        <is>
          <t>586.28元</t>
        </is>
      </c>
      <c r="C552" t="inlineStr">
        <is>
          <t>878.00元</t>
        </is>
      </c>
      <c r="D552" t="inlineStr">
        <is>
          <t>291.72元</t>
        </is>
      </c>
      <c r="E552" t="inlineStr">
        <is>
          <t>6.7折</t>
        </is>
      </c>
      <c r="F552">
        <f>HYPERLINK("https://i0.hdslb.com/bfs/mall/mall/c6/45/c645908ead77d60cb18f8bbedd1cc957.png", "点击查看图片")</f>
        <v/>
      </c>
      <c r="G552">
        <f>HYPERLINK("https://mall.bilibili.com/neul-next/index.html?page=magic-market_detail&amp;noTitleBar=1&amp;itemsId=111916854042&amp;from=market_index", "点击打开")</f>
        <v/>
      </c>
    </row>
    <row r="553">
      <c r="A553" t="inlineStr">
        <is>
          <t>eclipse collectibles 医生-綾瀬 正比手办</t>
        </is>
      </c>
      <c r="B553" t="inlineStr">
        <is>
          <t>299.00元</t>
        </is>
      </c>
      <c r="C553" t="inlineStr">
        <is>
          <t>588.00元</t>
        </is>
      </c>
      <c r="D553" t="inlineStr">
        <is>
          <t>289.00元</t>
        </is>
      </c>
      <c r="E553" t="inlineStr">
        <is>
          <t>5.1折</t>
        </is>
      </c>
      <c r="F553">
        <f>HYPERLINK("https://i0.hdslb.com/bfs/mall/mall/0e/86/0e8613a56029286dbb640b6fa0852305.png", "点击查看图片")</f>
        <v/>
      </c>
      <c r="G553">
        <f>HYPERLINK("https://mall.bilibili.com/neul-next/index.html?page=magic-market_detail&amp;noTitleBar=1&amp;itemsId=111917722795&amp;from=market_index", "点击打开")</f>
        <v/>
      </c>
    </row>
    <row r="554">
      <c r="A554" t="inlineStr">
        <is>
          <t>HobbyJAPAN  矢野艾莉卡 手办</t>
        </is>
      </c>
      <c r="B554" t="inlineStr">
        <is>
          <t>568.00元</t>
        </is>
      </c>
      <c r="C554" t="inlineStr">
        <is>
          <t>755.00元</t>
        </is>
      </c>
      <c r="D554" t="inlineStr">
        <is>
          <t>187.00元</t>
        </is>
      </c>
      <c r="E554" t="inlineStr">
        <is>
          <t>7.5折</t>
        </is>
      </c>
      <c r="F554">
        <f>HYPERLINK("https://i0.hdslb.com/bfs/mall/mall/90/89/9089e29cf128c1ec623dfdd863531f2a.png", "点击查看图片")</f>
        <v/>
      </c>
      <c r="G554">
        <f>HYPERLINK("https://mall.bilibili.com/neul-next/index.html?page=magic-market_detail&amp;noTitleBar=1&amp;itemsId=109886153206&amp;from=market_index", "点击打开")</f>
        <v/>
      </c>
    </row>
    <row r="555">
      <c r="A555" t="inlineStr">
        <is>
          <t>GSC 喜多郁代 正比手办</t>
        </is>
      </c>
      <c r="B555" t="inlineStr">
        <is>
          <t>538.86元</t>
        </is>
      </c>
      <c r="C555" t="inlineStr">
        <is>
          <t>709.00元</t>
        </is>
      </c>
      <c r="D555" t="inlineStr">
        <is>
          <t>170.14元</t>
        </is>
      </c>
      <c r="E555" t="inlineStr">
        <is>
          <t>7.6折</t>
        </is>
      </c>
      <c r="F555">
        <f>HYPERLINK("https://i0.hdslb.com/bfs/mall/mall/a4/d7/a4d78c1507e292ec9df016a773169d94.png", "点击查看图片")</f>
        <v/>
      </c>
      <c r="G555">
        <f>HYPERLINK("https://mall.bilibili.com/neul-next/index.html?page=magic-market_detail&amp;noTitleBar=1&amp;itemsId=111909993243&amp;from=market_index", "点击打开")</f>
        <v/>
      </c>
    </row>
    <row r="556">
      <c r="A556" t="inlineStr">
        <is>
          <t>MegaHouse 恐山安娜 手办</t>
        </is>
      </c>
      <c r="B556" t="inlineStr">
        <is>
          <t>555.00元</t>
        </is>
      </c>
      <c r="C556" t="inlineStr">
        <is>
          <t>966.00元</t>
        </is>
      </c>
      <c r="D556" t="inlineStr">
        <is>
          <t>411.00元</t>
        </is>
      </c>
      <c r="E556" t="inlineStr">
        <is>
          <t>5.7折</t>
        </is>
      </c>
      <c r="F556">
        <f>HYPERLINK("https://i0.hdslb.com/bfs/mall/mall/4e/a4/4ea44d77aecdafe6d2bdd80d302e1b69.png", "点击查看图片")</f>
        <v/>
      </c>
      <c r="G556">
        <f>HYPERLINK("https://mall.bilibili.com/neul-next/index.html?page=magic-market_detail&amp;noTitleBar=1&amp;itemsId=109844778978&amp;from=market_index", "点击打开")</f>
        <v/>
      </c>
    </row>
    <row r="557">
      <c r="A557" t="inlineStr">
        <is>
          <t>光菱 佩萨格诺 后台准备时间Ver. 手办</t>
        </is>
      </c>
      <c r="B557" t="inlineStr">
        <is>
          <t>487.92元</t>
        </is>
      </c>
      <c r="C557" t="inlineStr">
        <is>
          <t>999.00元</t>
        </is>
      </c>
      <c r="D557" t="inlineStr">
        <is>
          <t>511.08元</t>
        </is>
      </c>
      <c r="E557" t="inlineStr">
        <is>
          <t>4.9折</t>
        </is>
      </c>
      <c r="F557">
        <f>HYPERLINK("https://i0.hdslb.com/bfs/mall/mall/3b/df/3bdf61103ed3c08fb2f7eecfbb83c25c.png", "点击查看图片")</f>
        <v/>
      </c>
      <c r="G557">
        <f>HYPERLINK("https://mall.bilibili.com/neul-next/index.html?page=magic-market_detail&amp;noTitleBar=1&amp;itemsId=111908422288&amp;from=market_index", "点击打开")</f>
        <v/>
      </c>
    </row>
    <row r="558">
      <c r="A558" t="inlineStr">
        <is>
          <t>GSAS 齐司礼 Q版手办</t>
        </is>
      </c>
      <c r="B558" t="inlineStr">
        <is>
          <t>131.69元</t>
        </is>
      </c>
      <c r="C558" t="inlineStr">
        <is>
          <t>189.00元</t>
        </is>
      </c>
      <c r="D558" t="inlineStr">
        <is>
          <t>57.31元</t>
        </is>
      </c>
      <c r="E558" t="inlineStr">
        <is>
          <t>7.0折</t>
        </is>
      </c>
      <c r="F558">
        <f>HYPERLINK("https://i0.hdslb.com/bfs/mall/mall/a6/83/a683b782120f85ed5ac387a7fa6f63b8.png", "点击查看图片")</f>
        <v/>
      </c>
      <c r="G558">
        <f>HYPERLINK("https://mall.bilibili.com/neul-next/index.html?page=magic-market_detail&amp;noTitleBar=1&amp;itemsId=111914516095&amp;from=market_index", "点击打开")</f>
        <v/>
      </c>
    </row>
    <row r="559">
      <c r="A559" t="inlineStr">
        <is>
          <t>FuRyu 雅儿贝德 景品手办</t>
        </is>
      </c>
      <c r="B559" t="inlineStr">
        <is>
          <t>106.00元</t>
        </is>
      </c>
      <c r="C559" t="inlineStr">
        <is>
          <t>129.00元</t>
        </is>
      </c>
      <c r="D559" t="inlineStr">
        <is>
          <t>23.00元</t>
        </is>
      </c>
      <c r="E559" t="inlineStr">
        <is>
          <t>8.2折</t>
        </is>
      </c>
      <c r="F559">
        <f>HYPERLINK("https://i0.hdslb.com/bfs/mall/mall/a8/21/a8212c96311b4f185a0ec16d5880ba8c.png", "点击查看图片")</f>
        <v/>
      </c>
      <c r="G559">
        <f>HYPERLINK("https://mall.bilibili.com/neul-next/index.html?page=magic-market_detail&amp;noTitleBar=1&amp;itemsId=111910434563&amp;from=market_index", "点击打开")</f>
        <v/>
      </c>
    </row>
    <row r="560">
      <c r="A560" t="inlineStr">
        <is>
          <t>GSC Avenger/织田信长 正比手办</t>
        </is>
      </c>
      <c r="B560" t="inlineStr">
        <is>
          <t>850.00元</t>
        </is>
      </c>
      <c r="C560" t="inlineStr">
        <is>
          <t>1199.00元</t>
        </is>
      </c>
      <c r="D560" t="inlineStr">
        <is>
          <t>349.00元</t>
        </is>
      </c>
      <c r="E560" t="inlineStr">
        <is>
          <t>7.1折</t>
        </is>
      </c>
      <c r="F560">
        <f>HYPERLINK("https://i0.hdslb.com/bfs/mall/mall/f6/f5/f6f5c91aa722a87ce61d87afeb28aa72.png", "点击查看图片")</f>
        <v/>
      </c>
      <c r="G560">
        <f>HYPERLINK("https://mall.bilibili.com/neul-next/index.html?page=magic-market_detail&amp;noTitleBar=1&amp;itemsId=120676077207&amp;from=market_index", "点击打开")</f>
        <v/>
      </c>
    </row>
    <row r="561">
      <c r="A561" t="inlineStr">
        <is>
          <t>闪魂 第五人格 《雕刻时光》系列收藏卡 基础第一弹 原盒20包 卡牌</t>
        </is>
      </c>
      <c r="B561" t="inlineStr">
        <is>
          <t>870.00元</t>
        </is>
      </c>
      <c r="C561" t="inlineStr">
        <is>
          <t>873.00元</t>
        </is>
      </c>
      <c r="D561" t="inlineStr">
        <is>
          <t>3.00元</t>
        </is>
      </c>
      <c r="E561" t="inlineStr">
        <is>
          <t>10.0折</t>
        </is>
      </c>
      <c r="F561">
        <f>HYPERLINK("https://i0.hdslb.com/bfs/mall/mall/6d/e8/6de8c843ce85ebf7a2c83e8f03d19cca.png", "点击查看图片")</f>
        <v/>
      </c>
      <c r="G561">
        <f>HYPERLINK("https://mall.bilibili.com/neul-next/index.html?page=magic-market_detail&amp;noTitleBar=1&amp;itemsId=106795338318&amp;from=market_index", "点击打开")</f>
        <v/>
      </c>
    </row>
    <row r="562">
      <c r="A562" t="inlineStr">
        <is>
          <t>世嘉 初音未来 16周年泡面压 wogura ver.景品</t>
        </is>
      </c>
      <c r="B562" t="inlineStr">
        <is>
          <t>144.99元</t>
        </is>
      </c>
      <c r="C562" t="inlineStr">
        <is>
          <t>178.00元</t>
        </is>
      </c>
      <c r="D562" t="inlineStr">
        <is>
          <t>33.01元</t>
        </is>
      </c>
      <c r="E562" t="inlineStr">
        <is>
          <t>8.1折</t>
        </is>
      </c>
      <c r="F562">
        <f>HYPERLINK("https://i0.hdslb.com/bfs/mall/mall/95/71/9571012e06d4bcdc49be8b61b77cd34e.png", "点击查看图片")</f>
        <v/>
      </c>
      <c r="G562">
        <f>HYPERLINK("https://mall.bilibili.com/neul-next/index.html?page=magic-market_detail&amp;noTitleBar=1&amp;itemsId=111915122556&amp;from=market_index", "点击打开")</f>
        <v/>
      </c>
    </row>
    <row r="563">
      <c r="A563" t="inlineStr">
        <is>
          <t>GSC 樱岛麻衣 兔女郎Ver. Q版手办</t>
        </is>
      </c>
      <c r="B563" t="inlineStr">
        <is>
          <t>239.92元</t>
        </is>
      </c>
      <c r="C563" t="inlineStr">
        <is>
          <t>299.00元</t>
        </is>
      </c>
      <c r="D563" t="inlineStr">
        <is>
          <t>59.08元</t>
        </is>
      </c>
      <c r="E563" t="inlineStr">
        <is>
          <t>8.0折</t>
        </is>
      </c>
      <c r="F563">
        <f>HYPERLINK("https://i0.hdslb.com/bfs/mall/mall/d9/e2/d9e26d54b62ec6164c1a274f3da59967.png", "点击查看图片")</f>
        <v/>
      </c>
      <c r="G563">
        <f>HYPERLINK("https://mall.bilibili.com/neul-next/index.html?page=magic-market_detail&amp;noTitleBar=1&amp;itemsId=111913324422&amp;from=market_index", "点击打开")</f>
        <v/>
      </c>
    </row>
    <row r="564">
      <c r="A564" t="inlineStr">
        <is>
          <t>WAVE Love Live！虹咲学园学园偶像同好会 高咲侑 手办</t>
        </is>
      </c>
      <c r="B564" t="inlineStr">
        <is>
          <t>520.00元</t>
        </is>
      </c>
      <c r="C564" t="inlineStr">
        <is>
          <t>899.00元</t>
        </is>
      </c>
      <c r="D564" t="inlineStr">
        <is>
          <t>379.00元</t>
        </is>
      </c>
      <c r="E564" t="inlineStr">
        <is>
          <t>5.8折</t>
        </is>
      </c>
      <c r="F564">
        <f>HYPERLINK("https://i0.hdslb.com/bfs/mall/mall/24/0b/240ba49993740dd6e580b82c0ed88307.png", "点击查看图片")</f>
        <v/>
      </c>
      <c r="G564">
        <f>HYPERLINK("https://mall.bilibili.com/neul-next/index.html?page=magic-market_detail&amp;noTitleBar=1&amp;itemsId=11191645099&amp;from=market_index", "点击打开")</f>
        <v/>
      </c>
    </row>
    <row r="565">
      <c r="A565" t="inlineStr">
        <is>
          <t>GSC 朱菜 Q版手办</t>
        </is>
      </c>
      <c r="B565" t="inlineStr">
        <is>
          <t>248.00元</t>
        </is>
      </c>
      <c r="C565" t="inlineStr">
        <is>
          <t>375.00元</t>
        </is>
      </c>
      <c r="D565" t="inlineStr">
        <is>
          <t>127.00元</t>
        </is>
      </c>
      <c r="E565" t="inlineStr">
        <is>
          <t>6.6折</t>
        </is>
      </c>
      <c r="F565">
        <f>HYPERLINK("https://i0.hdslb.com/bfs/mall/mall/2b/f4/2bf425b1f8d9f7d7670405ce0a44b778.png", "点击查看图片")</f>
        <v/>
      </c>
      <c r="G565">
        <f>HYPERLINK("https://mall.bilibili.com/neul-next/index.html?page=magic-market_detail&amp;noTitleBar=1&amp;itemsId=111916155668&amp;from=market_index", "点击打开")</f>
        <v/>
      </c>
    </row>
    <row r="566">
      <c r="A566" t="inlineStr">
        <is>
          <t>GSAS 有马加奈 Q版手办</t>
        </is>
      </c>
      <c r="B566" t="inlineStr">
        <is>
          <t>101.00元</t>
        </is>
      </c>
      <c r="C566" t="inlineStr">
        <is>
          <t>155.00元</t>
        </is>
      </c>
      <c r="D566" t="inlineStr">
        <is>
          <t>54.00元</t>
        </is>
      </c>
      <c r="E566" t="inlineStr">
        <is>
          <t>6.5折</t>
        </is>
      </c>
      <c r="F566">
        <f>HYPERLINK("https://i0.hdslb.com/bfs/mall/mall/86/ba/86bada3a98a3a913e4714158b2e955f0.png", "点击查看图片")</f>
        <v/>
      </c>
      <c r="G566">
        <f>HYPERLINK("https://mall.bilibili.com/neul-next/index.html?page=magic-market_detail&amp;noTitleBar=1&amp;itemsId=111923092110&amp;from=market_index", "点击打开")</f>
        <v/>
      </c>
    </row>
    <row r="567">
      <c r="A567" t="inlineStr">
        <is>
          <t>quesQ 少女前线 HK416 MOD3 手办</t>
        </is>
      </c>
      <c r="B567" t="inlineStr">
        <is>
          <t>1158.00元</t>
        </is>
      </c>
      <c r="C567" t="inlineStr">
        <is>
          <t>1560.00元</t>
        </is>
      </c>
      <c r="D567" t="inlineStr">
        <is>
          <t>402.00元</t>
        </is>
      </c>
      <c r="E567" t="inlineStr">
        <is>
          <t>7.4折</t>
        </is>
      </c>
      <c r="F567">
        <f>HYPERLINK("https://i0.hdslb.com/bfs/mall/mall/03/49/034966bb437fa85b5184e9375a93b970.png", "点击查看图片")</f>
        <v/>
      </c>
      <c r="G567">
        <f>HYPERLINK("https://mall.bilibili.com/neul-next/index.html?page=magic-market_detail&amp;noTitleBar=1&amp;itemsId=110463194399&amp;from=market_index", "点击打开")</f>
        <v/>
      </c>
    </row>
    <row r="568">
      <c r="A568" t="inlineStr">
        <is>
          <t>WANDERER 十三机兵防卫圈 冬坂五百里 手办</t>
        </is>
      </c>
      <c r="B568" t="inlineStr">
        <is>
          <t>597.80元</t>
        </is>
      </c>
      <c r="C568" t="inlineStr">
        <is>
          <t>935.00元</t>
        </is>
      </c>
      <c r="D568" t="inlineStr">
        <is>
          <t>337.20元</t>
        </is>
      </c>
      <c r="E568" t="inlineStr">
        <is>
          <t>6.4折</t>
        </is>
      </c>
      <c r="F568">
        <f>HYPERLINK("https://i0.hdslb.com/bfs/mall/mall/61/73/6173f43d812d9d9aa229b6f0a8609678.png", "点击查看图片")</f>
        <v/>
      </c>
      <c r="G568">
        <f>HYPERLINK("https://mall.bilibili.com/neul-next/index.html?page=magic-market_detail&amp;noTitleBar=1&amp;itemsId=111901966544&amp;from=market_index", "点击打开")</f>
        <v/>
      </c>
    </row>
    <row r="569">
      <c r="A569" t="inlineStr">
        <is>
          <t>FREEing 希露法 兔女郎Ver. 正比手办</t>
        </is>
      </c>
      <c r="B569" t="inlineStr">
        <is>
          <t>999.00元</t>
        </is>
      </c>
      <c r="C569" t="inlineStr">
        <is>
          <t>1415.00元</t>
        </is>
      </c>
      <c r="D569" t="inlineStr">
        <is>
          <t>416.00元</t>
        </is>
      </c>
      <c r="E569" t="inlineStr">
        <is>
          <t>7.1折</t>
        </is>
      </c>
      <c r="F569">
        <f>HYPERLINK("https://i0.hdslb.com/bfs/mall/mall/ba/ff/baff53cc24bfddd5580313977342127a.png", "点击查看图片")</f>
        <v/>
      </c>
      <c r="G569">
        <f>HYPERLINK("https://mall.bilibili.com/neul-next/index.html?page=magic-market_detail&amp;noTitleBar=1&amp;itemsId=109853523048&amp;from=market_index", "点击打开")</f>
        <v/>
      </c>
    </row>
    <row r="570">
      <c r="A570" t="inlineStr">
        <is>
          <t>AOWOBOX  皮洛莎 新年Ver. 手办</t>
        </is>
      </c>
      <c r="B570" t="inlineStr">
        <is>
          <t>559.90元</t>
        </is>
      </c>
      <c r="C570" t="inlineStr">
        <is>
          <t>699.00元</t>
        </is>
      </c>
      <c r="D570" t="inlineStr">
        <is>
          <t>139.10元</t>
        </is>
      </c>
      <c r="E570" t="inlineStr">
        <is>
          <t>8.0折</t>
        </is>
      </c>
      <c r="F570">
        <f>HYPERLINK("https://i0.hdslb.com/bfs/mall/mall/28/5a/285a556c4f4e0fbe8667992572e180f2.png", "点击查看图片")</f>
        <v/>
      </c>
      <c r="G570">
        <f>HYPERLINK("https://mall.bilibili.com/neul-next/index.html?page=magic-market_detail&amp;noTitleBar=1&amp;itemsId=111910717042&amp;from=market_index", "点击打开")</f>
        <v/>
      </c>
    </row>
    <row r="571">
      <c r="A571" t="inlineStr">
        <is>
          <t>ANIPLEX+ 炼狱杏寿郎 手办</t>
        </is>
      </c>
      <c r="B571" t="inlineStr">
        <is>
          <t>688.00元</t>
        </is>
      </c>
      <c r="C571" t="inlineStr">
        <is>
          <t>1050.00元</t>
        </is>
      </c>
      <c r="D571" t="inlineStr">
        <is>
          <t>362.00元</t>
        </is>
      </c>
      <c r="E571" t="inlineStr">
        <is>
          <t>6.6折</t>
        </is>
      </c>
      <c r="F571">
        <f>HYPERLINK("https://i0.hdslb.com/bfs/mall/mall/db/e6/dbe6c9c1bd0a199a957563e2a3dfe585.png", "点击查看图片")</f>
        <v/>
      </c>
      <c r="G571">
        <f>HYPERLINK("https://mall.bilibili.com/neul-next/index.html?page=magic-market_detail&amp;noTitleBar=1&amp;itemsId=109888021816&amp;from=market_index", "点击打开")</f>
        <v/>
      </c>
    </row>
    <row r="572">
      <c r="A572" t="inlineStr">
        <is>
          <t>MIMEYOI 碧蓝航线 布莱默顿 炙热的网球练习Ver. 手办 普通版</t>
        </is>
      </c>
      <c r="B572" t="inlineStr">
        <is>
          <t>587.64元</t>
        </is>
      </c>
      <c r="C572" t="inlineStr">
        <is>
          <t>999.00元</t>
        </is>
      </c>
      <c r="D572" t="inlineStr">
        <is>
          <t>411.36元</t>
        </is>
      </c>
      <c r="E572" t="inlineStr">
        <is>
          <t>5.9折</t>
        </is>
      </c>
      <c r="F572">
        <f>HYPERLINK("https://i0.hdslb.com/bfs/mall/mall/c2/d0/c2d0c67590a52579faeb14985440cc61.png", "点击查看图片")</f>
        <v/>
      </c>
      <c r="G572">
        <f>HYPERLINK("https://mall.bilibili.com/neul-next/index.html?page=magic-market_detail&amp;noTitleBar=1&amp;itemsId=111917817560&amp;from=market_index", "点击打开")</f>
        <v/>
      </c>
    </row>
    <row r="573">
      <c r="A573" t="inlineStr">
        <is>
          <t>Myethos 阿米娅 正比手办</t>
        </is>
      </c>
      <c r="B573" t="inlineStr">
        <is>
          <t>149.78元</t>
        </is>
      </c>
      <c r="C573" t="inlineStr">
        <is>
          <t>199.00元</t>
        </is>
      </c>
      <c r="D573" t="inlineStr">
        <is>
          <t>49.22元</t>
        </is>
      </c>
      <c r="E573" t="inlineStr">
        <is>
          <t>7.5折</t>
        </is>
      </c>
      <c r="F573">
        <f>HYPERLINK("https://i0.hdslb.com/bfs/mall/mall/35/a9/35a94878d7cd0901cd809366e20a1cd9.png", "点击查看图片")</f>
        <v/>
      </c>
      <c r="G573">
        <f>HYPERLINK("https://mall.bilibili.com/neul-next/index.html?page=magic-market_detail&amp;noTitleBar=1&amp;itemsId=111916168120&amp;from=market_index", "点击打开")</f>
        <v/>
      </c>
    </row>
    <row r="574">
      <c r="A574" t="inlineStr">
        <is>
          <t>GSC 超绝最可爱天使酱 正比手办</t>
        </is>
      </c>
      <c r="B574" t="inlineStr">
        <is>
          <t>355.79元</t>
        </is>
      </c>
      <c r="C574" t="inlineStr">
        <is>
          <t>395.00元</t>
        </is>
      </c>
      <c r="D574" t="inlineStr">
        <is>
          <t>39.21元</t>
        </is>
      </c>
      <c r="E574" t="inlineStr">
        <is>
          <t>9.0折</t>
        </is>
      </c>
      <c r="F574">
        <f>HYPERLINK("https://i0.hdslb.com/bfs/mall/mall/36/d6/36d65698fab8cd5f2a573bf40c30a172.png", "点击查看图片")</f>
        <v/>
      </c>
      <c r="G574">
        <f>HYPERLINK("https://mall.bilibili.com/neul-next/index.html?page=magic-market_detail&amp;noTitleBar=1&amp;itemsId=111918568895&amp;from=market_index", "点击打开")</f>
        <v/>
      </c>
    </row>
    <row r="575">
      <c r="A575" t="inlineStr">
        <is>
          <t>Phat! 斯卡哈  第一再临 手办</t>
        </is>
      </c>
      <c r="B575" t="inlineStr">
        <is>
          <t>777.00元</t>
        </is>
      </c>
      <c r="C575" t="inlineStr">
        <is>
          <t>1115.00元</t>
        </is>
      </c>
      <c r="D575" t="inlineStr">
        <is>
          <t>338.00元</t>
        </is>
      </c>
      <c r="E575" t="inlineStr">
        <is>
          <t>7.0折</t>
        </is>
      </c>
      <c r="F575">
        <f>HYPERLINK("https://i0.hdslb.com/bfs/mall/mall/a6/e7/a6e772a3971ac1b26a3fff33a907e4de.png", "点击查看图片")</f>
        <v/>
      </c>
      <c r="G575">
        <f>HYPERLINK("https://mall.bilibili.com/neul-next/index.html?page=magic-market_detail&amp;noTitleBar=1&amp;itemsId=111906917651&amp;from=market_index", "点击打开")</f>
        <v/>
      </c>
    </row>
    <row r="576">
      <c r="A576" t="inlineStr">
        <is>
          <t>角川 Angel Beats! 立华奏 学校泳装ver. 手办</t>
        </is>
      </c>
      <c r="B576" t="inlineStr">
        <is>
          <t>784.00元</t>
        </is>
      </c>
      <c r="C576" t="inlineStr">
        <is>
          <t>990.00元</t>
        </is>
      </c>
      <c r="D576" t="inlineStr">
        <is>
          <t>206.00元</t>
        </is>
      </c>
      <c r="E576" t="inlineStr">
        <is>
          <t>7.9折</t>
        </is>
      </c>
      <c r="F576">
        <f>HYPERLINK("https://i0.hdslb.com/bfs/mall/mall/e6/40/e64015e3616ab21c311e676b5eb39651.png", "点击查看图片")</f>
        <v/>
      </c>
      <c r="G576">
        <f>HYPERLINK("https://mall.bilibili.com/neul-next/index.html?page=magic-market_detail&amp;noTitleBar=1&amp;itemsId=109881056843&amp;from=market_index", "点击打开")</f>
        <v/>
      </c>
    </row>
    <row r="577">
      <c r="A577" t="inlineStr">
        <is>
          <t>Astrum Design Mask Girl Ivy 艾薇 手办</t>
        </is>
      </c>
      <c r="B577" t="inlineStr">
        <is>
          <t>420.00元</t>
        </is>
      </c>
      <c r="C577" t="inlineStr">
        <is>
          <t>828.00元</t>
        </is>
      </c>
      <c r="D577" t="inlineStr">
        <is>
          <t>408.00元</t>
        </is>
      </c>
      <c r="E577" t="inlineStr">
        <is>
          <t>5.1折</t>
        </is>
      </c>
      <c r="F577">
        <f>HYPERLINK("https://i0.hdslb.com/bfs/mall/mall/5b/b9/5bb9952fd8e942ab4b5df516e28fde40.png", "点击查看图片")</f>
        <v/>
      </c>
      <c r="G577">
        <f>HYPERLINK("https://mall.bilibili.com/neul-next/index.html?page=magic-market_detail&amp;noTitleBar=1&amp;itemsId=111915475657&amp;from=market_index", "点击打开")</f>
        <v/>
      </c>
    </row>
    <row r="578">
      <c r="A578" t="inlineStr">
        <is>
          <t>Union Creative 原创 Biya原画 尤娜酱 手办</t>
        </is>
      </c>
      <c r="B578" t="inlineStr">
        <is>
          <t>599.00元</t>
        </is>
      </c>
      <c r="C578" t="inlineStr">
        <is>
          <t>899.00元</t>
        </is>
      </c>
      <c r="D578" t="inlineStr">
        <is>
          <t>300.00元</t>
        </is>
      </c>
      <c r="E578" t="inlineStr">
        <is>
          <t>6.7折</t>
        </is>
      </c>
      <c r="F578">
        <f>HYPERLINK("https://i0.hdslb.com/bfs/mall/mall/a5/b2/a5b24ba784f8819f29d5e73676fdfb50.png", "点击查看图片")</f>
        <v/>
      </c>
      <c r="G578">
        <f>HYPERLINK("https://mall.bilibili.com/neul-next/index.html?page=magic-market_detail&amp;noTitleBar=1&amp;itemsId=109883078997&amp;from=market_index", "点击打开")</f>
        <v/>
      </c>
    </row>
    <row r="579">
      <c r="A579" t="inlineStr">
        <is>
          <t>Reverse Studio 八木唯  满羁绊Ver.手办</t>
        </is>
      </c>
      <c r="B579" t="inlineStr">
        <is>
          <t>678.40元</t>
        </is>
      </c>
      <c r="C579" t="inlineStr">
        <is>
          <t>848.00元</t>
        </is>
      </c>
      <c r="D579" t="inlineStr">
        <is>
          <t>169.60元</t>
        </is>
      </c>
      <c r="E579" t="inlineStr">
        <is>
          <t>8.0折</t>
        </is>
      </c>
      <c r="F579">
        <f>HYPERLINK("https://i0.hdslb.com/bfs/mall/mall/3c/ed/3ced22e0fe125c9f2b1d292f19080348.png", "点击查看图片")</f>
        <v/>
      </c>
      <c r="G579">
        <f>HYPERLINK("https://mall.bilibili.com/neul-next/index.html?page=magic-market_detail&amp;noTitleBar=1&amp;itemsId=111910960674&amp;from=market_index", "点击打开")</f>
        <v/>
      </c>
    </row>
    <row r="580">
      <c r="A580" t="inlineStr">
        <is>
          <t>Brilliant Journey! 光辉 钟情春日Ver. 手办</t>
        </is>
      </c>
      <c r="B580" t="inlineStr">
        <is>
          <t>828.00元</t>
        </is>
      </c>
      <c r="C580" t="inlineStr">
        <is>
          <t>1199.00元</t>
        </is>
      </c>
      <c r="D580" t="inlineStr">
        <is>
          <t>371.00元</t>
        </is>
      </c>
      <c r="E580" t="inlineStr">
        <is>
          <t>6.9折</t>
        </is>
      </c>
      <c r="F580">
        <f>HYPERLINK("https://i0.hdslb.com/bfs/mall/mall/34/cd/34cd274ce55f4b4d8cdd31326d2a723f.png", "点击查看图片")</f>
        <v/>
      </c>
      <c r="G580">
        <f>HYPERLINK("https://mall.bilibili.com/neul-next/index.html?page=magic-market_detail&amp;noTitleBar=1&amp;itemsId=110471460665&amp;from=market_index", "点击打开")</f>
        <v/>
      </c>
    </row>
    <row r="581">
      <c r="A581" t="inlineStr">
        <is>
          <t>FuRyu 喜多郁代 咖啡店Ver. 手办</t>
        </is>
      </c>
      <c r="B581" t="inlineStr">
        <is>
          <t>176.66元</t>
        </is>
      </c>
      <c r="C581" t="inlineStr">
        <is>
          <t>285.00元</t>
        </is>
      </c>
      <c r="D581" t="inlineStr">
        <is>
          <t>108.34元</t>
        </is>
      </c>
      <c r="E581" t="inlineStr">
        <is>
          <t>6.2折</t>
        </is>
      </c>
      <c r="F581">
        <f>HYPERLINK("https://i0.hdslb.com/bfs/mall/mall/be/4b/be4ba90dd688a2f3c885a50ef28eb178.png", "点击查看图片")</f>
        <v/>
      </c>
      <c r="G581">
        <f>HYPERLINK("https://mall.bilibili.com/neul-next/index.html?page=magic-market_detail&amp;noTitleBar=1&amp;itemsId=111920256446&amp;from=market_index", "点击打开")</f>
        <v/>
      </c>
    </row>
    <row r="582">
      <c r="A582" t="inlineStr">
        <is>
          <t>GSC 贝瑟尔 手办</t>
        </is>
      </c>
      <c r="B582" t="inlineStr">
        <is>
          <t>1577.00元</t>
        </is>
      </c>
      <c r="C582" t="inlineStr">
        <is>
          <t>1577.00元</t>
        </is>
      </c>
      <c r="D582" t="inlineStr">
        <is>
          <t>0.00元</t>
        </is>
      </c>
      <c r="E582" t="inlineStr">
        <is>
          <t>10.0折</t>
        </is>
      </c>
      <c r="F582">
        <f>HYPERLINK("https://i0.hdslb.com/bfs/mall/mall/3d/4a/3d4a5686d6b06569b7a18c21fbca1b67.png", "点击查看图片")</f>
        <v/>
      </c>
      <c r="G582">
        <f>HYPERLINK("https://mall.bilibili.com/neul-next/index.html?page=magic-market_detail&amp;noTitleBar=1&amp;itemsId=106788925974&amp;from=market_index", "点击打开")</f>
        <v/>
      </c>
    </row>
    <row r="583">
      <c r="A583" t="inlineStr">
        <is>
          <t>世嘉 中野一花 景品手办</t>
        </is>
      </c>
      <c r="B583" t="inlineStr">
        <is>
          <t>106.00元</t>
        </is>
      </c>
      <c r="C583" t="inlineStr">
        <is>
          <t>218.00元</t>
        </is>
      </c>
      <c r="D583" t="inlineStr">
        <is>
          <t>112.00元</t>
        </is>
      </c>
      <c r="E583" t="inlineStr">
        <is>
          <t>4.9折</t>
        </is>
      </c>
      <c r="F583">
        <f>HYPERLINK("https://i0.hdslb.com/bfs/mall/mall/35/d0/35d00e124782ead03487d6941ea7e898.png", "点击查看图片")</f>
        <v/>
      </c>
      <c r="G583">
        <f>HYPERLINK("https://mall.bilibili.com/neul-next/index.html?page=magic-market_detail&amp;noTitleBar=1&amp;itemsId=111914241842&amp;from=market_index", "点击打开")</f>
        <v/>
      </c>
    </row>
    <row r="584">
      <c r="A584" t="inlineStr">
        <is>
          <t>Phat! 熊野 Fancy Wave 手办</t>
        </is>
      </c>
      <c r="B584" t="inlineStr">
        <is>
          <t>888.00元</t>
        </is>
      </c>
      <c r="C584" t="inlineStr">
        <is>
          <t>1405.00元</t>
        </is>
      </c>
      <c r="D584" t="inlineStr">
        <is>
          <t>517.00元</t>
        </is>
      </c>
      <c r="E584" t="inlineStr">
        <is>
          <t>6.3折</t>
        </is>
      </c>
      <c r="F584">
        <f>HYPERLINK("https://i0.hdslb.com/bfs/mall/mall/e6/ba/e6bae08c16569f2cd4d5e9a5045c5666.png", "点击查看图片")</f>
        <v/>
      </c>
      <c r="G584">
        <f>HYPERLINK("https://mall.bilibili.com/neul-next/index.html?page=magic-market_detail&amp;noTitleBar=1&amp;itemsId=120672431227&amp;from=market_index", "点击打开")</f>
        <v/>
      </c>
    </row>
    <row r="585">
      <c r="A585" t="inlineStr">
        <is>
          <t>GSAS 陈 良辰锦年 VER.  正比手办</t>
        </is>
      </c>
      <c r="B585" t="inlineStr">
        <is>
          <t>686.65元</t>
        </is>
      </c>
      <c r="C585" t="inlineStr">
        <is>
          <t>1149.00元</t>
        </is>
      </c>
      <c r="D585" t="inlineStr">
        <is>
          <t>462.35元</t>
        </is>
      </c>
      <c r="E585" t="inlineStr">
        <is>
          <t>6.0折</t>
        </is>
      </c>
      <c r="F585">
        <f>HYPERLINK("https://i0.hdslb.com/bfs/mall/mall/f4/9d/f49dabfbec71079ae2e7321128083ad9.png", "点击查看图片")</f>
        <v/>
      </c>
      <c r="G585">
        <f>HYPERLINK("https://mall.bilibili.com/neul-next/index.html?page=magic-market_detail&amp;noTitleBar=1&amp;itemsId=110462454090&amp;from=market_index", "点击打开")</f>
        <v/>
      </c>
    </row>
    <row r="586">
      <c r="A586" t="inlineStr">
        <is>
          <t>ALTER 空银子 猫耳Ver.手办</t>
        </is>
      </c>
      <c r="B586" t="inlineStr">
        <is>
          <t>588.00元</t>
        </is>
      </c>
      <c r="C586" t="inlineStr">
        <is>
          <t>839.00元</t>
        </is>
      </c>
      <c r="D586" t="inlineStr">
        <is>
          <t>251.00元</t>
        </is>
      </c>
      <c r="E586" t="inlineStr">
        <is>
          <t>7.0折</t>
        </is>
      </c>
      <c r="F586">
        <f>HYPERLINK("https://i0.hdslb.com/bfs/mall/mall/cb/b5/cbb593e0ed48599d92c26569e6c1bfa0.png", "点击查看图片")</f>
        <v/>
      </c>
      <c r="G586">
        <f>HYPERLINK("https://mall.bilibili.com/neul-next/index.html?page=magic-market_detail&amp;noTitleBar=1&amp;itemsId=109888151123&amp;from=market_index", "点击打开")</f>
        <v/>
      </c>
    </row>
    <row r="587">
      <c r="A587" t="inlineStr">
        <is>
          <t>Max Factory  圣园未花 可动手办</t>
        </is>
      </c>
      <c r="B587" t="inlineStr">
        <is>
          <t>369.85元</t>
        </is>
      </c>
      <c r="C587" t="inlineStr">
        <is>
          <t>495.00元</t>
        </is>
      </c>
      <c r="D587" t="inlineStr">
        <is>
          <t>125.15元</t>
        </is>
      </c>
      <c r="E587" t="inlineStr">
        <is>
          <t>7.5折</t>
        </is>
      </c>
      <c r="F587">
        <f>HYPERLINK("https://i0.hdslb.com/bfs/mall/mall/b9/9e/b99e0bfc2a3ebfd46a9831b0d41e20b0.png", "点击查看图片")</f>
        <v/>
      </c>
      <c r="G587">
        <f>HYPERLINK("https://mall.bilibili.com/neul-next/index.html?page=magic-market_detail&amp;noTitleBar=1&amp;itemsId=111914855636&amp;from=market_index", "点击打开")</f>
        <v/>
      </c>
    </row>
    <row r="588">
      <c r="A588" t="inlineStr">
        <is>
          <t>HOBBY STOCK 初音未来 EXPO 2023 VR ver. 正比手办</t>
        </is>
      </c>
      <c r="B588" t="inlineStr">
        <is>
          <t>1022.13元</t>
        </is>
      </c>
      <c r="C588" t="inlineStr">
        <is>
          <t>1475.00元</t>
        </is>
      </c>
      <c r="D588" t="inlineStr">
        <is>
          <t>452.87元</t>
        </is>
      </c>
      <c r="E588" t="inlineStr">
        <is>
          <t>6.9折</t>
        </is>
      </c>
      <c r="F588">
        <f>HYPERLINK("https://i0.hdslb.com/bfs/mall/mall/80/70/8070b873f9cebc721c69c70754b71abb.png", "点击查看图片")</f>
        <v/>
      </c>
      <c r="G588">
        <f>HYPERLINK("https://mall.bilibili.com/neul-next/index.html?page=magic-market_detail&amp;noTitleBar=1&amp;itemsId=111912149746&amp;from=market_index", "点击打开")</f>
        <v/>
      </c>
    </row>
    <row r="589">
      <c r="A589" t="inlineStr">
        <is>
          <t>Phat! 静 手办</t>
        </is>
      </c>
      <c r="B589" t="inlineStr">
        <is>
          <t>598.99元</t>
        </is>
      </c>
      <c r="C589" t="inlineStr">
        <is>
          <t>959.00元</t>
        </is>
      </c>
      <c r="D589" t="inlineStr">
        <is>
          <t>360.01元</t>
        </is>
      </c>
      <c r="E589" t="inlineStr">
        <is>
          <t>6.2折</t>
        </is>
      </c>
      <c r="F589">
        <f>HYPERLINK("https://i0.hdslb.com/bfs/mall/mall/00/f4/00f4b7c5d16feff98aaee1fcfe6ab996.png", "点击查看图片")</f>
        <v/>
      </c>
      <c r="G589">
        <f>HYPERLINK("https://mall.bilibili.com/neul-next/index.html?page=magic-market_detail&amp;noTitleBar=1&amp;itemsId=111912082947&amp;from=market_index", "点击打开")</f>
        <v/>
      </c>
    </row>
    <row r="590">
      <c r="A590" t="inlineStr">
        <is>
          <t>iDELiTE FiGURE 晓想系列 OVERLORD 雅儿贝德 手办</t>
        </is>
      </c>
      <c r="B590" t="inlineStr">
        <is>
          <t>1097.77元</t>
        </is>
      </c>
      <c r="C590" t="inlineStr">
        <is>
          <t>1459.00元</t>
        </is>
      </c>
      <c r="D590" t="inlineStr">
        <is>
          <t>361.23元</t>
        </is>
      </c>
      <c r="E590" t="inlineStr">
        <is>
          <t>7.5折</t>
        </is>
      </c>
      <c r="F590">
        <f>HYPERLINK("https://i0.hdslb.com/bfs/mall/mall/82/80/828067ecf3cb7137ddeee2af5f42c785.png", "点击查看图片")</f>
        <v/>
      </c>
      <c r="G590">
        <f>HYPERLINK("https://mall.bilibili.com/neul-next/index.html?page=magic-market_detail&amp;noTitleBar=1&amp;itemsId=111918385614&amp;from=market_index", "点击打开")</f>
        <v/>
      </c>
    </row>
    <row r="591">
      <c r="A591" t="inlineStr">
        <is>
          <t>MIMEYOI 蔚蓝档案 和泉元影美 手办</t>
        </is>
      </c>
      <c r="B591" t="inlineStr">
        <is>
          <t>585.00元</t>
        </is>
      </c>
      <c r="C591" t="inlineStr">
        <is>
          <t>899.00元</t>
        </is>
      </c>
      <c r="D591" t="inlineStr">
        <is>
          <t>314.00元</t>
        </is>
      </c>
      <c r="E591" t="inlineStr">
        <is>
          <t>6.5折</t>
        </is>
      </c>
      <c r="F591">
        <f>HYPERLINK("https://i0.hdslb.com/bfs/mall/mall/b3/d7/b3d77775879a436496f3aa3c122636ea.png", "点击查看图片")</f>
        <v/>
      </c>
      <c r="G591">
        <f>HYPERLINK("https://mall.bilibili.com/neul-next/index.html?page=magic-market_detail&amp;noTitleBar=1&amp;itemsId=111913670371&amp;from=market_index", "点击打开")</f>
        <v/>
      </c>
    </row>
    <row r="592">
      <c r="A592" t="inlineStr">
        <is>
          <t>ALTER Fate/Grand Order Arcade Caster/梅林[Prototype] 手办</t>
        </is>
      </c>
      <c r="B592" t="inlineStr">
        <is>
          <t>1366.64元</t>
        </is>
      </c>
      <c r="C592" t="inlineStr">
        <is>
          <t>1699.00元</t>
        </is>
      </c>
      <c r="D592" t="inlineStr">
        <is>
          <t>332.36元</t>
        </is>
      </c>
      <c r="E592" t="inlineStr">
        <is>
          <t>8.0折</t>
        </is>
      </c>
      <c r="F592">
        <f>HYPERLINK("https://i0.hdslb.com/bfs/mall/mall/40/16/4016c52f8be82c098ccae191565b4ccb.png", "点击查看图片")</f>
        <v/>
      </c>
      <c r="G592">
        <f>HYPERLINK("https://mall.bilibili.com/neul-next/index.html?page=magic-market_detail&amp;noTitleBar=1&amp;itemsId=109873079071&amp;from=market_index", "点击打开")</f>
        <v/>
      </c>
    </row>
    <row r="593">
      <c r="A593" t="inlineStr">
        <is>
          <t>PROOF 明日小路  夏服ver. 正比手办</t>
        </is>
      </c>
      <c r="B593" t="inlineStr">
        <is>
          <t>440.00元</t>
        </is>
      </c>
      <c r="C593" t="inlineStr">
        <is>
          <t>835.00元</t>
        </is>
      </c>
      <c r="D593" t="inlineStr">
        <is>
          <t>395.00元</t>
        </is>
      </c>
      <c r="E593" t="inlineStr">
        <is>
          <t>5.3折</t>
        </is>
      </c>
      <c r="F593">
        <f>HYPERLINK("https://i0.hdslb.com/bfs/mall/mall/8d/86/8d86c2c9730802f0389b9a29866509d8.png", "点击查看图片")</f>
        <v/>
      </c>
      <c r="G593">
        <f>HYPERLINK("https://mall.bilibili.com/neul-next/index.html?page=magic-market_detail&amp;noTitleBar=1&amp;itemsId=111905729167&amp;from=market_index", "点击打开")</f>
        <v/>
      </c>
    </row>
    <row r="594">
      <c r="A594" t="inlineStr">
        <is>
          <t>角川 我推的孩子 星野爱&amp;阿库亚&amp;露比 Mother and Children 手办</t>
        </is>
      </c>
      <c r="B594" t="inlineStr">
        <is>
          <t>845.00元</t>
        </is>
      </c>
      <c r="C594" t="inlineStr">
        <is>
          <t>845.00元</t>
        </is>
      </c>
      <c r="D594" t="inlineStr">
        <is>
          <t>0.00元</t>
        </is>
      </c>
      <c r="E594" t="inlineStr">
        <is>
          <t>10.0折</t>
        </is>
      </c>
      <c r="F594">
        <f>HYPERLINK("https://i0.hdslb.com/bfs/mall/mall/d9/00/d900de60f54eb127191846d49ba878b7.png", "点击查看图片")</f>
        <v/>
      </c>
      <c r="G594">
        <f>HYPERLINK("https://mall.bilibili.com/neul-next/index.html?page=magic-market_detail&amp;noTitleBar=1&amp;itemsId=106915248506&amp;from=market_index", "点击打开")</f>
        <v/>
      </c>
    </row>
    <row r="595">
      <c r="A595" t="inlineStr">
        <is>
          <t>GSC 宫园薰 手办 二次再版</t>
        </is>
      </c>
      <c r="B595" t="inlineStr">
        <is>
          <t>599.00元</t>
        </is>
      </c>
      <c r="C595" t="inlineStr">
        <is>
          <t>599.00元</t>
        </is>
      </c>
      <c r="D595" t="inlineStr">
        <is>
          <t>0.00元</t>
        </is>
      </c>
      <c r="E595" t="inlineStr">
        <is>
          <t>10.0折</t>
        </is>
      </c>
      <c r="F595">
        <f>HYPERLINK("https://i0.hdslb.com/bfs/mall/mall/3e/47/3e47b7b56a20d42f06f38804080307fa.png", "点击查看图片")</f>
        <v/>
      </c>
      <c r="G595">
        <f>HYPERLINK("https://mall.bilibili.com/neul-next/index.html?page=magic-market_detail&amp;noTitleBar=1&amp;itemsId=111906813499&amp;from=market_index", "点击打开")</f>
        <v/>
      </c>
    </row>
    <row r="596">
      <c r="A596" t="inlineStr">
        <is>
          <t>F:NEX 主播女孩重度依赖 超绝最可爱天使酱 手办</t>
        </is>
      </c>
      <c r="B596" t="inlineStr">
        <is>
          <t>609.92元</t>
        </is>
      </c>
      <c r="C596" t="inlineStr">
        <is>
          <t>899.00元</t>
        </is>
      </c>
      <c r="D596" t="inlineStr">
        <is>
          <t>289.08元</t>
        </is>
      </c>
      <c r="E596" t="inlineStr">
        <is>
          <t>6.8折</t>
        </is>
      </c>
      <c r="F596">
        <f>HYPERLINK("https://i0.hdslb.com/bfs/mall/mall/d6/de/d6de8da0a1e6a934bdcdc112552f7dd8.png", "点击查看图片")</f>
        <v/>
      </c>
      <c r="G596">
        <f>HYPERLINK("https://mall.bilibili.com/neul-next/index.html?page=magic-market_detail&amp;noTitleBar=1&amp;itemsId=111912157372&amp;from=market_index", "点击打开")</f>
        <v/>
      </c>
    </row>
    <row r="597">
      <c r="A597" t="inlineStr">
        <is>
          <t>ANIPLEX+ 始皇帝 Ruler 手办</t>
        </is>
      </c>
      <c r="B597" t="inlineStr">
        <is>
          <t>899.00元</t>
        </is>
      </c>
      <c r="C597" t="inlineStr">
        <is>
          <t>2800.00元</t>
        </is>
      </c>
      <c r="D597" t="inlineStr">
        <is>
          <t>1901.00元</t>
        </is>
      </c>
      <c r="E597" t="inlineStr">
        <is>
          <t>3.2折</t>
        </is>
      </c>
      <c r="F597">
        <f>HYPERLINK("https://i0.hdslb.com/bfs/mall/mall/0f/44/0f44698cd320a11e2a161068b9e81eab.png", "点击查看图片")</f>
        <v/>
      </c>
      <c r="G597">
        <f>HYPERLINK("https://mall.bilibili.com/neul-next/index.html?page=magic-market_detail&amp;noTitleBar=1&amp;itemsId=111918222153&amp;from=market_index", "点击打开")</f>
        <v/>
      </c>
    </row>
    <row r="598">
      <c r="A598" t="inlineStr">
        <is>
          <t>FREEing 新户绯沙子 兔女郎Ver.  手办</t>
        </is>
      </c>
      <c r="B598" t="inlineStr">
        <is>
          <t>1199.00元</t>
        </is>
      </c>
      <c r="C598" t="inlineStr">
        <is>
          <t>1519.00元</t>
        </is>
      </c>
      <c r="D598" t="inlineStr">
        <is>
          <t>320.00元</t>
        </is>
      </c>
      <c r="E598" t="inlineStr">
        <is>
          <t>7.9折</t>
        </is>
      </c>
      <c r="F598">
        <f>HYPERLINK("https://i0.hdslb.com/bfs/mall/mall/6f/7c/6f7c324f175f3a193e3a44115e801a7e.png", "点击查看图片")</f>
        <v/>
      </c>
      <c r="G598">
        <f>HYPERLINK("https://mall.bilibili.com/neul-next/index.html?page=magic-market_detail&amp;noTitleBar=1&amp;itemsId=110461491971&amp;from=market_index", "点击打开")</f>
        <v/>
      </c>
    </row>
    <row r="599">
      <c r="A599" t="inlineStr">
        <is>
          <t>寿屋 不知火舞 手办</t>
        </is>
      </c>
      <c r="B599" t="inlineStr">
        <is>
          <t>499.00元</t>
        </is>
      </c>
      <c r="C599" t="inlineStr">
        <is>
          <t>780.00元</t>
        </is>
      </c>
      <c r="D599" t="inlineStr">
        <is>
          <t>281.00元</t>
        </is>
      </c>
      <c r="E599" t="inlineStr">
        <is>
          <t>6.4折</t>
        </is>
      </c>
      <c r="F599">
        <f>HYPERLINK("https://i0.hdslb.com/bfs/mall/mall/33/60/336098b7907b870083ef9a7a29bfac0e.png", "点击查看图片")</f>
        <v/>
      </c>
      <c r="G599">
        <f>HYPERLINK("https://mall.bilibili.com/neul-next/index.html?page=magic-market_detail&amp;noTitleBar=1&amp;itemsId=110463791499&amp;from=market_index", "点击打开")</f>
        <v/>
      </c>
    </row>
    <row r="600">
      <c r="A600" t="inlineStr">
        <is>
          <t>初音未来 5th Anniv. 手办 进阶大礼包</t>
        </is>
      </c>
      <c r="B600" t="inlineStr">
        <is>
          <t>579.99元</t>
        </is>
      </c>
      <c r="C600" t="inlineStr">
        <is>
          <t>1329.00元</t>
        </is>
      </c>
      <c r="D600" t="inlineStr">
        <is>
          <t>749.01元</t>
        </is>
      </c>
      <c r="E600" t="inlineStr">
        <is>
          <t>4.4折</t>
        </is>
      </c>
      <c r="F600">
        <f>HYPERLINK("https://i0.hdslb.com/bfs/mall/mall/68/67/68670a122af54612fb8294f77b9ae428.png", "点击查看图片")</f>
        <v/>
      </c>
      <c r="G600">
        <f>HYPERLINK("https://mall.bilibili.com/neul-next/index.html?page=magic-market_detail&amp;noTitleBar=1&amp;itemsId=106841492845&amp;from=market_index", "点击打开")</f>
        <v/>
      </c>
    </row>
    <row r="601">
      <c r="A601" t="inlineStr">
        <is>
          <t>Hobbymax HK416 白色尼格罗尼 Ver. 正比手办</t>
        </is>
      </c>
      <c r="B601" t="inlineStr">
        <is>
          <t>799.00元</t>
        </is>
      </c>
      <c r="C601" t="inlineStr">
        <is>
          <t>899.00元</t>
        </is>
      </c>
      <c r="D601" t="inlineStr">
        <is>
          <t>100.00元</t>
        </is>
      </c>
      <c r="E601" t="inlineStr">
        <is>
          <t>8.9折</t>
        </is>
      </c>
      <c r="F601">
        <f>HYPERLINK("https://i0.hdslb.com/bfs/mall/mall/7c/4a/7c4a678f50e3868fad003a49f2d19bbc.png", "点击查看图片")</f>
        <v/>
      </c>
      <c r="G601">
        <f>HYPERLINK("https://mall.bilibili.com/neul-next/index.html?page=magic-market_detail&amp;noTitleBar=1&amp;itemsId=109864505968&amp;from=market_index", "点击打开")</f>
        <v/>
      </c>
    </row>
    <row r="602">
      <c r="A602" t="inlineStr">
        <is>
          <t>TAITO 娜娜奇 2nd season ver. 景品手办</t>
        </is>
      </c>
      <c r="B602" t="inlineStr">
        <is>
          <t>108.99元</t>
        </is>
      </c>
      <c r="C602" t="inlineStr">
        <is>
          <t>112.00元</t>
        </is>
      </c>
      <c r="D602" t="inlineStr">
        <is>
          <t>3.01元</t>
        </is>
      </c>
      <c r="E602" t="inlineStr">
        <is>
          <t>9.7折</t>
        </is>
      </c>
      <c r="F602">
        <f>HYPERLINK("https://i0.hdslb.com/bfs/mall/mall/27/75/27755ce29deb25de968b595963d9bad9.png", "点击查看图片")</f>
        <v/>
      </c>
      <c r="G602">
        <f>HYPERLINK("https://mall.bilibili.com/neul-next/index.html?page=magic-market_detail&amp;noTitleBar=1&amp;itemsId=111909783784&amp;from=market_index", "点击打开")</f>
        <v/>
      </c>
    </row>
    <row r="603">
      <c r="A603" t="inlineStr">
        <is>
          <t>GSC 樱花未来 赏花穿搭Ver. Q版手办</t>
        </is>
      </c>
      <c r="B603" t="inlineStr">
        <is>
          <t>843.99元</t>
        </is>
      </c>
      <c r="C603" t="inlineStr">
        <is>
          <t>844.00元</t>
        </is>
      </c>
      <c r="D603" t="inlineStr">
        <is>
          <t>0.01元</t>
        </is>
      </c>
      <c r="E603" t="inlineStr">
        <is>
          <t>10.0折</t>
        </is>
      </c>
      <c r="F603">
        <f>HYPERLINK("https://i0.hdslb.com/bfs/mall/mall/a6/b8/a6b844e4b0c35fdc1a552c10ba2a70aa.png", "点击查看图片")</f>
        <v/>
      </c>
      <c r="G603">
        <f>HYPERLINK("https://mall.bilibili.com/neul-next/index.html?page=magic-market_detail&amp;noTitleBar=1&amp;itemsId=109851409786&amp;from=market_index", "点击打开")</f>
        <v/>
      </c>
    </row>
    <row r="604">
      <c r="A604" t="inlineStr">
        <is>
          <t>Prime 1 Studio PRISMA WING 约会大作战 狂三外传 白之女王 1/7手办 通常版</t>
        </is>
      </c>
      <c r="B604" t="inlineStr">
        <is>
          <t>1141.12元</t>
        </is>
      </c>
      <c r="C604" t="inlineStr">
        <is>
          <t>1950.00元</t>
        </is>
      </c>
      <c r="D604" t="inlineStr">
        <is>
          <t>808.88元</t>
        </is>
      </c>
      <c r="E604" t="inlineStr">
        <is>
          <t>5.9折</t>
        </is>
      </c>
      <c r="F604">
        <f>HYPERLINK("https://i0.hdslb.com/bfs/mall/mall/af/97/af974ff6feca4c1bede17dc37115eedb.png", "点击查看图片")</f>
        <v/>
      </c>
      <c r="G604">
        <f>HYPERLINK("https://mall.bilibili.com/neul-next/index.html?page=magic-market_detail&amp;noTitleBar=1&amp;itemsId=111914303084&amp;from=market_index", "点击打开")</f>
        <v/>
      </c>
    </row>
    <row r="605">
      <c r="A605" t="inlineStr">
        <is>
          <t>FuRyu 爱丽丝 正比手办</t>
        </is>
      </c>
      <c r="B605" t="inlineStr">
        <is>
          <t>199.99元</t>
        </is>
      </c>
      <c r="C605" t="inlineStr">
        <is>
          <t>295.00元</t>
        </is>
      </c>
      <c r="D605" t="inlineStr">
        <is>
          <t>95.01元</t>
        </is>
      </c>
      <c r="E605" t="inlineStr">
        <is>
          <t>6.8折</t>
        </is>
      </c>
      <c r="F605">
        <f>HYPERLINK("https://i0.hdslb.com/bfs/mall/mall/48/c6/48c6cf32508236b428522cd897e9311f.png", "点击查看图片")</f>
        <v/>
      </c>
      <c r="G605">
        <f>HYPERLINK("https://mall.bilibili.com/neul-next/index.html?page=magic-market_detail&amp;noTitleBar=1&amp;itemsId=110465113592&amp;from=market_index", "点击打开")</f>
        <v/>
      </c>
    </row>
    <row r="606">
      <c r="A606" t="inlineStr">
        <is>
          <t>GSC  维兹 L size 正比手办</t>
        </is>
      </c>
      <c r="B606" t="inlineStr">
        <is>
          <t>318.73元</t>
        </is>
      </c>
      <c r="C606" t="inlineStr">
        <is>
          <t>415.00元</t>
        </is>
      </c>
      <c r="D606" t="inlineStr">
        <is>
          <t>96.27元</t>
        </is>
      </c>
      <c r="E606" t="inlineStr">
        <is>
          <t>7.7折</t>
        </is>
      </c>
      <c r="F606">
        <f>HYPERLINK("https://i0.hdslb.com/bfs/mall/mall/ea/e4/eae42eef00b8722577191546a5d8f7ab.png", "点击查看图片")</f>
        <v/>
      </c>
      <c r="G606">
        <f>HYPERLINK("https://mall.bilibili.com/neul-next/index.html?page=magic-market_detail&amp;noTitleBar=1&amp;itemsId=110474862637&amp;from=market_index", "点击打开")</f>
        <v/>
      </c>
    </row>
    <row r="607">
      <c r="A607" t="inlineStr">
        <is>
          <t>FuRyu 初音未来 新东京和服 正比手办</t>
        </is>
      </c>
      <c r="B607" t="inlineStr">
        <is>
          <t>210.00元</t>
        </is>
      </c>
      <c r="C607" t="inlineStr">
        <is>
          <t>269.00元</t>
        </is>
      </c>
      <c r="D607" t="inlineStr">
        <is>
          <t>59.00元</t>
        </is>
      </c>
      <c r="E607" t="inlineStr">
        <is>
          <t>7.8折</t>
        </is>
      </c>
      <c r="F607">
        <f>HYPERLINK("https://i0.hdslb.com/bfs/mall/mall/75/c5/75c576e43a161502bc6c0a278658ab66.png", "点击查看图片")</f>
        <v/>
      </c>
      <c r="G607">
        <f>HYPERLINK("https://mall.bilibili.com/neul-next/index.html?page=magic-market_detail&amp;noTitleBar=1&amp;itemsId=120676076259&amp;from=market_index", "点击打开")</f>
        <v/>
      </c>
    </row>
    <row r="608">
      <c r="A608" t="inlineStr">
        <is>
          <t>PinkMango 修女精灵 手办</t>
        </is>
      </c>
      <c r="B608" t="inlineStr">
        <is>
          <t>770.00元</t>
        </is>
      </c>
      <c r="C608" t="inlineStr">
        <is>
          <t>880.00元</t>
        </is>
      </c>
      <c r="D608" t="inlineStr">
        <is>
          <t>110.00元</t>
        </is>
      </c>
      <c r="E608" t="inlineStr">
        <is>
          <t>8.8折</t>
        </is>
      </c>
      <c r="F608">
        <f>HYPERLINK("https://i0.hdslb.com/bfs/mall/mall/5f/7f/5f7feed1fcb97c5cd37b4d96e0a07dd2.png", "点击查看图片")</f>
        <v/>
      </c>
      <c r="G608">
        <f>HYPERLINK("https://mall.bilibili.com/neul-next/index.html?page=magic-market_detail&amp;noTitleBar=1&amp;itemsId=106790903555&amp;from=market_index", "点击打开")</f>
        <v/>
      </c>
    </row>
    <row r="609">
      <c r="A609" t="inlineStr">
        <is>
          <t>Alphamax 约会大作战 时崎狂三 睡衣ver. 1/7手办 再版</t>
        </is>
      </c>
      <c r="B609" t="inlineStr">
        <is>
          <t>500.00元</t>
        </is>
      </c>
      <c r="C609" t="inlineStr">
        <is>
          <t>735.00元</t>
        </is>
      </c>
      <c r="D609" t="inlineStr">
        <is>
          <t>235.00元</t>
        </is>
      </c>
      <c r="E609" t="inlineStr">
        <is>
          <t>6.8折</t>
        </is>
      </c>
      <c r="F609">
        <f>HYPERLINK("https://i0.hdslb.com/bfs/mall/mall/b3/c3/b3c34d970c58143ca8f7ce3c038ac368.png", "点击查看图片")</f>
        <v/>
      </c>
      <c r="G609">
        <f>HYPERLINK("https://mall.bilibili.com/neul-next/index.html?page=magic-market_detail&amp;noTitleBar=1&amp;itemsId=111908456293&amp;from=market_index", "点击打开")</f>
        <v/>
      </c>
    </row>
    <row r="610">
      <c r="A610" t="inlineStr">
        <is>
          <t>APEX 嫦娥 寒月公主ver. 手办</t>
        </is>
      </c>
      <c r="B610" t="inlineStr">
        <is>
          <t>744.93元</t>
        </is>
      </c>
      <c r="C610" t="inlineStr">
        <is>
          <t>999.00元</t>
        </is>
      </c>
      <c r="D610" t="inlineStr">
        <is>
          <t>254.07元</t>
        </is>
      </c>
      <c r="E610" t="inlineStr">
        <is>
          <t>7.5折</t>
        </is>
      </c>
      <c r="F610">
        <f>HYPERLINK("https://i0.hdslb.com/bfs/mall/mall/34/d5/34d5dc2752dc2581eeff9ab96fce6851.png", "点击查看图片")</f>
        <v/>
      </c>
      <c r="G610">
        <f>HYPERLINK("https://mall.bilibili.com/neul-next/index.html?page=magic-market_detail&amp;noTitleBar=1&amp;itemsId=111908521806&amp;from=market_index", "点击打开")</f>
        <v/>
      </c>
    </row>
    <row r="611">
      <c r="A611" t="inlineStr">
        <is>
          <t>GSAS 鳂 手办</t>
        </is>
      </c>
      <c r="B611" t="inlineStr">
        <is>
          <t>795.03元</t>
        </is>
      </c>
      <c r="C611" t="inlineStr">
        <is>
          <t>1049.00元</t>
        </is>
      </c>
      <c r="D611" t="inlineStr">
        <is>
          <t>253.97元</t>
        </is>
      </c>
      <c r="E611" t="inlineStr">
        <is>
          <t>7.6折</t>
        </is>
      </c>
      <c r="F611">
        <f>HYPERLINK("https://i0.hdslb.com/bfs/mall/mall/61/83/6183353580df146d2c1cf580ec6d2fe8.png", "点击查看图片")</f>
        <v/>
      </c>
      <c r="G611">
        <f>HYPERLINK("https://mall.bilibili.com/neul-next/index.html?page=magic-market_detail&amp;noTitleBar=1&amp;itemsId=111909321009&amp;from=market_index", "点击打开")</f>
        <v/>
      </c>
    </row>
    <row r="612">
      <c r="A612" t="inlineStr">
        <is>
          <t>Myethos 真珠舍利宝幢 手办 附特典</t>
        </is>
      </c>
      <c r="B612" t="inlineStr">
        <is>
          <t>859.99元</t>
        </is>
      </c>
      <c r="C612" t="inlineStr">
        <is>
          <t>999.00元</t>
        </is>
      </c>
      <c r="D612" t="inlineStr">
        <is>
          <t>139.01元</t>
        </is>
      </c>
      <c r="E612" t="inlineStr">
        <is>
          <t>8.6折</t>
        </is>
      </c>
      <c r="F612">
        <f>HYPERLINK("https://i0.hdslb.com/bfs/mall/mall/ed/20/ed202fc9c9781478972561afa7ad9a27.png", "点击查看图片")</f>
        <v/>
      </c>
      <c r="G612">
        <f>HYPERLINK("https://mall.bilibili.com/neul-next/index.html?page=magic-market_detail&amp;noTitleBar=1&amp;itemsId=111907650446&amp;from=market_index", "点击打开")</f>
        <v/>
      </c>
    </row>
    <row r="613">
      <c r="A613" t="inlineStr">
        <is>
          <t>角川 寒蝉鸣泣之时 古手梨花 Angel Mode Ver. 手办</t>
        </is>
      </c>
      <c r="B613" t="inlineStr">
        <is>
          <t>525.00元</t>
        </is>
      </c>
      <c r="C613" t="inlineStr">
        <is>
          <t>699.00元</t>
        </is>
      </c>
      <c r="D613" t="inlineStr">
        <is>
          <t>174.00元</t>
        </is>
      </c>
      <c r="E613" t="inlineStr">
        <is>
          <t>7.5折</t>
        </is>
      </c>
      <c r="F613">
        <f>HYPERLINK("https://i0.hdslb.com/bfs/mall/mall/e0/40/e0401b98848caeb11a3d04a26a366abc.png", "点击查看图片")</f>
        <v/>
      </c>
      <c r="G613">
        <f>HYPERLINK("https://mall.bilibili.com/neul-next/index.html?page=magic-market_detail&amp;noTitleBar=1&amp;itemsId=109881815881&amp;from=market_index", "点击打开")</f>
        <v/>
      </c>
    </row>
    <row r="614">
      <c r="A614" t="inlineStr">
        <is>
          <t>Max Factory 早濑优香 可动手办</t>
        </is>
      </c>
      <c r="B614" t="inlineStr">
        <is>
          <t>422.10元</t>
        </is>
      </c>
      <c r="C614" t="inlineStr">
        <is>
          <t>469.00元</t>
        </is>
      </c>
      <c r="D614" t="inlineStr">
        <is>
          <t>46.90元</t>
        </is>
      </c>
      <c r="E614" t="inlineStr">
        <is>
          <t>9.0折</t>
        </is>
      </c>
      <c r="F614">
        <f>HYPERLINK("https://i0.hdslb.com/bfs/mall/mall/e6/21/e621f4a0f04cc260023c7c5596eab599.png", "点击查看图片")</f>
        <v/>
      </c>
      <c r="G614">
        <f>HYPERLINK("https://mall.bilibili.com/neul-next/index.html?page=magic-market_detail&amp;noTitleBar=1&amp;itemsId=111917404392&amp;from=market_index", "点击打开")</f>
        <v/>
      </c>
    </row>
    <row r="615">
      <c r="A615" t="inlineStr">
        <is>
          <t>GOLDEN HEAD 碧蓝航线 喀琅施塔得 突击行动开始！ver. 手办</t>
        </is>
      </c>
      <c r="B615" t="inlineStr">
        <is>
          <t>1188.00元</t>
        </is>
      </c>
      <c r="C615" t="inlineStr">
        <is>
          <t>1425.00元</t>
        </is>
      </c>
      <c r="D615" t="inlineStr">
        <is>
          <t>237.00元</t>
        </is>
      </c>
      <c r="E615" t="inlineStr">
        <is>
          <t>8.3折</t>
        </is>
      </c>
      <c r="F615">
        <f>HYPERLINK("https://i0.hdslb.com/bfs/mall/mall/ab/88/ab882b49dd0c2041404e0ea452d5dec9.png", "点击查看图片")</f>
        <v/>
      </c>
      <c r="G615">
        <f>HYPERLINK("https://mall.bilibili.com/neul-next/index.html?page=magic-market_detail&amp;noTitleBar=1&amp;itemsId=111918428685&amp;from=market_index", "点击打开")</f>
        <v/>
      </c>
    </row>
    <row r="616">
      <c r="A616" t="inlineStr">
        <is>
          <t xml:space="preserve"> F:NEX 初音未来 手办</t>
        </is>
      </c>
      <c r="B616" t="inlineStr">
        <is>
          <t>1188.00元</t>
        </is>
      </c>
      <c r="C616" t="inlineStr">
        <is>
          <t>1759.00元</t>
        </is>
      </c>
      <c r="D616" t="inlineStr">
        <is>
          <t>571.00元</t>
        </is>
      </c>
      <c r="E616" t="inlineStr">
        <is>
          <t>6.8折</t>
        </is>
      </c>
      <c r="F616">
        <f>HYPERLINK("https://i0.hdslb.com/bfs/mall/mall/14/dd/14ddd09c3beba8f902c35a88050c860c.png", "点击查看图片")</f>
        <v/>
      </c>
      <c r="G616">
        <f>HYPERLINK("https://mall.bilibili.com/neul-next/index.html?page=magic-market_detail&amp;noTitleBar=1&amp;itemsId=109884419082&amp;from=market_index", "点击打开")</f>
        <v/>
      </c>
    </row>
    <row r="617">
      <c r="A617" t="inlineStr">
        <is>
          <t>Raise Dream 深海的少女 可可萝 手办</t>
        </is>
      </c>
      <c r="B617" t="inlineStr">
        <is>
          <t>245.00元</t>
        </is>
      </c>
      <c r="C617" t="inlineStr">
        <is>
          <t>299.00元</t>
        </is>
      </c>
      <c r="D617" t="inlineStr">
        <is>
          <t>54.00元</t>
        </is>
      </c>
      <c r="E617" t="inlineStr">
        <is>
          <t>8.2折</t>
        </is>
      </c>
      <c r="F617">
        <f>HYPERLINK("https://i0.hdslb.com/bfs/mall/mall/76/93/7693aa3b6e90bae658cad288485de5c7.png", "点击查看图片")</f>
        <v/>
      </c>
      <c r="G617">
        <f>HYPERLINK("https://mall.bilibili.com/neul-next/index.html?page=magic-market_detail&amp;noTitleBar=1&amp;itemsId=111910442512&amp;from=market_index", "点击打开")</f>
        <v/>
      </c>
    </row>
    <row r="618">
      <c r="A618" t="inlineStr">
        <is>
          <t>角川 自称贤者弟子的贤者 米菈 手办</t>
        </is>
      </c>
      <c r="B618" t="inlineStr">
        <is>
          <t>585.00元</t>
        </is>
      </c>
      <c r="C618" t="inlineStr">
        <is>
          <t>750.00元</t>
        </is>
      </c>
      <c r="D618" t="inlineStr">
        <is>
          <t>165.00元</t>
        </is>
      </c>
      <c r="E618" t="inlineStr">
        <is>
          <t>7.8折</t>
        </is>
      </c>
      <c r="F618">
        <f>HYPERLINK("https://i0.hdslb.com/bfs/mall/mall/5f/77/5f77a92467b55195b7d6c6758cec774f.png", "点击查看图片")</f>
        <v/>
      </c>
      <c r="G618">
        <f>HYPERLINK("https://mall.bilibili.com/neul-next/index.html?page=magic-market_detail&amp;noTitleBar=1&amp;itemsId=110457591680&amp;from=market_index", "点击打开")</f>
        <v/>
      </c>
    </row>
    <row r="619">
      <c r="A619" t="inlineStr">
        <is>
          <t>Union Creative 原创 jonsun原画 泳装连帽衫 美咲 1/6手办</t>
        </is>
      </c>
      <c r="B619" t="inlineStr">
        <is>
          <t>408.80元</t>
        </is>
      </c>
      <c r="C619" t="inlineStr">
        <is>
          <t>880.00元</t>
        </is>
      </c>
      <c r="D619" t="inlineStr">
        <is>
          <t>471.20元</t>
        </is>
      </c>
      <c r="E619" t="inlineStr">
        <is>
          <t>4.6折</t>
        </is>
      </c>
      <c r="F619">
        <f>HYPERLINK("https://i0.hdslb.com/bfs/mall/mall/8c/28/8c28af2c2a8be2da42966170cc818647.png", "点击查看图片")</f>
        <v/>
      </c>
      <c r="G619">
        <f>HYPERLINK("https://mall.bilibili.com/neul-next/index.html?page=magic-market_detail&amp;noTitleBar=1&amp;itemsId=106846149800&amp;from=market_index", "点击打开")</f>
        <v/>
      </c>
    </row>
    <row r="620">
      <c r="A620" t="inlineStr">
        <is>
          <t>Union Creative 原创 珈琲貴族原画 青山澄香 手办 再版</t>
        </is>
      </c>
      <c r="B620" t="inlineStr">
        <is>
          <t>528.00元</t>
        </is>
      </c>
      <c r="C620" t="inlineStr">
        <is>
          <t>899.00元</t>
        </is>
      </c>
      <c r="D620" t="inlineStr">
        <is>
          <t>371.00元</t>
        </is>
      </c>
      <c r="E620" t="inlineStr">
        <is>
          <t>5.9折</t>
        </is>
      </c>
      <c r="F620">
        <f>HYPERLINK("https://i0.hdslb.com/bfs/mall/mall/25/d9/25d91798965ff3c3b1be06021331e87b.png", "点击查看图片")</f>
        <v/>
      </c>
      <c r="G620">
        <f>HYPERLINK("https://mall.bilibili.com/neul-next/index.html?page=magic-market_detail&amp;noTitleBar=1&amp;itemsId=111913629491&amp;from=market_index", "点击打开")</f>
        <v/>
      </c>
    </row>
    <row r="621">
      <c r="A621" t="inlineStr">
        <is>
          <t xml:space="preserve"> F:NEX 通常版 正比手办</t>
        </is>
      </c>
      <c r="B621" t="inlineStr">
        <is>
          <t>520.00元</t>
        </is>
      </c>
      <c r="C621" t="inlineStr">
        <is>
          <t>999.00元</t>
        </is>
      </c>
      <c r="D621" t="inlineStr">
        <is>
          <t>479.00元</t>
        </is>
      </c>
      <c r="E621" t="inlineStr">
        <is>
          <t>5.2折</t>
        </is>
      </c>
      <c r="F621">
        <f>HYPERLINK("https://i0.hdslb.com/bfs/mall/mall/91/e9/91e914f0fd94095db6bcbe95bd4a7328.png", "点击查看图片")</f>
        <v/>
      </c>
      <c r="G621">
        <f>HYPERLINK("https://mall.bilibili.com/neul-next/index.html?page=magic-market_detail&amp;noTitleBar=1&amp;itemsId=111903905445&amp;from=market_index", "点击打开")</f>
        <v/>
      </c>
    </row>
    <row r="622">
      <c r="A622" t="inlineStr">
        <is>
          <t>寿屋 鸦羽 手办</t>
        </is>
      </c>
      <c r="B622" t="inlineStr">
        <is>
          <t>620.00元</t>
        </is>
      </c>
      <c r="C622" t="inlineStr">
        <is>
          <t>1100.00元</t>
        </is>
      </c>
      <c r="D622" t="inlineStr">
        <is>
          <t>480.00元</t>
        </is>
      </c>
      <c r="E622" t="inlineStr">
        <is>
          <t>5.6折</t>
        </is>
      </c>
      <c r="F622">
        <f>HYPERLINK("https://i0.hdslb.com/bfs/mall/mall/bf/a2/bfa24c71820cda3c23bd90642ee8e9c7.png", "点击查看图片")</f>
        <v/>
      </c>
      <c r="G622">
        <f>HYPERLINK("https://mall.bilibili.com/neul-next/index.html?page=magic-market_detail&amp;noTitleBar=1&amp;itemsId=109869688397&amp;from=market_index", "点击打开")</f>
        <v/>
      </c>
    </row>
    <row r="623">
      <c r="A623" t="inlineStr">
        <is>
          <t>Max Factory 飞鸟马时 兔女郎Ver. 正比手办</t>
        </is>
      </c>
      <c r="B623" t="inlineStr">
        <is>
          <t>802.73元</t>
        </is>
      </c>
      <c r="C623" t="inlineStr">
        <is>
          <t>889.00元</t>
        </is>
      </c>
      <c r="D623" t="inlineStr">
        <is>
          <t>86.27元</t>
        </is>
      </c>
      <c r="E623" t="inlineStr">
        <is>
          <t>9.0折</t>
        </is>
      </c>
      <c r="F623">
        <f>HYPERLINK("https://i0.hdslb.com/bfs/mall/mall/04/f5/04f5f22168d0445fc42aedfa1ca141d2.png", "点击查看图片")</f>
        <v/>
      </c>
      <c r="G623">
        <f>HYPERLINK("https://mall.bilibili.com/neul-next/index.html?page=magic-market_detail&amp;noTitleBar=1&amp;itemsId=110469220585&amp;from=market_index", "点击打开")</f>
        <v/>
      </c>
    </row>
    <row r="624">
      <c r="A624" t="inlineStr">
        <is>
          <t>Reverse Studio 赵灵儿 拾花集 仙灵仙踪 ver. 手办</t>
        </is>
      </c>
      <c r="B624" t="inlineStr">
        <is>
          <t>810.00元</t>
        </is>
      </c>
      <c r="C624" t="inlineStr">
        <is>
          <t>1199.00元</t>
        </is>
      </c>
      <c r="D624" t="inlineStr">
        <is>
          <t>389.00元</t>
        </is>
      </c>
      <c r="E624" t="inlineStr">
        <is>
          <t>6.8折</t>
        </is>
      </c>
      <c r="F624">
        <f>HYPERLINK("https://i0.hdslb.com/bfs/mall/mall/15/b3/15b3b5031c5597c2d2d0a87fbdbfdacb.png", "点击查看图片")</f>
        <v/>
      </c>
      <c r="G624">
        <f>HYPERLINK("https://mall.bilibili.com/neul-next/index.html?page=magic-market_detail&amp;noTitleBar=1&amp;itemsId=111915506064&amp;from=market_index", "点击打开")</f>
        <v/>
      </c>
    </row>
    <row r="625">
      <c r="A625" t="inlineStr">
        <is>
          <t>S-FIRE 初音未来 秋日之约Ver. 手办</t>
        </is>
      </c>
      <c r="B625" t="inlineStr">
        <is>
          <t>348.00元</t>
        </is>
      </c>
      <c r="C625" t="inlineStr">
        <is>
          <t>505.00元</t>
        </is>
      </c>
      <c r="D625" t="inlineStr">
        <is>
          <t>157.00元</t>
        </is>
      </c>
      <c r="E625" t="inlineStr">
        <is>
          <t>6.9折</t>
        </is>
      </c>
      <c r="F625">
        <f>HYPERLINK("https://i0.hdslb.com/bfs/mall/mall/10/ab/10abc533296e9006d19da82f69512b99.png", "点击查看图片")</f>
        <v/>
      </c>
      <c r="G625">
        <f>HYPERLINK("https://mall.bilibili.com/neul-next/index.html?page=magic-market_detail&amp;noTitleBar=1&amp;itemsId=111907668351&amp;from=market_index", "点击打开")</f>
        <v/>
      </c>
    </row>
    <row r="626">
      <c r="A626" t="inlineStr">
        <is>
          <t>GSC 新·假面骑士 Q版手办</t>
        </is>
      </c>
      <c r="B626" t="inlineStr">
        <is>
          <t>269.00元</t>
        </is>
      </c>
      <c r="C626" t="inlineStr">
        <is>
          <t>335.00元</t>
        </is>
      </c>
      <c r="D626" t="inlineStr">
        <is>
          <t>66.00元</t>
        </is>
      </c>
      <c r="E626" t="inlineStr">
        <is>
          <t>8.0折</t>
        </is>
      </c>
      <c r="F626">
        <f>HYPERLINK("https://i0.hdslb.com/bfs/mall/mall/c3/e7/c3e7e2dfa84b6f63f88866ab94bf6015.png", "点击查看图片")</f>
        <v/>
      </c>
      <c r="G626">
        <f>HYPERLINK("https://mall.bilibili.com/neul-next/index.html?page=magic-market_detail&amp;noTitleBar=1&amp;itemsId=111917247156&amp;from=market_index", "点击打开")</f>
        <v/>
      </c>
    </row>
    <row r="627">
      <c r="A627" t="inlineStr">
        <is>
          <t>ANIPLEX+ 锦木千束 泳装 正比手办</t>
        </is>
      </c>
      <c r="B627" t="inlineStr">
        <is>
          <t>210.00元</t>
        </is>
      </c>
      <c r="C627" t="inlineStr">
        <is>
          <t>299.00元</t>
        </is>
      </c>
      <c r="D627" t="inlineStr">
        <is>
          <t>89.00元</t>
        </is>
      </c>
      <c r="E627" t="inlineStr">
        <is>
          <t>7.0折</t>
        </is>
      </c>
      <c r="F627">
        <f>HYPERLINK("https://i0.hdslb.com/bfs/mall/mall/77/f6/77f60c29f36f1685f62707527f869fa0.png", "点击查看图片")</f>
        <v/>
      </c>
      <c r="G627">
        <f>HYPERLINK("https://mall.bilibili.com/neul-next/index.html?page=magic-market_detail&amp;noTitleBar=1&amp;itemsId=111918716736&amp;from=market_index", "点击打开")</f>
        <v/>
      </c>
    </row>
    <row r="628">
      <c r="A628" t="inlineStr">
        <is>
          <t>Phat! 莱莎＆科洛蒂娅 旗袍Ver. 手办</t>
        </is>
      </c>
      <c r="B628" t="inlineStr">
        <is>
          <t>1833.00元</t>
        </is>
      </c>
      <c r="C628" t="inlineStr">
        <is>
          <t>2369.00元</t>
        </is>
      </c>
      <c r="D628" t="inlineStr">
        <is>
          <t>536.00元</t>
        </is>
      </c>
      <c r="E628" t="inlineStr">
        <is>
          <t>7.7折</t>
        </is>
      </c>
      <c r="F628">
        <f>HYPERLINK("https://i0.hdslb.com/bfs/mall/mall/f1/cf/f1cfd0ad3b30e8fb8d2fdc0ef81ba2a6.png", "点击查看图片")</f>
        <v/>
      </c>
      <c r="G628">
        <f>HYPERLINK("https://mall.bilibili.com/neul-next/index.html?page=magic-market_detail&amp;noTitleBar=1&amp;itemsId=111912078093&amp;from=market_index", "点击打开")</f>
        <v/>
      </c>
    </row>
    <row r="629">
      <c r="A629" t="inlineStr">
        <is>
          <t>FREEing B-style 碧蓝航线 里诺 夏日番外篇 手办</t>
        </is>
      </c>
      <c r="B629" t="inlineStr">
        <is>
          <t>578.00元</t>
        </is>
      </c>
      <c r="C629" t="inlineStr">
        <is>
          <t>1120.00元</t>
        </is>
      </c>
      <c r="D629" t="inlineStr">
        <is>
          <t>542.00元</t>
        </is>
      </c>
      <c r="E629" t="inlineStr">
        <is>
          <t>5.2折</t>
        </is>
      </c>
      <c r="F629">
        <f>HYPERLINK("https://i0.hdslb.com/bfs/mall/mall/0d/c8/0dc84fdf591e9251f08e1f56c3314a51.png", "点击查看图片")</f>
        <v/>
      </c>
      <c r="G629">
        <f>HYPERLINK("https://mall.bilibili.com/neul-next/index.html?page=magic-market_detail&amp;noTitleBar=1&amp;itemsId=106855566476&amp;from=market_index", "点击打开")</f>
        <v/>
      </c>
    </row>
    <row r="630">
      <c r="A630" t="inlineStr">
        <is>
          <t>FuRyu 犬夜叉 景品手办</t>
        </is>
      </c>
      <c r="B630" t="inlineStr">
        <is>
          <t>119.00元</t>
        </is>
      </c>
      <c r="C630" t="inlineStr">
        <is>
          <t>119.00元</t>
        </is>
      </c>
      <c r="D630" t="inlineStr">
        <is>
          <t>0.00元</t>
        </is>
      </c>
      <c r="E630" t="inlineStr">
        <is>
          <t>10.0折</t>
        </is>
      </c>
      <c r="F630">
        <f>HYPERLINK("https://i0.hdslb.com/bfs/mall/mall/a6/fd/a6fd2fc8e368b699ed6596b5cf8afaf0.png", "点击查看图片")</f>
        <v/>
      </c>
      <c r="G630">
        <f>HYPERLINK("https://mall.bilibili.com/neul-next/index.html?page=magic-market_detail&amp;noTitleBar=1&amp;itemsId=111912702878&amp;from=market_index", "点击打开")</f>
        <v/>
      </c>
    </row>
    <row r="631">
      <c r="A631" t="inlineStr">
        <is>
          <t>ANYCOLOR 虚拟主播-彩虹社 Alban Knox 1/7手办</t>
        </is>
      </c>
      <c r="B631" t="inlineStr">
        <is>
          <t>1018.00元</t>
        </is>
      </c>
      <c r="C631" t="inlineStr">
        <is>
          <t>1250.00元</t>
        </is>
      </c>
      <c r="D631" t="inlineStr">
        <is>
          <t>232.00元</t>
        </is>
      </c>
      <c r="E631" t="inlineStr">
        <is>
          <t>8.1折</t>
        </is>
      </c>
      <c r="F631">
        <f>HYPERLINK("https://i0.hdslb.com/bfs/mall/mall/32/18/3218ed5d3aca1bded9df143fd6f29bff.png", "点击查看图片")</f>
        <v/>
      </c>
      <c r="G631">
        <f>HYPERLINK("https://mall.bilibili.com/neul-next/index.html?page=magic-market_detail&amp;noTitleBar=1&amp;itemsId=109883969345&amp;from=market_index", "点击打开")</f>
        <v/>
      </c>
    </row>
    <row r="632">
      <c r="A632" t="inlineStr">
        <is>
          <t>GSC 夜刀神十香 制服Ver. Q版手办</t>
        </is>
      </c>
      <c r="B632" t="inlineStr">
        <is>
          <t>255.00元</t>
        </is>
      </c>
      <c r="C632" t="inlineStr">
        <is>
          <t>295.00元</t>
        </is>
      </c>
      <c r="D632" t="inlineStr">
        <is>
          <t>40.00元</t>
        </is>
      </c>
      <c r="E632" t="inlineStr">
        <is>
          <t>8.6折</t>
        </is>
      </c>
      <c r="F632">
        <f>HYPERLINK("https://i0.hdslb.com/bfs/mall/mall/b0/9e/b09e8ae452fd9027991e43aea8284c60.png", "点击查看图片")</f>
        <v/>
      </c>
      <c r="G632">
        <f>HYPERLINK("https://mall.bilibili.com/neul-next/index.html?page=magic-market_detail&amp;noTitleBar=1&amp;itemsId=106845436997&amp;from=market_index", "点击打开")</f>
        <v/>
      </c>
    </row>
    <row r="633">
      <c r="A633" t="inlineStr">
        <is>
          <t>GSC 芙莉莲 正比手办</t>
        </is>
      </c>
      <c r="B633" t="inlineStr">
        <is>
          <t>189.92元</t>
        </is>
      </c>
      <c r="C633" t="inlineStr">
        <is>
          <t>225.00元</t>
        </is>
      </c>
      <c r="D633" t="inlineStr">
        <is>
          <t>35.08元</t>
        </is>
      </c>
      <c r="E633" t="inlineStr">
        <is>
          <t>8.4折</t>
        </is>
      </c>
      <c r="F633">
        <f>HYPERLINK("https://i0.hdslb.com/bfs/mall/mall/9c/a3/9ca311cc2fc357edbb733c2557e4757e.png", "点击查看图片")</f>
        <v/>
      </c>
      <c r="G633">
        <f>HYPERLINK("https://mall.bilibili.com/neul-next/index.html?page=magic-market_detail&amp;noTitleBar=1&amp;itemsId=111910509793&amp;from=market_index", "点击打开")</f>
        <v/>
      </c>
    </row>
    <row r="634">
      <c r="A634" t="inlineStr">
        <is>
          <t>GSC 伊地知星歌 Q版手办</t>
        </is>
      </c>
      <c r="B634" t="inlineStr">
        <is>
          <t>231.50元</t>
        </is>
      </c>
      <c r="C634" t="inlineStr">
        <is>
          <t>279.00元</t>
        </is>
      </c>
      <c r="D634" t="inlineStr">
        <is>
          <t>47.50元</t>
        </is>
      </c>
      <c r="E634" t="inlineStr">
        <is>
          <t>8.3折</t>
        </is>
      </c>
      <c r="F634">
        <f>HYPERLINK("https://i0.hdslb.com/bfs/mall/mall/56/8e/568e8ac2cd687d379d4d0b78b8c1e4ec.png", "点击查看图片")</f>
        <v/>
      </c>
      <c r="G634">
        <f>HYPERLINK("https://mall.bilibili.com/neul-next/index.html?page=magic-market_detail&amp;noTitleBar=1&amp;itemsId=109856768628&amp;from=market_index", "点击打开")</f>
        <v/>
      </c>
    </row>
    <row r="635">
      <c r="A635" t="inlineStr">
        <is>
          <t>FuRyu 轻井泽惠 BIG 正比手办</t>
        </is>
      </c>
      <c r="B635" t="inlineStr">
        <is>
          <t>231.00元</t>
        </is>
      </c>
      <c r="C635" t="inlineStr">
        <is>
          <t>299.00元</t>
        </is>
      </c>
      <c r="D635" t="inlineStr">
        <is>
          <t>68.00元</t>
        </is>
      </c>
      <c r="E635" t="inlineStr">
        <is>
          <t>7.7折</t>
        </is>
      </c>
      <c r="F635">
        <f>HYPERLINK("https://i0.hdslb.com/bfs/mall/mall/3a/bb/3abb8c75662224b945beef78a810ab28.png", "点击查看图片")</f>
        <v/>
      </c>
      <c r="G635">
        <f>HYPERLINK("https://mall.bilibili.com/neul-next/index.html?page=magic-market_detail&amp;noTitleBar=1&amp;itemsId=110465955305&amp;from=market_index", "点击打开")</f>
        <v/>
      </c>
    </row>
    <row r="636">
      <c r="A636" t="inlineStr">
        <is>
          <t>GSC 初音未来 World Is Mine 2024Ver. Q版手办</t>
        </is>
      </c>
      <c r="B636" t="inlineStr">
        <is>
          <t>299.00元</t>
        </is>
      </c>
      <c r="C636" t="inlineStr">
        <is>
          <t>345.00元</t>
        </is>
      </c>
      <c r="D636" t="inlineStr">
        <is>
          <t>46.00元</t>
        </is>
      </c>
      <c r="E636" t="inlineStr">
        <is>
          <t>8.7折</t>
        </is>
      </c>
      <c r="F636">
        <f>HYPERLINK("https://i0.hdslb.com/bfs/mall/mall/40/17/4017514f40eeeefd753835928f1e3f49.png", "点击查看图片")</f>
        <v/>
      </c>
      <c r="G636">
        <f>HYPERLINK("https://mall.bilibili.com/neul-next/index.html?page=magic-market_detail&amp;noTitleBar=1&amp;itemsId=111920240588&amp;from=market_index", "点击打开")</f>
        <v/>
      </c>
    </row>
    <row r="637">
      <c r="A637" t="inlineStr">
        <is>
          <t>角川 雷姆 圣诞女仆Ver.手办</t>
        </is>
      </c>
      <c r="B637" t="inlineStr">
        <is>
          <t>1028.00元</t>
        </is>
      </c>
      <c r="C637" t="inlineStr">
        <is>
          <t>1550.00元</t>
        </is>
      </c>
      <c r="D637" t="inlineStr">
        <is>
          <t>522.00元</t>
        </is>
      </c>
      <c r="E637" t="inlineStr">
        <is>
          <t>6.6折</t>
        </is>
      </c>
      <c r="F637">
        <f>HYPERLINK("https://i0.hdslb.com/bfs/mall/mall/6e/3e/6e3ec71dc1401e81e7df5761fd672847.png", "点击查看图片")</f>
        <v/>
      </c>
      <c r="G637">
        <f>HYPERLINK("https://mall.bilibili.com/neul-next/index.html?page=magic-market_detail&amp;noTitleBar=1&amp;itemsId=110459665149&amp;from=market_index", "点击打开")</f>
        <v/>
      </c>
    </row>
    <row r="638">
      <c r="A638" t="inlineStr">
        <is>
          <t>GSC 响 应援团 记忆大厅Ver. 手办</t>
        </is>
      </c>
      <c r="B638" t="inlineStr">
        <is>
          <t>299.00元</t>
        </is>
      </c>
      <c r="C638" t="inlineStr">
        <is>
          <t>498.00元</t>
        </is>
      </c>
      <c r="D638" t="inlineStr">
        <is>
          <t>199.00元</t>
        </is>
      </c>
      <c r="E638" t="inlineStr">
        <is>
          <t>6.0折</t>
        </is>
      </c>
      <c r="F638">
        <f>HYPERLINK("https://i0.hdslb.com/bfs/mall/mall/58/68/586851d2b2899e25662dcdc231ac02c6.png", "点击查看图片")</f>
        <v/>
      </c>
      <c r="G638">
        <f>HYPERLINK("https://mall.bilibili.com/neul-next/index.html?page=magic-market_detail&amp;noTitleBar=1&amp;itemsId=120670575678&amp;from=market_index", "点击打开")</f>
        <v/>
      </c>
    </row>
    <row r="639">
      <c r="A639" t="inlineStr">
        <is>
          <t>WANDERER 红方Saber(莫德雷德) 1/7手办</t>
        </is>
      </c>
      <c r="B639" t="inlineStr">
        <is>
          <t>603.83元</t>
        </is>
      </c>
      <c r="C639" t="inlineStr">
        <is>
          <t>980.00元</t>
        </is>
      </c>
      <c r="D639" t="inlineStr">
        <is>
          <t>376.17元</t>
        </is>
      </c>
      <c r="E639" t="inlineStr">
        <is>
          <t>6.2折</t>
        </is>
      </c>
      <c r="F639">
        <f>HYPERLINK("https://i0.hdslb.com/bfs/mall/mall/83/1c/831c03a43942972cbb089812c13e3338.png", "点击查看图片")</f>
        <v/>
      </c>
      <c r="G639">
        <f>HYPERLINK("https://mall.bilibili.com/neul-next/index.html?page=magic-market_detail&amp;noTitleBar=1&amp;itemsId=111914960434&amp;from=market_index", "点击打开")</f>
        <v/>
      </c>
    </row>
    <row r="640">
      <c r="A640" t="inlineStr">
        <is>
          <t>宝可梦 可达鸭 正比手办</t>
        </is>
      </c>
      <c r="B640" t="inlineStr">
        <is>
          <t>280.00元</t>
        </is>
      </c>
      <c r="C640" t="inlineStr">
        <is>
          <t>398.00元</t>
        </is>
      </c>
      <c r="D640" t="inlineStr">
        <is>
          <t>118.00元</t>
        </is>
      </c>
      <c r="E640" t="inlineStr">
        <is>
          <t>7.0折</t>
        </is>
      </c>
      <c r="F640">
        <f>HYPERLINK("https://i0.hdslb.com/bfs/mall/mall/86/a1/86a1154218279d07abc0c4e9fa06e110.png", "点击查看图片")</f>
        <v/>
      </c>
      <c r="G640">
        <f>HYPERLINK("https://mall.bilibili.com/neul-next/index.html?page=magic-market_detail&amp;noTitleBar=1&amp;itemsId=107089632588&amp;from=market_index", "点击打开")</f>
        <v/>
      </c>
    </row>
    <row r="641">
      <c r="A641" t="inlineStr">
        <is>
          <t>角川 黒雪姫 原作版 15周年纪念 Wedding Ver. 手办</t>
        </is>
      </c>
      <c r="B641" t="inlineStr">
        <is>
          <t>520.00元</t>
        </is>
      </c>
      <c r="C641" t="inlineStr">
        <is>
          <t>960.00元</t>
        </is>
      </c>
      <c r="D641" t="inlineStr">
        <is>
          <t>440.00元</t>
        </is>
      </c>
      <c r="E641" t="inlineStr">
        <is>
          <t>5.4折</t>
        </is>
      </c>
      <c r="F641">
        <f>HYPERLINK("https://i0.hdslb.com/bfs/mall/mall/b1/3f/b13f0037d440183d9ebd011ed23ef6fd.png", "点击查看图片")</f>
        <v/>
      </c>
      <c r="G641">
        <f>HYPERLINK("https://mall.bilibili.com/neul-next/index.html?page=magic-market_detail&amp;noTitleBar=1&amp;itemsId=111912770589&amp;from=market_index", "点击打开")</f>
        <v/>
      </c>
    </row>
    <row r="642">
      <c r="A642" t="inlineStr">
        <is>
          <t>SSF 我推的孩子 星野爱&amp;阿库亚&amp;露比 手办</t>
        </is>
      </c>
      <c r="B642" t="inlineStr">
        <is>
          <t>874.11元</t>
        </is>
      </c>
      <c r="C642" t="inlineStr">
        <is>
          <t>1350.00元</t>
        </is>
      </c>
      <c r="D642" t="inlineStr">
        <is>
          <t>475.89元</t>
        </is>
      </c>
      <c r="E642" t="inlineStr">
        <is>
          <t>6.5折</t>
        </is>
      </c>
      <c r="F642">
        <f>HYPERLINK("https://i0.hdslb.com/bfs/mall/mall/2e/d7/2ed7105b76a254e26dc2f47e1a5703cf.png", "点击查看图片")</f>
        <v/>
      </c>
      <c r="G642">
        <f>HYPERLINK("https://mall.bilibili.com/neul-next/index.html?page=magic-market_detail&amp;noTitleBar=1&amp;itemsId=111914664712&amp;from=market_index", "点击打开")</f>
        <v/>
      </c>
    </row>
    <row r="643">
      <c r="A643" t="inlineStr">
        <is>
          <t>Union Creative B-style 碧蓝航线 维托里奥·维内托 手办 普通版</t>
        </is>
      </c>
      <c r="B643" t="inlineStr">
        <is>
          <t>1688.00元</t>
        </is>
      </c>
      <c r="C643" t="inlineStr">
        <is>
          <t>2119.00元</t>
        </is>
      </c>
      <c r="D643" t="inlineStr">
        <is>
          <t>431.00元</t>
        </is>
      </c>
      <c r="E643" t="inlineStr">
        <is>
          <t>8.0折</t>
        </is>
      </c>
      <c r="F643">
        <f>HYPERLINK("https://i0.hdslb.com/bfs/mall/mall/97/0e/970e31f482e500b0188c44c5d1402b1e.png", "点击查看图片")</f>
        <v/>
      </c>
      <c r="G643">
        <f>HYPERLINK("https://mall.bilibili.com/neul-next/index.html?page=magic-market_detail&amp;noTitleBar=1&amp;itemsId=109887246336&amp;from=market_index", "点击打开")</f>
        <v/>
      </c>
    </row>
    <row r="644">
      <c r="A644" t="inlineStr">
        <is>
          <t>FuRyu 古明地恋&amp;古明地觉 手办</t>
        </is>
      </c>
      <c r="B644" t="inlineStr">
        <is>
          <t>487.56元</t>
        </is>
      </c>
      <c r="C644" t="inlineStr">
        <is>
          <t>669.00元</t>
        </is>
      </c>
      <c r="D644" t="inlineStr">
        <is>
          <t>181.44元</t>
        </is>
      </c>
      <c r="E644" t="inlineStr">
        <is>
          <t>7.3折</t>
        </is>
      </c>
      <c r="F644">
        <f>HYPERLINK("https://i0.hdslb.com/bfs/mall/mall/65/c0/65c037db6da567d8959814833d9401fb.png", "点击查看图片")</f>
        <v/>
      </c>
      <c r="G644">
        <f>HYPERLINK("https://mall.bilibili.com/neul-next/index.html?page=magic-market_detail&amp;noTitleBar=1&amp;itemsId=110470039909&amp;from=market_index", "点击打开")</f>
        <v/>
      </c>
    </row>
    <row r="645">
      <c r="A645" t="inlineStr">
        <is>
          <t>F:NEX 我推的孩子 星野爱 手办</t>
        </is>
      </c>
      <c r="B645" t="inlineStr">
        <is>
          <t>598.30元</t>
        </is>
      </c>
      <c r="C645" t="inlineStr">
        <is>
          <t>899.00元</t>
        </is>
      </c>
      <c r="D645" t="inlineStr">
        <is>
          <t>300.70元</t>
        </is>
      </c>
      <c r="E645" t="inlineStr">
        <is>
          <t>6.7折</t>
        </is>
      </c>
      <c r="F645">
        <f>HYPERLINK("https://i0.hdslb.com/bfs/mall/mall/1d/6f/1d6ff525777a391ca919d32bcbe9d964.png", "点击查看图片")</f>
        <v/>
      </c>
      <c r="G645">
        <f>HYPERLINK("https://mall.bilibili.com/neul-next/index.html?page=magic-market_detail&amp;noTitleBar=1&amp;itemsId=111913153475&amp;from=market_index", "点击打开")</f>
        <v/>
      </c>
    </row>
    <row r="646">
      <c r="A646" t="inlineStr">
        <is>
          <t>GSC 木之本樱 友枝中学校制服Ver. Q版手办</t>
        </is>
      </c>
      <c r="B646" t="inlineStr">
        <is>
          <t>410.00元</t>
        </is>
      </c>
      <c r="C646" t="inlineStr">
        <is>
          <t>505.00元</t>
        </is>
      </c>
      <c r="D646" t="inlineStr">
        <is>
          <t>95.00元</t>
        </is>
      </c>
      <c r="E646" t="inlineStr">
        <is>
          <t>8.1折</t>
        </is>
      </c>
      <c r="F646">
        <f>HYPERLINK("https://i0.hdslb.com/bfs/mall/mall/12/af/12af172100ce57ae624e95ba1f861eb6.png", "点击查看图片")</f>
        <v/>
      </c>
      <c r="G646">
        <f>HYPERLINK("https://mall.bilibili.com/neul-next/index.html?page=magic-market_detail&amp;noTitleBar=1&amp;itemsId=106975333992&amp;from=market_index", "点击打开")</f>
        <v/>
      </c>
    </row>
    <row r="647">
      <c r="A647" t="inlineStr">
        <is>
          <t>GSC 喜多川海梦 泳装Ver. 正比手办</t>
        </is>
      </c>
      <c r="B647" t="inlineStr">
        <is>
          <t>599.00元</t>
        </is>
      </c>
      <c r="C647" t="inlineStr">
        <is>
          <t>689.00元</t>
        </is>
      </c>
      <c r="D647" t="inlineStr">
        <is>
          <t>90.00元</t>
        </is>
      </c>
      <c r="E647" t="inlineStr">
        <is>
          <t>8.7折</t>
        </is>
      </c>
      <c r="F647">
        <f>HYPERLINK("https://i0.hdslb.com/bfs/mall/mall/20/77/20771ac747b0dcaab81b10e13e5b7506.png", "点击查看图片")</f>
        <v/>
      </c>
      <c r="G647">
        <f>HYPERLINK("https://mall.bilibili.com/neul-next/index.html?page=magic-market_detail&amp;noTitleBar=1&amp;itemsId=109887345851&amp;from=market_index", "点击打开")</f>
        <v/>
      </c>
    </row>
    <row r="648">
      <c r="A648" t="inlineStr">
        <is>
          <t>BILIBILIGOODS 2233 新世纪福音战士联名款 手办</t>
        </is>
      </c>
      <c r="B648" t="inlineStr">
        <is>
          <t>589.92元</t>
        </is>
      </c>
      <c r="C648" t="inlineStr">
        <is>
          <t>1499.00元</t>
        </is>
      </c>
      <c r="D648" t="inlineStr">
        <is>
          <t>909.08元</t>
        </is>
      </c>
      <c r="E648" t="inlineStr">
        <is>
          <t>3.9折</t>
        </is>
      </c>
      <c r="F648">
        <f>HYPERLINK("https://i0.hdslb.com/bfs/mall/mall/a3/50/a35084755dd107242276e93263708a54.png", "点击查看图片")</f>
        <v/>
      </c>
      <c r="G648">
        <f>HYPERLINK("https://mall.bilibili.com/neul-next/index.html?page=magic-market_detail&amp;noTitleBar=1&amp;itemsId=111906782428&amp;from=market_index", "点击打开")</f>
        <v/>
      </c>
    </row>
    <row r="649">
      <c r="A649" t="inlineStr">
        <is>
          <t>GSC 轻井泽惠 正比手办</t>
        </is>
      </c>
      <c r="B649" t="inlineStr">
        <is>
          <t>188.00元</t>
        </is>
      </c>
      <c r="C649" t="inlineStr">
        <is>
          <t>229.00元</t>
        </is>
      </c>
      <c r="D649" t="inlineStr">
        <is>
          <t>41.00元</t>
        </is>
      </c>
      <c r="E649" t="inlineStr">
        <is>
          <t>8.2折</t>
        </is>
      </c>
      <c r="F649">
        <f>HYPERLINK("https://i0.hdslb.com/bfs/mall/mall/72/0f/720fb54bd4c1a83ed751fb0094bf9511.png", "点击查看图片")</f>
        <v/>
      </c>
      <c r="G649">
        <f>HYPERLINK("https://mall.bilibili.com/neul-next/index.html?page=magic-market_detail&amp;noTitleBar=1&amp;itemsId=110455860339&amp;from=market_index", "点击打开")</f>
        <v/>
      </c>
    </row>
    <row r="650">
      <c r="A650" t="inlineStr">
        <is>
          <t>GSC 香风智乃 Q版手办</t>
        </is>
      </c>
      <c r="B650" t="inlineStr">
        <is>
          <t>180.00元</t>
        </is>
      </c>
      <c r="C650" t="inlineStr">
        <is>
          <t>233.00元</t>
        </is>
      </c>
      <c r="D650" t="inlineStr">
        <is>
          <t>53.00元</t>
        </is>
      </c>
      <c r="E650" t="inlineStr">
        <is>
          <t>7.7折</t>
        </is>
      </c>
      <c r="F650">
        <f>HYPERLINK("https://i0.hdslb.com/bfs/mall/mall/f0/e7/f0e79af2dfd0e5c77232819d36070585.png", "点击查看图片")</f>
        <v/>
      </c>
      <c r="G650">
        <f>HYPERLINK("https://mall.bilibili.com/neul-next/index.html?page=magic-market_detail&amp;noTitleBar=1&amp;itemsId=111911721971&amp;from=market_index", "点击打开")</f>
        <v/>
      </c>
    </row>
    <row r="651">
      <c r="A651" t="inlineStr">
        <is>
          <t>少女航 舞娘 手办</t>
        </is>
      </c>
      <c r="B651" t="inlineStr">
        <is>
          <t>699.00元</t>
        </is>
      </c>
      <c r="C651" t="inlineStr">
        <is>
          <t>890.00元</t>
        </is>
      </c>
      <c r="D651" t="inlineStr">
        <is>
          <t>191.00元</t>
        </is>
      </c>
      <c r="E651" t="inlineStr">
        <is>
          <t>7.9折</t>
        </is>
      </c>
      <c r="F651">
        <f>HYPERLINK("https://i0.hdslb.com/bfs/mall/mall/be/a5/bea5511ef07fcebef77cd8c34a3f1e7f.png", "点击查看图片")</f>
        <v/>
      </c>
      <c r="G651">
        <f>HYPERLINK("https://mall.bilibili.com/neul-next/index.html?page=magic-market_detail&amp;noTitleBar=1&amp;itemsId=109877988047&amp;from=market_index", "点击打开")</f>
        <v/>
      </c>
    </row>
    <row r="652">
      <c r="A652" t="inlineStr">
        <is>
          <t>GSC  青云天空 L size 正比手办</t>
        </is>
      </c>
      <c r="B652" t="inlineStr">
        <is>
          <t>288.00元</t>
        </is>
      </c>
      <c r="C652" t="inlineStr">
        <is>
          <t>405.00元</t>
        </is>
      </c>
      <c r="D652" t="inlineStr">
        <is>
          <t>117.00元</t>
        </is>
      </c>
      <c r="E652" t="inlineStr">
        <is>
          <t>7.1折</t>
        </is>
      </c>
      <c r="F652">
        <f>HYPERLINK("https://i0.hdslb.com/bfs/mall/mall/9f/c3/9fc324193d239619bdcb58396d5c581e.png", "点击查看图片")</f>
        <v/>
      </c>
      <c r="G652">
        <f>HYPERLINK("https://mall.bilibili.com/neul-next/index.html?page=magic-market_detail&amp;noTitleBar=1&amp;itemsId=109882074493&amp;from=market_index", "点击打开")</f>
        <v/>
      </c>
    </row>
    <row r="653">
      <c r="A653" t="inlineStr">
        <is>
          <t>角川 时崎狂三 猫耳ver. 通常版 手办</t>
        </is>
      </c>
      <c r="B653" t="inlineStr">
        <is>
          <t>825.00元</t>
        </is>
      </c>
      <c r="C653" t="inlineStr">
        <is>
          <t>999.00元</t>
        </is>
      </c>
      <c r="D653" t="inlineStr">
        <is>
          <t>174.00元</t>
        </is>
      </c>
      <c r="E653" t="inlineStr">
        <is>
          <t>8.3折</t>
        </is>
      </c>
      <c r="F653">
        <f>HYPERLINK("https://i0.hdslb.com/bfs/mall/mall/32/34/3234ed24fe720646eb67c33a45133f52.png", "点击查看图片")</f>
        <v/>
      </c>
      <c r="G653">
        <f>HYPERLINK("https://mall.bilibili.com/neul-next/index.html?page=magic-market_detail&amp;noTitleBar=1&amp;itemsId=110461481258&amp;from=market_index", "点击打开")</f>
        <v/>
      </c>
    </row>
    <row r="654">
      <c r="A654" t="inlineStr">
        <is>
          <t>neonmax R93 长假幸运星Ver. 手办</t>
        </is>
      </c>
      <c r="B654" t="inlineStr">
        <is>
          <t>799.00元</t>
        </is>
      </c>
      <c r="C654" t="inlineStr">
        <is>
          <t>1099.00元</t>
        </is>
      </c>
      <c r="D654" t="inlineStr">
        <is>
          <t>300.00元</t>
        </is>
      </c>
      <c r="E654" t="inlineStr">
        <is>
          <t>7.3折</t>
        </is>
      </c>
      <c r="F654">
        <f>HYPERLINK("https://i0.hdslb.com/bfs/mall/mall/10/3a/103aec5a6099fa79c070b3a87ddb46b5.png", "点击查看图片")</f>
        <v/>
      </c>
      <c r="G654">
        <f>HYPERLINK("https://mall.bilibili.com/neul-next/index.html?page=magic-market_detail&amp;noTitleBar=1&amp;itemsId=110464839579&amp;from=market_index", "点击打开")</f>
        <v/>
      </c>
    </row>
    <row r="655">
      <c r="A655" t="inlineStr">
        <is>
          <t>AmiAmixAMAKUNI 超次元游戏：海王星 绿色之心 手办</t>
        </is>
      </c>
      <c r="B655" t="inlineStr">
        <is>
          <t>1599.00元</t>
        </is>
      </c>
      <c r="C655" t="inlineStr">
        <is>
          <t>1960.00元</t>
        </is>
      </c>
      <c r="D655" t="inlineStr">
        <is>
          <t>361.00元</t>
        </is>
      </c>
      <c r="E655" t="inlineStr">
        <is>
          <t>8.2折</t>
        </is>
      </c>
      <c r="F655">
        <f>HYPERLINK("https://i0.hdslb.com/bfs/mall/mall/2a/76/2a766610619d32264c4d704202e18204.png", "点击查看图片")</f>
        <v/>
      </c>
      <c r="G655">
        <f>HYPERLINK("https://mall.bilibili.com/neul-next/index.html?page=magic-market_detail&amp;noTitleBar=1&amp;itemsId=107073392355&amp;from=market_index", "点击打开")</f>
        <v/>
      </c>
    </row>
    <row r="656">
      <c r="A656" t="inlineStr">
        <is>
          <t>DMM 初音未来 EXPO 10th Anniversary Ver. 正比手办</t>
        </is>
      </c>
      <c r="B656" t="inlineStr">
        <is>
          <t>1227.92元</t>
        </is>
      </c>
      <c r="C656" t="inlineStr">
        <is>
          <t>1965.00元</t>
        </is>
      </c>
      <c r="D656" t="inlineStr">
        <is>
          <t>737.08元</t>
        </is>
      </c>
      <c r="E656" t="inlineStr">
        <is>
          <t>6.2折</t>
        </is>
      </c>
      <c r="F656">
        <f>HYPERLINK("https://i0.hdslb.com/bfs/mall/mall/71/c1/71c14458316d94db364c675c5cf28716.png", "点击查看图片")</f>
        <v/>
      </c>
      <c r="G656">
        <f>HYPERLINK("https://mall.bilibili.com/neul-next/index.html?page=magic-market_detail&amp;noTitleBar=1&amp;itemsId=111913303718&amp;from=market_index", "点击打开")</f>
        <v/>
      </c>
    </row>
    <row r="657">
      <c r="A657" t="inlineStr">
        <is>
          <t>Hobbymax 初音未来 潮流街头 Ver. 正比手办</t>
        </is>
      </c>
      <c r="B657" t="inlineStr">
        <is>
          <t>580.00元</t>
        </is>
      </c>
      <c r="C657" t="inlineStr">
        <is>
          <t>913.00元</t>
        </is>
      </c>
      <c r="D657" t="inlineStr">
        <is>
          <t>333.00元</t>
        </is>
      </c>
      <c r="E657" t="inlineStr">
        <is>
          <t>6.4折</t>
        </is>
      </c>
      <c r="F657">
        <f>HYPERLINK("https://i0.hdslb.com/bfs/mall/mall/6d/4d/6d4d56160d2e01bd11ffe09749ccaa88.png", "点击查看图片")</f>
        <v/>
      </c>
      <c r="G657">
        <f>HYPERLINK("https://mall.bilibili.com/neul-next/index.html?page=magic-market_detail&amp;noTitleBar=1&amp;itemsId=111912215212&amp;from=market_index", "点击打开")</f>
        <v/>
      </c>
    </row>
    <row r="658">
      <c r="A658" t="inlineStr">
        <is>
          <t>Union Creative 原创 DSmile原画 粉色兔女郎 手办</t>
        </is>
      </c>
      <c r="B658" t="inlineStr">
        <is>
          <t>320.00元</t>
        </is>
      </c>
      <c r="C658" t="inlineStr">
        <is>
          <t>799.00元</t>
        </is>
      </c>
      <c r="D658" t="inlineStr">
        <is>
          <t>479.00元</t>
        </is>
      </c>
      <c r="E658" t="inlineStr">
        <is>
          <t>4.0折</t>
        </is>
      </c>
      <c r="F658">
        <f>HYPERLINK("https://i0.hdslb.com/bfs/mall/mall/2c/c0/2cc0494ad6e434ce75470587dd174f4b.png", "点击查看图片")</f>
        <v/>
      </c>
      <c r="G658">
        <f>HYPERLINK("https://mall.bilibili.com/neul-next/index.html?page=magic-market_detail&amp;noTitleBar=1&amp;itemsId=111914503357&amp;from=market_index", "点击打开")</f>
        <v/>
      </c>
    </row>
    <row r="659">
      <c r="A659" t="inlineStr">
        <is>
          <t>Hobbymax  渚薰  RADIO EVA Part.2 ver. 手办</t>
        </is>
      </c>
      <c r="B659" t="inlineStr">
        <is>
          <t>894.99元</t>
        </is>
      </c>
      <c r="C659" t="inlineStr">
        <is>
          <t>965.00元</t>
        </is>
      </c>
      <c r="D659" t="inlineStr">
        <is>
          <t>70.01元</t>
        </is>
      </c>
      <c r="E659" t="inlineStr">
        <is>
          <t>9.3折</t>
        </is>
      </c>
      <c r="F659">
        <f>HYPERLINK("https://i0.hdslb.com/bfs/mall/mall/d2/cb/d2cbf80122872f7b760f6c6e6a4cd43c.png", "点击查看图片")</f>
        <v/>
      </c>
      <c r="G659">
        <f>HYPERLINK("https://mall.bilibili.com/neul-next/index.html?page=magic-market_detail&amp;noTitleBar=1&amp;itemsId=111916449549&amp;from=market_index", "点击打开")</f>
        <v/>
      </c>
    </row>
    <row r="660">
      <c r="A660" t="inlineStr">
        <is>
          <t>FREEing 锦木千束 兔女郎Ver. 手办</t>
        </is>
      </c>
      <c r="B660" t="inlineStr">
        <is>
          <t>1700.00元</t>
        </is>
      </c>
      <c r="C660" t="inlineStr">
        <is>
          <t>2519.00元</t>
        </is>
      </c>
      <c r="D660" t="inlineStr">
        <is>
          <t>819.00元</t>
        </is>
      </c>
      <c r="E660" t="inlineStr">
        <is>
          <t>6.7折</t>
        </is>
      </c>
      <c r="F660">
        <f>HYPERLINK("https://i0.hdslb.com/bfs/mall/mall/c8/43/c8430a3a45bee78be1f9a48033648bf4.png", "点击查看图片")</f>
        <v/>
      </c>
      <c r="G660">
        <f>HYPERLINK("https://mall.bilibili.com/neul-next/index.html?page=magic-market_detail&amp;noTitleBar=1&amp;itemsId=106798322600&amp;from=market_index", "点击打开")</f>
        <v/>
      </c>
    </row>
    <row r="661">
      <c r="A661" t="inlineStr">
        <is>
          <t>GSC 初音未来 回首美人图Ver. 正比手办</t>
        </is>
      </c>
      <c r="B661" t="inlineStr">
        <is>
          <t>900.00元</t>
        </is>
      </c>
      <c r="C661" t="inlineStr">
        <is>
          <t>1235.00元</t>
        </is>
      </c>
      <c r="D661" t="inlineStr">
        <is>
          <t>335.00元</t>
        </is>
      </c>
      <c r="E661" t="inlineStr">
        <is>
          <t>7.3折</t>
        </is>
      </c>
      <c r="F661">
        <f>HYPERLINK("https://i0.hdslb.com/bfs/mall/mall/fa/a9/faa9c0a13e73a8fe0f0f6cf37538ffb4.png", "点击查看图片")</f>
        <v/>
      </c>
      <c r="G661">
        <f>HYPERLINK("https://mall.bilibili.com/neul-next/index.html?page=magic-market_detail&amp;noTitleBar=1&amp;itemsId=110469347149&amp;from=market_index", "点击打开")</f>
        <v/>
      </c>
    </row>
    <row r="662">
      <c r="A662" t="inlineStr">
        <is>
          <t>BeBox 洛天依 十周年纪念 拾光ver.  手办</t>
        </is>
      </c>
      <c r="B662" t="inlineStr">
        <is>
          <t>850.00元</t>
        </is>
      </c>
      <c r="C662" t="inlineStr">
        <is>
          <t>1299.00元</t>
        </is>
      </c>
      <c r="D662" t="inlineStr">
        <is>
          <t>449.00元</t>
        </is>
      </c>
      <c r="E662" t="inlineStr">
        <is>
          <t>6.5折</t>
        </is>
      </c>
      <c r="F662">
        <f>HYPERLINK("https://i0.hdslb.com/bfs/mall/mall/10/89/1089dadf2ba4544f049029ac0471b4a8.png", "点击查看图片")</f>
        <v/>
      </c>
      <c r="G662">
        <f>HYPERLINK("https://mall.bilibili.com/neul-next/index.html?page=magic-market_detail&amp;noTitleBar=1&amp;itemsId=110467437028&amp;from=market_index", "点击打开")</f>
        <v/>
      </c>
    </row>
    <row r="663">
      <c r="A663" t="inlineStr">
        <is>
          <t>ANIPLEX ONLINE 阿尔托莉雅 正比手办</t>
        </is>
      </c>
      <c r="B663" t="inlineStr">
        <is>
          <t>1389.83元</t>
        </is>
      </c>
      <c r="C663" t="inlineStr">
        <is>
          <t>1818.00元</t>
        </is>
      </c>
      <c r="D663" t="inlineStr">
        <is>
          <t>428.17元</t>
        </is>
      </c>
      <c r="E663" t="inlineStr">
        <is>
          <t>7.6折</t>
        </is>
      </c>
      <c r="F663">
        <f>HYPERLINK("https://i0.hdslb.com/bfs/mall/mall/45/6c/456cc9d549a6662e0483ac4d36053808.png", "点击查看图片")</f>
        <v/>
      </c>
      <c r="G663">
        <f>HYPERLINK("https://mall.bilibili.com/neul-next/index.html?page=magic-market_detail&amp;noTitleBar=1&amp;itemsId=111915081613&amp;from=market_index", "点击打开")</f>
        <v/>
      </c>
    </row>
    <row r="664">
      <c r="A664" t="inlineStr">
        <is>
          <t>quesQ 东方Project 芙兰朵露・斯卡雷特 红魔城传说版 手办</t>
        </is>
      </c>
      <c r="B664" t="inlineStr">
        <is>
          <t>928.00元</t>
        </is>
      </c>
      <c r="C664" t="inlineStr">
        <is>
          <t>1120.00元</t>
        </is>
      </c>
      <c r="D664" t="inlineStr">
        <is>
          <t>192.00元</t>
        </is>
      </c>
      <c r="E664" t="inlineStr">
        <is>
          <t>8.3折</t>
        </is>
      </c>
      <c r="F664">
        <f>HYPERLINK("https://i0.hdslb.com/bfs/mall/mall/06/1f/061fe2b9da32608282957f4b6757366e.png", "点击查看图片")</f>
        <v/>
      </c>
      <c r="G664">
        <f>HYPERLINK("https://mall.bilibili.com/neul-next/index.html?page=magic-market_detail&amp;noTitleBar=1&amp;itemsId=109873218046&amp;from=market_index", "点击打开")</f>
        <v/>
      </c>
    </row>
    <row r="665">
      <c r="A665" t="inlineStr">
        <is>
          <t>开天工作室 真希波 正比手办</t>
        </is>
      </c>
      <c r="B665" t="inlineStr">
        <is>
          <t>480.00元</t>
        </is>
      </c>
      <c r="C665" t="inlineStr">
        <is>
          <t>599.00元</t>
        </is>
      </c>
      <c r="D665" t="inlineStr">
        <is>
          <t>119.00元</t>
        </is>
      </c>
      <c r="E665" t="inlineStr">
        <is>
          <t>8.0折</t>
        </is>
      </c>
      <c r="F665">
        <f>HYPERLINK("https://i0.hdslb.com/bfs/mall/mall/76/ff/76ff9cfab65513cc04c35a5098216d41.png", "点击查看图片")</f>
        <v/>
      </c>
      <c r="G665">
        <f>HYPERLINK("https://mall.bilibili.com/neul-next/index.html?page=magic-market_detail&amp;noTitleBar=1&amp;itemsId=111917667281&amp;from=market_index", "点击打开")</f>
        <v/>
      </c>
    </row>
    <row r="666">
      <c r="A666" t="inlineStr">
        <is>
          <t>TAITO 有马加奈 景品手办</t>
        </is>
      </c>
      <c r="B666" t="inlineStr">
        <is>
          <t>196.58元</t>
        </is>
      </c>
      <c r="C666" t="inlineStr">
        <is>
          <t>415.00元</t>
        </is>
      </c>
      <c r="D666" t="inlineStr">
        <is>
          <t>218.42元</t>
        </is>
      </c>
      <c r="E666" t="inlineStr">
        <is>
          <t>4.7折</t>
        </is>
      </c>
      <c r="F666">
        <f>HYPERLINK("https://i0.hdslb.com/bfs/mall/mall/a2/97/a2973f94bcfca4db75adb257b347428b.png", "点击查看图片")</f>
        <v/>
      </c>
      <c r="G666">
        <f>HYPERLINK("https://mall.bilibili.com/neul-next/index.html?page=magic-market_detail&amp;noTitleBar=1&amp;itemsId=111917742972&amp;from=market_index", "点击打开")</f>
        <v/>
      </c>
    </row>
    <row r="667">
      <c r="A667" t="inlineStr">
        <is>
          <t>ALTER 赛马娘 Pretty Derby 爱丽速子 手办</t>
        </is>
      </c>
      <c r="B667" t="inlineStr">
        <is>
          <t>982.93元</t>
        </is>
      </c>
      <c r="C667" t="inlineStr">
        <is>
          <t>1199.00元</t>
        </is>
      </c>
      <c r="D667" t="inlineStr">
        <is>
          <t>216.07元</t>
        </is>
      </c>
      <c r="E667" t="inlineStr">
        <is>
          <t>8.2折</t>
        </is>
      </c>
      <c r="F667">
        <f>HYPERLINK("https://i0.hdslb.com/bfs/mall/mall/5f/5d/5f5d6db009da63aa09299841181a7f5f.png", "点击查看图片")</f>
        <v/>
      </c>
      <c r="G667">
        <f>HYPERLINK("https://mall.bilibili.com/neul-next/index.html?page=magic-market_detail&amp;noTitleBar=1&amp;itemsId=111908530204&amp;from=market_index", "点击打开")</f>
        <v/>
      </c>
    </row>
    <row r="668">
      <c r="A668" t="inlineStr">
        <is>
          <t>F:NEX 东方Project 博丽灵梦 illustration by 藤ちょこ 手办</t>
        </is>
      </c>
      <c r="B668" t="inlineStr">
        <is>
          <t>1098.99元</t>
        </is>
      </c>
      <c r="C668" t="inlineStr">
        <is>
          <t>1375.00元</t>
        </is>
      </c>
      <c r="D668" t="inlineStr">
        <is>
          <t>276.01元</t>
        </is>
      </c>
      <c r="E668" t="inlineStr">
        <is>
          <t>8.0折</t>
        </is>
      </c>
      <c r="F668">
        <f>HYPERLINK("https://i0.hdslb.com/bfs/mall/mall/a3/54/a35453e34bc7cf2599af76a278f8a3ab.png", "点击查看图片")</f>
        <v/>
      </c>
      <c r="G668">
        <f>HYPERLINK("https://mall.bilibili.com/neul-next/index.html?page=magic-market_detail&amp;noTitleBar=1&amp;itemsId=111914756742&amp;from=market_index", "点击打开")</f>
        <v/>
      </c>
    </row>
    <row r="669">
      <c r="A669" t="inlineStr">
        <is>
          <t>FREEing 黑兔女郎 手办</t>
        </is>
      </c>
      <c r="B669" t="inlineStr">
        <is>
          <t>1130.00元</t>
        </is>
      </c>
      <c r="C669" t="inlineStr">
        <is>
          <t>2679.00元</t>
        </is>
      </c>
      <c r="D669" t="inlineStr">
        <is>
          <t>1549.00元</t>
        </is>
      </c>
      <c r="E669" t="inlineStr">
        <is>
          <t>4.2折</t>
        </is>
      </c>
      <c r="F669">
        <f>HYPERLINK("https://i0.hdslb.com/bfs/mall/mall/62/66/6266d4015240910ef4f77774f57d6bde.png", "点击查看图片")</f>
        <v/>
      </c>
      <c r="G669">
        <f>HYPERLINK("https://mall.bilibili.com/neul-next/index.html?page=magic-market_detail&amp;noTitleBar=1&amp;itemsId=111917752972&amp;from=market_index", "点击打开")</f>
        <v/>
      </c>
    </row>
    <row r="670">
      <c r="A670" t="inlineStr">
        <is>
          <t>寿屋 盾之勇者成名录 拉芙塔莉雅 手办</t>
        </is>
      </c>
      <c r="B670" t="inlineStr">
        <is>
          <t>1150.00元</t>
        </is>
      </c>
      <c r="C670" t="inlineStr">
        <is>
          <t>1220.00元</t>
        </is>
      </c>
      <c r="D670" t="inlineStr">
        <is>
          <t>70.00元</t>
        </is>
      </c>
      <c r="E670" t="inlineStr">
        <is>
          <t>9.4折</t>
        </is>
      </c>
      <c r="F670">
        <f>HYPERLINK("https://i0.hdslb.com/bfs/mall/mall/af/78/af7803bb9480a9fe2ea8d609cc3a74c6.png", "点击查看图片")</f>
        <v/>
      </c>
      <c r="G670">
        <f>HYPERLINK("https://mall.bilibili.com/neul-next/index.html?page=magic-market_detail&amp;noTitleBar=1&amp;itemsId=111914537951&amp;from=market_index", "点击打开")</f>
        <v/>
      </c>
    </row>
    <row r="671">
      <c r="A671" t="inlineStr">
        <is>
          <t>Reverse Studio OTs-14 天意佳人重创Ver.  手办</t>
        </is>
      </c>
      <c r="B671" t="inlineStr">
        <is>
          <t>720.00元</t>
        </is>
      </c>
      <c r="C671" t="inlineStr">
        <is>
          <t>899.00元</t>
        </is>
      </c>
      <c r="D671" t="inlineStr">
        <is>
          <t>179.00元</t>
        </is>
      </c>
      <c r="E671" t="inlineStr">
        <is>
          <t>8.0折</t>
        </is>
      </c>
      <c r="F671">
        <f>HYPERLINK("https://i0.hdslb.com/bfs/mall/mall/69/4c/694ca8072687ce9ea5de605e2005d0bd.png", "点击查看图片")</f>
        <v/>
      </c>
      <c r="G671">
        <f>HYPERLINK("https://mall.bilibili.com/neul-next/index.html?page=magic-market_detail&amp;noTitleBar=1&amp;itemsId=111902861910&amp;from=market_index", "点击打开")</f>
        <v/>
      </c>
    </row>
    <row r="672">
      <c r="A672" t="inlineStr">
        <is>
          <t>GSC  蔻蔻・海克梅迪亚 Q版手办</t>
        </is>
      </c>
      <c r="B672" t="inlineStr">
        <is>
          <t>180.53元</t>
        </is>
      </c>
      <c r="C672" t="inlineStr">
        <is>
          <t>285.00元</t>
        </is>
      </c>
      <c r="D672" t="inlineStr">
        <is>
          <t>104.47元</t>
        </is>
      </c>
      <c r="E672" t="inlineStr">
        <is>
          <t>6.3折</t>
        </is>
      </c>
      <c r="F672">
        <f>HYPERLINK("https://i0.hdslb.com/bfs/mall/mall/e4/d7/e4d76a44f9f9ff275232b242b4908490.png", "点击查看图片")</f>
        <v/>
      </c>
      <c r="G672">
        <f>HYPERLINK("https://mall.bilibili.com/neul-next/index.html?page=magic-market_detail&amp;noTitleBar=1&amp;itemsId=111911130120&amp;from=market_index", "点击打开")</f>
        <v/>
      </c>
    </row>
    <row r="673">
      <c r="A673" t="inlineStr">
        <is>
          <t>FREEing 海伦 水蓝色宝石 手办</t>
        </is>
      </c>
      <c r="B673" t="inlineStr">
        <is>
          <t>2385.11元</t>
        </is>
      </c>
      <c r="C673" t="inlineStr">
        <is>
          <t>2829.00元</t>
        </is>
      </c>
      <c r="D673" t="inlineStr">
        <is>
          <t>443.89元</t>
        </is>
      </c>
      <c r="E673" t="inlineStr">
        <is>
          <t>8.4折</t>
        </is>
      </c>
      <c r="F673">
        <f>HYPERLINK("https://i0.hdslb.com/bfs/mall/mall/7c/38/7c3882f459768cc9ad62800def2c0ae7.png", "点击查看图片")</f>
        <v/>
      </c>
      <c r="G673">
        <f>HYPERLINK("https://mall.bilibili.com/neul-next/index.html?page=magic-market_detail&amp;noTitleBar=1&amp;itemsId=109870753137&amp;from=market_index", "点击打开")</f>
        <v/>
      </c>
    </row>
    <row r="674">
      <c r="A674" t="inlineStr">
        <is>
          <t>GSAS 宫园薰 Q版手办</t>
        </is>
      </c>
      <c r="B674" t="inlineStr">
        <is>
          <t>386.00元</t>
        </is>
      </c>
      <c r="C674" t="inlineStr">
        <is>
          <t>435.00元</t>
        </is>
      </c>
      <c r="D674" t="inlineStr">
        <is>
          <t>49.00元</t>
        </is>
      </c>
      <c r="E674" t="inlineStr">
        <is>
          <t>8.9折</t>
        </is>
      </c>
      <c r="F674">
        <f>HYPERLINK("https://i0.hdslb.com/bfs/mall/mall/ce/a4/cea490a636ead9eee7102a5e49f22ab7.png", "点击查看图片")</f>
        <v/>
      </c>
      <c r="G674">
        <f>HYPERLINK("https://mall.bilibili.com/neul-next/index.html?page=magic-market_detail&amp;noTitleBar=1&amp;itemsId=111909398550&amp;from=market_index", "点击打开")</f>
        <v/>
      </c>
    </row>
    <row r="675">
      <c r="A675" t="inlineStr">
        <is>
          <t>FREEing  狮子堂泉 泳装Ver. 手办</t>
        </is>
      </c>
      <c r="B675" t="inlineStr">
        <is>
          <t>1396.00元</t>
        </is>
      </c>
      <c r="C675" t="inlineStr">
        <is>
          <t>3919.00元</t>
        </is>
      </c>
      <c r="D675" t="inlineStr">
        <is>
          <t>2523.00元</t>
        </is>
      </c>
      <c r="E675" t="inlineStr">
        <is>
          <t>3.6折</t>
        </is>
      </c>
      <c r="F675">
        <f>HYPERLINK("https://i0.hdslb.com/bfs/mall/mall/14/72/1472c1909e83dbabcbad9a27750ca208.png", "点击查看图片")</f>
        <v/>
      </c>
      <c r="G675">
        <f>HYPERLINK("https://mall.bilibili.com/neul-next/index.html?page=magic-market_detail&amp;noTitleBar=1&amp;itemsId=106797473112&amp;from=market_index", "点击打开")</f>
        <v/>
      </c>
    </row>
    <row r="676">
      <c r="A676" t="inlineStr">
        <is>
          <t>dodowo 极乐西行 四人组·天蓬 可动手办</t>
        </is>
      </c>
      <c r="B676" t="inlineStr">
        <is>
          <t>407.30元</t>
        </is>
      </c>
      <c r="C676" t="inlineStr">
        <is>
          <t>580.00元</t>
        </is>
      </c>
      <c r="D676" t="inlineStr">
        <is>
          <t>172.70元</t>
        </is>
      </c>
      <c r="E676" t="inlineStr">
        <is>
          <t>7.0折</t>
        </is>
      </c>
      <c r="F676">
        <f>HYPERLINK("https://i0.hdslb.com/bfs/mall/mall/08/2c/082ccc1c76833555048396e0fce6453f.png", "点击查看图片")</f>
        <v/>
      </c>
      <c r="G676">
        <f>HYPERLINK("https://mall.bilibili.com/neul-next/index.html?page=magic-market_detail&amp;noTitleBar=1&amp;itemsId=110465127502&amp;from=market_index", "点击打开")</f>
        <v/>
      </c>
    </row>
    <row r="677">
      <c r="A677" t="inlineStr">
        <is>
          <t>角川 为美好的世界献上祝福！ 惠惠 Anime Opening Edition 手办 再版</t>
        </is>
      </c>
      <c r="B677" t="inlineStr">
        <is>
          <t>884.99元</t>
        </is>
      </c>
      <c r="C677" t="inlineStr">
        <is>
          <t>1042.00元</t>
        </is>
      </c>
      <c r="D677" t="inlineStr">
        <is>
          <t>157.01元</t>
        </is>
      </c>
      <c r="E677" t="inlineStr">
        <is>
          <t>8.5折</t>
        </is>
      </c>
      <c r="F677">
        <f>HYPERLINK("https://i0.hdslb.com/bfs/mall/mall/97/6b/976bf4b9ce2161410e19dd006092f400.png", "点击查看图片")</f>
        <v/>
      </c>
      <c r="G677">
        <f>HYPERLINK("https://mall.bilibili.com/neul-next/index.html?page=magic-market_detail&amp;noTitleBar=1&amp;itemsId=110459561581&amp;from=market_index", "点击打开")</f>
        <v/>
      </c>
    </row>
    <row r="678">
      <c r="A678" t="inlineStr">
        <is>
          <t>SSF 约会大作战 时崎狂三 汉服ver. 1/7手办</t>
        </is>
      </c>
      <c r="B678" t="inlineStr">
        <is>
          <t>1188.00元</t>
        </is>
      </c>
      <c r="C678" t="inlineStr">
        <is>
          <t>1690.00元</t>
        </is>
      </c>
      <c r="D678" t="inlineStr">
        <is>
          <t>502.00元</t>
        </is>
      </c>
      <c r="E678" t="inlineStr">
        <is>
          <t>7.0折</t>
        </is>
      </c>
      <c r="F678">
        <f>HYPERLINK("https://i0.hdslb.com/bfs/mall/mall/b8/4f/b84f0fa395970ccbbc448b0c65f07533.png", "点击查看图片")</f>
        <v/>
      </c>
      <c r="G678">
        <f>HYPERLINK("https://mall.bilibili.com/neul-next/index.html?page=magic-market_detail&amp;noTitleBar=1&amp;itemsId=111917241379&amp;from=market_index", "点击打开")</f>
        <v/>
      </c>
    </row>
    <row r="679">
      <c r="A679" t="inlineStr">
        <is>
          <t>WANDERER 蔚蓝档案 早濑优香 手办</t>
        </is>
      </c>
      <c r="B679" t="inlineStr">
        <is>
          <t>415.00元</t>
        </is>
      </c>
      <c r="C679" t="inlineStr">
        <is>
          <t>799.00元</t>
        </is>
      </c>
      <c r="D679" t="inlineStr">
        <is>
          <t>384.00元</t>
        </is>
      </c>
      <c r="E679" t="inlineStr">
        <is>
          <t>5.2折</t>
        </is>
      </c>
      <c r="F679">
        <f>HYPERLINK("https://i0.hdslb.com/bfs/mall/mall/7c/3f/7c3f04a613051702fd1a7b9ae54a59eb.png", "点击查看图片")</f>
        <v/>
      </c>
      <c r="G679">
        <f>HYPERLINK("https://mall.bilibili.com/neul-next/index.html?page=magic-market_detail&amp;noTitleBar=1&amp;itemsId=111905944612&amp;from=market_index", "点击打开")</f>
        <v/>
      </c>
    </row>
    <row r="680">
      <c r="A680" t="inlineStr">
        <is>
          <t>GSC 小鸟游星野 Q版手办</t>
        </is>
      </c>
      <c r="B680" t="inlineStr">
        <is>
          <t>278.00元</t>
        </is>
      </c>
      <c r="C680" t="inlineStr">
        <is>
          <t>299.00元</t>
        </is>
      </c>
      <c r="D680" t="inlineStr">
        <is>
          <t>21.00元</t>
        </is>
      </c>
      <c r="E680" t="inlineStr">
        <is>
          <t>9.3折</t>
        </is>
      </c>
      <c r="F680">
        <f>HYPERLINK("https://i0.hdslb.com/bfs/mall/mall/bf/e3/bfe3375bf4c9fbba92d2cf154781f25d.png", "点击查看图片")</f>
        <v/>
      </c>
      <c r="G680">
        <f>HYPERLINK("https://mall.bilibili.com/neul-next/index.html?page=magic-market_detail&amp;noTitleBar=1&amp;itemsId=109822988330&amp;from=market_index", "点击打开")</f>
        <v/>
      </c>
    </row>
    <row r="681">
      <c r="A681" t="inlineStr">
        <is>
          <t>F:NEX NO GAME NO LIFE 游戏人生 白 白无垢ver. 手办</t>
        </is>
      </c>
      <c r="B681" t="inlineStr">
        <is>
          <t>844.92元</t>
        </is>
      </c>
      <c r="C681" t="inlineStr">
        <is>
          <t>1350.00元</t>
        </is>
      </c>
      <c r="D681" t="inlineStr">
        <is>
          <t>505.08元</t>
        </is>
      </c>
      <c r="E681" t="inlineStr">
        <is>
          <t>6.3折</t>
        </is>
      </c>
      <c r="F681">
        <f>HYPERLINK("https://i0.hdslb.com/bfs/mall/mall/a6/1a/a61aa4decd904afa9cf79bdf13a27461.png", "点击查看图片")</f>
        <v/>
      </c>
      <c r="G681">
        <f>HYPERLINK("https://mall.bilibili.com/neul-next/index.html?page=magic-market_detail&amp;noTitleBar=1&amp;itemsId=111910522488&amp;from=market_index", "点击打开")</f>
        <v/>
      </c>
    </row>
    <row r="682">
      <c r="A682" t="inlineStr">
        <is>
          <t>ANIPLEX ONLINE 爱尔奎特·布伦史塔德 手办</t>
        </is>
      </c>
      <c r="B682" t="inlineStr">
        <is>
          <t>1133.00元</t>
        </is>
      </c>
      <c r="C682" t="inlineStr">
        <is>
          <t>2139.00元</t>
        </is>
      </c>
      <c r="D682" t="inlineStr">
        <is>
          <t>1006.00元</t>
        </is>
      </c>
      <c r="E682" t="inlineStr">
        <is>
          <t>5.3折</t>
        </is>
      </c>
      <c r="F682">
        <f>HYPERLINK("https://i0.hdslb.com/bfs/mall/mall/93/de/93debc4160eff3ccc71013d1fba405d9.png", "点击查看图片")</f>
        <v/>
      </c>
      <c r="G682">
        <f>HYPERLINK("https://mall.bilibili.com/neul-next/index.html?page=magic-market_detail&amp;noTitleBar=1&amp;itemsId=111903961450&amp;from=market_index", "点击打开")</f>
        <v/>
      </c>
    </row>
    <row r="683">
      <c r="A683" t="inlineStr">
        <is>
          <t>APEX 七花 正比手办</t>
        </is>
      </c>
      <c r="B683" t="inlineStr">
        <is>
          <t>550.00元</t>
        </is>
      </c>
      <c r="C683" t="inlineStr">
        <is>
          <t>848.00元</t>
        </is>
      </c>
      <c r="D683" t="inlineStr">
        <is>
          <t>298.00元</t>
        </is>
      </c>
      <c r="E683" t="inlineStr">
        <is>
          <t>6.5折</t>
        </is>
      </c>
      <c r="F683">
        <f>HYPERLINK("https://i0.hdslb.com/bfs/mall/mall/6f/ac/6fac615b133555fa97642cdf94ab4546.png", "点击查看图片")</f>
        <v/>
      </c>
      <c r="G683">
        <f>HYPERLINK("https://mall.bilibili.com/neul-next/index.html?page=magic-market_detail&amp;noTitleBar=1&amp;itemsId=109821659580&amp;from=market_index", "点击打开")</f>
        <v/>
      </c>
    </row>
    <row r="684">
      <c r="A684" t="inlineStr">
        <is>
          <t>HOBBY STOCK 结城美柑  衬衫 ver. 手办</t>
        </is>
      </c>
      <c r="B684" t="inlineStr">
        <is>
          <t>1058.00元</t>
        </is>
      </c>
      <c r="C684" t="inlineStr">
        <is>
          <t>1308.00元</t>
        </is>
      </c>
      <c r="D684" t="inlineStr">
        <is>
          <t>250.00元</t>
        </is>
      </c>
      <c r="E684" t="inlineStr">
        <is>
          <t>8.1折</t>
        </is>
      </c>
      <c r="F684">
        <f>HYPERLINK("https://i0.hdslb.com/bfs/mall/mall/bf/30/bf30d068e4199c0d2364d2bb150c60b0.png", "点击查看图片")</f>
        <v/>
      </c>
      <c r="G684">
        <f>HYPERLINK("https://mall.bilibili.com/neul-next/index.html?page=magic-market_detail&amp;noTitleBar=1&amp;itemsId=109849292240&amp;from=market_index", "点击打开")</f>
        <v/>
      </c>
    </row>
    <row r="685">
      <c r="A685" t="inlineStr">
        <is>
          <t>Hobbymax 镜音铃 潮流街头Ver. 手办</t>
        </is>
      </c>
      <c r="B685" t="inlineStr">
        <is>
          <t>497.00元</t>
        </is>
      </c>
      <c r="C685" t="inlineStr">
        <is>
          <t>869.00元</t>
        </is>
      </c>
      <c r="D685" t="inlineStr">
        <is>
          <t>372.00元</t>
        </is>
      </c>
      <c r="E685" t="inlineStr">
        <is>
          <t>5.7折</t>
        </is>
      </c>
      <c r="F685">
        <f>HYPERLINK("https://i0.hdslb.com/bfs/mall/mall/2b/a4/2ba40879112ca3c1390cefc3d1df4b14.png", "点击查看图片")</f>
        <v/>
      </c>
      <c r="G685">
        <f>HYPERLINK("https://mall.bilibili.com/neul-next/index.html?page=magic-market_detail&amp;noTitleBar=1&amp;itemsId=111918696781&amp;from=market_index", "点击打开")</f>
        <v/>
      </c>
    </row>
    <row r="686">
      <c r="A686" t="inlineStr">
        <is>
          <t>GOLDEN HEAD Palette 原创 我家的猫是可爱女孩 换装系列 喵喵黄豆粉 手办</t>
        </is>
      </c>
      <c r="B686" t="inlineStr">
        <is>
          <t>290.00元</t>
        </is>
      </c>
      <c r="C686" t="inlineStr">
        <is>
          <t>395.00元</t>
        </is>
      </c>
      <c r="D686" t="inlineStr">
        <is>
          <t>105.00元</t>
        </is>
      </c>
      <c r="E686" t="inlineStr">
        <is>
          <t>7.3折</t>
        </is>
      </c>
      <c r="F686">
        <f>HYPERLINK("https://i0.hdslb.com/bfs/mall/mall/0a/8d/0a8d001ca978507feea00f3df1f6330f.png", "点击查看图片")</f>
        <v/>
      </c>
      <c r="G686">
        <f>HYPERLINK("https://mall.bilibili.com/neul-next/index.html?page=magic-market_detail&amp;noTitleBar=1&amp;itemsId=111913090434&amp;from=market_index", "点击打开")</f>
        <v/>
      </c>
    </row>
    <row r="687">
      <c r="A687" t="inlineStr">
        <is>
          <t xml:space="preserve"> F:NEX 玛奇玛 手办</t>
        </is>
      </c>
      <c r="B687" t="inlineStr">
        <is>
          <t>781.90元</t>
        </is>
      </c>
      <c r="C687" t="inlineStr">
        <is>
          <t>1259.00元</t>
        </is>
      </c>
      <c r="D687" t="inlineStr">
        <is>
          <t>477.10元</t>
        </is>
      </c>
      <c r="E687" t="inlineStr">
        <is>
          <t>6.2折</t>
        </is>
      </c>
      <c r="F687">
        <f>HYPERLINK("https://i0.hdslb.com/bfs/mall/mall/9f/79/9f79045600d1e6f454b7f7848c5283df.png", "点击查看图片")</f>
        <v/>
      </c>
      <c r="G687">
        <f>HYPERLINK("https://mall.bilibili.com/neul-next/index.html?page=magic-market_detail&amp;noTitleBar=1&amp;itemsId=110461687961&amp;from=market_index", "点击打开")</f>
        <v/>
      </c>
    </row>
    <row r="688">
      <c r="A688" t="inlineStr">
        <is>
          <t>BANPRESTO 雷姆 女仆Ver.  景品手办</t>
        </is>
      </c>
      <c r="B688" t="inlineStr">
        <is>
          <t>400.00元</t>
        </is>
      </c>
      <c r="C688" t="inlineStr">
        <is>
          <t>964.00元</t>
        </is>
      </c>
      <c r="D688" t="inlineStr">
        <is>
          <t>564.00元</t>
        </is>
      </c>
      <c r="E688" t="inlineStr">
        <is>
          <t>4.1折</t>
        </is>
      </c>
      <c r="F688">
        <f>HYPERLINK("https://i0.hdslb.com/bfs/mall/mall/2b/21/2b2146374da767c14a02a477579d98dc.png", "点击查看图片")</f>
        <v/>
      </c>
      <c r="G688">
        <f>HYPERLINK("https://mall.bilibili.com/neul-next/index.html?page=magic-market_detail&amp;noTitleBar=1&amp;itemsId=109839802933&amp;from=market_index", "点击打开")</f>
        <v/>
      </c>
    </row>
    <row r="689">
      <c r="A689" t="inlineStr">
        <is>
          <t>MegaHouse 黑魔导 奇术师的决斗Ver. 手办</t>
        </is>
      </c>
      <c r="B689" t="inlineStr">
        <is>
          <t>808.00元</t>
        </is>
      </c>
      <c r="C689" t="inlineStr">
        <is>
          <t>1088.00元</t>
        </is>
      </c>
      <c r="D689" t="inlineStr">
        <is>
          <t>280.00元</t>
        </is>
      </c>
      <c r="E689" t="inlineStr">
        <is>
          <t>7.4折</t>
        </is>
      </c>
      <c r="F689">
        <f>HYPERLINK("https://i0.hdslb.com/bfs/mall/mall/0d/b1/0db1a0cbf42197e961e0513e7c17840b.png", "点击查看图片")</f>
        <v/>
      </c>
      <c r="G689">
        <f>HYPERLINK("https://mall.bilibili.com/neul-next/index.html?page=magic-market_detail&amp;noTitleBar=1&amp;itemsId=111917789045&amp;from=market_index", "点击打开")</f>
        <v/>
      </c>
    </row>
    <row r="690">
      <c r="A690" t="inlineStr">
        <is>
          <t>FuRyu 初音未来 BIG 恋爱西装独家版 正比手办</t>
        </is>
      </c>
      <c r="B690" t="inlineStr">
        <is>
          <t>458.99元</t>
        </is>
      </c>
      <c r="C690" t="inlineStr">
        <is>
          <t>869.00元</t>
        </is>
      </c>
      <c r="D690" t="inlineStr">
        <is>
          <t>410.01元</t>
        </is>
      </c>
      <c r="E690" t="inlineStr">
        <is>
          <t>5.3折</t>
        </is>
      </c>
      <c r="F690">
        <f>HYPERLINK("https://i0.hdslb.com/bfs/mall/mall/bb/dd/bbdd2871060c8fc1b4baaabaead5cfed.png", "点击查看图片")</f>
        <v/>
      </c>
      <c r="G690">
        <f>HYPERLINK("https://mall.bilibili.com/neul-next/index.html?page=magic-market_detail&amp;noTitleBar=1&amp;itemsId=111903997629&amp;from=market_index", "点击打开")</f>
        <v/>
      </c>
    </row>
    <row r="691">
      <c r="A691" t="inlineStr">
        <is>
          <t>角川 立华奏 婚纱ver. 手办</t>
        </is>
      </c>
      <c r="B691" t="inlineStr">
        <is>
          <t>1559.00元</t>
        </is>
      </c>
      <c r="C691" t="inlineStr">
        <is>
          <t>1579.00元</t>
        </is>
      </c>
      <c r="D691" t="inlineStr">
        <is>
          <t>20.00元</t>
        </is>
      </c>
      <c r="E691" t="inlineStr">
        <is>
          <t>9.9折</t>
        </is>
      </c>
      <c r="F691">
        <f>HYPERLINK("https://i0.hdslb.com/bfs/mall/mall/1f/28/1f281c050137fb31934623333bfdedcf.png", "点击查看图片")</f>
        <v/>
      </c>
      <c r="G691">
        <f>HYPERLINK("https://mall.bilibili.com/neul-next/index.html?page=magic-market_detail&amp;noTitleBar=1&amp;itemsId=109845007116&amp;from=market_index", "点击打开")</f>
        <v/>
      </c>
    </row>
    <row r="692">
      <c r="A692" t="inlineStr">
        <is>
          <t xml:space="preserve"> F:NEX 拉姆 花魁Ver. 手办 </t>
        </is>
      </c>
      <c r="B692" t="inlineStr">
        <is>
          <t>766.00元</t>
        </is>
      </c>
      <c r="C692" t="inlineStr">
        <is>
          <t>1299.00元</t>
        </is>
      </c>
      <c r="D692" t="inlineStr">
        <is>
          <t>533.00元</t>
        </is>
      </c>
      <c r="E692" t="inlineStr">
        <is>
          <t>5.9折</t>
        </is>
      </c>
      <c r="F692">
        <f>HYPERLINK("https://i0.hdslb.com/bfs/mall/mall/46/8b/468bd7308042620f9f215364bbd6f140.png", "点击查看图片")</f>
        <v/>
      </c>
      <c r="G692">
        <f>HYPERLINK("https://mall.bilibili.com/neul-next/index.html?page=magic-market_detail&amp;noTitleBar=1&amp;itemsId=106951869797&amp;from=market_index", "点击打开")</f>
        <v/>
      </c>
    </row>
    <row r="693">
      <c r="A693" t="inlineStr">
        <is>
          <t>GSAS 红莲 正比手办</t>
        </is>
      </c>
      <c r="B693" t="inlineStr">
        <is>
          <t>769.70元</t>
        </is>
      </c>
      <c r="C693" t="inlineStr">
        <is>
          <t>945.00元</t>
        </is>
      </c>
      <c r="D693" t="inlineStr">
        <is>
          <t>175.30元</t>
        </is>
      </c>
      <c r="E693" t="inlineStr">
        <is>
          <t>8.1折</t>
        </is>
      </c>
      <c r="F693">
        <f>HYPERLINK("https://i0.hdslb.com/bfs/mall/mall/6a/da/6adaf86fb3d55d1be87ca012d43d19b9.png", "点击查看图片")</f>
        <v/>
      </c>
      <c r="G693">
        <f>HYPERLINK("https://mall.bilibili.com/neul-next/index.html?page=magic-market_detail&amp;noTitleBar=1&amp;itemsId=111914092363&amp;from=market_index", "点击打开")</f>
        <v/>
      </c>
    </row>
    <row r="694">
      <c r="A694" t="inlineStr">
        <is>
          <t>Otherwhere 猫耳娘 豪华版 附色纸&amp;挂画 正比手办</t>
        </is>
      </c>
      <c r="B694" t="inlineStr">
        <is>
          <t>1080.00元</t>
        </is>
      </c>
      <c r="C694" t="inlineStr">
        <is>
          <t>1080.00元</t>
        </is>
      </c>
      <c r="D694" t="inlineStr">
        <is>
          <t>0.00元</t>
        </is>
      </c>
      <c r="E694" t="inlineStr">
        <is>
          <t>10.0折</t>
        </is>
      </c>
      <c r="F694">
        <f>HYPERLINK("https://i0.hdslb.com/bfs/mall/mall/70/4a/704a0aee9f3ae7e14522f8d23a76dea1.png", "点击查看图片")</f>
        <v/>
      </c>
      <c r="G694">
        <f>HYPERLINK("https://mall.bilibili.com/neul-next/index.html?page=magic-market_detail&amp;noTitleBar=1&amp;itemsId=111922039606&amp;from=market_index", "点击打开")</f>
        <v/>
      </c>
    </row>
    <row r="695">
      <c r="A695" t="inlineStr">
        <is>
          <t>GSC 普拉娜 Q版手办</t>
        </is>
      </c>
      <c r="B695" t="inlineStr">
        <is>
          <t>215.00元</t>
        </is>
      </c>
      <c r="C695" t="inlineStr">
        <is>
          <t>319.00元</t>
        </is>
      </c>
      <c r="D695" t="inlineStr">
        <is>
          <t>104.00元</t>
        </is>
      </c>
      <c r="E695" t="inlineStr">
        <is>
          <t>6.7折</t>
        </is>
      </c>
      <c r="F695">
        <f>HYPERLINK("https://i0.hdslb.com/bfs/mall/mall/a8/33/a8332680d2a8500defb22098f2681f3d.png", "点击查看图片")</f>
        <v/>
      </c>
      <c r="G695">
        <f>HYPERLINK("https://mall.bilibili.com/neul-next/index.html?page=magic-market_detail&amp;noTitleBar=1&amp;itemsId=111917271242&amp;from=market_index", "点击打开")</f>
        <v/>
      </c>
    </row>
    <row r="696">
      <c r="A696" t="inlineStr">
        <is>
          <t>GSAS 白井黑子 正比手办</t>
        </is>
      </c>
      <c r="B696" t="inlineStr">
        <is>
          <t>303.19元</t>
        </is>
      </c>
      <c r="C696" t="inlineStr">
        <is>
          <t>565.00元</t>
        </is>
      </c>
      <c r="D696" t="inlineStr">
        <is>
          <t>261.81元</t>
        </is>
      </c>
      <c r="E696" t="inlineStr">
        <is>
          <t>5.4折</t>
        </is>
      </c>
      <c r="F696">
        <f>HYPERLINK("https://i0.hdslb.com/bfs/mall/mall/09/c4/09c41f868badf697ed62c20760481dd9.png", "点击查看图片")</f>
        <v/>
      </c>
      <c r="G696">
        <f>HYPERLINK("https://mall.bilibili.com/neul-next/index.html?page=magic-market_detail&amp;noTitleBar=1&amp;itemsId=111906638187&amp;from=market_index", "点击打开")</f>
        <v/>
      </c>
    </row>
    <row r="697">
      <c r="A697" t="inlineStr">
        <is>
          <t>Phat! 翠雀媚Ver.   手办</t>
        </is>
      </c>
      <c r="B697" t="inlineStr">
        <is>
          <t>785.00元</t>
        </is>
      </c>
      <c r="C697" t="inlineStr">
        <is>
          <t>1069.00元</t>
        </is>
      </c>
      <c r="D697" t="inlineStr">
        <is>
          <t>284.00元</t>
        </is>
      </c>
      <c r="E697" t="inlineStr">
        <is>
          <t>7.3折</t>
        </is>
      </c>
      <c r="F697">
        <f>HYPERLINK("https://i0.hdslb.com/bfs/mall/mall/5d/bb/5dbb88f30eafd66736d3570f9ea63b8a.png", "点击查看图片")</f>
        <v/>
      </c>
      <c r="G697">
        <f>HYPERLINK("https://mall.bilibili.com/neul-next/index.html?page=magic-market_detail&amp;noTitleBar=1&amp;itemsId=110464893286&amp;from=market_index", "点击打开")</f>
        <v/>
      </c>
    </row>
    <row r="698">
      <c r="A698" t="inlineStr">
        <is>
          <t>GSC 不破湊 Q版手办</t>
        </is>
      </c>
      <c r="B698" t="inlineStr">
        <is>
          <t>299.00元</t>
        </is>
      </c>
      <c r="C698" t="inlineStr">
        <is>
          <t>325.00元</t>
        </is>
      </c>
      <c r="D698" t="inlineStr">
        <is>
          <t>26.00元</t>
        </is>
      </c>
      <c r="E698" t="inlineStr">
        <is>
          <t>9.2折</t>
        </is>
      </c>
      <c r="F698">
        <f>HYPERLINK("https://i0.hdslb.com/bfs/mall/mall/83/a9/83a95e39512a9e8ef0a1d96db7c0d1b8.png", "点击查看图片")</f>
        <v/>
      </c>
      <c r="G698">
        <f>HYPERLINK("https://mall.bilibili.com/neul-next/index.html?page=magic-market_detail&amp;noTitleBar=1&amp;itemsId=110466573329&amp;from=market_index", "点击打开")</f>
        <v/>
      </c>
    </row>
    <row r="699">
      <c r="A699" t="inlineStr">
        <is>
          <t>FREEing B-style 碧蓝航线 布莱默顿 周年纪念兔女郎ver. 1/4手办</t>
        </is>
      </c>
      <c r="B699" t="inlineStr">
        <is>
          <t>1211.50元</t>
        </is>
      </c>
      <c r="C699" t="inlineStr">
        <is>
          <t>1725.00元</t>
        </is>
      </c>
      <c r="D699" t="inlineStr">
        <is>
          <t>513.50元</t>
        </is>
      </c>
      <c r="E699" t="inlineStr">
        <is>
          <t>7.0折</t>
        </is>
      </c>
      <c r="F699">
        <f>HYPERLINK("https://i0.hdslb.com/bfs/mall/mall/d0/c4/d0c447522446f2d85b20caa6b9429a15.png", "点击查看图片")</f>
        <v/>
      </c>
      <c r="G699">
        <f>HYPERLINK("https://mall.bilibili.com/neul-next/index.html?page=magic-market_detail&amp;noTitleBar=1&amp;itemsId=109892047151&amp;from=market_index", "点击打开")</f>
        <v/>
      </c>
    </row>
    <row r="700">
      <c r="A700" t="inlineStr">
        <is>
          <t>Prime 1 Studio 白 手办</t>
        </is>
      </c>
      <c r="B700" t="inlineStr">
        <is>
          <t>1111.00元</t>
        </is>
      </c>
      <c r="C700" t="inlineStr">
        <is>
          <t>1690.00元</t>
        </is>
      </c>
      <c r="D700" t="inlineStr">
        <is>
          <t>579.00元</t>
        </is>
      </c>
      <c r="E700" t="inlineStr">
        <is>
          <t>6.6折</t>
        </is>
      </c>
      <c r="F700">
        <f>HYPERLINK("https://i0.hdslb.com/bfs/mall/mall/18/cc/18cca3fd00ca216f9ef93f6413441884.png", "点击查看图片")</f>
        <v/>
      </c>
      <c r="G700">
        <f>HYPERLINK("https://mall.bilibili.com/neul-next/index.html?page=magic-market_detail&amp;noTitleBar=1&amp;itemsId=109893040462&amp;from=market_index", "点击打开")</f>
        <v/>
      </c>
    </row>
    <row r="701">
      <c r="A701" t="inlineStr">
        <is>
          <t>FREEing 夜刀神十香 兔女郎Ver. 正比手办</t>
        </is>
      </c>
      <c r="B701" t="inlineStr">
        <is>
          <t>2198.99元</t>
        </is>
      </c>
      <c r="C701" t="inlineStr">
        <is>
          <t>2745.00元</t>
        </is>
      </c>
      <c r="D701" t="inlineStr">
        <is>
          <t>546.01元</t>
        </is>
      </c>
      <c r="E701" t="inlineStr">
        <is>
          <t>8.0折</t>
        </is>
      </c>
      <c r="F701">
        <f>HYPERLINK("https://i0.hdslb.com/bfs/mall/mall/54/81/548141acdce1d956b569a697d58db7a5.png", "点击查看图片")</f>
        <v/>
      </c>
      <c r="G701">
        <f>HYPERLINK("https://mall.bilibili.com/neul-next/index.html?page=magic-market_detail&amp;noTitleBar=1&amp;itemsId=111904977393&amp;from=market_index", "点击打开")</f>
        <v/>
      </c>
    </row>
    <row r="702">
      <c r="A702" t="inlineStr">
        <is>
          <t>ABYSSES 姬宫妃奈 兔女郎 手办</t>
        </is>
      </c>
      <c r="B702" t="inlineStr">
        <is>
          <t>455.62元</t>
        </is>
      </c>
      <c r="C702" t="inlineStr">
        <is>
          <t>698.00元</t>
        </is>
      </c>
      <c r="D702" t="inlineStr">
        <is>
          <t>242.38元</t>
        </is>
      </c>
      <c r="E702" t="inlineStr">
        <is>
          <t>6.5折</t>
        </is>
      </c>
      <c r="F702">
        <f>HYPERLINK("https://i0.hdslb.com/bfs/mall/mall/d9/4b/d94b9cbf49b9752263c1c9346affef79.png", "点击查看图片")</f>
        <v/>
      </c>
      <c r="G702">
        <f>HYPERLINK("https://mall.bilibili.com/neul-next/index.html?page=magic-market_detail&amp;noTitleBar=1&amp;itemsId=111918370885&amp;from=market_index", "点击打开")</f>
        <v/>
      </c>
    </row>
    <row r="703">
      <c r="A703" t="inlineStr">
        <is>
          <t xml:space="preserve"> F:NEX 伊莉雅 泳装Ver. 手办</t>
        </is>
      </c>
      <c r="B703" t="inlineStr">
        <is>
          <t>425.00元</t>
        </is>
      </c>
      <c r="C703" t="inlineStr">
        <is>
          <t>705.00元</t>
        </is>
      </c>
      <c r="D703" t="inlineStr">
        <is>
          <t>280.00元</t>
        </is>
      </c>
      <c r="E703" t="inlineStr">
        <is>
          <t>6.0折</t>
        </is>
      </c>
      <c r="F703">
        <f>HYPERLINK("https://i0.hdslb.com/bfs/mall/mall/cd/be/cdbeebe4f5f7fcc31fca190cbfc2f294.png", "点击查看图片")</f>
        <v/>
      </c>
      <c r="G703">
        <f>HYPERLINK("https://mall.bilibili.com/neul-next/index.html?page=magic-market_detail&amp;noTitleBar=1&amp;itemsId=111913289205&amp;from=market_index", "点击打开")</f>
        <v/>
      </c>
    </row>
    <row r="704">
      <c r="A704" t="inlineStr">
        <is>
          <t>PROOF 喜多川海梦 利兹 ver. 手办</t>
        </is>
      </c>
      <c r="B704" t="inlineStr">
        <is>
          <t>833.81元</t>
        </is>
      </c>
      <c r="C704" t="inlineStr">
        <is>
          <t>1405.00元</t>
        </is>
      </c>
      <c r="D704" t="inlineStr">
        <is>
          <t>571.19元</t>
        </is>
      </c>
      <c r="E704" t="inlineStr">
        <is>
          <t>5.9折</t>
        </is>
      </c>
      <c r="F704">
        <f>HYPERLINK("https://i0.hdslb.com/bfs/mall/mall/47/51/4751c1b4f1875c4cf44d5a8a4be45ce2.png", "点击查看图片")</f>
        <v/>
      </c>
      <c r="G704">
        <f>HYPERLINK("https://mall.bilibili.com/neul-next/index.html?page=magic-market_detail&amp;noTitleBar=1&amp;itemsId=111905602271&amp;from=market_index", "点击打开")</f>
        <v/>
      </c>
    </row>
    <row r="705">
      <c r="A705" t="inlineStr">
        <is>
          <t>GSC 优衣 礼服 手办</t>
        </is>
      </c>
      <c r="B705" t="inlineStr">
        <is>
          <t>490.00元</t>
        </is>
      </c>
      <c r="C705" t="inlineStr">
        <is>
          <t>845.00元</t>
        </is>
      </c>
      <c r="D705" t="inlineStr">
        <is>
          <t>355.00元</t>
        </is>
      </c>
      <c r="E705" t="inlineStr">
        <is>
          <t>5.8折</t>
        </is>
      </c>
      <c r="F705">
        <f>HYPERLINK("https://i0.hdslb.com/bfs/mall/mall/62/df/62df531d951b79245ca3ba523e24dc96.png", "点击查看图片")</f>
        <v/>
      </c>
      <c r="G705">
        <f>HYPERLINK("https://mall.bilibili.com/neul-next/index.html?page=magic-market_detail&amp;noTitleBar=1&amp;itemsId=111910419768&amp;from=market_index", "点击打开")</f>
        <v/>
      </c>
    </row>
    <row r="706">
      <c r="A706" t="inlineStr">
        <is>
          <t>GSC 赫萝 Q版手办 再版</t>
        </is>
      </c>
      <c r="B706" t="inlineStr">
        <is>
          <t>225.00元</t>
        </is>
      </c>
      <c r="C706" t="inlineStr">
        <is>
          <t>265.00元</t>
        </is>
      </c>
      <c r="D706" t="inlineStr">
        <is>
          <t>40.00元</t>
        </is>
      </c>
      <c r="E706" t="inlineStr">
        <is>
          <t>8.5折</t>
        </is>
      </c>
      <c r="F706">
        <f>HYPERLINK("https://i0.hdslb.com/bfs/mall/mall/ab/20/ab2060827af1cc0a0ee070829d2c4797.png", "点击查看图片")</f>
        <v/>
      </c>
      <c r="G706">
        <f>HYPERLINK("https://mall.bilibili.com/neul-next/index.html?page=magic-market_detail&amp;noTitleBar=1&amp;itemsId=111910702495&amp;from=market_index", "点击打开")</f>
        <v/>
      </c>
    </row>
    <row r="707">
      <c r="A707" t="inlineStr">
        <is>
          <t>DMM  緜「年上彼女」 手办</t>
        </is>
      </c>
      <c r="B707" t="inlineStr">
        <is>
          <t>1494.93元</t>
        </is>
      </c>
      <c r="C707" t="inlineStr">
        <is>
          <t>2159.00元</t>
        </is>
      </c>
      <c r="D707" t="inlineStr">
        <is>
          <t>664.07元</t>
        </is>
      </c>
      <c r="E707" t="inlineStr">
        <is>
          <t>6.9折</t>
        </is>
      </c>
      <c r="F707">
        <f>HYPERLINK("https://i0.hdslb.com/bfs/mall/mall/c1/12/c112ba983b770c19e6865935008be151.png", "点击查看图片")</f>
        <v/>
      </c>
      <c r="G707">
        <f>HYPERLINK("https://mall.bilibili.com/neul-next/index.html?page=magic-market_detail&amp;noTitleBar=1&amp;itemsId=111906645656&amp;from=market_index", "点击打开")</f>
        <v/>
      </c>
    </row>
    <row r="708">
      <c r="A708" t="inlineStr">
        <is>
          <t>BANDAI 蒙奇·D·路飞 四档弹跳人 Ver.手办</t>
        </is>
      </c>
      <c r="B708" t="inlineStr">
        <is>
          <t>390.00元</t>
        </is>
      </c>
      <c r="C708" t="inlineStr">
        <is>
          <t>390.00元</t>
        </is>
      </c>
      <c r="D708" t="inlineStr">
        <is>
          <t>0.00元</t>
        </is>
      </c>
      <c r="E708" t="inlineStr">
        <is>
          <t>10.0折</t>
        </is>
      </c>
      <c r="F708">
        <f>HYPERLINK("https://i0.hdslb.com/bfs/mall/mall/ff/91/ff918e01a341c5ef87563e15caa48d04.png", "点击查看图片")</f>
        <v/>
      </c>
      <c r="G708">
        <f>HYPERLINK("https://mall.bilibili.com/neul-next/index.html?page=magic-market_detail&amp;noTitleBar=1&amp;itemsId=111921325225&amp;from=market_index", "点击打开")</f>
        <v/>
      </c>
    </row>
    <row r="709">
      <c r="A709" t="inlineStr">
        <is>
          <t>角川 Fate/kaleid liner 魔法少女☆伊莉雅 伊莉雅斯菲尔·冯·爱因兹贝伦 夏日连衣裙ver. 手办</t>
        </is>
      </c>
      <c r="B709" t="inlineStr">
        <is>
          <t>728.00元</t>
        </is>
      </c>
      <c r="C709" t="inlineStr">
        <is>
          <t>1184.00元</t>
        </is>
      </c>
      <c r="D709" t="inlineStr">
        <is>
          <t>456.00元</t>
        </is>
      </c>
      <c r="E709" t="inlineStr">
        <is>
          <t>6.1折</t>
        </is>
      </c>
      <c r="F709">
        <f>HYPERLINK("https://i0.hdslb.com/bfs/mall/mall/06/f6/06f631bb216aa80abac3d2649c69ceac.png", "点击查看图片")</f>
        <v/>
      </c>
      <c r="G709">
        <f>HYPERLINK("https://mall.bilibili.com/neul-next/index.html?page=magic-market_detail&amp;noTitleBar=1&amp;itemsId=111914860491&amp;from=market_index", "点击打开")</f>
        <v/>
      </c>
    </row>
    <row r="710">
      <c r="A710" t="inlineStr">
        <is>
          <t>OUR TREASURE 轻音少女 秋山澪 Summer Queens ver. 手办</t>
        </is>
      </c>
      <c r="B710" t="inlineStr">
        <is>
          <t>400.00元</t>
        </is>
      </c>
      <c r="C710" t="inlineStr">
        <is>
          <t>865.00元</t>
        </is>
      </c>
      <c r="D710" t="inlineStr">
        <is>
          <t>465.00元</t>
        </is>
      </c>
      <c r="E710" t="inlineStr">
        <is>
          <t>4.6折</t>
        </is>
      </c>
      <c r="F710">
        <f>HYPERLINK("https://i0.hdslb.com/bfs/mall/mall/79/3f/793fda880285f5bae5fde54e1ec5af0b.png", "点击查看图片")</f>
        <v/>
      </c>
      <c r="G710">
        <f>HYPERLINK("https://mall.bilibili.com/neul-next/index.html?page=magic-market_detail&amp;noTitleBar=1&amp;itemsId=111915482692&amp;from=market_index", "点击打开")</f>
        <v/>
      </c>
    </row>
    <row r="711">
      <c r="A711" t="inlineStr">
        <is>
          <t>F:NEX 虚拟主播 周防帕特拉 1/7手办</t>
        </is>
      </c>
      <c r="B711" t="inlineStr">
        <is>
          <t>435.00元</t>
        </is>
      </c>
      <c r="C711" t="inlineStr">
        <is>
          <t>815.00元</t>
        </is>
      </c>
      <c r="D711" t="inlineStr">
        <is>
          <t>380.00元</t>
        </is>
      </c>
      <c r="E711" t="inlineStr">
        <is>
          <t>5.3折</t>
        </is>
      </c>
      <c r="F711">
        <f>HYPERLINK("https://i0.hdslb.com/bfs/mall/mall/a5/12/a512809d457f4bdc5806aa08bcef8d2f.png", "点击查看图片")</f>
        <v/>
      </c>
      <c r="G711">
        <f>HYPERLINK("https://mall.bilibili.com/neul-next/index.html?page=magic-market_detail&amp;noTitleBar=1&amp;itemsId=11190693399&amp;from=market_index", "点击打开")</f>
        <v/>
      </c>
    </row>
    <row r="712">
      <c r="A712" t="inlineStr">
        <is>
          <t>FuRyu 千仓静留 正比手办</t>
        </is>
      </c>
      <c r="B712" t="inlineStr">
        <is>
          <t>399.00元</t>
        </is>
      </c>
      <c r="C712" t="inlineStr">
        <is>
          <t>598.00元</t>
        </is>
      </c>
      <c r="D712" t="inlineStr">
        <is>
          <t>199.00元</t>
        </is>
      </c>
      <c r="E712" t="inlineStr">
        <is>
          <t>6.7折</t>
        </is>
      </c>
      <c r="F712">
        <f>HYPERLINK("https://i0.hdslb.com/bfs/mall/mall/e8/1d/e81df8f752a4bf968f4367c1e57f76dc.png", "点击查看图片")</f>
        <v/>
      </c>
      <c r="G712">
        <f>HYPERLINK("https://mall.bilibili.com/neul-next/index.html?page=magic-market_detail&amp;noTitleBar=1&amp;itemsId=111905548582&amp;from=market_index", "点击打开")</f>
        <v/>
      </c>
    </row>
    <row r="713">
      <c r="A713" t="inlineStr">
        <is>
          <t>ANIPLEX ONLINE 井上泷奈 正比手办</t>
        </is>
      </c>
      <c r="B713" t="inlineStr">
        <is>
          <t>820.00元</t>
        </is>
      </c>
      <c r="C713" t="inlineStr">
        <is>
          <t>1299.00元</t>
        </is>
      </c>
      <c r="D713" t="inlineStr">
        <is>
          <t>479.00元</t>
        </is>
      </c>
      <c r="E713" t="inlineStr">
        <is>
          <t>6.3折</t>
        </is>
      </c>
      <c r="F713">
        <f>HYPERLINK("https://i0.hdslb.com/bfs/mall/mall/36/7e/367e51807bfeca4019a93e58413a49ca.png", "点击查看图片")</f>
        <v/>
      </c>
      <c r="G713">
        <f>HYPERLINK("https://mall.bilibili.com/neul-next/index.html?page=magic-market_detail&amp;noTitleBar=1&amp;itemsId=120668813311&amp;from=market_index", "点击打开")</f>
        <v/>
      </c>
    </row>
    <row r="714">
      <c r="A714" t="inlineStr">
        <is>
          <t>GSC 爱尔奎特·布伦史塔德 ～Dresscode：身披冰河～ 正比手办</t>
        </is>
      </c>
      <c r="B714" t="inlineStr">
        <is>
          <t>680.00元</t>
        </is>
      </c>
      <c r="C714" t="inlineStr">
        <is>
          <t>909.00元</t>
        </is>
      </c>
      <c r="D714" t="inlineStr">
        <is>
          <t>229.00元</t>
        </is>
      </c>
      <c r="E714" t="inlineStr">
        <is>
          <t>7.5折</t>
        </is>
      </c>
      <c r="F714">
        <f>HYPERLINK("https://i0.hdslb.com/bfs/mall/mall/a4/4c/a44c6181b664d00013c353d928fc3f28.png", "点击查看图片")</f>
        <v/>
      </c>
      <c r="G714">
        <f>HYPERLINK("https://mall.bilibili.com/neul-next/index.html?page=magic-market_detail&amp;noTitleBar=1&amp;itemsId=111917341927&amp;from=market_index", "点击打开")</f>
        <v/>
      </c>
    </row>
    <row r="715">
      <c r="A715" t="inlineStr">
        <is>
          <t>寿屋 赛马娘 Pretty Derby 北部玄驹 手办</t>
        </is>
      </c>
      <c r="B715" t="inlineStr">
        <is>
          <t>815.00元</t>
        </is>
      </c>
      <c r="C715" t="inlineStr">
        <is>
          <t>1022.00元</t>
        </is>
      </c>
      <c r="D715" t="inlineStr">
        <is>
          <t>207.00元</t>
        </is>
      </c>
      <c r="E715" t="inlineStr">
        <is>
          <t>8.0折</t>
        </is>
      </c>
      <c r="F715">
        <f>HYPERLINK("https://i0.hdslb.com/bfs/mall/mall/66/72/6672d8cc9fe2286515f3fc0bd1e5280e.png", "点击查看图片")</f>
        <v/>
      </c>
      <c r="G715">
        <f>HYPERLINK("https://mall.bilibili.com/neul-next/index.html?page=magic-market_detail&amp;noTitleBar=1&amp;itemsId=111916038926&amp;from=market_index", "点击打开")</f>
        <v/>
      </c>
    </row>
    <row r="716">
      <c r="A716" t="inlineStr">
        <is>
          <t>GSC 圣夜之铃 正比手办</t>
        </is>
      </c>
      <c r="B716" t="inlineStr">
        <is>
          <t>2350.00元</t>
        </is>
      </c>
      <c r="C716" t="inlineStr">
        <is>
          <t>3029.00元</t>
        </is>
      </c>
      <c r="D716" t="inlineStr">
        <is>
          <t>679.00元</t>
        </is>
      </c>
      <c r="E716" t="inlineStr">
        <is>
          <t>7.8折</t>
        </is>
      </c>
      <c r="F716">
        <f>HYPERLINK("https://i0.hdslb.com/bfs/mall/mall/1d/53/1d537dc99d13a016f02330011c237600.png", "点击查看图片")</f>
        <v/>
      </c>
      <c r="G716">
        <f>HYPERLINK("https://mall.bilibili.com/neul-next/index.html?page=magic-market_detail&amp;noTitleBar=1&amp;itemsId=109808554363&amp;from=market_index", "点击打开")</f>
        <v/>
      </c>
    </row>
    <row r="717">
      <c r="A717" t="inlineStr">
        <is>
          <t>Myethos 瑶 时之愿境 手办</t>
        </is>
      </c>
      <c r="B717" t="inlineStr">
        <is>
          <t>145.92元</t>
        </is>
      </c>
      <c r="C717" t="inlineStr">
        <is>
          <t>199.00元</t>
        </is>
      </c>
      <c r="D717" t="inlineStr">
        <is>
          <t>53.08元</t>
        </is>
      </c>
      <c r="E717" t="inlineStr">
        <is>
          <t>7.3折</t>
        </is>
      </c>
      <c r="F717">
        <f>HYPERLINK("https://i0.hdslb.com/bfs/mall/mall/be/28/be2861e9c8ef517c3d01e9d08d9c3e29.png", "点击查看图片")</f>
        <v/>
      </c>
      <c r="G717">
        <f>HYPERLINK("https://mall.bilibili.com/neul-next/index.html?page=magic-market_detail&amp;noTitleBar=1&amp;itemsId=111911525927&amp;from=market_index", "点击打开")</f>
        <v/>
      </c>
    </row>
    <row r="718">
      <c r="A718" t="inlineStr">
        <is>
          <t>MAX LIMI TED 初音未来 YR-75 原色版 Q版手办</t>
        </is>
      </c>
      <c r="B718" t="inlineStr">
        <is>
          <t>115.64元</t>
        </is>
      </c>
      <c r="C718" t="inlineStr">
        <is>
          <t>150.00元</t>
        </is>
      </c>
      <c r="D718" t="inlineStr">
        <is>
          <t>34.36元</t>
        </is>
      </c>
      <c r="E718" t="inlineStr">
        <is>
          <t>7.7折</t>
        </is>
      </c>
      <c r="F718">
        <f>HYPERLINK("https://i0.hdslb.com/bfs/mall/mall/da/60/da60ec06ed86d1c7d133a29354580bd4.png", "点击查看图片")</f>
        <v/>
      </c>
      <c r="G718">
        <f>HYPERLINK("https://mall.bilibili.com/neul-next/index.html?page=magic-market_detail&amp;noTitleBar=1&amp;itemsId=109859550107&amp;from=market_index", "点击打开")</f>
        <v/>
      </c>
    </row>
    <row r="719">
      <c r="A719" t="inlineStr">
        <is>
          <t>F:NEX 虚拟主播 赤見かるび 手办</t>
        </is>
      </c>
      <c r="B719" t="inlineStr">
        <is>
          <t>464.92元</t>
        </is>
      </c>
      <c r="C719" t="inlineStr">
        <is>
          <t>910.00元</t>
        </is>
      </c>
      <c r="D719" t="inlineStr">
        <is>
          <t>445.08元</t>
        </is>
      </c>
      <c r="E719" t="inlineStr">
        <is>
          <t>5.1折</t>
        </is>
      </c>
      <c r="F719">
        <f>HYPERLINK("https://i0.hdslb.com/bfs/mall/mall/f5/d9/f5d9269e8f25a26ccd0a6a1113661f86.png", "点击查看图片")</f>
        <v/>
      </c>
      <c r="G719">
        <f>HYPERLINK("https://mall.bilibili.com/neul-next/index.html?page=magic-market_detail&amp;noTitleBar=1&amp;itemsId=111905736792&amp;from=market_index", "点击打开")</f>
        <v/>
      </c>
    </row>
    <row r="720">
      <c r="A720" t="inlineStr">
        <is>
          <t>724 STUDIO 玛格丽特 手办</t>
        </is>
      </c>
      <c r="B720" t="inlineStr">
        <is>
          <t>1133.53元</t>
        </is>
      </c>
      <c r="C720" t="inlineStr">
        <is>
          <t>1188.00元</t>
        </is>
      </c>
      <c r="D720" t="inlineStr">
        <is>
          <t>54.47元</t>
        </is>
      </c>
      <c r="E720" t="inlineStr">
        <is>
          <t>9.5折</t>
        </is>
      </c>
      <c r="F720">
        <f>HYPERLINK("https://i0.hdslb.com/bfs/mall/mall/28/f2/28f21e3d93932cd57b0c313c67f1fa1c.png", "点击查看图片")</f>
        <v/>
      </c>
      <c r="G720">
        <f>HYPERLINK("https://mall.bilibili.com/neul-next/index.html?page=magic-market_detail&amp;noTitleBar=1&amp;itemsId=109860482417&amp;from=market_index", "点击打开")</f>
        <v/>
      </c>
    </row>
    <row r="721">
      <c r="A721" t="inlineStr">
        <is>
          <t>寿屋 偶像大师 MILLION LIVE! 白石䌷 -Celebrate Miyabi- 手办</t>
        </is>
      </c>
      <c r="B721" t="inlineStr">
        <is>
          <t>687.20元</t>
        </is>
      </c>
      <c r="C721" t="inlineStr">
        <is>
          <t>967.00元</t>
        </is>
      </c>
      <c r="D721" t="inlineStr">
        <is>
          <t>279.80元</t>
        </is>
      </c>
      <c r="E721" t="inlineStr">
        <is>
          <t>7.1折</t>
        </is>
      </c>
      <c r="F721">
        <f>HYPERLINK("https://i0.hdslb.com/bfs/mall/mall/25/ae/25ae8b50a15d6c3cdf3cee8d98ce09d0.png", "点击查看图片")</f>
        <v/>
      </c>
      <c r="G721">
        <f>HYPERLINK("https://mall.bilibili.com/neul-next/index.html?page=magic-market_detail&amp;noTitleBar=1&amp;itemsId=111910417202&amp;from=market_index", "点击打开")</f>
        <v/>
      </c>
    </row>
    <row r="722">
      <c r="A722" t="inlineStr">
        <is>
          <t>FuRyu 2B 正比手办</t>
        </is>
      </c>
      <c r="B722" t="inlineStr">
        <is>
          <t>235.00元</t>
        </is>
      </c>
      <c r="C722" t="inlineStr">
        <is>
          <t>279.00元</t>
        </is>
      </c>
      <c r="D722" t="inlineStr">
        <is>
          <t>44.00元</t>
        </is>
      </c>
      <c r="E722" t="inlineStr">
        <is>
          <t>8.4折</t>
        </is>
      </c>
      <c r="F722">
        <f>HYPERLINK("https://i0.hdslb.com/bfs/mall/mall/13/92/13922ff9d9aba6237baa8b9e9b8b9161.png", "点击查看图片")</f>
        <v/>
      </c>
      <c r="G722">
        <f>HYPERLINK("https://mall.bilibili.com/neul-next/index.html?page=magic-market_detail&amp;noTitleBar=1&amp;itemsId=109858142545&amp;from=market_index", "点击打开")</f>
        <v/>
      </c>
    </row>
    <row r="723">
      <c r="A723" t="inlineStr">
        <is>
          <t>HobbyJAPAN Fate/Grand Order 红阎魔 手办</t>
        </is>
      </c>
      <c r="B723" t="inlineStr">
        <is>
          <t>998.00元</t>
        </is>
      </c>
      <c r="C723" t="inlineStr">
        <is>
          <t>1530.00元</t>
        </is>
      </c>
      <c r="D723" t="inlineStr">
        <is>
          <t>532.00元</t>
        </is>
      </c>
      <c r="E723" t="inlineStr">
        <is>
          <t>6.5折</t>
        </is>
      </c>
      <c r="F723">
        <f>HYPERLINK("https://i0.hdslb.com/bfs/mall/mall/80/89/8089b074bdf63ac51f1e1187bfd5b859.png", "点击查看图片")</f>
        <v/>
      </c>
      <c r="G723">
        <f>HYPERLINK("https://mall.bilibili.com/neul-next/index.html?page=magic-market_detail&amp;noTitleBar=1&amp;itemsId=111918185933&amp;from=market_index", "点击打开")</f>
        <v/>
      </c>
    </row>
    <row r="724">
      <c r="A724" t="inlineStr">
        <is>
          <t>王者荣耀 孙尚香 蔷薇恋人 Q版手办</t>
        </is>
      </c>
      <c r="B724" t="inlineStr">
        <is>
          <t>219.00元</t>
        </is>
      </c>
      <c r="C724" t="inlineStr">
        <is>
          <t>278.00元</t>
        </is>
      </c>
      <c r="D724" t="inlineStr">
        <is>
          <t>59.00元</t>
        </is>
      </c>
      <c r="E724" t="inlineStr">
        <is>
          <t>7.9折</t>
        </is>
      </c>
      <c r="F724">
        <f>HYPERLINK("https://i0.hdslb.com/bfs/mall/mall/a9/77/a977e7d3ef2899f38cdfa4b887a248e9.png", "点击查看图片")</f>
        <v/>
      </c>
      <c r="G724">
        <f>HYPERLINK("https://mall.bilibili.com/neul-next/index.html?page=magic-market_detail&amp;noTitleBar=1&amp;itemsId=111903710690&amp;from=market_index", "点击打开")</f>
        <v/>
      </c>
    </row>
    <row r="725">
      <c r="A725" t="inlineStr">
        <is>
          <t>Union Creative 白 手办</t>
        </is>
      </c>
      <c r="B725" t="inlineStr">
        <is>
          <t>458.00元</t>
        </is>
      </c>
      <c r="C725" t="inlineStr">
        <is>
          <t>669.00元</t>
        </is>
      </c>
      <c r="D725" t="inlineStr">
        <is>
          <t>211.00元</t>
        </is>
      </c>
      <c r="E725" t="inlineStr">
        <is>
          <t>6.8折</t>
        </is>
      </c>
      <c r="F725">
        <f>HYPERLINK("https://i0.hdslb.com/bfs/mall/mall/61/ed/61edcd05c3d6950106e0d50364ffe6f5.png", "点击查看图片")</f>
        <v/>
      </c>
      <c r="G725">
        <f>HYPERLINK("https://mall.bilibili.com/neul-next/index.html?page=magic-market_detail&amp;noTitleBar=1&amp;itemsId=111912670797&amp;from=market_index", "点击打开")</f>
        <v/>
      </c>
    </row>
    <row r="726">
      <c r="A726" t="inlineStr">
        <is>
          <t xml:space="preserve"> F:NEX 2233  BML2021ver. 手办</t>
        </is>
      </c>
      <c r="B726" t="inlineStr">
        <is>
          <t>1588.00元</t>
        </is>
      </c>
      <c r="C726" t="inlineStr">
        <is>
          <t>2188.00元</t>
        </is>
      </c>
      <c r="D726" t="inlineStr">
        <is>
          <t>600.00元</t>
        </is>
      </c>
      <c r="E726" t="inlineStr">
        <is>
          <t>7.3折</t>
        </is>
      </c>
      <c r="F726">
        <f>HYPERLINK("https://i0.hdslb.com/bfs/mall/mall/ca/25/ca2516510f455b520c10010cafb231e8.png", "点击查看图片")</f>
        <v/>
      </c>
      <c r="G726">
        <f>HYPERLINK("https://mall.bilibili.com/neul-next/index.html?page=magic-market_detail&amp;noTitleBar=1&amp;itemsId=110466673160&amp;from=market_index", "点击打开")</f>
        <v/>
      </c>
    </row>
    <row r="727">
      <c r="A727" t="inlineStr">
        <is>
          <t>PROOF 五等分的新娘 中野三玖 天使ver. 1/7手办</t>
        </is>
      </c>
      <c r="B727" t="inlineStr">
        <is>
          <t>968.00元</t>
        </is>
      </c>
      <c r="C727" t="inlineStr">
        <is>
          <t>1250.00元</t>
        </is>
      </c>
      <c r="D727" t="inlineStr">
        <is>
          <t>282.00元</t>
        </is>
      </c>
      <c r="E727" t="inlineStr">
        <is>
          <t>7.7折</t>
        </is>
      </c>
      <c r="F727">
        <f>HYPERLINK("https://i0.hdslb.com/bfs/mall/mall/5d/eb/5deb6ff19a17c079ee015b9fda1151db.png", "点击查看图片")</f>
        <v/>
      </c>
      <c r="G727">
        <f>HYPERLINK("https://mall.bilibili.com/neul-next/index.html?page=magic-market_detail&amp;noTitleBar=1&amp;itemsId=111915193424&amp;from=market_index", "点击打开")</f>
        <v/>
      </c>
    </row>
    <row r="728">
      <c r="A728" t="inlineStr">
        <is>
          <t>FREEing 早乙女芽亚里 兔女郎Ver. 正比手办</t>
        </is>
      </c>
      <c r="B728" t="inlineStr">
        <is>
          <t>2099.00元</t>
        </is>
      </c>
      <c r="C728" t="inlineStr">
        <is>
          <t>2609.00元</t>
        </is>
      </c>
      <c r="D728" t="inlineStr">
        <is>
          <t>510.00元</t>
        </is>
      </c>
      <c r="E728" t="inlineStr">
        <is>
          <t>8.0折</t>
        </is>
      </c>
      <c r="F728">
        <f>HYPERLINK("https://i0.hdslb.com/bfs/mall/mall/2b/3d/2b3d22f78e568ac317b8575abc30f1c1.png", "点击查看图片")</f>
        <v/>
      </c>
      <c r="G728">
        <f>HYPERLINK("https://mall.bilibili.com/neul-next/index.html?page=magic-market_detail&amp;noTitleBar=1&amp;itemsId=111917381390&amp;from=market_index", "点击打开")</f>
        <v/>
      </c>
    </row>
    <row r="729">
      <c r="A729" t="inlineStr">
        <is>
          <t>Union Creative 艾露娜 泳装 Ver. 手办</t>
        </is>
      </c>
      <c r="B729" t="inlineStr">
        <is>
          <t>338.60元</t>
        </is>
      </c>
      <c r="C729" t="inlineStr">
        <is>
          <t>795.00元</t>
        </is>
      </c>
      <c r="D729" t="inlineStr">
        <is>
          <t>456.40元</t>
        </is>
      </c>
      <c r="E729" t="inlineStr">
        <is>
          <t>4.3折</t>
        </is>
      </c>
      <c r="F729">
        <f>HYPERLINK("https://i0.hdslb.com/bfs/mall/mall/80/cc/80cc0db6c2367e143394d200535ffcda.png", "点击查看图片")</f>
        <v/>
      </c>
      <c r="G729">
        <f>HYPERLINK("https://mall.bilibili.com/neul-next/index.html?page=magic-market_detail&amp;noTitleBar=1&amp;itemsId=111919011688&amp;from=market_index", "点击打开")</f>
        <v/>
      </c>
    </row>
    <row r="730">
      <c r="A730" t="inlineStr">
        <is>
          <t>HEALING 安妮莉娅  手办</t>
        </is>
      </c>
      <c r="B730" t="inlineStr">
        <is>
          <t>450.00元</t>
        </is>
      </c>
      <c r="C730" t="inlineStr">
        <is>
          <t>588.00元</t>
        </is>
      </c>
      <c r="D730" t="inlineStr">
        <is>
          <t>138.00元</t>
        </is>
      </c>
      <c r="E730" t="inlineStr">
        <is>
          <t>7.7折</t>
        </is>
      </c>
      <c r="F730">
        <f>HYPERLINK("https://i0.hdslb.com/bfs/mall/mall/25/7f/257f6a5466b9e526fcbf9da8ca76e171.png", "点击查看图片")</f>
        <v/>
      </c>
      <c r="G730">
        <f>HYPERLINK("https://mall.bilibili.com/neul-next/index.html?page=magic-market_detail&amp;noTitleBar=1&amp;itemsId=111911715582&amp;from=market_index", "点击打开")</f>
        <v/>
      </c>
    </row>
    <row r="731">
      <c r="A731" t="inlineStr">
        <is>
          <t>海洋堂 新宇侠 可动手办</t>
        </is>
      </c>
      <c r="B731" t="inlineStr">
        <is>
          <t>398.99元</t>
        </is>
      </c>
      <c r="C731" t="inlineStr">
        <is>
          <t>479.00元</t>
        </is>
      </c>
      <c r="D731" t="inlineStr">
        <is>
          <t>80.01元</t>
        </is>
      </c>
      <c r="E731" t="inlineStr">
        <is>
          <t>8.3折</t>
        </is>
      </c>
      <c r="F731">
        <f>HYPERLINK("https://i0.hdslb.com/bfs/mall/mall/36/8e/368eede695d1d51f256d833fc1ac9426.png", "点击查看图片")</f>
        <v/>
      </c>
      <c r="G731">
        <f>HYPERLINK("https://mall.bilibili.com/neul-next/index.html?page=magic-market_detail&amp;noTitleBar=1&amp;itemsId=111906820071&amp;from=market_index", "点击打开")</f>
        <v/>
      </c>
    </row>
    <row r="732">
      <c r="A732" t="inlineStr">
        <is>
          <t>AMAKUNI 莱莎琳·斯托特  泳装Ver. 手办</t>
        </is>
      </c>
      <c r="B732" t="inlineStr">
        <is>
          <t>1429.00元</t>
        </is>
      </c>
      <c r="C732" t="inlineStr">
        <is>
          <t>1759.00元</t>
        </is>
      </c>
      <c r="D732" t="inlineStr">
        <is>
          <t>330.00元</t>
        </is>
      </c>
      <c r="E732" t="inlineStr">
        <is>
          <t>8.1折</t>
        </is>
      </c>
      <c r="F732">
        <f>HYPERLINK("https://i0.hdslb.com/bfs/mall/mall/b7/01/b7013cde2bf3ab2f1ce119c06b647b17.png", "点击查看图片")</f>
        <v/>
      </c>
      <c r="G732">
        <f>HYPERLINK("https://mall.bilibili.com/neul-next/index.html?page=magic-market_detail&amp;noTitleBar=1&amp;itemsId=111911910162&amp;from=market_index", "点击打开")</f>
        <v/>
      </c>
    </row>
    <row r="733">
      <c r="A733" t="inlineStr">
        <is>
          <t>寿屋 精灵宝可梦 小春 with 呆火鳄 手办</t>
        </is>
      </c>
      <c r="B733" t="inlineStr">
        <is>
          <t>488.00元</t>
        </is>
      </c>
      <c r="C733" t="inlineStr">
        <is>
          <t>651.00元</t>
        </is>
      </c>
      <c r="D733" t="inlineStr">
        <is>
          <t>163.00元</t>
        </is>
      </c>
      <c r="E733" t="inlineStr">
        <is>
          <t>7.5折</t>
        </is>
      </c>
      <c r="F733">
        <f>HYPERLINK("https://i0.hdslb.com/bfs/mall/mall/b3/57/b35739b8f7bdc632b09f62e5a5626092.png", "点击查看图片")</f>
        <v/>
      </c>
      <c r="G733">
        <f>HYPERLINK("https://mall.bilibili.com/neul-next/index.html?page=magic-market_detail&amp;noTitleBar=1&amp;itemsId=109811980677&amp;from=market_index", "点击打开")</f>
        <v/>
      </c>
    </row>
    <row r="734">
      <c r="A734" t="inlineStr">
        <is>
          <t>WINGSinc. 丽芙 流光ver. 手办</t>
        </is>
      </c>
      <c r="B734" t="inlineStr">
        <is>
          <t>618.00元</t>
        </is>
      </c>
      <c r="C734" t="inlineStr">
        <is>
          <t>799.00元</t>
        </is>
      </c>
      <c r="D734" t="inlineStr">
        <is>
          <t>181.00元</t>
        </is>
      </c>
      <c r="E734" t="inlineStr">
        <is>
          <t>7.7折</t>
        </is>
      </c>
      <c r="F734">
        <f>HYPERLINK("https://i0.hdslb.com/bfs/mall/mall/0c/4d/0c4d090ae53b775160cc3eaa31e49481.png", "点击查看图片")</f>
        <v/>
      </c>
      <c r="G734">
        <f>HYPERLINK("https://mall.bilibili.com/neul-next/index.html?page=magic-market_detail&amp;noTitleBar=1&amp;itemsId=111910451669&amp;from=market_index", "点击打开")</f>
        <v/>
      </c>
    </row>
    <row r="735">
      <c r="A735" t="inlineStr">
        <is>
          <t>GSAS 轻井泽惠 和服Ver. 手办</t>
        </is>
      </c>
      <c r="B735" t="inlineStr">
        <is>
          <t>599.00元</t>
        </is>
      </c>
      <c r="C735" t="inlineStr">
        <is>
          <t>849.00元</t>
        </is>
      </c>
      <c r="D735" t="inlineStr">
        <is>
          <t>250.00元</t>
        </is>
      </c>
      <c r="E735" t="inlineStr">
        <is>
          <t>7.1折</t>
        </is>
      </c>
      <c r="F735">
        <f>HYPERLINK("https://i0.hdslb.com/bfs/mall/mall/da/b9/dab96b8a13f71e44fa22c899c2a770c0.png", "点击查看图片")</f>
        <v/>
      </c>
      <c r="G735">
        <f>HYPERLINK("https://mall.bilibili.com/neul-next/index.html?page=magic-market_detail&amp;noTitleBar=1&amp;itemsId=109874514203&amp;from=market_index", "点击打开")</f>
        <v/>
      </c>
    </row>
    <row r="736">
      <c r="A736" t="inlineStr">
        <is>
          <t>GSAS 雅儿贝德 性感睡裙Ver.  手办</t>
        </is>
      </c>
      <c r="B736" t="inlineStr">
        <is>
          <t>759.00元</t>
        </is>
      </c>
      <c r="C736" t="inlineStr">
        <is>
          <t>989.00元</t>
        </is>
      </c>
      <c r="D736" t="inlineStr">
        <is>
          <t>230.00元</t>
        </is>
      </c>
      <c r="E736" t="inlineStr">
        <is>
          <t>7.7折</t>
        </is>
      </c>
      <c r="F736">
        <f>HYPERLINK("https://i0.hdslb.com/bfs/mall/mall/84/af/84afccab60d8973dec5f80cc2f9e6aed.png", "点击查看图片")</f>
        <v/>
      </c>
      <c r="G736">
        <f>HYPERLINK("https://mall.bilibili.com/neul-next/index.html?page=magic-market_detail&amp;noTitleBar=1&amp;itemsId=111913924689&amp;from=market_index", "点击打开")</f>
        <v/>
      </c>
    </row>
    <row r="737">
      <c r="A737" t="inlineStr">
        <is>
          <t>AMAKUNI 梦幻之星Online2 珍妮 Summer Vacation ver. 手办 再版</t>
        </is>
      </c>
      <c r="B737" t="inlineStr">
        <is>
          <t>775.00元</t>
        </is>
      </c>
      <c r="C737" t="inlineStr">
        <is>
          <t>975.00元</t>
        </is>
      </c>
      <c r="D737" t="inlineStr">
        <is>
          <t>200.00元</t>
        </is>
      </c>
      <c r="E737" t="inlineStr">
        <is>
          <t>7.9折</t>
        </is>
      </c>
      <c r="F737">
        <f>HYPERLINK("https://i0.hdslb.com/bfs/mall/mall/03/80/03805e52f57b7fa61b108246a7ef3b4f.png", "点击查看图片")</f>
        <v/>
      </c>
      <c r="G737">
        <f>HYPERLINK("https://mall.bilibili.com/neul-next/index.html?page=magic-market_detail&amp;noTitleBar=1&amp;itemsId=111908969467&amp;from=market_index", "点击打开")</f>
        <v/>
      </c>
    </row>
    <row r="738">
      <c r="A738" t="inlineStr">
        <is>
          <t>GSC 十六夜野宫 Q版手办</t>
        </is>
      </c>
      <c r="B738" t="inlineStr">
        <is>
          <t>225.00元</t>
        </is>
      </c>
      <c r="C738" t="inlineStr">
        <is>
          <t>325.00元</t>
        </is>
      </c>
      <c r="D738" t="inlineStr">
        <is>
          <t>100.00元</t>
        </is>
      </c>
      <c r="E738" t="inlineStr">
        <is>
          <t>6.9折</t>
        </is>
      </c>
      <c r="F738">
        <f>HYPERLINK("https://i0.hdslb.com/bfs/mall/mall/20/e9/20e9fd5bc0477aec9f94f82c45b635a3.png", "点击查看图片")</f>
        <v/>
      </c>
      <c r="G738">
        <f>HYPERLINK("https://mall.bilibili.com/neul-next/index.html?page=magic-market_detail&amp;noTitleBar=1&amp;itemsId=111918470421&amp;from=market_index", "点击打开")</f>
        <v/>
      </c>
    </row>
    <row r="739">
      <c r="A739" t="inlineStr">
        <is>
          <t>TAITO 雷姆 猫耳女仆Ver. 景品手办</t>
        </is>
      </c>
      <c r="B739" t="inlineStr">
        <is>
          <t>112.00元</t>
        </is>
      </c>
      <c r="C739" t="inlineStr">
        <is>
          <t>112.00元</t>
        </is>
      </c>
      <c r="D739" t="inlineStr">
        <is>
          <t>0.00元</t>
        </is>
      </c>
      <c r="E739" t="inlineStr">
        <is>
          <t>10.0折</t>
        </is>
      </c>
      <c r="F739">
        <f>HYPERLINK("https://i0.hdslb.com/bfs/mall/mall/a1/c4/a1c4008e21ac315aa383409a7ae06557.png", "点击查看图片")</f>
        <v/>
      </c>
      <c r="G739">
        <f>HYPERLINK("https://mall.bilibili.com/neul-next/index.html?page=magic-market_detail&amp;noTitleBar=1&amp;itemsId=120668814563&amp;from=market_index", "点击打开")</f>
        <v/>
      </c>
    </row>
    <row r="740">
      <c r="A740" t="inlineStr">
        <is>
          <t>SILVER LINK. 魔法少女☆伊莉雅 伊莉雅斯菲尔 动画化10周年纪念 转身ver. 1/7手办</t>
        </is>
      </c>
      <c r="B740" t="inlineStr">
        <is>
          <t>733.33元</t>
        </is>
      </c>
      <c r="C740" t="inlineStr">
        <is>
          <t>999.00元</t>
        </is>
      </c>
      <c r="D740" t="inlineStr">
        <is>
          <t>265.67元</t>
        </is>
      </c>
      <c r="E740" t="inlineStr">
        <is>
          <t>7.3折</t>
        </is>
      </c>
      <c r="F740">
        <f>HYPERLINK("https://i0.hdslb.com/bfs/mall/mall/8f/46/8f4616a3287f950090d35f6c285a69cc.png", "点击查看图片")</f>
        <v/>
      </c>
      <c r="G740">
        <f>HYPERLINK("https://mall.bilibili.com/neul-next/index.html?page=magic-market_detail&amp;noTitleBar=1&amp;itemsId=109816899302&amp;from=market_index", "点击打开")</f>
        <v/>
      </c>
    </row>
    <row r="741">
      <c r="A741" t="inlineStr">
        <is>
          <t>万代 HG RX-78-2元祖高达 金属光泽注塑Ver. 拼装模型</t>
        </is>
      </c>
      <c r="B741" t="inlineStr">
        <is>
          <t>250.34元</t>
        </is>
      </c>
      <c r="C741" t="inlineStr">
        <is>
          <t>259.00元</t>
        </is>
      </c>
      <c r="D741" t="inlineStr">
        <is>
          <t>8.66元</t>
        </is>
      </c>
      <c r="E741" t="inlineStr">
        <is>
          <t>9.7折</t>
        </is>
      </c>
      <c r="F741">
        <f>HYPERLINK("https://i0.hdslb.com/bfs/mall/mall/06/2b/062be4007a4b4e00f7b6219147cdf7bb.png", "点击查看图片")</f>
        <v/>
      </c>
      <c r="G741">
        <f>HYPERLINK("https://mall.bilibili.com/neul-next/index.html?page=magic-market_detail&amp;noTitleBar=1&amp;itemsId=109863597287&amp;from=market_index", "点击打开")</f>
        <v/>
      </c>
    </row>
    <row r="742">
      <c r="A742" t="inlineStr">
        <is>
          <t>TAITO 时崎狂三 刻刻帝 景品手办</t>
        </is>
      </c>
      <c r="B742" t="inlineStr">
        <is>
          <t>254.00元</t>
        </is>
      </c>
      <c r="C742" t="inlineStr">
        <is>
          <t>254.00元</t>
        </is>
      </c>
      <c r="D742" t="inlineStr">
        <is>
          <t>0.00元</t>
        </is>
      </c>
      <c r="E742" t="inlineStr">
        <is>
          <t>10.0折</t>
        </is>
      </c>
      <c r="F742">
        <f>HYPERLINK("https://i0.hdslb.com/bfs/mall/mall/67/a8/67a89d2888f14d3e5d31db5392e35925.png", "点击查看图片")</f>
        <v/>
      </c>
      <c r="G742">
        <f>HYPERLINK("https://mall.bilibili.com/neul-next/index.html?page=magic-market_detail&amp;noTitleBar=1&amp;itemsId=109860624371&amp;from=market_index", "点击打开")</f>
        <v/>
      </c>
    </row>
    <row r="743">
      <c r="A743" t="inlineStr">
        <is>
          <t>GSAS 大道寺知世 手办</t>
        </is>
      </c>
      <c r="B743" t="inlineStr">
        <is>
          <t>199.00元</t>
        </is>
      </c>
      <c r="C743" t="inlineStr">
        <is>
          <t>245.00元</t>
        </is>
      </c>
      <c r="D743" t="inlineStr">
        <is>
          <t>46.00元</t>
        </is>
      </c>
      <c r="E743" t="inlineStr">
        <is>
          <t>8.1折</t>
        </is>
      </c>
      <c r="F743">
        <f>HYPERLINK("https://i0.hdslb.com/bfs/mall/mall/b5/4e/b54edbd6ca62ba62be82cffb41edeca0.png", "点击查看图片")</f>
        <v/>
      </c>
      <c r="G743">
        <f>HYPERLINK("https://mall.bilibili.com/neul-next/index.html?page=magic-market_detail&amp;noTitleBar=1&amp;itemsId=110458666529&amp;from=market_index", "点击打开")</f>
        <v/>
      </c>
    </row>
    <row r="744">
      <c r="A744" t="inlineStr">
        <is>
          <t>Claynel 克洛伊 居家服Ver. 手办</t>
        </is>
      </c>
      <c r="B744" t="inlineStr">
        <is>
          <t>1350.00元</t>
        </is>
      </c>
      <c r="C744" t="inlineStr">
        <is>
          <t>1699.00元</t>
        </is>
      </c>
      <c r="D744" t="inlineStr">
        <is>
          <t>349.00元</t>
        </is>
      </c>
      <c r="E744" t="inlineStr">
        <is>
          <t>7.9折</t>
        </is>
      </c>
      <c r="F744">
        <f>HYPERLINK("https://i0.hdslb.com/bfs/mall/mall/aa/ab/aaab167e9e8fa79c8d2580105246fe92.png", "点击查看图片")</f>
        <v/>
      </c>
      <c r="G744">
        <f>HYPERLINK("https://mall.bilibili.com/neul-next/index.html?page=magic-market_detail&amp;noTitleBar=1&amp;itemsId=111903838298&amp;from=market_index", "点击打开")</f>
        <v/>
      </c>
    </row>
    <row r="745">
      <c r="A745" t="inlineStr">
        <is>
          <t>GOOD SMILE ARTS SHANGHAI 斯洛卡伊 手办</t>
        </is>
      </c>
      <c r="B745" t="inlineStr">
        <is>
          <t>999.00元</t>
        </is>
      </c>
      <c r="C745" t="inlineStr">
        <is>
          <t>1738.00元</t>
        </is>
      </c>
      <c r="D745" t="inlineStr">
        <is>
          <t>739.00元</t>
        </is>
      </c>
      <c r="E745" t="inlineStr">
        <is>
          <t>5.7折</t>
        </is>
      </c>
      <c r="F745">
        <f>HYPERLINK("https://i0.hdslb.com/bfs/mall/mall/81/01/810148a50d2f8ffca7fddf5aa56c01d4.png", "点击查看图片")</f>
        <v/>
      </c>
      <c r="G745">
        <f>HYPERLINK("https://mall.bilibili.com/neul-next/index.html?page=magic-market_detail&amp;noTitleBar=1&amp;itemsId=110464670260&amp;from=market_index", "点击打开")</f>
        <v/>
      </c>
    </row>
    <row r="746">
      <c r="A746" t="inlineStr">
        <is>
          <t>角川  悠悠 原作版 10周年纪念ver. 手办</t>
        </is>
      </c>
      <c r="B746" t="inlineStr">
        <is>
          <t>298.00元</t>
        </is>
      </c>
      <c r="C746" t="inlineStr">
        <is>
          <t>474.00元</t>
        </is>
      </c>
      <c r="D746" t="inlineStr">
        <is>
          <t>176.00元</t>
        </is>
      </c>
      <c r="E746" t="inlineStr">
        <is>
          <t>6.3折</t>
        </is>
      </c>
      <c r="F746">
        <f>HYPERLINK("https://i0.hdslb.com/bfs/mall/mall/7d/63/7d63ffe5e2da449790927a9d5f88c859.png", "点击查看图片")</f>
        <v/>
      </c>
      <c r="G746">
        <f>HYPERLINK("https://mall.bilibili.com/neul-next/index.html?page=magic-market_detail&amp;noTitleBar=1&amp;itemsId=111919511483&amp;from=market_index", "点击打开")</f>
        <v/>
      </c>
    </row>
    <row r="747">
      <c r="A747" t="inlineStr">
        <is>
          <t>Spiritale 喜多川海梦 利兹Ver.手办</t>
        </is>
      </c>
      <c r="B747" t="inlineStr">
        <is>
          <t>948.00元</t>
        </is>
      </c>
      <c r="C747" t="inlineStr">
        <is>
          <t>1465.00元</t>
        </is>
      </c>
      <c r="D747" t="inlineStr">
        <is>
          <t>517.00元</t>
        </is>
      </c>
      <c r="E747" t="inlineStr">
        <is>
          <t>6.5折</t>
        </is>
      </c>
      <c r="F747">
        <f>HYPERLINK("https://i0.hdslb.com/bfs/mall/mall/af/88/af8830e38d207891732de9b6d59e6cf8.png", "点击查看图片")</f>
        <v/>
      </c>
      <c r="G747">
        <f>HYPERLINK("https://mall.bilibili.com/neul-next/index.html?page=magic-market_detail&amp;noTitleBar=1&amp;itemsId=120679749633&amp;from=market_index", "点击打开")</f>
        <v/>
      </c>
    </row>
    <row r="748">
      <c r="A748" t="inlineStr">
        <is>
          <t>初音未来 MIKU EXPO 10th Anniversary Ver. Q版手办</t>
        </is>
      </c>
      <c r="B748" t="inlineStr">
        <is>
          <t>400.00元</t>
        </is>
      </c>
      <c r="C748" t="inlineStr">
        <is>
          <t>508.00元</t>
        </is>
      </c>
      <c r="D748" t="inlineStr">
        <is>
          <t>108.00元</t>
        </is>
      </c>
      <c r="E748" t="inlineStr">
        <is>
          <t>7.9折</t>
        </is>
      </c>
      <c r="F748">
        <f>HYPERLINK("https://i0.hdslb.com/bfs/mall/mall/59/63/596300dde887ca743ff0037553c4d5a2.png", "点击查看图片")</f>
        <v/>
      </c>
      <c r="G748">
        <f>HYPERLINK("https://mall.bilibili.com/neul-next/index.html?page=magic-market_detail&amp;noTitleBar=1&amp;itemsId=120674366562&amp;from=market_index", "点击打开")</f>
        <v/>
      </c>
    </row>
    <row r="749">
      <c r="A749" t="inlineStr">
        <is>
          <t>Phat! 白 手办 二次再版</t>
        </is>
      </c>
      <c r="B749" t="inlineStr">
        <is>
          <t>688.00元</t>
        </is>
      </c>
      <c r="C749" t="inlineStr">
        <is>
          <t>935.00元</t>
        </is>
      </c>
      <c r="D749" t="inlineStr">
        <is>
          <t>247.00元</t>
        </is>
      </c>
      <c r="E749" t="inlineStr">
        <is>
          <t>7.4折</t>
        </is>
      </c>
      <c r="F749">
        <f>HYPERLINK("https://i0.hdslb.com/bfs/mall/mall/78/f9/78f9cdbffdc3559ef886f5a725ae1cb5.png", "点击查看图片")</f>
        <v/>
      </c>
      <c r="G749">
        <f>HYPERLINK("https://mall.bilibili.com/neul-next/index.html?page=magic-market_detail&amp;noTitleBar=1&amp;itemsId=109869543221&amp;from=market_index", "点击打开")</f>
        <v/>
      </c>
    </row>
    <row r="750">
      <c r="A750" t="inlineStr">
        <is>
          <t>FuRyu 江户川柯南 手办</t>
        </is>
      </c>
      <c r="B750" t="inlineStr">
        <is>
          <t>209.90元</t>
        </is>
      </c>
      <c r="C750" t="inlineStr">
        <is>
          <t>299.00元</t>
        </is>
      </c>
      <c r="D750" t="inlineStr">
        <is>
          <t>89.10元</t>
        </is>
      </c>
      <c r="E750" t="inlineStr">
        <is>
          <t>7.0折</t>
        </is>
      </c>
      <c r="F750">
        <f>HYPERLINK("https://i0.hdslb.com/bfs/mall/mall/b9/40/b9404dbde5b47fa1b62ad495e3270bc6.png", "点击查看图片")</f>
        <v/>
      </c>
      <c r="G750">
        <f>HYPERLINK("https://mall.bilibili.com/neul-next/index.html?page=magic-market_detail&amp;noTitleBar=1&amp;itemsId=111914380880&amp;from=market_index", "点击打开")</f>
        <v/>
      </c>
    </row>
    <row r="751">
      <c r="A751" t="inlineStr">
        <is>
          <t>GSC 迦摩 Q版手办</t>
        </is>
      </c>
      <c r="B751" t="inlineStr">
        <is>
          <t>339.00元</t>
        </is>
      </c>
      <c r="C751" t="inlineStr">
        <is>
          <t>339.00元</t>
        </is>
      </c>
      <c r="D751" t="inlineStr">
        <is>
          <t>0.00元</t>
        </is>
      </c>
      <c r="E751" t="inlineStr">
        <is>
          <t>10.0折</t>
        </is>
      </c>
      <c r="F751">
        <f>HYPERLINK("https://i0.hdslb.com/bfs/mall/mall/99/42/994258d9365cdd64e9f8fd2f46fbcdf9.png", "点击查看图片")</f>
        <v/>
      </c>
      <c r="G751">
        <f>HYPERLINK("https://mall.bilibili.com/neul-next/index.html?page=magic-market_detail&amp;noTitleBar=1&amp;itemsId=106938827370&amp;from=market_index", "点击打开")</f>
        <v/>
      </c>
    </row>
    <row r="752">
      <c r="A752" t="inlineStr">
        <is>
          <t>ACTOYS 涂山苏苏 手办</t>
        </is>
      </c>
      <c r="B752" t="inlineStr">
        <is>
          <t>420.00元</t>
        </is>
      </c>
      <c r="C752" t="inlineStr">
        <is>
          <t>650.00元</t>
        </is>
      </c>
      <c r="D752" t="inlineStr">
        <is>
          <t>230.00元</t>
        </is>
      </c>
      <c r="E752" t="inlineStr">
        <is>
          <t>6.5折</t>
        </is>
      </c>
      <c r="F752">
        <f>HYPERLINK("https://i0.hdslb.com/bfs/mall/mall/01/51/0151c64f74ff5595457cae881f4733b7.png", "点击查看图片")</f>
        <v/>
      </c>
      <c r="G752">
        <f>HYPERLINK("https://mall.bilibili.com/neul-next/index.html?page=magic-market_detail&amp;noTitleBar=1&amp;itemsId=110469398615&amp;from=market_index", "点击打开")</f>
        <v/>
      </c>
    </row>
    <row r="753">
      <c r="A753" t="inlineStr">
        <is>
          <t>TAITO 中野三玖 猫咪居家服Ver. 景品手办</t>
        </is>
      </c>
      <c r="B753" t="inlineStr">
        <is>
          <t>113.99元</t>
        </is>
      </c>
      <c r="C753" t="inlineStr">
        <is>
          <t>129.00元</t>
        </is>
      </c>
      <c r="D753" t="inlineStr">
        <is>
          <t>15.01元</t>
        </is>
      </c>
      <c r="E753" t="inlineStr">
        <is>
          <t>8.8折</t>
        </is>
      </c>
      <c r="F753">
        <f>HYPERLINK("https://i0.hdslb.com/bfs/mall/mall/42/fb/42fb38e889975f12f58ccfe9f74b3aa3.png", "点击查看图片")</f>
        <v/>
      </c>
      <c r="G753">
        <f>HYPERLINK("https://mall.bilibili.com/neul-next/index.html?page=magic-market_detail&amp;noTitleBar=1&amp;itemsId=111914226627&amp;from=market_index", "点击打开")</f>
        <v/>
      </c>
    </row>
    <row r="754">
      <c r="A754" t="inlineStr">
        <is>
          <t>GOOD SMILE COMPANY 泽村·斯潘塞·英梨梨 手办</t>
        </is>
      </c>
      <c r="B754" t="inlineStr">
        <is>
          <t>718.00元</t>
        </is>
      </c>
      <c r="C754" t="inlineStr">
        <is>
          <t>939.00元</t>
        </is>
      </c>
      <c r="D754" t="inlineStr">
        <is>
          <t>221.00元</t>
        </is>
      </c>
      <c r="E754" t="inlineStr">
        <is>
          <t>7.6折</t>
        </is>
      </c>
      <c r="F754">
        <f>HYPERLINK("https://i0.hdslb.com/bfs/mall/mall/5c/08/5c08c91ac15ed325bc1b839cba66b8bd.png", "点击查看图片")</f>
        <v/>
      </c>
      <c r="G754">
        <f>HYPERLINK("https://mall.bilibili.com/neul-next/index.html?page=magic-market_detail&amp;noTitleBar=1&amp;itemsId=110476808851&amp;from=market_index", "点击打开")</f>
        <v/>
      </c>
    </row>
    <row r="755">
      <c r="A755" t="inlineStr">
        <is>
          <t>APEX 露西亚 朱云流霭Ver. 手办</t>
        </is>
      </c>
      <c r="B755" t="inlineStr">
        <is>
          <t>612.93元</t>
        </is>
      </c>
      <c r="C755" t="inlineStr">
        <is>
          <t>936.00元</t>
        </is>
      </c>
      <c r="D755" t="inlineStr">
        <is>
          <t>323.07元</t>
        </is>
      </c>
      <c r="E755" t="inlineStr">
        <is>
          <t>6.5折</t>
        </is>
      </c>
      <c r="F755">
        <f>HYPERLINK("https://i0.hdslb.com/bfs/mall/mall/cc/15/cc15cb0510a1da5442f2104e1ed91e16.png", "点击查看图片")</f>
        <v/>
      </c>
      <c r="G755">
        <f>HYPERLINK("https://mall.bilibili.com/neul-next/index.html?page=magic-market_detail&amp;noTitleBar=1&amp;itemsId=111912030791&amp;from=market_index", "点击打开")</f>
        <v/>
      </c>
    </row>
    <row r="756">
      <c r="A756" t="inlineStr">
        <is>
          <t xml:space="preserve"> F:NEX 阿波连玲奈 手办</t>
        </is>
      </c>
      <c r="B756" t="inlineStr">
        <is>
          <t>518.99元</t>
        </is>
      </c>
      <c r="C756" t="inlineStr">
        <is>
          <t>629.00元</t>
        </is>
      </c>
      <c r="D756" t="inlineStr">
        <is>
          <t>110.01元</t>
        </is>
      </c>
      <c r="E756" t="inlineStr">
        <is>
          <t>8.3折</t>
        </is>
      </c>
      <c r="F756">
        <f>HYPERLINK("https://i0.hdslb.com/bfs/mall/mall/0c/69/0c6931c9639ee98db0bfe4cd89a12dc7.png", "点击查看图片")</f>
        <v/>
      </c>
      <c r="G756">
        <f>HYPERLINK("https://mall.bilibili.com/neul-next/index.html?page=magic-market_detail&amp;noTitleBar=1&amp;itemsId=111915104808&amp;from=market_index", "点击打开")</f>
        <v/>
      </c>
    </row>
    <row r="757">
      <c r="A757" t="inlineStr">
        <is>
          <t>WAVE 偶像大师 闪耀色彩 福丸小糸 晴日的咖啡店ver. 手办</t>
        </is>
      </c>
      <c r="B757" t="inlineStr">
        <is>
          <t>560.00元</t>
        </is>
      </c>
      <c r="C757" t="inlineStr">
        <is>
          <t>950.00元</t>
        </is>
      </c>
      <c r="D757" t="inlineStr">
        <is>
          <t>390.00元</t>
        </is>
      </c>
      <c r="E757" t="inlineStr">
        <is>
          <t>5.9折</t>
        </is>
      </c>
      <c r="F757">
        <f>HYPERLINK("https://i0.hdslb.com/bfs/mall/mall/31/ad/31ad499903ee5354df8abf92de75a288.png", "点击查看图片")</f>
        <v/>
      </c>
      <c r="G757">
        <f>HYPERLINK("https://mall.bilibili.com/neul-next/index.html?page=magic-market_detail&amp;noTitleBar=1&amp;itemsId=111914013373&amp;from=market_index", "点击打开")</f>
        <v/>
      </c>
    </row>
    <row r="758">
      <c r="A758" t="inlineStr">
        <is>
          <t>AMAKUNI M4 SOPMODⅡ 手办</t>
        </is>
      </c>
      <c r="B758" t="inlineStr">
        <is>
          <t>839.00元</t>
        </is>
      </c>
      <c r="C758" t="inlineStr">
        <is>
          <t>1350.00元</t>
        </is>
      </c>
      <c r="D758" t="inlineStr">
        <is>
          <t>511.00元</t>
        </is>
      </c>
      <c r="E758" t="inlineStr">
        <is>
          <t>6.2折</t>
        </is>
      </c>
      <c r="F758">
        <f>HYPERLINK("https://i0.hdslb.com/bfs/mall/mall/18/67/18679ac7cb02f51ccb8e500b08a01f67.png", "点击查看图片")</f>
        <v/>
      </c>
      <c r="G758">
        <f>HYPERLINK("https://mall.bilibili.com/neul-next/index.html?page=magic-market_detail&amp;noTitleBar=1&amp;itemsId=111915002820&amp;from=market_index", "点击打开")</f>
        <v/>
      </c>
    </row>
    <row r="759">
      <c r="A759" t="inlineStr">
        <is>
          <t>世嘉 喜多郁代 景品手办</t>
        </is>
      </c>
      <c r="B759" t="inlineStr">
        <is>
          <t>115.00元</t>
        </is>
      </c>
      <c r="C759" t="inlineStr">
        <is>
          <t>224.00元</t>
        </is>
      </c>
      <c r="D759" t="inlineStr">
        <is>
          <t>109.00元</t>
        </is>
      </c>
      <c r="E759" t="inlineStr">
        <is>
          <t>5.1折</t>
        </is>
      </c>
      <c r="F759">
        <f>HYPERLINK("https://i0.hdslb.com/bfs/mall/mall/8d/d6/8dd6e8c0b9d904c0ae3b4ade1c9062e2.png", "点击查看图片")</f>
        <v/>
      </c>
      <c r="G759">
        <f>HYPERLINK("https://mall.bilibili.com/neul-next/index.html?page=magic-market_detail&amp;noTitleBar=1&amp;itemsId=109855841030&amp;from=market_index", "点击打开")</f>
        <v/>
      </c>
    </row>
    <row r="760">
      <c r="A760" t="inlineStr">
        <is>
          <t>KADOKAWA 艾莉莎 Q版手办</t>
        </is>
      </c>
      <c r="B760" t="inlineStr">
        <is>
          <t>288.00元</t>
        </is>
      </c>
      <c r="C760" t="inlineStr">
        <is>
          <t>349.00元</t>
        </is>
      </c>
      <c r="D760" t="inlineStr">
        <is>
          <t>61.00元</t>
        </is>
      </c>
      <c r="E760" t="inlineStr">
        <is>
          <t>8.3折</t>
        </is>
      </c>
      <c r="F760">
        <f>HYPERLINK("https://i0.hdslb.com/bfs/mall/mall/0a/71/0a71bb41a68d826dccbcfea1fecf8a02.png", "点击查看图片")</f>
        <v/>
      </c>
      <c r="G760">
        <f>HYPERLINK("https://mall.bilibili.com/neul-next/index.html?page=magic-market_detail&amp;noTitleBar=1&amp;itemsId=111914954728&amp;from=market_index", "点击打开")</f>
        <v/>
      </c>
    </row>
    <row r="761">
      <c r="A761" t="inlineStr">
        <is>
          <t>GSC 亚尔缇娜·奥莱恩 L size 正比手办</t>
        </is>
      </c>
      <c r="B761" t="inlineStr">
        <is>
          <t>215.00元</t>
        </is>
      </c>
      <c r="C761" t="inlineStr">
        <is>
          <t>395.00元</t>
        </is>
      </c>
      <c r="D761" t="inlineStr">
        <is>
          <t>180.00元</t>
        </is>
      </c>
      <c r="E761" t="inlineStr">
        <is>
          <t>5.4折</t>
        </is>
      </c>
      <c r="F761">
        <f>HYPERLINK("https://i0.hdslb.com/bfs/mall/mall/3c/cd/3ccdce77ac8beb0cd522aa2cc036195e.png", "点击查看图片")</f>
        <v/>
      </c>
      <c r="G761">
        <f>HYPERLINK("https://mall.bilibili.com/neul-next/index.html?page=magic-market_detail&amp;noTitleBar=1&amp;itemsId=111918279944&amp;from=market_index", "点击打开")</f>
        <v/>
      </c>
    </row>
    <row r="762">
      <c r="A762" t="inlineStr">
        <is>
          <t>Hobbymax 碇真嗣 Ver. Radio Eva 手办</t>
        </is>
      </c>
      <c r="B762" t="inlineStr">
        <is>
          <t>391.10元</t>
        </is>
      </c>
      <c r="C762" t="inlineStr">
        <is>
          <t>758.00元</t>
        </is>
      </c>
      <c r="D762" t="inlineStr">
        <is>
          <t>366.90元</t>
        </is>
      </c>
      <c r="E762" t="inlineStr">
        <is>
          <t>5.2折</t>
        </is>
      </c>
      <c r="F762">
        <f>HYPERLINK("https://i0.hdslb.com/bfs/mall/mall/60/df/60dfe59e5d22f9380abaa4d717c45ddd.png", "点击查看图片")</f>
        <v/>
      </c>
      <c r="G762">
        <f>HYPERLINK("https://mall.bilibili.com/neul-next/index.html?page=magic-market_detail&amp;noTitleBar=1&amp;itemsId=111918375162&amp;from=market_index", "点击打开")</f>
        <v/>
      </c>
    </row>
    <row r="763">
      <c r="A763" t="inlineStr">
        <is>
          <t>FREEing 玛丽安 手办</t>
        </is>
      </c>
      <c r="B763" t="inlineStr">
        <is>
          <t>1575.00元</t>
        </is>
      </c>
      <c r="C763" t="inlineStr">
        <is>
          <t>2975.00元</t>
        </is>
      </c>
      <c r="D763" t="inlineStr">
        <is>
          <t>1400.00元</t>
        </is>
      </c>
      <c r="E763" t="inlineStr">
        <is>
          <t>5.3折</t>
        </is>
      </c>
      <c r="F763">
        <f>HYPERLINK("https://i0.hdslb.com/bfs/mall/mall/60/91/6091d941c5d021eeb193534689512bfe.png", "点击查看图片")</f>
        <v/>
      </c>
      <c r="G763">
        <f>HYPERLINK("https://mall.bilibili.com/neul-next/index.html?page=magic-market_detail&amp;noTitleBar=1&amp;itemsId=106800911335&amp;from=market_index", "点击打开")</f>
        <v/>
      </c>
    </row>
    <row r="764">
      <c r="A764" t="inlineStr">
        <is>
          <t>宝可梦 月亮伊布 正比手办</t>
        </is>
      </c>
      <c r="B764" t="inlineStr">
        <is>
          <t>338.00元</t>
        </is>
      </c>
      <c r="C764" t="inlineStr">
        <is>
          <t>537.00元</t>
        </is>
      </c>
      <c r="D764" t="inlineStr">
        <is>
          <t>199.00元</t>
        </is>
      </c>
      <c r="E764" t="inlineStr">
        <is>
          <t>6.3折</t>
        </is>
      </c>
      <c r="F764">
        <f>HYPERLINK("https://i0.hdslb.com/bfs/mall/mall/c2/ff/c2ffa61d4261ac662a1fbb11650efa98.png", "点击查看图片")</f>
        <v/>
      </c>
      <c r="G764">
        <f>HYPERLINK("https://mall.bilibili.com/neul-next/index.html?page=magic-market_detail&amp;noTitleBar=1&amp;itemsId=109871624807&amp;from=market_index", "点击打开")</f>
        <v/>
      </c>
    </row>
    <row r="765">
      <c r="A765" t="inlineStr">
        <is>
          <t>SSF Cantabile系列 Liar·Liar 谎言游戏 姬路白雪 手办</t>
        </is>
      </c>
      <c r="B765" t="inlineStr">
        <is>
          <t>245.00元</t>
        </is>
      </c>
      <c r="C765" t="inlineStr">
        <is>
          <t>330.00元</t>
        </is>
      </c>
      <c r="D765" t="inlineStr">
        <is>
          <t>85.00元</t>
        </is>
      </c>
      <c r="E765" t="inlineStr">
        <is>
          <t>7.4折</t>
        </is>
      </c>
      <c r="F765">
        <f>HYPERLINK("https://i0.hdslb.com/bfs/mall/mall/db/ac/dbac39d3b343199175f391f3784caa1a.png", "点击查看图片")</f>
        <v/>
      </c>
      <c r="G765">
        <f>HYPERLINK("https://mall.bilibili.com/neul-next/index.html?page=magic-market_detail&amp;noTitleBar=1&amp;itemsId=106802812535&amp;from=market_index", "点击打开")</f>
        <v/>
      </c>
    </row>
    <row r="766">
      <c r="A766" t="inlineStr">
        <is>
          <t>寿屋 CODE VEIN 噬血代码 Io 手办</t>
        </is>
      </c>
      <c r="B766" t="inlineStr">
        <is>
          <t>610.00元</t>
        </is>
      </c>
      <c r="C766" t="inlineStr">
        <is>
          <t>919.00元</t>
        </is>
      </c>
      <c r="D766" t="inlineStr">
        <is>
          <t>309.00元</t>
        </is>
      </c>
      <c r="E766" t="inlineStr">
        <is>
          <t>6.6折</t>
        </is>
      </c>
      <c r="F766">
        <f>HYPERLINK("https://i0.hdslb.com/bfs/mall/mall/bc/89/bc89eef64926c3356a659789f9922732.png", "点击查看图片")</f>
        <v/>
      </c>
      <c r="G766">
        <f>HYPERLINK("https://mall.bilibili.com/neul-next/index.html?page=magic-market_detail&amp;noTitleBar=1&amp;itemsId=111903836523&amp;from=market_index", "点击打开")</f>
        <v/>
      </c>
    </row>
    <row r="767">
      <c r="A767" t="inlineStr">
        <is>
          <t>FREEing SABER/阿尔托莉雅[Alter] 正比手办</t>
        </is>
      </c>
      <c r="B767" t="inlineStr">
        <is>
          <t>1997.84元</t>
        </is>
      </c>
      <c r="C767" t="inlineStr">
        <is>
          <t>3815.00元</t>
        </is>
      </c>
      <c r="D767" t="inlineStr">
        <is>
          <t>1817.16元</t>
        </is>
      </c>
      <c r="E767" t="inlineStr">
        <is>
          <t>5.2折</t>
        </is>
      </c>
      <c r="F767">
        <f>HYPERLINK("https://i0.hdslb.com/bfs/mall/mall/fc/c7/fcc7a91921a76ba1726ef30e6208c06d.png", "点击查看图片")</f>
        <v/>
      </c>
      <c r="G767">
        <f>HYPERLINK("https://mall.bilibili.com/neul-next/index.html?page=magic-market_detail&amp;noTitleBar=1&amp;itemsId=111912487327&amp;from=market_index", "点击打开")</f>
        <v/>
      </c>
    </row>
    <row r="768">
      <c r="A768" t="inlineStr">
        <is>
          <t>GSC 爱丽丝 Q版手办</t>
        </is>
      </c>
      <c r="B768" t="inlineStr">
        <is>
          <t>248.00元</t>
        </is>
      </c>
      <c r="C768" t="inlineStr">
        <is>
          <t>355.00元</t>
        </is>
      </c>
      <c r="D768" t="inlineStr">
        <is>
          <t>107.00元</t>
        </is>
      </c>
      <c r="E768" t="inlineStr">
        <is>
          <t>7.0折</t>
        </is>
      </c>
      <c r="F768">
        <f>HYPERLINK("https://i0.hdslb.com/bfs/mall/mall/20/5e/205e72b335eee3555f567c82bd3a9211.png", "点击查看图片")</f>
        <v/>
      </c>
      <c r="G768">
        <f>HYPERLINK("https://mall.bilibili.com/neul-next/index.html?page=magic-market_detail&amp;noTitleBar=1&amp;itemsId=106979270611&amp;from=market_index", "点击打开")</f>
        <v/>
      </c>
    </row>
    <row r="769">
      <c r="A769" t="inlineStr">
        <is>
          <t>角川 为美好的世界献上祝福！ 达克妮斯 原作版 10周年纪念ver. 手办 不含特典</t>
        </is>
      </c>
      <c r="B769" t="inlineStr">
        <is>
          <t>360.00元</t>
        </is>
      </c>
      <c r="C769" t="inlineStr">
        <is>
          <t>579.00元</t>
        </is>
      </c>
      <c r="D769" t="inlineStr">
        <is>
          <t>219.00元</t>
        </is>
      </c>
      <c r="E769" t="inlineStr">
        <is>
          <t>6.2折</t>
        </is>
      </c>
      <c r="F769">
        <f>HYPERLINK("https://i0.hdslb.com/bfs/mall/mall/49/02/4902430e03fcd5fa15e0a28320df44ed.png", "点击查看图片")</f>
        <v/>
      </c>
      <c r="G769">
        <f>HYPERLINK("https://mall.bilibili.com/neul-next/index.html?page=magic-market_detail&amp;noTitleBar=1&amp;itemsId=111912831022&amp;from=market_index", "点击打开")</f>
        <v/>
      </c>
    </row>
    <row r="770">
      <c r="A770" t="inlineStr">
        <is>
          <t>FREEing 小野白菊 正比手办</t>
        </is>
      </c>
      <c r="B770" t="inlineStr">
        <is>
          <t>1992.43元</t>
        </is>
      </c>
      <c r="C770" t="inlineStr">
        <is>
          <t>2545.00元</t>
        </is>
      </c>
      <c r="D770" t="inlineStr">
        <is>
          <t>552.57元</t>
        </is>
      </c>
      <c r="E770" t="inlineStr">
        <is>
          <t>7.8折</t>
        </is>
      </c>
      <c r="F770">
        <f>HYPERLINK("https://i0.hdslb.com/bfs/mall/mall/65/26/65261ba58403af8e9fb3941b2999b2dd.png", "点击查看图片")</f>
        <v/>
      </c>
      <c r="G770">
        <f>HYPERLINK("https://mall.bilibili.com/neul-next/index.html?page=magic-market_detail&amp;noTitleBar=1&amp;itemsId=109857970556&amp;from=market_index", "点击打开")</f>
        <v/>
      </c>
    </row>
    <row r="771">
      <c r="A771" t="inlineStr">
        <is>
          <t>ANIPLEX+ 阿比盖尔·威廉姆斯  英灵祭装ver. 手办</t>
        </is>
      </c>
      <c r="B771" t="inlineStr">
        <is>
          <t>699.00元</t>
        </is>
      </c>
      <c r="C771" t="inlineStr">
        <is>
          <t>1280.00元</t>
        </is>
      </c>
      <c r="D771" t="inlineStr">
        <is>
          <t>581.00元</t>
        </is>
      </c>
      <c r="E771" t="inlineStr">
        <is>
          <t>5.5折</t>
        </is>
      </c>
      <c r="F771">
        <f>HYPERLINK("https://i0.hdslb.com/bfs/mall/mall/82/2e/822ea9f784cb0ef0bce53ff8564750f4.png", "点击查看图片")</f>
        <v/>
      </c>
      <c r="G771">
        <f>HYPERLINK("https://mall.bilibili.com/neul-next/index.html?page=magic-market_detail&amp;noTitleBar=1&amp;itemsId=111913970733&amp;from=market_index", "点击打开")</f>
        <v/>
      </c>
    </row>
    <row r="772">
      <c r="A772" t="inlineStr">
        <is>
          <t>GOLDEN HEAD 碧蓝航线 埃尔斯贝特 错失的高光时刻？ 手办</t>
        </is>
      </c>
      <c r="B772" t="inlineStr">
        <is>
          <t>928.00元</t>
        </is>
      </c>
      <c r="C772" t="inlineStr">
        <is>
          <t>1185.00元</t>
        </is>
      </c>
      <c r="D772" t="inlineStr">
        <is>
          <t>257.00元</t>
        </is>
      </c>
      <c r="E772" t="inlineStr">
        <is>
          <t>7.8折</t>
        </is>
      </c>
      <c r="F772">
        <f>HYPERLINK("https://i0.hdslb.com/bfs/mall/mall/3e/68/3e68277669565a5f3925ea051cab3334.png", "点击查看图片")</f>
        <v/>
      </c>
      <c r="G772">
        <f>HYPERLINK("https://mall.bilibili.com/neul-next/index.html?page=magic-market_detail&amp;noTitleBar=1&amp;itemsId=111906728444&amp;from=market_index", "点击打开")</f>
        <v/>
      </c>
    </row>
    <row r="773">
      <c r="A773" t="inlineStr">
        <is>
          <t>FuRyu 中野二乃 国风公主 景品手办</t>
        </is>
      </c>
      <c r="B773" t="inlineStr">
        <is>
          <t>119.00元</t>
        </is>
      </c>
      <c r="C773" t="inlineStr">
        <is>
          <t>139.00元</t>
        </is>
      </c>
      <c r="D773" t="inlineStr">
        <is>
          <t>20.00元</t>
        </is>
      </c>
      <c r="E773" t="inlineStr">
        <is>
          <t>8.6折</t>
        </is>
      </c>
      <c r="F773">
        <f>HYPERLINK("https://i0.hdslb.com/bfs/mall/mall/d3/a7/d3a7723741430acde107ee6531cba6e5.png", "点击查看图片")</f>
        <v/>
      </c>
      <c r="G773">
        <f>HYPERLINK("https://mall.bilibili.com/neul-next/index.html?page=magic-market_detail&amp;noTitleBar=1&amp;itemsId=109871836333&amp;from=market_index", "点击打开")</f>
        <v/>
      </c>
    </row>
    <row r="774">
      <c r="A774" t="inlineStr">
        <is>
          <t>宝可梦 耿鬼 正比手办</t>
        </is>
      </c>
      <c r="B774" t="inlineStr">
        <is>
          <t>228.00元</t>
        </is>
      </c>
      <c r="C774" t="inlineStr">
        <is>
          <t>338.00元</t>
        </is>
      </c>
      <c r="D774" t="inlineStr">
        <is>
          <t>110.00元</t>
        </is>
      </c>
      <c r="E774" t="inlineStr">
        <is>
          <t>6.7折</t>
        </is>
      </c>
      <c r="F774">
        <f>HYPERLINK("https://i0.hdslb.com/bfs/mall/mall/ae/a3/aea3f1c201886ced308ebd02682537ec.png", "点击查看图片")</f>
        <v/>
      </c>
      <c r="G774">
        <f>HYPERLINK("https://mall.bilibili.com/neul-next/index.html?page=magic-market_detail&amp;noTitleBar=1&amp;itemsId=111911671946&amp;from=market_index", "点击打开")</f>
        <v/>
      </c>
    </row>
    <row r="775">
      <c r="A775" t="inlineStr">
        <is>
          <t>F:NEX Re:从零开始的异世界生活 拉姆 Gothic ver. 手办</t>
        </is>
      </c>
      <c r="B775" t="inlineStr">
        <is>
          <t>991.20元</t>
        </is>
      </c>
      <c r="C775" t="inlineStr">
        <is>
          <t>1550.00元</t>
        </is>
      </c>
      <c r="D775" t="inlineStr">
        <is>
          <t>558.80元</t>
        </is>
      </c>
      <c r="E775" t="inlineStr">
        <is>
          <t>6.4折</t>
        </is>
      </c>
      <c r="F775">
        <f>HYPERLINK("https://i0.hdslb.com/bfs/mall/mall/54/e0/54e0e1c6f9a392283d2528b82440d034.png", "点击查看图片")</f>
        <v/>
      </c>
      <c r="G775">
        <f>HYPERLINK("https://mall.bilibili.com/neul-next/index.html?page=magic-market_detail&amp;noTitleBar=1&amp;itemsId=111905565080&amp;from=market_index", "点击打开")</f>
        <v/>
      </c>
    </row>
    <row r="776">
      <c r="A776" t="inlineStr">
        <is>
          <t>Oriental Forest 少女前线 FX-05 她从雨中来ver. 手办</t>
        </is>
      </c>
      <c r="B776" t="inlineStr">
        <is>
          <t>838.00元</t>
        </is>
      </c>
      <c r="C776" t="inlineStr">
        <is>
          <t>1099.00元</t>
        </is>
      </c>
      <c r="D776" t="inlineStr">
        <is>
          <t>261.00元</t>
        </is>
      </c>
      <c r="E776" t="inlineStr">
        <is>
          <t>7.6折</t>
        </is>
      </c>
      <c r="F776">
        <f>HYPERLINK("https://i0.hdslb.com/bfs/mall/mall/f5/57/f557accc6ce0c04aa169ba4da614181d.png", "点击查看图片")</f>
        <v/>
      </c>
      <c r="G776">
        <f>HYPERLINK("https://mall.bilibili.com/neul-next/index.html?page=magic-market_detail&amp;noTitleBar=1&amp;itemsId=111912220219&amp;from=market_index", "点击打开")</f>
        <v/>
      </c>
    </row>
    <row r="777">
      <c r="A777" t="inlineStr">
        <is>
          <t>Wonderful Works DP-12 熙光寓言Ver. 正比手办</t>
        </is>
      </c>
      <c r="B777" t="inlineStr">
        <is>
          <t>1175.13元</t>
        </is>
      </c>
      <c r="C777" t="inlineStr">
        <is>
          <t>1339.00元</t>
        </is>
      </c>
      <c r="D777" t="inlineStr">
        <is>
          <t>163.87元</t>
        </is>
      </c>
      <c r="E777" t="inlineStr">
        <is>
          <t>8.8折</t>
        </is>
      </c>
      <c r="F777">
        <f>HYPERLINK("https://i0.hdslb.com/bfs/mall/mall/b4/9f/b49f51431782745d5a8a9b8df1463d5e.png", "点击查看图片")</f>
        <v/>
      </c>
      <c r="G777">
        <f>HYPERLINK("https://mall.bilibili.com/neul-next/index.html?page=magic-market_detail&amp;noTitleBar=1&amp;itemsId=109885244701&amp;from=market_index", "点击打开")</f>
        <v/>
      </c>
    </row>
    <row r="778">
      <c r="A778" t="inlineStr">
        <is>
          <t>Otherwhere Stella斯黛拉&amp;Sadie莎蒂 豪华版 手办</t>
        </is>
      </c>
      <c r="B778" t="inlineStr">
        <is>
          <t>1332.25元</t>
        </is>
      </c>
      <c r="C778" t="inlineStr">
        <is>
          <t>1690.00元</t>
        </is>
      </c>
      <c r="D778" t="inlineStr">
        <is>
          <t>357.75元</t>
        </is>
      </c>
      <c r="E778" t="inlineStr">
        <is>
          <t>7.9折</t>
        </is>
      </c>
      <c r="F778">
        <f>HYPERLINK("https://i0.hdslb.com/bfs/mall/mall/f5/01/f501b0b3e3effeea824a420c4999448e.png", "点击查看图片")</f>
        <v/>
      </c>
      <c r="G778">
        <f>HYPERLINK("https://mall.bilibili.com/neul-next/index.html?page=magic-market_detail&amp;noTitleBar=1&amp;itemsId=109883741847&amp;from=market_index", "点击打开")</f>
        <v/>
      </c>
    </row>
    <row r="779">
      <c r="A779" t="inlineStr">
        <is>
          <t>AMAKUNI 梦幻之星Online2 安妮特 Summer Vacation ver. 手办 再版</t>
        </is>
      </c>
      <c r="B779" t="inlineStr">
        <is>
          <t>805.00元</t>
        </is>
      </c>
      <c r="C779" t="inlineStr">
        <is>
          <t>975.00元</t>
        </is>
      </c>
      <c r="D779" t="inlineStr">
        <is>
          <t>170.00元</t>
        </is>
      </c>
      <c r="E779" t="inlineStr">
        <is>
          <t>8.3折</t>
        </is>
      </c>
      <c r="F779">
        <f>HYPERLINK("https://i0.hdslb.com/bfs/mall/mall/fc/79/fc79130d05ae8d0ceef9c50cded7543a.png", "点击查看图片")</f>
        <v/>
      </c>
      <c r="G779">
        <f>HYPERLINK("https://mall.bilibili.com/neul-next/index.html?page=magic-market_detail&amp;noTitleBar=1&amp;itemsId=109864147684&amp;from=market_index", "点击打开")</f>
        <v/>
      </c>
    </row>
    <row r="780">
      <c r="A780" t="inlineStr">
        <is>
          <t>SHIBUYA SCRAMBLE FIGURE 利姆露·特恩佩斯特 手办</t>
        </is>
      </c>
      <c r="B780" t="inlineStr">
        <is>
          <t>1080.00元</t>
        </is>
      </c>
      <c r="C780" t="inlineStr">
        <is>
          <t>1759.00元</t>
        </is>
      </c>
      <c r="D780" t="inlineStr">
        <is>
          <t>679.00元</t>
        </is>
      </c>
      <c r="E780" t="inlineStr">
        <is>
          <t>6.1折</t>
        </is>
      </c>
      <c r="F780">
        <f>HYPERLINK("https://i0.hdslb.com/bfs/mall/mall/75/e0/75e0420837f388ced9862572ce3f5b1b.png", "点击查看图片")</f>
        <v/>
      </c>
      <c r="G780">
        <f>HYPERLINK("https://mall.bilibili.com/neul-next/index.html?page=magic-market_detail&amp;noTitleBar=1&amp;itemsId=109833236652&amp;from=market_index", "点击打开")</f>
        <v/>
      </c>
    </row>
    <row r="781">
      <c r="A781" t="inlineStr">
        <is>
          <t>FREEing 梦梦·贝莉雅·戴比路克 兔女郎Ver. 手办</t>
        </is>
      </c>
      <c r="B781" t="inlineStr">
        <is>
          <t>3500.00元</t>
        </is>
      </c>
      <c r="C781" t="inlineStr">
        <is>
          <t>4579.00元</t>
        </is>
      </c>
      <c r="D781" t="inlineStr">
        <is>
          <t>1079.00元</t>
        </is>
      </c>
      <c r="E781" t="inlineStr">
        <is>
          <t>7.6折</t>
        </is>
      </c>
      <c r="F781">
        <f>HYPERLINK("https://i0.hdslb.com/bfs/mall/mall/d6/96/d69655ce934fa57c988c80fc009282b2.png", "点击查看图片")</f>
        <v/>
      </c>
      <c r="G781">
        <f>HYPERLINK("https://mall.bilibili.com/neul-next/index.html?page=magic-market_detail&amp;noTitleBar=1&amp;itemsId=111915337432&amp;from=market_index", "点击打开")</f>
        <v/>
      </c>
    </row>
    <row r="782">
      <c r="A782" t="inlineStr">
        <is>
          <t>TAITO 娜娜奇&amp;米蒂 景品手办</t>
        </is>
      </c>
      <c r="B782" t="inlineStr">
        <is>
          <t>224.99元</t>
        </is>
      </c>
      <c r="C782" t="inlineStr">
        <is>
          <t>234.00元</t>
        </is>
      </c>
      <c r="D782" t="inlineStr">
        <is>
          <t>9.01元</t>
        </is>
      </c>
      <c r="E782" t="inlineStr">
        <is>
          <t>9.6折</t>
        </is>
      </c>
      <c r="F782">
        <f>HYPERLINK("https://i0.hdslb.com/bfs/mall/mall/d6/c5/d6c5b5d49a8e50cf28d487c55f210dfb.png", "点击查看图片")</f>
        <v/>
      </c>
      <c r="G782">
        <f>HYPERLINK("https://mall.bilibili.com/neul-next/index.html?page=magic-market_detail&amp;noTitleBar=1&amp;itemsId=109858171904&amp;from=market_index", "点击打开")</f>
        <v/>
      </c>
    </row>
    <row r="783">
      <c r="A783" t="inlineStr">
        <is>
          <t>Union Creative 出包王女 结城美柑 护士服ver. 手办</t>
        </is>
      </c>
      <c r="B783" t="inlineStr">
        <is>
          <t>497.92元</t>
        </is>
      </c>
      <c r="C783" t="inlineStr">
        <is>
          <t>750.00元</t>
        </is>
      </c>
      <c r="D783" t="inlineStr">
        <is>
          <t>252.08元</t>
        </is>
      </c>
      <c r="E783" t="inlineStr">
        <is>
          <t>6.6折</t>
        </is>
      </c>
      <c r="F783">
        <f>HYPERLINK("https://i0.hdslb.com/bfs/mall/mall/19/6d/196d6c7ac5a37c6a5e7809ddfb1853f7.png", "点击查看图片")</f>
        <v/>
      </c>
      <c r="G783">
        <f>HYPERLINK("https://mall.bilibili.com/neul-next/index.html?page=magic-market_detail&amp;noTitleBar=1&amp;itemsId=111918130971&amp;from=market_index", "点击打开")</f>
        <v/>
      </c>
    </row>
    <row r="784">
      <c r="A784" t="inlineStr">
        <is>
          <t>Max Factory 达克妮斯 可动手办 再版</t>
        </is>
      </c>
      <c r="B784" t="inlineStr">
        <is>
          <t>388.00元</t>
        </is>
      </c>
      <c r="C784" t="inlineStr">
        <is>
          <t>425.00元</t>
        </is>
      </c>
      <c r="D784" t="inlineStr">
        <is>
          <t>37.00元</t>
        </is>
      </c>
      <c r="E784" t="inlineStr">
        <is>
          <t>9.1折</t>
        </is>
      </c>
      <c r="F784">
        <f>HYPERLINK("https://i0.hdslb.com/bfs/mall/mall/e8/dd/e8ddfa2a2d0cdd8f997d76fc0418ae38.png", "点击查看图片")</f>
        <v/>
      </c>
      <c r="G784">
        <f>HYPERLINK("https://mall.bilibili.com/neul-next/index.html?page=magic-market_detail&amp;noTitleBar=1&amp;itemsId=111920104465&amp;from=market_index", "点击打开")</f>
        <v/>
      </c>
    </row>
    <row r="785">
      <c r="A785" t="inlineStr">
        <is>
          <t>角川 为美好的世界献上祝福！ 阿库娅 原作版 10周年纪念ver. 手办 特装版不含特典</t>
        </is>
      </c>
      <c r="B785" t="inlineStr">
        <is>
          <t>363.75元</t>
        </is>
      </c>
      <c r="C785" t="inlineStr">
        <is>
          <t>579.00元</t>
        </is>
      </c>
      <c r="D785" t="inlineStr">
        <is>
          <t>215.25元</t>
        </is>
      </c>
      <c r="E785" t="inlineStr">
        <is>
          <t>6.3折</t>
        </is>
      </c>
      <c r="F785">
        <f>HYPERLINK("https://i0.hdslb.com/bfs/mall/mall/95/2a/952ad04310d64a01d3b4b46426baf1eb.png", "点击查看图片")</f>
        <v/>
      </c>
      <c r="G785">
        <f>HYPERLINK("https://mall.bilibili.com/neul-next/index.html?page=magic-market_detail&amp;noTitleBar=1&amp;itemsId=109868321174&amp;from=market_index", "点击打开")</f>
        <v/>
      </c>
    </row>
    <row r="786">
      <c r="A786" t="inlineStr">
        <is>
          <t>Alphamax 碧蓝航线 不挠 没干劲的女仆小姐ver. 1/4手办</t>
        </is>
      </c>
      <c r="B786" t="inlineStr">
        <is>
          <t>1518.00元</t>
        </is>
      </c>
      <c r="C786" t="inlineStr">
        <is>
          <t>1720.00元</t>
        </is>
      </c>
      <c r="D786" t="inlineStr">
        <is>
          <t>202.00元</t>
        </is>
      </c>
      <c r="E786" t="inlineStr">
        <is>
          <t>8.8折</t>
        </is>
      </c>
      <c r="F786">
        <f>HYPERLINK("https://i0.hdslb.com/bfs/mall/mall/56/56/565663cf572856a7a66d779ca3f45efa.png", "点击查看图片")</f>
        <v/>
      </c>
      <c r="G786">
        <f>HYPERLINK("https://mall.bilibili.com/neul-next/index.html?page=magic-market_detail&amp;noTitleBar=1&amp;itemsId=110455832645&amp;from=market_index", "点击打开")</f>
        <v/>
      </c>
    </row>
    <row r="787">
      <c r="A787" t="inlineStr">
        <is>
          <t>System Service 伊地知虹夏 景品手办</t>
        </is>
      </c>
      <c r="B787" t="inlineStr">
        <is>
          <t>850.00元</t>
        </is>
      </c>
      <c r="C787" t="inlineStr">
        <is>
          <t>932.00元</t>
        </is>
      </c>
      <c r="D787" t="inlineStr">
        <is>
          <t>82.00元</t>
        </is>
      </c>
      <c r="E787" t="inlineStr">
        <is>
          <t>9.1折</t>
        </is>
      </c>
      <c r="F787">
        <f>HYPERLINK("https://i0.hdslb.com/bfs/mall/mall/a8/b1/a8b1b83c0c4d0cc581a174ef0d548346.png", "点击查看图片")</f>
        <v/>
      </c>
      <c r="G787">
        <f>HYPERLINK("https://mall.bilibili.com/neul-next/index.html?page=magic-market_detail&amp;noTitleBar=1&amp;itemsId=110456800617&amp;from=market_index", "点击打开")</f>
        <v/>
      </c>
    </row>
    <row r="788">
      <c r="A788" t="inlineStr">
        <is>
          <t>ALTER 苏菲的炼金工房～不可思议之书的炼金术士～ 科尔涅莉雅 手办</t>
        </is>
      </c>
      <c r="B788" t="inlineStr">
        <is>
          <t>914.35元</t>
        </is>
      </c>
      <c r="C788" t="inlineStr">
        <is>
          <t>1280.00元</t>
        </is>
      </c>
      <c r="D788" t="inlineStr">
        <is>
          <t>365.65元</t>
        </is>
      </c>
      <c r="E788" t="inlineStr">
        <is>
          <t>7.1折</t>
        </is>
      </c>
      <c r="F788">
        <f>HYPERLINK("https://i0.hdslb.com/bfs/mall/mall/f4/26/f42646762183bd38d2a3c6eb279b697e.png", "点击查看图片")</f>
        <v/>
      </c>
      <c r="G788">
        <f>HYPERLINK("https://mall.bilibili.com/neul-next/index.html?page=magic-market_detail&amp;noTitleBar=1&amp;itemsId=111913135527&amp;from=market_index", "点击打开")</f>
        <v/>
      </c>
    </row>
    <row r="789">
      <c r="A789" t="inlineStr">
        <is>
          <t>DMM Maid Maison 白石透 正比手办</t>
        </is>
      </c>
      <c r="B789" t="inlineStr">
        <is>
          <t>888.00元</t>
        </is>
      </c>
      <c r="C789" t="inlineStr">
        <is>
          <t>1465.00元</t>
        </is>
      </c>
      <c r="D789" t="inlineStr">
        <is>
          <t>577.00元</t>
        </is>
      </c>
      <c r="E789" t="inlineStr">
        <is>
          <t>6.1折</t>
        </is>
      </c>
      <c r="F789">
        <f>HYPERLINK("https://i0.hdslb.com/bfs/mall/mall/fb/40/fb40f9b1de3ac33fec9ec1f04b7abf57.png", "点击查看图片")</f>
        <v/>
      </c>
      <c r="G789">
        <f>HYPERLINK("https://mall.bilibili.com/neul-next/index.html?page=magic-market_detail&amp;noTitleBar=1&amp;itemsId=111913290002&amp;from=market_index", "点击打开")</f>
        <v/>
      </c>
    </row>
    <row r="790">
      <c r="A790" t="inlineStr">
        <is>
          <t>吉徳×F:NEX 物语系列 忍野忍 日本人形 手办</t>
        </is>
      </c>
      <c r="B790" t="inlineStr">
        <is>
          <t>4500.00元</t>
        </is>
      </c>
      <c r="C790" t="inlineStr">
        <is>
          <t>8599.00元</t>
        </is>
      </c>
      <c r="D790" t="inlineStr">
        <is>
          <t>4099.00元</t>
        </is>
      </c>
      <c r="E790" t="inlineStr">
        <is>
          <t>5.2折</t>
        </is>
      </c>
      <c r="F790">
        <f>HYPERLINK("https://i0.hdslb.com/bfs/mall/mall/af/42/af42530ed0888460a285afa02c8423a6.png", "点击查看图片")</f>
        <v/>
      </c>
      <c r="G790">
        <f>HYPERLINK("https://mall.bilibili.com/neul-next/index.html?page=magic-market_detail&amp;noTitleBar=1&amp;itemsId=111920168926&amp;from=market_index", "点击打开")</f>
        <v/>
      </c>
    </row>
    <row r="791">
      <c r="A791" t="inlineStr">
        <is>
          <t>VIVIgnette 希露法 手办</t>
        </is>
      </c>
      <c r="B791" t="inlineStr">
        <is>
          <t>799.00元</t>
        </is>
      </c>
      <c r="C791" t="inlineStr">
        <is>
          <t>960.00元</t>
        </is>
      </c>
      <c r="D791" t="inlineStr">
        <is>
          <t>161.00元</t>
        </is>
      </c>
      <c r="E791" t="inlineStr">
        <is>
          <t>8.3折</t>
        </is>
      </c>
      <c r="F791">
        <f>HYPERLINK("https://i0.hdslb.com/bfs/mall/mall/ca/a8/caa8da33e463068912b7a43730c30a69.png", "点击查看图片")</f>
        <v/>
      </c>
      <c r="G791">
        <f>HYPERLINK("https://mall.bilibili.com/neul-next/index.html?page=magic-market_detail&amp;noTitleBar=1&amp;itemsId=106803885746&amp;from=market_index", "点击打开")</f>
        <v/>
      </c>
    </row>
    <row r="792">
      <c r="A792" t="inlineStr">
        <is>
          <t>角川 Fate/kaleid liner 魔法少女☆伊莉雅 潘多拉 黑色婚纱ver. 手办</t>
        </is>
      </c>
      <c r="B792" t="inlineStr">
        <is>
          <t>700.00元</t>
        </is>
      </c>
      <c r="C792" t="inlineStr">
        <is>
          <t>1445.00元</t>
        </is>
      </c>
      <c r="D792" t="inlineStr">
        <is>
          <t>745.00元</t>
        </is>
      </c>
      <c r="E792" t="inlineStr">
        <is>
          <t>4.8折</t>
        </is>
      </c>
      <c r="F792">
        <f>HYPERLINK("https://i0.hdslb.com/bfs/mall/mall/7d/81/7d8155f7f3b307963845324c2d4fc9c9.png", "点击查看图片")</f>
        <v/>
      </c>
      <c r="G792">
        <f>HYPERLINK("https://mall.bilibili.com/neul-next/index.html?page=magic-market_detail&amp;noTitleBar=1&amp;itemsId=111905965970&amp;from=market_index", "点击打开")</f>
        <v/>
      </c>
    </row>
    <row r="793">
      <c r="A793" t="inlineStr">
        <is>
          <t>Phat! 清少纳言 手办</t>
        </is>
      </c>
      <c r="B793" t="inlineStr">
        <is>
          <t>789.49元</t>
        </is>
      </c>
      <c r="C793" t="inlineStr">
        <is>
          <t>1439.00元</t>
        </is>
      </c>
      <c r="D793" t="inlineStr">
        <is>
          <t>649.51元</t>
        </is>
      </c>
      <c r="E793" t="inlineStr">
        <is>
          <t>5.5折</t>
        </is>
      </c>
      <c r="F793">
        <f>HYPERLINK("https://i0.hdslb.com/bfs/mall/mall/72/80/72801e5edf690c48860389394228daa6.png", "点击查看图片")</f>
        <v/>
      </c>
      <c r="G793">
        <f>HYPERLINK("https://mall.bilibili.com/neul-next/index.html?page=magic-market_detail&amp;noTitleBar=1&amp;itemsId=109870576131&amp;from=market_index", "点击打开")</f>
        <v/>
      </c>
    </row>
    <row r="794">
      <c r="A794" t="inlineStr">
        <is>
          <t>Oriental Forest 碧蓝航线 皇家方舟 纯白的守护者ver. 手办 通常版</t>
        </is>
      </c>
      <c r="B794" t="inlineStr">
        <is>
          <t>1746.45元</t>
        </is>
      </c>
      <c r="C794" t="inlineStr">
        <is>
          <t>2349.00元</t>
        </is>
      </c>
      <c r="D794" t="inlineStr">
        <is>
          <t>602.55元</t>
        </is>
      </c>
      <c r="E794" t="inlineStr">
        <is>
          <t>7.4折</t>
        </is>
      </c>
      <c r="F794">
        <f>HYPERLINK("https://i0.hdslb.com/bfs/mall/mall/65/ba/65ba288d5cfafa6b24b54c1c86c1fe0d.png", "点击查看图片")</f>
        <v/>
      </c>
      <c r="G794">
        <f>HYPERLINK("https://mall.bilibili.com/neul-next/index.html?page=magic-market_detail&amp;noTitleBar=1&amp;itemsId=109885412830&amp;from=market_index", "点击打开")</f>
        <v/>
      </c>
    </row>
    <row r="795">
      <c r="A795" t="inlineStr">
        <is>
          <t>quesQ 酒呑童子 英灵祭装 手办</t>
        </is>
      </c>
      <c r="B795" t="inlineStr">
        <is>
          <t>650.00元</t>
        </is>
      </c>
      <c r="C795" t="inlineStr">
        <is>
          <t>1075.00元</t>
        </is>
      </c>
      <c r="D795" t="inlineStr">
        <is>
          <t>425.00元</t>
        </is>
      </c>
      <c r="E795" t="inlineStr">
        <is>
          <t>6.0折</t>
        </is>
      </c>
      <c r="F795">
        <f>HYPERLINK("https://i0.hdslb.com/bfs/mall/mall/14/ca/14ca3352fc6a0d0ad3cd9b8dce12519b.png", "点击查看图片")</f>
        <v/>
      </c>
      <c r="G795">
        <f>HYPERLINK("https://mall.bilibili.com/neul-next/index.html?page=magic-market_detail&amp;noTitleBar=1&amp;itemsId=111919326946&amp;from=market_index", "点击打开")</f>
        <v/>
      </c>
    </row>
    <row r="796">
      <c r="A796" t="inlineStr">
        <is>
          <t>FREEing 金色之暗 兔女郎Ver. 正比手办</t>
        </is>
      </c>
      <c r="B796" t="inlineStr">
        <is>
          <t>2828.00元</t>
        </is>
      </c>
      <c r="C796" t="inlineStr">
        <is>
          <t>5345.00元</t>
        </is>
      </c>
      <c r="D796" t="inlineStr">
        <is>
          <t>2517.00元</t>
        </is>
      </c>
      <c r="E796" t="inlineStr">
        <is>
          <t>5.3折</t>
        </is>
      </c>
      <c r="F796">
        <f>HYPERLINK("https://i0.hdslb.com/bfs/mall/mall/fd/84/fd84857bdd28fa40ab3b04dd4796207c.png", "点击查看图片")</f>
        <v/>
      </c>
      <c r="G796">
        <f>HYPERLINK("https://mall.bilibili.com/neul-next/index.html?page=magic-market_detail&amp;noTitleBar=1&amp;itemsId=111909865114&amp;from=market_index", "点击打开")</f>
        <v/>
      </c>
    </row>
    <row r="797">
      <c r="A797" t="inlineStr">
        <is>
          <t>FuRyu 伊地知虹夏 咖啡店Ver. 手办</t>
        </is>
      </c>
      <c r="B797" t="inlineStr">
        <is>
          <t>168.14元</t>
        </is>
      </c>
      <c r="C797" t="inlineStr">
        <is>
          <t>289.00元</t>
        </is>
      </c>
      <c r="D797" t="inlineStr">
        <is>
          <t>120.86元</t>
        </is>
      </c>
      <c r="E797" t="inlineStr">
        <is>
          <t>5.8折</t>
        </is>
      </c>
      <c r="F797">
        <f>HYPERLINK("https://i0.hdslb.com/bfs/mall/mall/cf/3e/cf3edc206daf5130fc204eb564617309.png", "点击查看图片")</f>
        <v/>
      </c>
      <c r="G797">
        <f>HYPERLINK("https://mall.bilibili.com/neul-next/index.html?page=magic-market_detail&amp;noTitleBar=1&amp;itemsId=109883498598&amp;from=market_index", "点击打开")</f>
        <v/>
      </c>
    </row>
    <row r="798">
      <c r="A798" t="inlineStr">
        <is>
          <t>海洋堂 废品战士 可动手办</t>
        </is>
      </c>
      <c r="B798" t="inlineStr">
        <is>
          <t>408.00元</t>
        </is>
      </c>
      <c r="C798" t="inlineStr">
        <is>
          <t>499.00元</t>
        </is>
      </c>
      <c r="D798" t="inlineStr">
        <is>
          <t>91.00元</t>
        </is>
      </c>
      <c r="E798" t="inlineStr">
        <is>
          <t>8.2折</t>
        </is>
      </c>
      <c r="F798">
        <f>HYPERLINK("https://i0.hdslb.com/bfs/mall/mall/93/33/9333777e1854659bae3b46caa8e69dcb.png", "点击查看图片")</f>
        <v/>
      </c>
      <c r="G798">
        <f>HYPERLINK("https://mall.bilibili.com/neul-next/index.html?page=magic-market_detail&amp;noTitleBar=1&amp;itemsId=111907594227&amp;from=market_index", "点击打开")</f>
        <v/>
      </c>
    </row>
    <row r="799">
      <c r="A799" t="inlineStr">
        <is>
          <t>FuRyu 初音未来 樱花抹茶巴菲 景品手办</t>
        </is>
      </c>
      <c r="B799" t="inlineStr">
        <is>
          <t>96.99元</t>
        </is>
      </c>
      <c r="C799" t="inlineStr">
        <is>
          <t>129.00元</t>
        </is>
      </c>
      <c r="D799" t="inlineStr">
        <is>
          <t>32.01元</t>
        </is>
      </c>
      <c r="E799" t="inlineStr">
        <is>
          <t>7.5折</t>
        </is>
      </c>
      <c r="F799">
        <f>HYPERLINK("https://i0.hdslb.com/bfs/mall/mall/98/93/98937b8650cdf0d182fd199e4686b9cf.png", "点击查看图片")</f>
        <v/>
      </c>
      <c r="G799">
        <f>HYPERLINK("https://mall.bilibili.com/neul-next/index.html?page=magic-market_detail&amp;noTitleBar=1&amp;itemsId=107095147620&amp;from=market_index", "点击打开")</f>
        <v/>
      </c>
    </row>
    <row r="800">
      <c r="A800" t="inlineStr">
        <is>
          <t>FairyBean 原创 修女兔Rebel 1/4 比例手办 DX版</t>
        </is>
      </c>
      <c r="B800" t="inlineStr">
        <is>
          <t>365.00元</t>
        </is>
      </c>
      <c r="C800" t="inlineStr">
        <is>
          <t>430.00元</t>
        </is>
      </c>
      <c r="D800" t="inlineStr">
        <is>
          <t>65.00元</t>
        </is>
      </c>
      <c r="E800" t="inlineStr">
        <is>
          <t>8.5折</t>
        </is>
      </c>
      <c r="F800">
        <f>HYPERLINK("https://i0.hdslb.com/bfs/mall/mall/76/c0/76c0c6809d45e21ddffb4093d2b02bb4.png", "点击查看图片")</f>
        <v/>
      </c>
      <c r="G800">
        <f>HYPERLINK("https://mall.bilibili.com/neul-next/index.html?page=magic-market_detail&amp;noTitleBar=1&amp;itemsId=109885046970&amp;from=market_index", "点击打开")</f>
        <v/>
      </c>
    </row>
    <row r="801">
      <c r="A801" t="inlineStr">
        <is>
          <t>宝可梦  小智版甲贺忍蛙 小尺寸手办</t>
        </is>
      </c>
      <c r="B801" t="inlineStr">
        <is>
          <t>150.00元</t>
        </is>
      </c>
      <c r="C801" t="inlineStr">
        <is>
          <t>276.00元</t>
        </is>
      </c>
      <c r="D801" t="inlineStr">
        <is>
          <t>126.00元</t>
        </is>
      </c>
      <c r="E801" t="inlineStr">
        <is>
          <t>5.4折</t>
        </is>
      </c>
      <c r="F801">
        <f>HYPERLINK("https://i0.hdslb.com/bfs/mall/mall/be/e1/bee10f2366e4043a7a80d676e00403e3.png", "点击查看图片")</f>
        <v/>
      </c>
      <c r="G801">
        <f>HYPERLINK("https://mall.bilibili.com/neul-next/index.html?page=magic-market_detail&amp;noTitleBar=1&amp;itemsId=110469479632&amp;from=market_index", "点击打开")</f>
        <v/>
      </c>
    </row>
    <row r="802">
      <c r="A802" t="inlineStr">
        <is>
          <t>角川 悠悠 手办</t>
        </is>
      </c>
      <c r="B802" t="inlineStr">
        <is>
          <t>738.00元</t>
        </is>
      </c>
      <c r="C802" t="inlineStr">
        <is>
          <t>1129.00元</t>
        </is>
      </c>
      <c r="D802" t="inlineStr">
        <is>
          <t>391.00元</t>
        </is>
      </c>
      <c r="E802" t="inlineStr">
        <is>
          <t>6.5折</t>
        </is>
      </c>
      <c r="F802">
        <f>HYPERLINK("https://i0.hdslb.com/bfs/mall/mall/c9/7c/c97cd88426f30a226513c4086313319a.png", "点击查看图片")</f>
        <v/>
      </c>
      <c r="G802">
        <f>HYPERLINK("https://mall.bilibili.com/neul-next/index.html?page=magic-market_detail&amp;noTitleBar=1&amp;itemsId=109868509871&amp;from=market_index", "点击打开")</f>
        <v/>
      </c>
    </row>
    <row r="803">
      <c r="A803" t="inlineStr">
        <is>
          <t>游戏印象 千姬手办 正比手办</t>
        </is>
      </c>
      <c r="B803" t="inlineStr">
        <is>
          <t>2020.00元</t>
        </is>
      </c>
      <c r="C803" t="inlineStr">
        <is>
          <t>2680.00元</t>
        </is>
      </c>
      <c r="D803" t="inlineStr">
        <is>
          <t>660.00元</t>
        </is>
      </c>
      <c r="E803" t="inlineStr">
        <is>
          <t>7.5折</t>
        </is>
      </c>
      <c r="F803">
        <f>HYPERLINK("https://i0.hdslb.com/bfs/mall/vendor/65/b2/65b2ffa9530aee366a76b97c04ec1947.png", "点击查看图片")</f>
        <v/>
      </c>
      <c r="G803">
        <f>HYPERLINK("https://mall.bilibili.com/neul-next/index.html?page=magic-market_detail&amp;noTitleBar=1&amp;itemsId=109823568110&amp;from=market_index", "点击打开")</f>
        <v/>
      </c>
    </row>
    <row r="804">
      <c r="A804" t="inlineStr">
        <is>
          <t>APEX PA-15 香槟怪盗 Ver. 手办</t>
        </is>
      </c>
      <c r="B804" t="inlineStr">
        <is>
          <t>529.90元</t>
        </is>
      </c>
      <c r="C804" t="inlineStr">
        <is>
          <t>899.00元</t>
        </is>
      </c>
      <c r="D804" t="inlineStr">
        <is>
          <t>369.10元</t>
        </is>
      </c>
      <c r="E804" t="inlineStr">
        <is>
          <t>5.9折</t>
        </is>
      </c>
      <c r="F804">
        <f>HYPERLINK("https://i0.hdslb.com/bfs/mall/mall/4c/94/4c94ab7537c77183d27b00d4759cd694.png", "点击查看图片")</f>
        <v/>
      </c>
      <c r="G804">
        <f>HYPERLINK("https://mall.bilibili.com/neul-next/index.html?page=magic-market_detail&amp;noTitleBar=1&amp;itemsId=111911081423&amp;from=market_index", "点击打开")</f>
        <v/>
      </c>
    </row>
    <row r="805">
      <c r="A805" t="inlineStr">
        <is>
          <t>ANIPLEX+ 蝴蝶忍 手办</t>
        </is>
      </c>
      <c r="B805" t="inlineStr">
        <is>
          <t>868.00元</t>
        </is>
      </c>
      <c r="C805" t="inlineStr">
        <is>
          <t>1220.00元</t>
        </is>
      </c>
      <c r="D805" t="inlineStr">
        <is>
          <t>352.00元</t>
        </is>
      </c>
      <c r="E805" t="inlineStr">
        <is>
          <t>7.1折</t>
        </is>
      </c>
      <c r="F805">
        <f>HYPERLINK("https://i0.hdslb.com/bfs/mall/mall/2c/c0/2cc0515f947990f8cdf96ea920844db8.png", "点击查看图片")</f>
        <v/>
      </c>
      <c r="G805">
        <f>HYPERLINK("https://mall.bilibili.com/neul-next/index.html?page=magic-market_detail&amp;noTitleBar=1&amp;itemsId=111916439951&amp;from=market_index", "点击打开")</f>
        <v/>
      </c>
    </row>
    <row r="806">
      <c r="A806" t="inlineStr">
        <is>
          <t>Orange Rouge 亥清悠 Q版手办</t>
        </is>
      </c>
      <c r="B806" t="inlineStr">
        <is>
          <t>168.00元</t>
        </is>
      </c>
      <c r="C806" t="inlineStr">
        <is>
          <t>285.00元</t>
        </is>
      </c>
      <c r="D806" t="inlineStr">
        <is>
          <t>117.00元</t>
        </is>
      </c>
      <c r="E806" t="inlineStr">
        <is>
          <t>5.9折</t>
        </is>
      </c>
      <c r="F806">
        <f>HYPERLINK("https://i0.hdslb.com/bfs/mall/mall/6e/10/6e1008155dd4981df34a81e289490b02.png", "点击查看图片")</f>
        <v/>
      </c>
      <c r="G806">
        <f>HYPERLINK("https://mall.bilibili.com/neul-next/index.html?page=magic-market_detail&amp;noTitleBar=1&amp;itemsId=109884612450&amp;from=market_index", "点击打开")</f>
        <v/>
      </c>
    </row>
    <row r="807">
      <c r="A807" t="inlineStr">
        <is>
          <t>FREEing 式守美 兔女郎Ver. 正比手办</t>
        </is>
      </c>
      <c r="B807" t="inlineStr">
        <is>
          <t>2088.00元</t>
        </is>
      </c>
      <c r="C807" t="inlineStr">
        <is>
          <t>2749.00元</t>
        </is>
      </c>
      <c r="D807" t="inlineStr">
        <is>
          <t>661.00元</t>
        </is>
      </c>
      <c r="E807" t="inlineStr">
        <is>
          <t>7.6折</t>
        </is>
      </c>
      <c r="F807">
        <f>HYPERLINK("https://i0.hdslb.com/bfs/mall/mall/24/06/2406b2851abe9c4cbd39dc7cd57e5302.png", "点击查看图片")</f>
        <v/>
      </c>
      <c r="G807">
        <f>HYPERLINK("https://mall.bilibili.com/neul-next/index.html?page=magic-market_detail&amp;noTitleBar=1&amp;itemsId=106841532539&amp;from=market_index", "点击打开")</f>
        <v/>
      </c>
    </row>
    <row r="808">
      <c r="A808" t="inlineStr">
        <is>
          <t>雕星纪 土间埋 泳装Ver. 手办</t>
        </is>
      </c>
      <c r="B808" t="inlineStr">
        <is>
          <t>476.00元</t>
        </is>
      </c>
      <c r="C808" t="inlineStr">
        <is>
          <t>599.00元</t>
        </is>
      </c>
      <c r="D808" t="inlineStr">
        <is>
          <t>123.00元</t>
        </is>
      </c>
      <c r="E808" t="inlineStr">
        <is>
          <t>7.9折</t>
        </is>
      </c>
      <c r="F808">
        <f>HYPERLINK("https://i0.hdslb.com/bfs/mall/mall/8b/a3/8ba30f8820367aa8607601729c8e512d.png", "点击查看图片")</f>
        <v/>
      </c>
      <c r="G808">
        <f>HYPERLINK("https://mall.bilibili.com/neul-next/index.html?page=magic-market_detail&amp;noTitleBar=1&amp;itemsId=107094499656&amp;from=market_index", "点击打开")</f>
        <v/>
      </c>
    </row>
    <row r="809">
      <c r="A809" t="inlineStr">
        <is>
          <t>Nippon Columbia 圣剑学院的魔剑使 咲耶·齐格林德 兔女郎ver. 手办</t>
        </is>
      </c>
      <c r="B809" t="inlineStr">
        <is>
          <t>704.92元</t>
        </is>
      </c>
      <c r="C809" t="inlineStr">
        <is>
          <t>1050.00元</t>
        </is>
      </c>
      <c r="D809" t="inlineStr">
        <is>
          <t>345.08元</t>
        </is>
      </c>
      <c r="E809" t="inlineStr">
        <is>
          <t>6.7折</t>
        </is>
      </c>
      <c r="F809">
        <f>HYPERLINK("https://i0.hdslb.com/bfs/mall/mall/50/7f/507f061eb9b35f26f40a114b9485adf9.png", "点击查看图片")</f>
        <v/>
      </c>
      <c r="G809">
        <f>HYPERLINK("https://mall.bilibili.com/neul-next/index.html?page=magic-market_detail&amp;noTitleBar=1&amp;itemsId=111905463939&amp;from=market_index", "点击打开")</f>
        <v/>
      </c>
    </row>
    <row r="810">
      <c r="A810" t="inlineStr">
        <is>
          <t>ALTER OVERLORD 娜贝拉尔・迦玛 so-bin Ver. 手办 再版</t>
        </is>
      </c>
      <c r="B810" t="inlineStr">
        <is>
          <t>888.00元</t>
        </is>
      </c>
      <c r="C810" t="inlineStr">
        <is>
          <t>1120.00元</t>
        </is>
      </c>
      <c r="D810" t="inlineStr">
        <is>
          <t>232.00元</t>
        </is>
      </c>
      <c r="E810" t="inlineStr">
        <is>
          <t>7.9折</t>
        </is>
      </c>
      <c r="F810">
        <f>HYPERLINK("https://i0.hdslb.com/bfs/mall/mall/20/9e/209e140f0d5feeba19876cf49497e1c8.png", "点击查看图片")</f>
        <v/>
      </c>
      <c r="G810">
        <f>HYPERLINK("https://mall.bilibili.com/neul-next/index.html?page=magic-market_detail&amp;noTitleBar=1&amp;itemsId=110481453229&amp;from=market_index", "点击打开")</f>
        <v/>
      </c>
    </row>
    <row r="811">
      <c r="A811" t="inlineStr">
        <is>
          <t>GSC 晓美焰 手办</t>
        </is>
      </c>
      <c r="B811" t="inlineStr">
        <is>
          <t>220.00元</t>
        </is>
      </c>
      <c r="C811" t="inlineStr">
        <is>
          <t>225.00元</t>
        </is>
      </c>
      <c r="D811" t="inlineStr">
        <is>
          <t>5.00元</t>
        </is>
      </c>
      <c r="E811" t="inlineStr">
        <is>
          <t>9.8折</t>
        </is>
      </c>
      <c r="F811">
        <f>HYPERLINK("https://i0.hdslb.com/bfs/mall/mall/a1/e3/a1e39fd3a5067a987e3a87977ccbaba4.png", "点击查看图片")</f>
        <v/>
      </c>
      <c r="G811">
        <f>HYPERLINK("https://mall.bilibili.com/neul-next/index.html?page=magic-market_detail&amp;noTitleBar=1&amp;itemsId=111914356658&amp;from=market_index", "点击打开")</f>
        <v/>
      </c>
    </row>
    <row r="812">
      <c r="A812" t="inlineStr">
        <is>
          <t>Phat! Noir 可动手办</t>
        </is>
      </c>
      <c r="B812" t="inlineStr">
        <is>
          <t>384.92元</t>
        </is>
      </c>
      <c r="C812" t="inlineStr">
        <is>
          <t>565.00元</t>
        </is>
      </c>
      <c r="D812" t="inlineStr">
        <is>
          <t>180.08元</t>
        </is>
      </c>
      <c r="E812" t="inlineStr">
        <is>
          <t>6.8折</t>
        </is>
      </c>
      <c r="F812">
        <f>HYPERLINK("https://i0.hdslb.com/bfs/mall/mall/18/04/1804b02abca4415aabfb28a1dbafc334.png", "点击查看图片")</f>
        <v/>
      </c>
      <c r="G812">
        <f>HYPERLINK("https://mall.bilibili.com/neul-next/index.html?page=magic-market_detail&amp;noTitleBar=1&amp;itemsId=111907485183&amp;from=market_index", "点击打开")</f>
        <v/>
      </c>
    </row>
    <row r="813">
      <c r="A813" t="inlineStr">
        <is>
          <t>Alphamax 碧蓝航线 布莱默顿 周年纪念抱枕ver. 手办</t>
        </is>
      </c>
      <c r="B813" t="inlineStr">
        <is>
          <t>1752.00元</t>
        </is>
      </c>
      <c r="C813" t="inlineStr">
        <is>
          <t>1752.00元</t>
        </is>
      </c>
      <c r="D813" t="inlineStr">
        <is>
          <t>0.00元</t>
        </is>
      </c>
      <c r="E813" t="inlineStr">
        <is>
          <t>10.0折</t>
        </is>
      </c>
      <c r="F813">
        <f>HYPERLINK("https://i0.hdslb.com/bfs/mall/mall/0f/7b/0f7b50b29e41ef806a39dcb266b9e3fb.png", "点击查看图片")</f>
        <v/>
      </c>
      <c r="G813">
        <f>HYPERLINK("https://mall.bilibili.com/neul-next/index.html?page=magic-market_detail&amp;noTitleBar=1&amp;itemsId=106811223333&amp;from=market_index", "点击打开")</f>
        <v/>
      </c>
    </row>
    <row r="814">
      <c r="A814" t="inlineStr">
        <is>
          <t>AMAKUNI 游戏王 怪兽藏品 灰流丽 1/7手办</t>
        </is>
      </c>
      <c r="B814" t="inlineStr">
        <is>
          <t>788.00元</t>
        </is>
      </c>
      <c r="C814" t="inlineStr">
        <is>
          <t>1040.00元</t>
        </is>
      </c>
      <c r="D814" t="inlineStr">
        <is>
          <t>252.00元</t>
        </is>
      </c>
      <c r="E814" t="inlineStr">
        <is>
          <t>7.6折</t>
        </is>
      </c>
      <c r="F814">
        <f>HYPERLINK("https://i0.hdslb.com/bfs/mall/mall/73/f5/73f5f84ee4e43a147cf5cf664f680666.png", "点击查看图片")</f>
        <v/>
      </c>
      <c r="G814">
        <f>HYPERLINK("https://mall.bilibili.com/neul-next/index.html?page=magic-market_detail&amp;noTitleBar=1&amp;itemsId=111920109811&amp;from=market_index", "点击打开")</f>
        <v/>
      </c>
    </row>
    <row r="815">
      <c r="A815" t="inlineStr">
        <is>
          <t>SSF 五等分的新娘 中野三玖 Floral Dress Ver. 手办</t>
        </is>
      </c>
      <c r="B815" t="inlineStr">
        <is>
          <t>870.00元</t>
        </is>
      </c>
      <c r="C815" t="inlineStr">
        <is>
          <t>1349.00元</t>
        </is>
      </c>
      <c r="D815" t="inlineStr">
        <is>
          <t>479.00元</t>
        </is>
      </c>
      <c r="E815" t="inlineStr">
        <is>
          <t>6.4折</t>
        </is>
      </c>
      <c r="F815">
        <f>HYPERLINK("https://i0.hdslb.com/bfs/mall/mall/ff/fe/fffee6053f0c246941533d241e81ba90.png", "点击查看图片")</f>
        <v/>
      </c>
      <c r="G815">
        <f>HYPERLINK("https://mall.bilibili.com/neul-next/index.html?page=magic-market_detail&amp;noTitleBar=1&amp;itemsId=111913490369&amp;from=market_index", "点击打开")</f>
        <v/>
      </c>
    </row>
    <row r="816">
      <c r="A816" t="inlineStr">
        <is>
          <t>Max Factory 陆八魔爱露 Q版手办</t>
        </is>
      </c>
      <c r="B816" t="inlineStr">
        <is>
          <t>299.00元</t>
        </is>
      </c>
      <c r="C816" t="inlineStr">
        <is>
          <t>335.00元</t>
        </is>
      </c>
      <c r="D816" t="inlineStr">
        <is>
          <t>36.00元</t>
        </is>
      </c>
      <c r="E816" t="inlineStr">
        <is>
          <t>8.9折</t>
        </is>
      </c>
      <c r="F816">
        <f>HYPERLINK("https://i0.hdslb.com/bfs/mall/mall/55/0e/550ef79d7fd85d26e44b7c25c216f8d8.png", "点击查看图片")</f>
        <v/>
      </c>
      <c r="G816">
        <f>HYPERLINK("https://mall.bilibili.com/neul-next/index.html?page=magic-market_detail&amp;noTitleBar=1&amp;itemsId=111921081736&amp;from=market_index", "点击打开")</f>
        <v/>
      </c>
    </row>
    <row r="817">
      <c r="A817" t="inlineStr">
        <is>
          <t>neonmax Mois 手办</t>
        </is>
      </c>
      <c r="B817" t="inlineStr">
        <is>
          <t>815.00元</t>
        </is>
      </c>
      <c r="C817" t="inlineStr">
        <is>
          <t>1150.00元</t>
        </is>
      </c>
      <c r="D817" t="inlineStr">
        <is>
          <t>335.00元</t>
        </is>
      </c>
      <c r="E817" t="inlineStr">
        <is>
          <t>7.1折</t>
        </is>
      </c>
      <c r="F817">
        <f>HYPERLINK("https://i0.hdslb.com/bfs/mall/mall/f2/0f/f20f3a9938c1986d83bdd3883d4eeade.png", "点击查看图片")</f>
        <v/>
      </c>
      <c r="G817">
        <f>HYPERLINK("https://mall.bilibili.com/neul-next/index.html?page=magic-market_detail&amp;noTitleBar=1&amp;itemsId=111910432366&amp;from=market_index", "点击打开")</f>
        <v/>
      </c>
    </row>
    <row r="818">
      <c r="A818" t="inlineStr">
        <is>
          <t>角川 通常版 正比手办</t>
        </is>
      </c>
      <c r="B818" t="inlineStr">
        <is>
          <t>744.92元</t>
        </is>
      </c>
      <c r="C818" t="inlineStr">
        <is>
          <t>1240.00元</t>
        </is>
      </c>
      <c r="D818" t="inlineStr">
        <is>
          <t>495.08元</t>
        </is>
      </c>
      <c r="E818" t="inlineStr">
        <is>
          <t>6.0折</t>
        </is>
      </c>
      <c r="F818">
        <f>HYPERLINK("https://i0.hdslb.com/bfs/mall/mall/42/9b/429b0999ed79bd0689694bca8c079fb1.png", "点击查看图片")</f>
        <v/>
      </c>
      <c r="G818">
        <f>HYPERLINK("https://mall.bilibili.com/neul-next/index.html?page=magic-market_detail&amp;noTitleBar=1&amp;itemsId=111907452292&amp;from=market_index", "点击打开")</f>
        <v/>
      </c>
    </row>
    <row r="819">
      <c r="A819" t="inlineStr">
        <is>
          <t>GSC 拉姆 手办 再版</t>
        </is>
      </c>
      <c r="B819" t="inlineStr">
        <is>
          <t>728.00元</t>
        </is>
      </c>
      <c r="C819" t="inlineStr">
        <is>
          <t>855.00元</t>
        </is>
      </c>
      <c r="D819" t="inlineStr">
        <is>
          <t>127.00元</t>
        </is>
      </c>
      <c r="E819" t="inlineStr">
        <is>
          <t>8.5折</t>
        </is>
      </c>
      <c r="F819">
        <f>HYPERLINK("https://i0.hdslb.com/bfs/mall/mall/08/cb/08cb7cccd5f5b6a14fd977fabcd06e66.png", "点击查看图片")</f>
        <v/>
      </c>
      <c r="G819">
        <f>HYPERLINK("https://mall.bilibili.com/neul-next/index.html?page=magic-market_detail&amp;noTitleBar=1&amp;itemsId=111912092939&amp;from=market_index", "点击打开")</f>
        <v/>
      </c>
    </row>
    <row r="820">
      <c r="A820" t="inlineStr">
        <is>
          <t>APEX 英雄联盟 源计划：联合 艾希 可动手办</t>
        </is>
      </c>
      <c r="B820" t="inlineStr">
        <is>
          <t>488.00元</t>
        </is>
      </c>
      <c r="C820" t="inlineStr">
        <is>
          <t>699.00元</t>
        </is>
      </c>
      <c r="D820" t="inlineStr">
        <is>
          <t>211.00元</t>
        </is>
      </c>
      <c r="E820" t="inlineStr">
        <is>
          <t>7.0折</t>
        </is>
      </c>
      <c r="F820">
        <f>HYPERLINK("https://i0.hdslb.com/bfs/mall/mall/82/c2/82c2047bde7437bc011e6cdce9da4944.png", "点击查看图片")</f>
        <v/>
      </c>
      <c r="G820">
        <f>HYPERLINK("https://mall.bilibili.com/neul-next/index.html?page=magic-market_detail&amp;noTitleBar=1&amp;itemsId=111913198606&amp;from=market_index", "点击打开")</f>
        <v/>
      </c>
    </row>
    <row r="821">
      <c r="A821" t="inlineStr">
        <is>
          <t>GSC 风真伊吕波 Q版手办</t>
        </is>
      </c>
      <c r="B821" t="inlineStr">
        <is>
          <t>243.00元</t>
        </is>
      </c>
      <c r="C821" t="inlineStr">
        <is>
          <t>315.00元</t>
        </is>
      </c>
      <c r="D821" t="inlineStr">
        <is>
          <t>72.00元</t>
        </is>
      </c>
      <c r="E821" t="inlineStr">
        <is>
          <t>7.7折</t>
        </is>
      </c>
      <c r="F821">
        <f>HYPERLINK("https://i0.hdslb.com/bfs/mall/mall/3f/38/3f3893860b9f94c4ae02fd6c3980c9b4.png", "点击查看图片")</f>
        <v/>
      </c>
      <c r="G821">
        <f>HYPERLINK("https://mall.bilibili.com/neul-next/index.html?page=magic-market_detail&amp;noTitleBar=1&amp;itemsId=111914676701&amp;from=market_index", "点击打开")</f>
        <v/>
      </c>
    </row>
    <row r="822">
      <c r="A822" t="inlineStr">
        <is>
          <t>TAITO 泽村·斯潘塞·英梨梨 猫耳睡衣ver. 景品手办</t>
        </is>
      </c>
      <c r="B822" t="inlineStr">
        <is>
          <t>100.37元</t>
        </is>
      </c>
      <c r="C822" t="inlineStr">
        <is>
          <t>122.00元</t>
        </is>
      </c>
      <c r="D822" t="inlineStr">
        <is>
          <t>21.63元</t>
        </is>
      </c>
      <c r="E822" t="inlineStr">
        <is>
          <t>8.2折</t>
        </is>
      </c>
      <c r="F822">
        <f>HYPERLINK("https://i0.hdslb.com/bfs/mall/mall/e5/6f/e56f6d5d72d4c38bf5d83d14de148ffc.png", "点击查看图片")</f>
        <v/>
      </c>
      <c r="G822">
        <f>HYPERLINK("https://mall.bilibili.com/neul-next/index.html?page=magic-market_detail&amp;noTitleBar=1&amp;itemsId=111915510998&amp;from=market_index", "点击打开")</f>
        <v/>
      </c>
    </row>
    <row r="823">
      <c r="A823" t="inlineStr">
        <is>
          <t>GSC 大白鲨 Q版手办</t>
        </is>
      </c>
      <c r="B823" t="inlineStr">
        <is>
          <t>190.00元</t>
        </is>
      </c>
      <c r="C823" t="inlineStr">
        <is>
          <t>255.00元</t>
        </is>
      </c>
      <c r="D823" t="inlineStr">
        <is>
          <t>65.00元</t>
        </is>
      </c>
      <c r="E823" t="inlineStr">
        <is>
          <t>7.5折</t>
        </is>
      </c>
      <c r="F823">
        <f>HYPERLINK("https://i0.hdslb.com/bfs/mall/mall/49/08/4908fee7e50e738f6e931fc8c73a5894.png", "点击查看图片")</f>
        <v/>
      </c>
      <c r="G823">
        <f>HYPERLINK("https://mall.bilibili.com/neul-next/index.html?page=magic-market_detail&amp;noTitleBar=1&amp;itemsId=111918324521&amp;from=market_index", "点击打开")</f>
        <v/>
      </c>
    </row>
    <row r="824">
      <c r="A824" t="inlineStr">
        <is>
          <t>Union Creative 海军娘 绯红 手办</t>
        </is>
      </c>
      <c r="B824" t="inlineStr">
        <is>
          <t>498.00元</t>
        </is>
      </c>
      <c r="C824" t="inlineStr">
        <is>
          <t>625.00元</t>
        </is>
      </c>
      <c r="D824" t="inlineStr">
        <is>
          <t>127.00元</t>
        </is>
      </c>
      <c r="E824" t="inlineStr">
        <is>
          <t>8.0折</t>
        </is>
      </c>
      <c r="F824">
        <f>HYPERLINK("https://i0.hdslb.com/bfs/mall/mall/d7/5b/d75b4ec9ca0cc9dc894dc265967f3264.png", "点击查看图片")</f>
        <v/>
      </c>
      <c r="G824">
        <f>HYPERLINK("https://mall.bilibili.com/neul-next/index.html?page=magic-market_detail&amp;noTitleBar=1&amp;itemsId=109851219891&amp;from=market_index", "点击打开")</f>
        <v/>
      </c>
    </row>
    <row r="825">
      <c r="A825" t="inlineStr">
        <is>
          <t>王者荣耀 朵莉亚 手办</t>
        </is>
      </c>
      <c r="B825" t="inlineStr">
        <is>
          <t>915.39元</t>
        </is>
      </c>
      <c r="C825" t="inlineStr">
        <is>
          <t>999.00元</t>
        </is>
      </c>
      <c r="D825" t="inlineStr">
        <is>
          <t>83.61元</t>
        </is>
      </c>
      <c r="E825" t="inlineStr">
        <is>
          <t>9.2折</t>
        </is>
      </c>
      <c r="F825">
        <f>HYPERLINK("https://i0.hdslb.com/bfs/mall/mall/65/de/65de06135e0ec6364ec05952ba0c7e2a.png", "点击查看图片")</f>
        <v/>
      </c>
      <c r="G825">
        <f>HYPERLINK("https://mall.bilibili.com/neul-next/index.html?page=magic-market_detail&amp;noTitleBar=1&amp;itemsId=111908480510&amp;from=market_index", "点击打开")</f>
        <v/>
      </c>
    </row>
    <row r="826">
      <c r="A826" t="inlineStr">
        <is>
          <t>Claynel 独角兽 梦想的纯白誓约 手办</t>
        </is>
      </c>
      <c r="B826" t="inlineStr">
        <is>
          <t>1704.00元</t>
        </is>
      </c>
      <c r="C826" t="inlineStr">
        <is>
          <t>2099.00元</t>
        </is>
      </c>
      <c r="D826" t="inlineStr">
        <is>
          <t>395.00元</t>
        </is>
      </c>
      <c r="E826" t="inlineStr">
        <is>
          <t>8.1折</t>
        </is>
      </c>
      <c r="F826">
        <f>HYPERLINK("https://i0.hdslb.com/bfs/mall/mall/ab/e4/abe4b60f5ea61f702e36390b7a9ec2b7.png", "点击查看图片")</f>
        <v/>
      </c>
      <c r="G826">
        <f>HYPERLINK("https://mall.bilibili.com/neul-next/index.html?page=magic-market_detail&amp;noTitleBar=1&amp;itemsId=111917008127&amp;from=market_index", "点击打开")</f>
        <v/>
      </c>
    </row>
    <row r="827">
      <c r="A827" t="inlineStr">
        <is>
          <t>Prime 1 Studio Cutie 1系列 新世纪福音战士 新剧场版 第十使徒 Q版手办</t>
        </is>
      </c>
      <c r="B827" t="inlineStr">
        <is>
          <t>248.00元</t>
        </is>
      </c>
      <c r="C827" t="inlineStr">
        <is>
          <t>315.00元</t>
        </is>
      </c>
      <c r="D827" t="inlineStr">
        <is>
          <t>67.00元</t>
        </is>
      </c>
      <c r="E827" t="inlineStr">
        <is>
          <t>7.9折</t>
        </is>
      </c>
      <c r="F827">
        <f>HYPERLINK("https://i0.hdslb.com/bfs/mall/mall/ad/e9/ade96330768409de574b197b646ed435.png", "点击查看图片")</f>
        <v/>
      </c>
      <c r="G827">
        <f>HYPERLINK("https://mall.bilibili.com/neul-next/index.html?page=magic-market_detail&amp;noTitleBar=1&amp;itemsId=110463832094&amp;from=market_index", "点击打开")</f>
        <v/>
      </c>
    </row>
    <row r="828">
      <c r="A828" t="inlineStr">
        <is>
          <t>Prime 1 Studio PRISMA WING 为美好的世界献上爆焰！ 惠惠 1/7手办</t>
        </is>
      </c>
      <c r="B828" t="inlineStr">
        <is>
          <t>1700.00元</t>
        </is>
      </c>
      <c r="C828" t="inlineStr">
        <is>
          <t>2150.00元</t>
        </is>
      </c>
      <c r="D828" t="inlineStr">
        <is>
          <t>450.00元</t>
        </is>
      </c>
      <c r="E828" t="inlineStr">
        <is>
          <t>7.9折</t>
        </is>
      </c>
      <c r="F828">
        <f>HYPERLINK("https://i0.hdslb.com/bfs/mall/mall/48/45/4845f4c4819df5db862e4d938739dfe9.png", "点击查看图片")</f>
        <v/>
      </c>
      <c r="G828">
        <f>HYPERLINK("https://mall.bilibili.com/neul-next/index.html?page=magic-market_detail&amp;noTitleBar=1&amp;itemsId=110458451486&amp;from=market_index", "点击打开")</f>
        <v/>
      </c>
    </row>
    <row r="829">
      <c r="A829" t="inlineStr">
        <is>
          <t>TAITO 中野四叶 猫咪睡衣Ver. 景品手办</t>
        </is>
      </c>
      <c r="B829" t="inlineStr">
        <is>
          <t>109.00元</t>
        </is>
      </c>
      <c r="C829" t="inlineStr">
        <is>
          <t>112.00元</t>
        </is>
      </c>
      <c r="D829" t="inlineStr">
        <is>
          <t>3.00元</t>
        </is>
      </c>
      <c r="E829" t="inlineStr">
        <is>
          <t>9.7折</t>
        </is>
      </c>
      <c r="F829">
        <f>HYPERLINK("https://i0.hdslb.com/bfs/mall/mall/81/14/8114ba346e79d4adb57e611cb8ad70ac.png", "点击查看图片")</f>
        <v/>
      </c>
      <c r="G829">
        <f>HYPERLINK("https://mall.bilibili.com/neul-next/index.html?page=magic-market_detail&amp;noTitleBar=1&amp;itemsId=111918454469&amp;from=market_index", "点击打开")</f>
        <v/>
      </c>
    </row>
    <row r="830">
      <c r="A830" t="inlineStr">
        <is>
          <t>FuRyu 曼城茶座 景品手办</t>
        </is>
      </c>
      <c r="B830" t="inlineStr">
        <is>
          <t>101.15元</t>
        </is>
      </c>
      <c r="C830" t="inlineStr">
        <is>
          <t>119.00元</t>
        </is>
      </c>
      <c r="D830" t="inlineStr">
        <is>
          <t>17.85元</t>
        </is>
      </c>
      <c r="E830" t="inlineStr">
        <is>
          <t>8.5折</t>
        </is>
      </c>
      <c r="F830">
        <f>HYPERLINK("https://i0.hdslb.com/bfs/mall/mall/9c/a7/9ca76d0322ec0fc425e90e299cbfe505.png", "点击查看图片")</f>
        <v/>
      </c>
      <c r="G830">
        <f>HYPERLINK("https://mall.bilibili.com/neul-next/index.html?page=magic-market_detail&amp;noTitleBar=1&amp;itemsId=106811318078&amp;from=market_index", "点击打开")</f>
        <v/>
      </c>
    </row>
    <row r="831">
      <c r="A831" t="inlineStr">
        <is>
          <t>HAKUHODO 洛琪希·米格路迪亚 正比手办</t>
        </is>
      </c>
      <c r="B831" t="inlineStr">
        <is>
          <t>1088.00元</t>
        </is>
      </c>
      <c r="C831" t="inlineStr">
        <is>
          <t>1539.00元</t>
        </is>
      </c>
      <c r="D831" t="inlineStr">
        <is>
          <t>451.00元</t>
        </is>
      </c>
      <c r="E831" t="inlineStr">
        <is>
          <t>7.1折</t>
        </is>
      </c>
      <c r="F831">
        <f>HYPERLINK("https://i0.hdslb.com/bfs/mall/mall/b0/89/b0893dd72d60c29cc0e1f832182f1538.png", "点击查看图片")</f>
        <v/>
      </c>
      <c r="G831">
        <f>HYPERLINK("https://mall.bilibili.com/neul-next/index.html?page=magic-market_detail&amp;noTitleBar=1&amp;itemsId=111916607730&amp;from=market_index", "点击打开")</f>
        <v/>
      </c>
    </row>
    <row r="832">
      <c r="A832" t="inlineStr">
        <is>
          <t>AmiAmi 偶像大师 MILLION LIVE! 箱崎星梨花 纯洁的礼物Ver.手办 箱崎星梨花 特典版</t>
        </is>
      </c>
      <c r="B832" t="inlineStr">
        <is>
          <t>768.00元</t>
        </is>
      </c>
      <c r="C832" t="inlineStr">
        <is>
          <t>1099.00元</t>
        </is>
      </c>
      <c r="D832" t="inlineStr">
        <is>
          <t>331.00元</t>
        </is>
      </c>
      <c r="E832" t="inlineStr">
        <is>
          <t>7.0折</t>
        </is>
      </c>
      <c r="F832">
        <f>HYPERLINK("https://i0.hdslb.com/bfs/mall/mall/91/85/9185525401c014215578b164091761ed.png", "点击查看图片")</f>
        <v/>
      </c>
      <c r="G832">
        <f>HYPERLINK("https://mall.bilibili.com/neul-next/index.html?page=magic-market_detail&amp;noTitleBar=1&amp;itemsId=109864895349&amp;from=market_index", "点击打开")</f>
        <v/>
      </c>
    </row>
    <row r="833">
      <c r="A833" t="inlineStr">
        <is>
          <t>GSC 伊蕾娜 L size 手办</t>
        </is>
      </c>
      <c r="B833" t="inlineStr">
        <is>
          <t>312.00元</t>
        </is>
      </c>
      <c r="C833" t="inlineStr">
        <is>
          <t>395.00元</t>
        </is>
      </c>
      <c r="D833" t="inlineStr">
        <is>
          <t>83.00元</t>
        </is>
      </c>
      <c r="E833" t="inlineStr">
        <is>
          <t>7.9折</t>
        </is>
      </c>
      <c r="F833">
        <f>HYPERLINK("https://i0.hdslb.com/bfs/mall/mall/51/40/5140ccf9cfbeea6dc2da28f8d125d9e7.png", "点击查看图片")</f>
        <v/>
      </c>
      <c r="G833">
        <f>HYPERLINK("https://mall.bilibili.com/neul-next/index.html?page=magic-market_detail&amp;noTitleBar=1&amp;itemsId=109870294896&amp;from=market_index", "点击打开")</f>
        <v/>
      </c>
    </row>
    <row r="834">
      <c r="A834" t="inlineStr">
        <is>
          <t>WAVE 偶像大师 闪耀色彩 黛冬优子 午夜怪兽ver. 手办</t>
        </is>
      </c>
      <c r="B834" t="inlineStr">
        <is>
          <t>1060.00元</t>
        </is>
      </c>
      <c r="C834" t="inlineStr">
        <is>
          <t>1130.00元</t>
        </is>
      </c>
      <c r="D834" t="inlineStr">
        <is>
          <t>70.00元</t>
        </is>
      </c>
      <c r="E834" t="inlineStr">
        <is>
          <t>9.4折</t>
        </is>
      </c>
      <c r="F834">
        <f>HYPERLINK("https://i0.hdslb.com/bfs/mall/mall/ba/d9/bad99b56484fc5782efdd12e66939a64.png", "点击查看图片")</f>
        <v/>
      </c>
      <c r="G834">
        <f>HYPERLINK("https://mall.bilibili.com/neul-next/index.html?page=magic-market_detail&amp;noTitleBar=1&amp;itemsId=111905437396&amp;from=market_index", "点击打开")</f>
        <v/>
      </c>
    </row>
    <row r="835">
      <c r="A835" t="inlineStr">
        <is>
          <t>Phat! PA-15 奇妙山药饼 重伤Ver. 手办</t>
        </is>
      </c>
      <c r="B835" t="inlineStr">
        <is>
          <t>938.00元</t>
        </is>
      </c>
      <c r="C835" t="inlineStr">
        <is>
          <t>1339.00元</t>
        </is>
      </c>
      <c r="D835" t="inlineStr">
        <is>
          <t>401.00元</t>
        </is>
      </c>
      <c r="E835" t="inlineStr">
        <is>
          <t>7.0折</t>
        </is>
      </c>
      <c r="F835">
        <f>HYPERLINK("https://i0.hdslb.com/bfs/mall/mall/86/bf/86bfd5852f6d50e1a91011cff2e519a2.png", "点击查看图片")</f>
        <v/>
      </c>
      <c r="G835">
        <f>HYPERLINK("https://mall.bilibili.com/neul-next/index.html?page=magic-market_detail&amp;noTitleBar=1&amp;itemsId=106812257206&amp;from=market_index", "点击打开")</f>
        <v/>
      </c>
    </row>
    <row r="836">
      <c r="A836" t="inlineStr">
        <is>
          <t>AniGame 不挠 没干劲的女仆小姐Ver. 正比手办</t>
        </is>
      </c>
      <c r="B836" t="inlineStr">
        <is>
          <t>725.00元</t>
        </is>
      </c>
      <c r="C836" t="inlineStr">
        <is>
          <t>898.00元</t>
        </is>
      </c>
      <c r="D836" t="inlineStr">
        <is>
          <t>173.00元</t>
        </is>
      </c>
      <c r="E836" t="inlineStr">
        <is>
          <t>8.1折</t>
        </is>
      </c>
      <c r="F836">
        <f>HYPERLINK("https://i0.hdslb.com/bfs/mall/mall/02/d5/02d58f70247e8569065579d6917644a6.png", "点击查看图片")</f>
        <v/>
      </c>
      <c r="G836">
        <f>HYPERLINK("https://mall.bilibili.com/neul-next/index.html?page=magic-market_detail&amp;noTitleBar=1&amp;itemsId=110464180450&amp;from=market_index", "点击打开")</f>
        <v/>
      </c>
    </row>
    <row r="837">
      <c r="A837" t="inlineStr">
        <is>
          <t>GSC 心音淡雪 Q版手办</t>
        </is>
      </c>
      <c r="B837" t="inlineStr">
        <is>
          <t>208.00元</t>
        </is>
      </c>
      <c r="C837" t="inlineStr">
        <is>
          <t>319.00元</t>
        </is>
      </c>
      <c r="D837" t="inlineStr">
        <is>
          <t>111.00元</t>
        </is>
      </c>
      <c r="E837" t="inlineStr">
        <is>
          <t>6.5折</t>
        </is>
      </c>
      <c r="F837">
        <f>HYPERLINK("https://i0.hdslb.com/bfs/mall/mall/f2/76/f27670d6db2444699952f2ec5e2a6658.png", "点击查看图片")</f>
        <v/>
      </c>
      <c r="G837">
        <f>HYPERLINK("https://mall.bilibili.com/neul-next/index.html?page=magic-market_detail&amp;noTitleBar=1&amp;itemsId=107151125529&amp;from=market_index", "点击打开")</f>
        <v/>
      </c>
    </row>
    <row r="838">
      <c r="A838" t="inlineStr">
        <is>
          <t>GSC 月 Q版手办</t>
        </is>
      </c>
      <c r="B838" t="inlineStr">
        <is>
          <t>318.00元</t>
        </is>
      </c>
      <c r="C838" t="inlineStr">
        <is>
          <t>369.00元</t>
        </is>
      </c>
      <c r="D838" t="inlineStr">
        <is>
          <t>51.00元</t>
        </is>
      </c>
      <c r="E838" t="inlineStr">
        <is>
          <t>8.6折</t>
        </is>
      </c>
      <c r="F838">
        <f>HYPERLINK("https://i0.hdslb.com/bfs/mall/mall/3c/09/3c09bf2ae4360699c5f8ea2546624c52.png", "点击查看图片")</f>
        <v/>
      </c>
      <c r="G838">
        <f>HYPERLINK("https://mall.bilibili.com/neul-next/index.html?page=magic-market_detail&amp;noTitleBar=1&amp;itemsId=107047635134&amp;from=market_index", "点击打开")</f>
        <v/>
      </c>
    </row>
    <row r="839">
      <c r="A839" t="inlineStr">
        <is>
          <t>PROOF 魔女之旅 沙耶 手办</t>
        </is>
      </c>
      <c r="B839" t="inlineStr">
        <is>
          <t>1061.36元</t>
        </is>
      </c>
      <c r="C839" t="inlineStr">
        <is>
          <t>1199.00元</t>
        </is>
      </c>
      <c r="D839" t="inlineStr">
        <is>
          <t>137.64元</t>
        </is>
      </c>
      <c r="E839" t="inlineStr">
        <is>
          <t>8.9折</t>
        </is>
      </c>
      <c r="F839">
        <f>HYPERLINK("https://i0.hdslb.com/bfs/mall/mall/b4/e6/b4e67273f343fa2c9bd830e85e502372.png", "点击查看图片")</f>
        <v/>
      </c>
      <c r="G839">
        <f>HYPERLINK("https://mall.bilibili.com/neul-next/index.html?page=magic-market_detail&amp;noTitleBar=1&amp;itemsId=109868621794&amp;from=market_index", "点击打开")</f>
        <v/>
      </c>
    </row>
    <row r="840">
      <c r="A840" t="inlineStr">
        <is>
          <t>GSC 八奈见杏菜  Q版手办</t>
        </is>
      </c>
      <c r="B840" t="inlineStr">
        <is>
          <t>252.60元</t>
        </is>
      </c>
      <c r="C840" t="inlineStr">
        <is>
          <t>299.00元</t>
        </is>
      </c>
      <c r="D840" t="inlineStr">
        <is>
          <t>46.40元</t>
        </is>
      </c>
      <c r="E840" t="inlineStr">
        <is>
          <t>8.4折</t>
        </is>
      </c>
      <c r="F840">
        <f>HYPERLINK("https://i0.hdslb.com/bfs/mall/mall/97/d2/97d238678aa28e5d16cdf70c2c29d153.png", "点击查看图片")</f>
        <v/>
      </c>
      <c r="G840">
        <f>HYPERLINK("https://mall.bilibili.com/neul-next/index.html?page=magic-market_detail&amp;noTitleBar=1&amp;itemsId=111916735025&amp;from=market_index", "点击打开")</f>
        <v/>
      </c>
    </row>
    <row r="841">
      <c r="A841" t="inlineStr">
        <is>
          <t>FREEing 缪兰 兔女郎Ver. 正比手办</t>
        </is>
      </c>
      <c r="B841" t="inlineStr">
        <is>
          <t>1727.92元</t>
        </is>
      </c>
      <c r="C841" t="inlineStr">
        <is>
          <t>2745.00元</t>
        </is>
      </c>
      <c r="D841" t="inlineStr">
        <is>
          <t>1017.08元</t>
        </is>
      </c>
      <c r="E841" t="inlineStr">
        <is>
          <t>6.3折</t>
        </is>
      </c>
      <c r="F841">
        <f>HYPERLINK("https://i0.hdslb.com/bfs/mall/mall/39/74/39749d2ad4ba26a40750439302988a3f.png", "点击查看图片")</f>
        <v/>
      </c>
      <c r="G841">
        <f>HYPERLINK("https://mall.bilibili.com/neul-next/index.html?page=magic-market_detail&amp;noTitleBar=1&amp;itemsId=111907518085&amp;from=market_index", "点击打开")</f>
        <v/>
      </c>
    </row>
    <row r="842">
      <c r="A842" t="inlineStr">
        <is>
          <t>ANIPLEX+ 2B 普通版 正比手办</t>
        </is>
      </c>
      <c r="B842" t="inlineStr">
        <is>
          <t>998.00元</t>
        </is>
      </c>
      <c r="C842" t="inlineStr">
        <is>
          <t>1149.00元</t>
        </is>
      </c>
      <c r="D842" t="inlineStr">
        <is>
          <t>151.00元</t>
        </is>
      </c>
      <c r="E842" t="inlineStr">
        <is>
          <t>8.7折</t>
        </is>
      </c>
      <c r="F842">
        <f>HYPERLINK("https://i0.hdslb.com/bfs/mall/mall/ed/11/ed1198c2f35f5daf10481e983de3e1df.png", "点击查看图片")</f>
        <v/>
      </c>
      <c r="G842">
        <f>HYPERLINK("https://mall.bilibili.com/neul-next/index.html?page=magic-market_detail&amp;noTitleBar=1&amp;itemsId=106908910051&amp;from=market_index", "点击打开")</f>
        <v/>
      </c>
    </row>
    <row r="843">
      <c r="A843" t="inlineStr">
        <is>
          <t>世嘉 芙莉莲 宝箱怪 景品手办</t>
        </is>
      </c>
      <c r="B843" t="inlineStr">
        <is>
          <t>101.15元</t>
        </is>
      </c>
      <c r="C843" t="inlineStr">
        <is>
          <t>109.00元</t>
        </is>
      </c>
      <c r="D843" t="inlineStr">
        <is>
          <t>7.85元</t>
        </is>
      </c>
      <c r="E843" t="inlineStr">
        <is>
          <t>9.3折</t>
        </is>
      </c>
      <c r="F843">
        <f>HYPERLINK("https://i0.hdslb.com/bfs/mall/mall/9e/f2/9ef2d4e5e98e9ca64749407f78507107.png", "点击查看图片")</f>
        <v/>
      </c>
      <c r="G843">
        <f>HYPERLINK("https://mall.bilibili.com/neul-next/index.html?page=magic-market_detail&amp;noTitleBar=1&amp;itemsId=111908457499&amp;from=market_index", "点击打开")</f>
        <v/>
      </c>
    </row>
    <row r="844">
      <c r="A844" t="inlineStr">
        <is>
          <t>neonmax TANA 手办</t>
        </is>
      </c>
      <c r="B844" t="inlineStr">
        <is>
          <t>715.00元</t>
        </is>
      </c>
      <c r="C844" t="inlineStr">
        <is>
          <t>899.00元</t>
        </is>
      </c>
      <c r="D844" t="inlineStr">
        <is>
          <t>184.00元</t>
        </is>
      </c>
      <c r="E844" t="inlineStr">
        <is>
          <t>8.0折</t>
        </is>
      </c>
      <c r="F844">
        <f>HYPERLINK("https://i0.hdslb.com/bfs/mall/mall/ee/41/ee411cd4800a655250af4ffb5424f834.png", "点击查看图片")</f>
        <v/>
      </c>
      <c r="G844">
        <f>HYPERLINK("https://mall.bilibili.com/neul-next/index.html?page=magic-market_detail&amp;noTitleBar=1&amp;itemsId=106948538106&amp;from=market_index", "点击打开")</f>
        <v/>
      </c>
    </row>
    <row r="845">
      <c r="A845" t="inlineStr">
        <is>
          <t>PinkMango 茜尔菲娜 普通版 手办</t>
        </is>
      </c>
      <c r="B845" t="inlineStr">
        <is>
          <t>712.00元</t>
        </is>
      </c>
      <c r="C845" t="inlineStr">
        <is>
          <t>899.00元</t>
        </is>
      </c>
      <c r="D845" t="inlineStr">
        <is>
          <t>187.00元</t>
        </is>
      </c>
      <c r="E845" t="inlineStr">
        <is>
          <t>7.9折</t>
        </is>
      </c>
      <c r="F845">
        <f>HYPERLINK("https://i0.hdslb.com/bfs/mall/mall/e4/33/e4334db28536f114d3c44b10d7ffdc3e.png", "点击查看图片")</f>
        <v/>
      </c>
      <c r="G845">
        <f>HYPERLINK("https://mall.bilibili.com/neul-next/index.html?page=magic-market_detail&amp;noTitleBar=1&amp;itemsId=107089046844&amp;from=market_index", "点击打开")</f>
        <v/>
      </c>
    </row>
    <row r="846">
      <c r="A846" t="inlineStr">
        <is>
          <t>MegaHouse 虎杖悠仁 手办</t>
        </is>
      </c>
      <c r="B846" t="inlineStr">
        <is>
          <t>609.00元</t>
        </is>
      </c>
      <c r="C846" t="inlineStr">
        <is>
          <t>840.00元</t>
        </is>
      </c>
      <c r="D846" t="inlineStr">
        <is>
          <t>231.00元</t>
        </is>
      </c>
      <c r="E846" t="inlineStr">
        <is>
          <t>7.2折</t>
        </is>
      </c>
      <c r="F846">
        <f>HYPERLINK("https://i0.hdslb.com/bfs/mall/mall/fa/d0/fad039cf98dbfbcaf713399f88491944.png", "点击查看图片")</f>
        <v/>
      </c>
      <c r="G846">
        <f>HYPERLINK("https://mall.bilibili.com/neul-next/index.html?page=magic-market_detail&amp;noTitleBar=1&amp;itemsId=111914353474&amp;from=market_index", "点击打开")</f>
        <v/>
      </c>
    </row>
    <row r="847">
      <c r="A847" t="inlineStr">
        <is>
          <t>开天工作室 绫波丽（暂称） 战斗服Ver. 立体相框 手办</t>
        </is>
      </c>
      <c r="B847" t="inlineStr">
        <is>
          <t>538.99元</t>
        </is>
      </c>
      <c r="C847" t="inlineStr">
        <is>
          <t>599.00元</t>
        </is>
      </c>
      <c r="D847" t="inlineStr">
        <is>
          <t>60.01元</t>
        </is>
      </c>
      <c r="E847" t="inlineStr">
        <is>
          <t>9.0折</t>
        </is>
      </c>
      <c r="F847">
        <f>HYPERLINK("https://i0.hdslb.com/bfs/mall/mall/31/6c/316cdab9c5ac49f01dc997f58d19ad0a.png", "点击查看图片")</f>
        <v/>
      </c>
      <c r="G847">
        <f>HYPERLINK("https://mall.bilibili.com/neul-next/index.html?page=magic-market_detail&amp;noTitleBar=1&amp;itemsId=111911016150&amp;from=market_index", "点击打开")</f>
        <v/>
      </c>
    </row>
    <row r="848">
      <c r="A848" t="inlineStr">
        <is>
          <t>GSC 镜华 手办</t>
        </is>
      </c>
      <c r="B848" t="inlineStr">
        <is>
          <t>896.00元</t>
        </is>
      </c>
      <c r="C848" t="inlineStr">
        <is>
          <t>1155.00元</t>
        </is>
      </c>
      <c r="D848" t="inlineStr">
        <is>
          <t>259.00元</t>
        </is>
      </c>
      <c r="E848" t="inlineStr">
        <is>
          <t>7.8折</t>
        </is>
      </c>
      <c r="F848">
        <f>HYPERLINK("https://i0.hdslb.com/bfs/mall/mall/df/23/df23d5c151595980315a689bec9be487.png", "点击查看图片")</f>
        <v/>
      </c>
      <c r="G848">
        <f>HYPERLINK("https://mall.bilibili.com/neul-next/index.html?page=magic-market_detail&amp;noTitleBar=1&amp;itemsId=107067170970&amp;from=market_index", "点击打开")</f>
        <v/>
      </c>
    </row>
    <row r="849">
      <c r="A849" t="inlineStr">
        <is>
          <t>SUNRISEPOP 夏油杰 Q版手办</t>
        </is>
      </c>
      <c r="B849" t="inlineStr">
        <is>
          <t>199.00元</t>
        </is>
      </c>
      <c r="C849" t="inlineStr">
        <is>
          <t>249.00元</t>
        </is>
      </c>
      <c r="D849" t="inlineStr">
        <is>
          <t>50.00元</t>
        </is>
      </c>
      <c r="E849" t="inlineStr">
        <is>
          <t>8.0折</t>
        </is>
      </c>
      <c r="F849">
        <f>HYPERLINK("https://i0.hdslb.com/bfs/mall/mall/38/7d/387dfcae4bfac22d83970e5a9cb48276.png", "点击查看图片")</f>
        <v/>
      </c>
      <c r="G849">
        <f>HYPERLINK("https://mall.bilibili.com/neul-next/index.html?page=magic-market_detail&amp;noTitleBar=1&amp;itemsId=111909576568&amp;from=market_index", "点击打开")</f>
        <v/>
      </c>
    </row>
    <row r="850">
      <c r="A850" t="inlineStr">
        <is>
          <t>GSC 牧濑红莉栖 2.0 Q版手办</t>
        </is>
      </c>
      <c r="B850" t="inlineStr">
        <is>
          <t>258.00元</t>
        </is>
      </c>
      <c r="C850" t="inlineStr">
        <is>
          <t>309.00元</t>
        </is>
      </c>
      <c r="D850" t="inlineStr">
        <is>
          <t>51.00元</t>
        </is>
      </c>
      <c r="E850" t="inlineStr">
        <is>
          <t>8.3折</t>
        </is>
      </c>
      <c r="F850">
        <f>HYPERLINK("https://i0.hdslb.com/bfs/mall/mall/b7/9f/b79f7f320cd6f24b9ed81594173ac813.png", "点击查看图片")</f>
        <v/>
      </c>
      <c r="G850">
        <f>HYPERLINK("https://mall.bilibili.com/neul-next/index.html?page=magic-market_detail&amp;noTitleBar=1&amp;itemsId=111915356734&amp;from=market_index", "点击打开")</f>
        <v/>
      </c>
    </row>
    <row r="851">
      <c r="A851" t="inlineStr">
        <is>
          <t>Medicom Toy 莉莉丝 手办</t>
        </is>
      </c>
      <c r="B851" t="inlineStr">
        <is>
          <t>119.00元</t>
        </is>
      </c>
      <c r="C851" t="inlineStr">
        <is>
          <t>168.00元</t>
        </is>
      </c>
      <c r="D851" t="inlineStr">
        <is>
          <t>49.00元</t>
        </is>
      </c>
      <c r="E851" t="inlineStr">
        <is>
          <t>7.1折</t>
        </is>
      </c>
      <c r="F851">
        <f>HYPERLINK("https://i0.hdslb.com/bfs/mall/mall/0f/ae/0fae263816e4bb7a38de3192548146e7.png", "点击查看图片")</f>
        <v/>
      </c>
      <c r="G851">
        <f>HYPERLINK("https://mall.bilibili.com/neul-next/index.html?page=magic-market_detail&amp;noTitleBar=1&amp;itemsId=109844559396&amp;from=market_index", "点击打开")</f>
        <v/>
      </c>
    </row>
    <row r="852">
      <c r="A852" t="inlineStr">
        <is>
          <t>MegaHouse 旗木卡卡西  可动手办 再版</t>
        </is>
      </c>
      <c r="B852" t="inlineStr">
        <is>
          <t>758.00元</t>
        </is>
      </c>
      <c r="C852" t="inlineStr">
        <is>
          <t>966.00元</t>
        </is>
      </c>
      <c r="D852" t="inlineStr">
        <is>
          <t>208.00元</t>
        </is>
      </c>
      <c r="E852" t="inlineStr">
        <is>
          <t>7.8折</t>
        </is>
      </c>
      <c r="F852">
        <f>HYPERLINK("https://i0.hdslb.com/bfs/mall/mall/bb/c8/bbc89b25e4d1fbac48f1701dbf922419.png", "点击查看图片")</f>
        <v/>
      </c>
      <c r="G852">
        <f>HYPERLINK("https://mall.bilibili.com/neul-next/index.html?page=magic-market_detail&amp;noTitleBar=1&amp;itemsId=111911779058&amp;from=market_index", "点击打开")</f>
        <v/>
      </c>
    </row>
    <row r="853">
      <c r="A853" t="inlineStr">
        <is>
          <t>Hobby·sakura 原创 Lost：Order 涅瓦奥斯特罗 手办</t>
        </is>
      </c>
      <c r="B853" t="inlineStr">
        <is>
          <t>599.00元</t>
        </is>
      </c>
      <c r="C853" t="inlineStr">
        <is>
          <t>799.00元</t>
        </is>
      </c>
      <c r="D853" t="inlineStr">
        <is>
          <t>200.00元</t>
        </is>
      </c>
      <c r="E853" t="inlineStr">
        <is>
          <t>7.5折</t>
        </is>
      </c>
      <c r="F853">
        <f>HYPERLINK("https://i0.hdslb.com/bfs/mall/mall/9a/06/9a06012ea90e29a2295f08a65ca7473c.png", "点击查看图片")</f>
        <v/>
      </c>
      <c r="G853">
        <f>HYPERLINK("https://mall.bilibili.com/neul-next/index.html?page=magic-market_detail&amp;noTitleBar=1&amp;itemsId=111916475913&amp;from=market_index", "点击打开")</f>
        <v/>
      </c>
    </row>
    <row r="854">
      <c r="A854" t="inlineStr">
        <is>
          <t>大气工业 利托里奥  Calabria Aurea 手办</t>
        </is>
      </c>
      <c r="B854" t="inlineStr">
        <is>
          <t>800.00元</t>
        </is>
      </c>
      <c r="C854" t="inlineStr">
        <is>
          <t>1399.00元</t>
        </is>
      </c>
      <c r="D854" t="inlineStr">
        <is>
          <t>599.00元</t>
        </is>
      </c>
      <c r="E854" t="inlineStr">
        <is>
          <t>5.7折</t>
        </is>
      </c>
      <c r="F854">
        <f>HYPERLINK("https://i0.hdslb.com/bfs/mall/mall/1a/3f/1a3fe376930e4bdb40c72f0a9e4176ce.png", "点击查看图片")</f>
        <v/>
      </c>
      <c r="G854">
        <f>HYPERLINK("https://mall.bilibili.com/neul-next/index.html?page=magic-market_detail&amp;noTitleBar=1&amp;itemsId=111907432837&amp;from=market_index", "点击打开")</f>
        <v/>
      </c>
    </row>
    <row r="855">
      <c r="A855" t="inlineStr">
        <is>
          <t>WINGSinc. 碧蓝航线 让·巴尔 舶刀Première neige Ver. 手办</t>
        </is>
      </c>
      <c r="B855" t="inlineStr">
        <is>
          <t>968.00元</t>
        </is>
      </c>
      <c r="C855" t="inlineStr">
        <is>
          <t>1199.00元</t>
        </is>
      </c>
      <c r="D855" t="inlineStr">
        <is>
          <t>231.00元</t>
        </is>
      </c>
      <c r="E855" t="inlineStr">
        <is>
          <t>8.1折</t>
        </is>
      </c>
      <c r="F855">
        <f>HYPERLINK("https://i0.hdslb.com/bfs/mall/mall/96/bd/96bd7b50fff9333d371a299d852900b7.png", "点击查看图片")</f>
        <v/>
      </c>
      <c r="G855">
        <f>HYPERLINK("https://mall.bilibili.com/neul-next/index.html?page=magic-market_detail&amp;noTitleBar=1&amp;itemsId=111914084064&amp;from=market_index", "点击打开")</f>
        <v/>
      </c>
    </row>
    <row r="856">
      <c r="A856" t="inlineStr">
        <is>
          <t>GSC 佐仓双叶 正比手办</t>
        </is>
      </c>
      <c r="B856" t="inlineStr">
        <is>
          <t>188.00元</t>
        </is>
      </c>
      <c r="C856" t="inlineStr">
        <is>
          <t>209.00元</t>
        </is>
      </c>
      <c r="D856" t="inlineStr">
        <is>
          <t>21.00元</t>
        </is>
      </c>
      <c r="E856" t="inlineStr">
        <is>
          <t>9.0折</t>
        </is>
      </c>
      <c r="F856">
        <f>HYPERLINK("https://i0.hdslb.com/bfs/mall/mall/d4/2a/d42af7bef177979c58d2b2a291ddaa83.png", "点击查看图片")</f>
        <v/>
      </c>
      <c r="G856">
        <f>HYPERLINK("https://mall.bilibili.com/neul-next/index.html?page=magic-market_detail&amp;noTitleBar=1&amp;itemsId=110470025372&amp;from=market_index", "点击打开")</f>
        <v/>
      </c>
    </row>
    <row r="857">
      <c r="A857" t="inlineStr">
        <is>
          <t>ANIPLEX+  阿尔托莉雅+卫宫士郎 -轨迹- 15周年纪念手办</t>
        </is>
      </c>
      <c r="B857" t="inlineStr">
        <is>
          <t>2588.00元</t>
        </is>
      </c>
      <c r="C857" t="inlineStr">
        <is>
          <t>3659.00元</t>
        </is>
      </c>
      <c r="D857" t="inlineStr">
        <is>
          <t>1071.00元</t>
        </is>
      </c>
      <c r="E857" t="inlineStr">
        <is>
          <t>7.1折</t>
        </is>
      </c>
      <c r="F857">
        <f>HYPERLINK("https://i0.hdslb.com/bfs/mall/mall/1d/41/1d4173994cbeb1031a385cadaa330553.png", "点击查看图片")</f>
        <v/>
      </c>
      <c r="G857">
        <f>HYPERLINK("https://mall.bilibili.com/neul-next/index.html?page=magic-market_detail&amp;noTitleBar=1&amp;itemsId=109878634476&amp;from=market_index", "点击打开")</f>
        <v/>
      </c>
    </row>
    <row r="858">
      <c r="A858" t="inlineStr">
        <is>
          <t>Union Creative 原创 92M原画 近视姐姐 泳装ver. 手办 通常版</t>
        </is>
      </c>
      <c r="B858" t="inlineStr">
        <is>
          <t>400.00元</t>
        </is>
      </c>
      <c r="C858" t="inlineStr">
        <is>
          <t>850.00元</t>
        </is>
      </c>
      <c r="D858" t="inlineStr">
        <is>
          <t>450.00元</t>
        </is>
      </c>
      <c r="E858" t="inlineStr">
        <is>
          <t>4.7折</t>
        </is>
      </c>
      <c r="F858">
        <f>HYPERLINK("https://i0.hdslb.com/bfs/mall/mall/37/d4/37d4dcf97ec79a54f6e5a4c8b7960934.png", "点击查看图片")</f>
        <v/>
      </c>
      <c r="G858">
        <f>HYPERLINK("https://mall.bilibili.com/neul-next/index.html?page=magic-market_detail&amp;noTitleBar=1&amp;itemsId=111922037678&amp;from=market_index", "点击打开")</f>
        <v/>
      </c>
    </row>
    <row r="859">
      <c r="A859" t="inlineStr">
        <is>
          <t>SQUARE-ENIX  凯文&amp;夏洛特 可动手办</t>
        </is>
      </c>
      <c r="B859" t="inlineStr">
        <is>
          <t>450.00元</t>
        </is>
      </c>
      <c r="C859" t="inlineStr">
        <is>
          <t>1219.00元</t>
        </is>
      </c>
      <c r="D859" t="inlineStr">
        <is>
          <t>769.00元</t>
        </is>
      </c>
      <c r="E859" t="inlineStr">
        <is>
          <t>3.7折</t>
        </is>
      </c>
      <c r="F859">
        <f>HYPERLINK("https://i0.hdslb.com/bfs/mall/mall/87/31/8731552d29326ee3c94d528441e52be2.png", "点击查看图片")</f>
        <v/>
      </c>
      <c r="G859">
        <f>HYPERLINK("https://mall.bilibili.com/neul-next/index.html?page=magic-market_detail&amp;noTitleBar=1&amp;itemsId=106847702224&amp;from=market_index", "点击打开")</f>
        <v/>
      </c>
    </row>
    <row r="860">
      <c r="A860" t="inlineStr">
        <is>
          <t>BANPRESTO 石田大和&amp;加布兽 景品</t>
        </is>
      </c>
      <c r="B860" t="inlineStr">
        <is>
          <t>133.88元</t>
        </is>
      </c>
      <c r="C860" t="inlineStr">
        <is>
          <t>209.00元</t>
        </is>
      </c>
      <c r="D860" t="inlineStr">
        <is>
          <t>75.12元</t>
        </is>
      </c>
      <c r="E860" t="inlineStr">
        <is>
          <t>6.4折</t>
        </is>
      </c>
      <c r="F860">
        <f>HYPERLINK("https://i0.hdslb.com/bfs/mall/mall/4b/56/4b569c73166393b2e1178b8381cb3e34.png", "点击查看图片")</f>
        <v/>
      </c>
      <c r="G860">
        <f>HYPERLINK("https://mall.bilibili.com/neul-next/index.html?page=magic-market_detail&amp;noTitleBar=1&amp;itemsId=107076516424&amp;from=market_index", "点击打开")</f>
        <v/>
      </c>
    </row>
    <row r="861">
      <c r="A861" t="inlineStr">
        <is>
          <t>GSAS 白咲花 手办</t>
        </is>
      </c>
      <c r="B861" t="inlineStr">
        <is>
          <t>188.00元</t>
        </is>
      </c>
      <c r="C861" t="inlineStr">
        <is>
          <t>245.00元</t>
        </is>
      </c>
      <c r="D861" t="inlineStr">
        <is>
          <t>57.00元</t>
        </is>
      </c>
      <c r="E861" t="inlineStr">
        <is>
          <t>7.7折</t>
        </is>
      </c>
      <c r="F861">
        <f>HYPERLINK("https://i0.hdslb.com/bfs/mall/mall/88/09/88094dbb0d68a98ff24391fc8a365b3f.png", "点击查看图片")</f>
        <v/>
      </c>
      <c r="G861">
        <f>HYPERLINK("https://mall.bilibili.com/neul-next/index.html?page=magic-market_detail&amp;noTitleBar=1&amp;itemsId=109880301897&amp;from=market_index", "点击打开")</f>
        <v/>
      </c>
    </row>
    <row r="862">
      <c r="A862" t="inlineStr">
        <is>
          <t>ALTER 碧蓝航线 波拉 岸边的意外事件ver. 手办</t>
        </is>
      </c>
      <c r="B862" t="inlineStr">
        <is>
          <t>658.00元</t>
        </is>
      </c>
      <c r="C862" t="inlineStr">
        <is>
          <t>999.00元</t>
        </is>
      </c>
      <c r="D862" t="inlineStr">
        <is>
          <t>341.00元</t>
        </is>
      </c>
      <c r="E862" t="inlineStr">
        <is>
          <t>6.6折</t>
        </is>
      </c>
      <c r="F862">
        <f>HYPERLINK("https://i0.hdslb.com/bfs/mall/mall/bd/d0/bdd0c2f7e5b9996612c12729fc05c9fe.png", "点击查看图片")</f>
        <v/>
      </c>
      <c r="G862">
        <f>HYPERLINK("https://mall.bilibili.com/neul-next/index.html?page=magic-market_detail&amp;noTitleBar=1&amp;itemsId=109833244545&amp;from=market_index", "点击打开")</f>
        <v/>
      </c>
    </row>
    <row r="863">
      <c r="A863" t="inlineStr">
        <is>
          <t>TAITO 最终幻想VII：重制版 赤红十三  可动手办</t>
        </is>
      </c>
      <c r="B863" t="inlineStr">
        <is>
          <t>768.00元</t>
        </is>
      </c>
      <c r="C863" t="inlineStr">
        <is>
          <t>987.00元</t>
        </is>
      </c>
      <c r="D863" t="inlineStr">
        <is>
          <t>219.00元</t>
        </is>
      </c>
      <c r="E863" t="inlineStr">
        <is>
          <t>7.8折</t>
        </is>
      </c>
      <c r="F863">
        <f>HYPERLINK("https://i0.hdslb.com/bfs/mall/mall/7e/18/7e18d7c54193edb10e1b368120f8e303.png", "点击查看图片")</f>
        <v/>
      </c>
      <c r="G863">
        <f>HYPERLINK("https://mall.bilibili.com/neul-next/index.html?page=magic-market_detail&amp;noTitleBar=1&amp;itemsId=111916215576&amp;from=market_index", "点击打开")</f>
        <v/>
      </c>
    </row>
    <row r="864">
      <c r="A864" t="inlineStr">
        <is>
          <t>GSAS 小舟潮 正比手办</t>
        </is>
      </c>
      <c r="B864" t="inlineStr">
        <is>
          <t>499.00元</t>
        </is>
      </c>
      <c r="C864" t="inlineStr">
        <is>
          <t>565.00元</t>
        </is>
      </c>
      <c r="D864" t="inlineStr">
        <is>
          <t>66.00元</t>
        </is>
      </c>
      <c r="E864" t="inlineStr">
        <is>
          <t>8.8折</t>
        </is>
      </c>
      <c r="F864">
        <f>HYPERLINK("https://i0.hdslb.com/bfs/mall/mall/d1/1a/d11a12fb25a8f01eed61d9bb11823b2c.png", "点击查看图片")</f>
        <v/>
      </c>
      <c r="G864">
        <f>HYPERLINK("https://mall.bilibili.com/neul-next/index.html?page=magic-market_detail&amp;noTitleBar=1&amp;itemsId=111906798804&amp;from=market_index", "点击打开")</f>
        <v/>
      </c>
    </row>
    <row r="865">
      <c r="A865" t="inlineStr">
        <is>
          <t>PONY CANYON 利威尔·阿克曼 手办</t>
        </is>
      </c>
      <c r="B865" t="inlineStr">
        <is>
          <t>1688.00元</t>
        </is>
      </c>
      <c r="C865" t="inlineStr">
        <is>
          <t>2435.00元</t>
        </is>
      </c>
      <c r="D865" t="inlineStr">
        <is>
          <t>747.00元</t>
        </is>
      </c>
      <c r="E865" t="inlineStr">
        <is>
          <t>6.9折</t>
        </is>
      </c>
      <c r="F865">
        <f>HYPERLINK("https://i0.hdslb.com/bfs/mall/mall/89/38/893837af4a53786079fae48a3bedef22.png", "点击查看图片")</f>
        <v/>
      </c>
      <c r="G865">
        <f>HYPERLINK("https://mall.bilibili.com/neul-next/index.html?page=magic-market_detail&amp;noTitleBar=1&amp;itemsId=10988608899&amp;from=market_index", "点击打开")</f>
        <v/>
      </c>
    </row>
    <row r="866">
      <c r="A866" t="inlineStr">
        <is>
          <t>BeBox 水原千鹤 正比</t>
        </is>
      </c>
      <c r="B866" t="inlineStr">
        <is>
          <t>608.00元</t>
        </is>
      </c>
      <c r="C866" t="inlineStr">
        <is>
          <t>889.00元</t>
        </is>
      </c>
      <c r="D866" t="inlineStr">
        <is>
          <t>281.00元</t>
        </is>
      </c>
      <c r="E866" t="inlineStr">
        <is>
          <t>6.8折</t>
        </is>
      </c>
      <c r="F866">
        <f>HYPERLINK("https://i0.hdslb.com/bfs/mall/mall/38/1a/381a2869601274ce5d134ee370d0bbfe.png", "点击查看图片")</f>
        <v/>
      </c>
      <c r="G866">
        <f>HYPERLINK("https://mall.bilibili.com/neul-next/index.html?page=magic-market_detail&amp;noTitleBar=1&amp;itemsId=109883146719&amp;from=market_index", "点击打开")</f>
        <v/>
      </c>
    </row>
    <row r="867">
      <c r="A867" t="inlineStr">
        <is>
          <t>F:NEX 新世纪福音战士新剧场版：终 式波·明日香·兰格雷 冬季ver. 手办</t>
        </is>
      </c>
      <c r="B867" t="inlineStr">
        <is>
          <t>550.00元</t>
        </is>
      </c>
      <c r="C867" t="inlineStr">
        <is>
          <t>750.00元</t>
        </is>
      </c>
      <c r="D867" t="inlineStr">
        <is>
          <t>200.00元</t>
        </is>
      </c>
      <c r="E867" t="inlineStr">
        <is>
          <t>7.3折</t>
        </is>
      </c>
      <c r="F867">
        <f>HYPERLINK("https://i0.hdslb.com/bfs/mall/mall/d4/f6/d4f6c4990ac6efa87a7a8be46404b448.png", "点击查看图片")</f>
        <v/>
      </c>
      <c r="G867">
        <f>HYPERLINK("https://mall.bilibili.com/neul-next/index.html?page=magic-market_detail&amp;noTitleBar=1&amp;itemsId=111909766839&amp;from=market_index", "点击打开")</f>
        <v/>
      </c>
    </row>
    <row r="868">
      <c r="A868" t="inlineStr">
        <is>
          <t>F:NEX 狼与香辛料 赫萝 浴衣Ver. 手办</t>
        </is>
      </c>
      <c r="B868" t="inlineStr">
        <is>
          <t>700.00元</t>
        </is>
      </c>
      <c r="C868" t="inlineStr">
        <is>
          <t>915.00元</t>
        </is>
      </c>
      <c r="D868" t="inlineStr">
        <is>
          <t>215.00元</t>
        </is>
      </c>
      <c r="E868" t="inlineStr">
        <is>
          <t>7.7折</t>
        </is>
      </c>
      <c r="F868">
        <f>HYPERLINK("https://i0.hdslb.com/bfs/mall/mall/aa/0c/aa0c6caf8976d3e05fa7fafc7ca99f29.png", "点击查看图片")</f>
        <v/>
      </c>
      <c r="G868">
        <f>HYPERLINK("https://mall.bilibili.com/neul-next/index.html?page=magic-market_detail&amp;noTitleBar=1&amp;itemsId=111922130939&amp;from=market_index", "点击打开")</f>
        <v/>
      </c>
    </row>
    <row r="869">
      <c r="A869" t="inlineStr">
        <is>
          <t>角川 樱岛麻衣 兔女郎Ver. 手办</t>
        </is>
      </c>
      <c r="B869" t="inlineStr">
        <is>
          <t>238.00元</t>
        </is>
      </c>
      <c r="C869" t="inlineStr">
        <is>
          <t>299.00元</t>
        </is>
      </c>
      <c r="D869" t="inlineStr">
        <is>
          <t>61.00元</t>
        </is>
      </c>
      <c r="E869" t="inlineStr">
        <is>
          <t>8.0折</t>
        </is>
      </c>
      <c r="F869">
        <f>HYPERLINK("https://i0.hdslb.com/bfs/mall/mall/de/5f/de5f2a5d325217f4d894fa479420f734.png", "点击查看图片")</f>
        <v/>
      </c>
      <c r="G869">
        <f>HYPERLINK("https://mall.bilibili.com/neul-next/index.html?page=magic-market_detail&amp;noTitleBar=1&amp;itemsId=111917108307&amp;from=market_index", "点击打开")</f>
        <v/>
      </c>
    </row>
    <row r="870">
      <c r="A870" t="inlineStr">
        <is>
          <t>FuRyu 天乃理理沙 正比手办</t>
        </is>
      </c>
      <c r="B870" t="inlineStr">
        <is>
          <t>260.84元</t>
        </is>
      </c>
      <c r="C870" t="inlineStr">
        <is>
          <t>439.00元</t>
        </is>
      </c>
      <c r="D870" t="inlineStr">
        <is>
          <t>178.16元</t>
        </is>
      </c>
      <c r="E870" t="inlineStr">
        <is>
          <t>5.9折</t>
        </is>
      </c>
      <c r="F870">
        <f>HYPERLINK("https://i0.hdslb.com/bfs/mall/mall/9a/b7/9ab7ea84e6ae31ac30432fb38ff3d595.png", "点击查看图片")</f>
        <v/>
      </c>
      <c r="G870">
        <f>HYPERLINK("https://mall.bilibili.com/neul-next/index.html?page=magic-market_detail&amp;noTitleBar=1&amp;itemsId=111919644950&amp;from=market_index", "点击打开")</f>
        <v/>
      </c>
    </row>
    <row r="871">
      <c r="A871" t="inlineStr">
        <is>
          <t>ANIPLEX+ 后藤独 正比手办</t>
        </is>
      </c>
      <c r="B871" t="inlineStr">
        <is>
          <t>1169.00元</t>
        </is>
      </c>
      <c r="C871" t="inlineStr">
        <is>
          <t>1269.00元</t>
        </is>
      </c>
      <c r="D871" t="inlineStr">
        <is>
          <t>100.00元</t>
        </is>
      </c>
      <c r="E871" t="inlineStr">
        <is>
          <t>9.2折</t>
        </is>
      </c>
      <c r="F871">
        <f>HYPERLINK("https://i0.hdslb.com/bfs/mall/mall/90/25/90259d7a1406826292db36f8b958ad04.png", "点击查看图片")</f>
        <v/>
      </c>
      <c r="G871">
        <f>HYPERLINK("https://mall.bilibili.com/neul-next/index.html?page=magic-market_detail&amp;noTitleBar=1&amp;itemsId=107144791204&amp;from=market_index", "点击打开")</f>
        <v/>
      </c>
    </row>
    <row r="872">
      <c r="A872" t="inlineStr">
        <is>
          <t>SSF 五等分的新娘 中野一花 Floral Dress Ver. 手办</t>
        </is>
      </c>
      <c r="B872" t="inlineStr">
        <is>
          <t>1050.00元</t>
        </is>
      </c>
      <c r="C872" t="inlineStr">
        <is>
          <t>1349.00元</t>
        </is>
      </c>
      <c r="D872" t="inlineStr">
        <is>
          <t>299.00元</t>
        </is>
      </c>
      <c r="E872" t="inlineStr">
        <is>
          <t>7.8折</t>
        </is>
      </c>
      <c r="F872">
        <f>HYPERLINK("https://i0.hdslb.com/bfs/mall/mall/1c/12/1c122319e5dfbe95fd1cc99e3e2212b0.png", "点击查看图片")</f>
        <v/>
      </c>
      <c r="G872">
        <f>HYPERLINK("https://mall.bilibili.com/neul-next/index.html?page=magic-market_detail&amp;noTitleBar=1&amp;itemsId=110470208399&amp;from=market_index", "点击打开")</f>
        <v/>
      </c>
    </row>
    <row r="873">
      <c r="A873" t="inlineStr">
        <is>
          <t>OUR TREASURE 冰菓 千反田爱瑠 Summer Queens ver. 手办</t>
        </is>
      </c>
      <c r="B873" t="inlineStr">
        <is>
          <t>425.00元</t>
        </is>
      </c>
      <c r="C873" t="inlineStr">
        <is>
          <t>865.00元</t>
        </is>
      </c>
      <c r="D873" t="inlineStr">
        <is>
          <t>440.00元</t>
        </is>
      </c>
      <c r="E873" t="inlineStr">
        <is>
          <t>4.9折</t>
        </is>
      </c>
      <c r="F873">
        <f>HYPERLINK("https://i0.hdslb.com/bfs/mall/mall/e7/22/e722891dc949f46c3326160b54c46c3c.png", "点击查看图片")</f>
        <v/>
      </c>
      <c r="G873">
        <f>HYPERLINK("https://mall.bilibili.com/neul-next/index.html?page=magic-market_detail&amp;noTitleBar=1&amp;itemsId=109874935770&amp;from=market_index", "点击打开")</f>
        <v/>
      </c>
    </row>
    <row r="874">
      <c r="A874" t="inlineStr">
        <is>
          <t>GSC Fate/Grand Order Archer/贞德 手办</t>
        </is>
      </c>
      <c r="B874" t="inlineStr">
        <is>
          <t>688.00元</t>
        </is>
      </c>
      <c r="C874" t="inlineStr">
        <is>
          <t>1069.00元</t>
        </is>
      </c>
      <c r="D874" t="inlineStr">
        <is>
          <t>381.00元</t>
        </is>
      </c>
      <c r="E874" t="inlineStr">
        <is>
          <t>6.4折</t>
        </is>
      </c>
      <c r="F874">
        <f>HYPERLINK("https://i0.hdslb.com/bfs/mall/mall/54/33/5433d412cc14379097b955843b3acd15.png", "点击查看图片")</f>
        <v/>
      </c>
      <c r="G874">
        <f>HYPERLINK("https://mall.bilibili.com/neul-next/index.html?page=magic-market_detail&amp;noTitleBar=1&amp;itemsId=109833596901&amp;from=market_index", "点击打开")</f>
        <v/>
      </c>
    </row>
    <row r="875">
      <c r="A875" t="inlineStr">
        <is>
          <t>世嘉 初音未来  景品手办</t>
        </is>
      </c>
      <c r="B875" t="inlineStr">
        <is>
          <t>106.55元</t>
        </is>
      </c>
      <c r="C875" t="inlineStr">
        <is>
          <t>125.00元</t>
        </is>
      </c>
      <c r="D875" t="inlineStr">
        <is>
          <t>18.45元</t>
        </is>
      </c>
      <c r="E875" t="inlineStr">
        <is>
          <t>8.5折</t>
        </is>
      </c>
      <c r="F875">
        <f>HYPERLINK("https://i0.hdslb.com/bfs/mall/mall/14/61/1461c5c9e7bcc17d62e74fb6331a4b08.png", "点击查看图片")</f>
        <v/>
      </c>
      <c r="G875">
        <f>HYPERLINK("https://mall.bilibili.com/neul-next/index.html?page=magic-market_detail&amp;noTitleBar=1&amp;itemsId=111915815134&amp;from=market_index", "点击打开")</f>
        <v/>
      </c>
    </row>
    <row r="876">
      <c r="A876" t="inlineStr">
        <is>
          <t>Prime 1 Studio Cutie 1系列 新世纪福音战士 新剧场版 第五使徒 Q版手办</t>
        </is>
      </c>
      <c r="B876" t="inlineStr">
        <is>
          <t>268.00元</t>
        </is>
      </c>
      <c r="C876" t="inlineStr">
        <is>
          <t>315.00元</t>
        </is>
      </c>
      <c r="D876" t="inlineStr">
        <is>
          <t>47.00元</t>
        </is>
      </c>
      <c r="E876" t="inlineStr">
        <is>
          <t>8.5折</t>
        </is>
      </c>
      <c r="F876">
        <f>HYPERLINK("https://i0.hdslb.com/bfs/mall/mall/a1/c7/a1c7857deb184cd7156232819e9a3732.png", "点击查看图片")</f>
        <v/>
      </c>
      <c r="G876">
        <f>HYPERLINK("https://mall.bilibili.com/neul-next/index.html?page=magic-market_detail&amp;noTitleBar=1&amp;itemsId=111907714793&amp;from=market_index", "点击打开")</f>
        <v/>
      </c>
    </row>
    <row r="877">
      <c r="A877" t="inlineStr">
        <is>
          <t>FREEing 光之高扬斯卡娅 手办</t>
        </is>
      </c>
      <c r="B877" t="inlineStr">
        <is>
          <t>2200.83元</t>
        </is>
      </c>
      <c r="C877" t="inlineStr">
        <is>
          <t>3905.00元</t>
        </is>
      </c>
      <c r="D877" t="inlineStr">
        <is>
          <t>1704.17元</t>
        </is>
      </c>
      <c r="E877" t="inlineStr">
        <is>
          <t>5.6折</t>
        </is>
      </c>
      <c r="F877">
        <f>HYPERLINK("https://i0.hdslb.com/bfs/mall/mall/1f/5f/1f5f4e0d90dcfbe079b5e9ec1186036d.png", "点击查看图片")</f>
        <v/>
      </c>
      <c r="G877">
        <f>HYPERLINK("https://mall.bilibili.com/neul-next/index.html?page=magic-market_detail&amp;noTitleBar=1&amp;itemsId=111912068403&amp;from=market_index", "点击打开")</f>
        <v/>
      </c>
    </row>
    <row r="878">
      <c r="A878" t="inlineStr">
        <is>
          <t>ANIPLEX+ 井上泷奈 泳装 手办</t>
        </is>
      </c>
      <c r="B878" t="inlineStr">
        <is>
          <t>199.90元</t>
        </is>
      </c>
      <c r="C878" t="inlineStr">
        <is>
          <t>299.00元</t>
        </is>
      </c>
      <c r="D878" t="inlineStr">
        <is>
          <t>99.10元</t>
        </is>
      </c>
      <c r="E878" t="inlineStr">
        <is>
          <t>6.7折</t>
        </is>
      </c>
      <c r="F878">
        <f>HYPERLINK("https://i0.hdslb.com/bfs/mall/mall/eb/d5/ebd53768ac6dd3e00fd13b9931f4871f.png", "点击查看图片")</f>
        <v/>
      </c>
      <c r="G878">
        <f>HYPERLINK("https://mall.bilibili.com/neul-next/index.html?page=magic-market_detail&amp;noTitleBar=1&amp;itemsId=106809867019&amp;from=market_index", "点击打开")</f>
        <v/>
      </c>
    </row>
    <row r="879">
      <c r="A879" t="inlineStr">
        <is>
          <t>Solarain 芦毛酱 Lucky Dealer Ver. 手办</t>
        </is>
      </c>
      <c r="B879" t="inlineStr">
        <is>
          <t>432.00元</t>
        </is>
      </c>
      <c r="C879" t="inlineStr">
        <is>
          <t>777.00元</t>
        </is>
      </c>
      <c r="D879" t="inlineStr">
        <is>
          <t>345.00元</t>
        </is>
      </c>
      <c r="E879" t="inlineStr">
        <is>
          <t>5.6折</t>
        </is>
      </c>
      <c r="F879">
        <f>HYPERLINK("https://i0.hdslb.com/bfs/mall/mall/9d/95/9d95e909f2fdef4727d5bbc5855bea7f.png", "点击查看图片")</f>
        <v/>
      </c>
      <c r="G879">
        <f>HYPERLINK("https://mall.bilibili.com/neul-next/index.html?page=magic-market_detail&amp;noTitleBar=1&amp;itemsId=111908464808&amp;from=market_index", "点击打开")</f>
        <v/>
      </c>
    </row>
    <row r="880">
      <c r="A880" t="inlineStr">
        <is>
          <t>ANYCOLOR Enna Alouette 手办</t>
        </is>
      </c>
      <c r="B880" t="inlineStr">
        <is>
          <t>1142.27元</t>
        </is>
      </c>
      <c r="C880" t="inlineStr">
        <is>
          <t>1425.00元</t>
        </is>
      </c>
      <c r="D880" t="inlineStr">
        <is>
          <t>282.73元</t>
        </is>
      </c>
      <c r="E880" t="inlineStr">
        <is>
          <t>8.0折</t>
        </is>
      </c>
      <c r="F880">
        <f>HYPERLINK("https://i0.hdslb.com/bfs/mall/mall/ee/a6/eea6bf2cf2d976c0665deb330a867c94.png", "点击查看图片")</f>
        <v/>
      </c>
      <c r="G880">
        <f>HYPERLINK("https://mall.bilibili.com/neul-next/index.html?page=magic-market_detail&amp;noTitleBar=1&amp;itemsId=110459757941&amp;from=market_index", "点击打开")</f>
        <v/>
      </c>
    </row>
    <row r="881">
      <c r="A881" t="inlineStr">
        <is>
          <t>Solarain  Bibi 啦啦队兔女郎 ver.  正比手办</t>
        </is>
      </c>
      <c r="B881" t="inlineStr">
        <is>
          <t>489.74元</t>
        </is>
      </c>
      <c r="C881" t="inlineStr">
        <is>
          <t>888.00元</t>
        </is>
      </c>
      <c r="D881" t="inlineStr">
        <is>
          <t>398.26元</t>
        </is>
      </c>
      <c r="E881" t="inlineStr">
        <is>
          <t>5.5折</t>
        </is>
      </c>
      <c r="F881">
        <f>HYPERLINK("https://i0.hdslb.com/bfs/mall/mall/56/7f/567f95d04650ff05a7b6f16c7b6e1b02.png", "点击查看图片")</f>
        <v/>
      </c>
      <c r="G881">
        <f>HYPERLINK("https://mall.bilibili.com/neul-next/index.html?page=magic-market_detail&amp;noTitleBar=1&amp;itemsId=109884784552&amp;from=market_index", "点击打开")</f>
        <v/>
      </c>
    </row>
    <row r="882">
      <c r="A882" t="inlineStr">
        <is>
          <t>ALTER 碧蓝航线 凯旋 手办</t>
        </is>
      </c>
      <c r="B882" t="inlineStr">
        <is>
          <t>1458.00元</t>
        </is>
      </c>
      <c r="C882" t="inlineStr">
        <is>
          <t>1680.00元</t>
        </is>
      </c>
      <c r="D882" t="inlineStr">
        <is>
          <t>222.00元</t>
        </is>
      </c>
      <c r="E882" t="inlineStr">
        <is>
          <t>8.7折</t>
        </is>
      </c>
      <c r="F882">
        <f>HYPERLINK("https://i0.hdslb.com/bfs/mall/mall/24/bd/24bd918c46805d48a747ffd2e0a1672e.png", "点击查看图片")</f>
        <v/>
      </c>
      <c r="G882">
        <f>HYPERLINK("https://mall.bilibili.com/neul-next/index.html?page=magic-market_detail&amp;noTitleBar=1&amp;itemsId=109847522845&amp;from=market_index", "点击打开")</f>
        <v/>
      </c>
    </row>
    <row r="883">
      <c r="A883" t="inlineStr">
        <is>
          <t>Phat! 双涡轮 手办</t>
        </is>
      </c>
      <c r="B883" t="inlineStr">
        <is>
          <t>1350.00元</t>
        </is>
      </c>
      <c r="C883" t="inlineStr">
        <is>
          <t>1499.00元</t>
        </is>
      </c>
      <c r="D883" t="inlineStr">
        <is>
          <t>149.00元</t>
        </is>
      </c>
      <c r="E883" t="inlineStr">
        <is>
          <t>9.0折</t>
        </is>
      </c>
      <c r="F883">
        <f>HYPERLINK("https://i0.hdslb.com/bfs/mall/mall/9c/11/9c11f8865735dfad2dfa479d3d93c910.png", "点击查看图片")</f>
        <v/>
      </c>
      <c r="G883">
        <f>HYPERLINK("https://mall.bilibili.com/neul-next/index.html?page=magic-market_detail&amp;noTitleBar=1&amp;itemsId=110476894266&amp;from=market_index", "点击打开")</f>
        <v/>
      </c>
    </row>
    <row r="884">
      <c r="A884" t="inlineStr">
        <is>
          <t>FuRyu 日暮戈薇  正比手办</t>
        </is>
      </c>
      <c r="B884" t="inlineStr">
        <is>
          <t>198.00元</t>
        </is>
      </c>
      <c r="C884" t="inlineStr">
        <is>
          <t>289.00元</t>
        </is>
      </c>
      <c r="D884" t="inlineStr">
        <is>
          <t>91.00元</t>
        </is>
      </c>
      <c r="E884" t="inlineStr">
        <is>
          <t>6.9折</t>
        </is>
      </c>
      <c r="F884">
        <f>HYPERLINK("https://i0.hdslb.com/bfs/mall/mall/be/aa/beaa598e2f6569c6a4bcd10a5d0b0b6b.png", "点击查看图片")</f>
        <v/>
      </c>
      <c r="G884">
        <f>HYPERLINK("https://mall.bilibili.com/neul-next/index.html?page=magic-market_detail&amp;noTitleBar=1&amp;itemsId=111911077326&amp;from=market_index", "点击打开")</f>
        <v/>
      </c>
    </row>
    <row r="885">
      <c r="A885" t="inlineStr">
        <is>
          <t>阅文好物 奥黛丽·霍尔  Q版手办</t>
        </is>
      </c>
      <c r="B885" t="inlineStr">
        <is>
          <t>149.99元</t>
        </is>
      </c>
      <c r="C885" t="inlineStr">
        <is>
          <t>199.00元</t>
        </is>
      </c>
      <c r="D885" t="inlineStr">
        <is>
          <t>49.01元</t>
        </is>
      </c>
      <c r="E885" t="inlineStr">
        <is>
          <t>7.5折</t>
        </is>
      </c>
      <c r="F885">
        <f>HYPERLINK("https://i0.hdslb.com/bfs/mall/mall/02/ed/02ed504f136a15a10babcb154aeef43b.png", "点击查看图片")</f>
        <v/>
      </c>
      <c r="G885">
        <f>HYPERLINK("https://mall.bilibili.com/neul-next/index.html?page=magic-market_detail&amp;noTitleBar=1&amp;itemsId=111911096832&amp;from=market_index", "点击打开")</f>
        <v/>
      </c>
    </row>
    <row r="886">
      <c r="A886" t="inlineStr">
        <is>
          <t>Phat! 霞之丘诗羽 手办</t>
        </is>
      </c>
      <c r="B886" t="inlineStr">
        <is>
          <t>588.00元</t>
        </is>
      </c>
      <c r="C886" t="inlineStr">
        <is>
          <t>755.00元</t>
        </is>
      </c>
      <c r="D886" t="inlineStr">
        <is>
          <t>167.00元</t>
        </is>
      </c>
      <c r="E886" t="inlineStr">
        <is>
          <t>7.8折</t>
        </is>
      </c>
      <c r="F886">
        <f>HYPERLINK("https://i0.hdslb.com/bfs/mall/mall/2c/06/2c06977fd1c2738c201681e985dd245b.png", "点击查看图片")</f>
        <v/>
      </c>
      <c r="G886">
        <f>HYPERLINK("https://mall.bilibili.com/neul-next/index.html?page=magic-market_detail&amp;noTitleBar=1&amp;itemsId=111916381165&amp;from=market_index", "点击打开")</f>
        <v/>
      </c>
    </row>
    <row r="887">
      <c r="A887" t="inlineStr">
        <is>
          <t>CCP 初号机 手办</t>
        </is>
      </c>
      <c r="B887" t="inlineStr">
        <is>
          <t>1499.00元</t>
        </is>
      </c>
      <c r="C887" t="inlineStr">
        <is>
          <t>1499.00元</t>
        </is>
      </c>
      <c r="D887" t="inlineStr">
        <is>
          <t>0.00元</t>
        </is>
      </c>
      <c r="E887" t="inlineStr">
        <is>
          <t>10.0折</t>
        </is>
      </c>
      <c r="F887">
        <f>HYPERLINK("https://i0.hdslb.com/bfs/mall/mall/e3/1c/e31c9778db99640b9a6f03f0e3308021.png", "点击查看图片")</f>
        <v/>
      </c>
      <c r="G887">
        <f>HYPERLINK("https://mall.bilibili.com/neul-next/index.html?page=magic-market_detail&amp;noTitleBar=1&amp;itemsId=107085609772&amp;from=market_index", "点击打开")</f>
        <v/>
      </c>
    </row>
    <row r="888">
      <c r="A888" t="inlineStr">
        <is>
          <t>世嘉 拉姆&amp;幼年期拉姆 手办</t>
        </is>
      </c>
      <c r="B888" t="inlineStr">
        <is>
          <t>830.00元</t>
        </is>
      </c>
      <c r="C888" t="inlineStr">
        <is>
          <t>1099.00元</t>
        </is>
      </c>
      <c r="D888" t="inlineStr">
        <is>
          <t>269.00元</t>
        </is>
      </c>
      <c r="E888" t="inlineStr">
        <is>
          <t>7.6折</t>
        </is>
      </c>
      <c r="F888">
        <f>HYPERLINK("https://i0.hdslb.com/bfs/mall/mall/fe/23/fe2318d7ba9cf5203343db82698f35bd.png", "点击查看图片")</f>
        <v/>
      </c>
      <c r="G888">
        <f>HYPERLINK("https://mall.bilibili.com/neul-next/index.html?page=magic-market_detail&amp;noTitleBar=1&amp;itemsId=109861250175&amp;from=market_index", "点击打开")</f>
        <v/>
      </c>
    </row>
    <row r="889">
      <c r="A889" t="inlineStr">
        <is>
          <t>BANPRESTO 邦德C款 景品</t>
        </is>
      </c>
      <c r="B889" t="inlineStr">
        <is>
          <t>60.00元</t>
        </is>
      </c>
      <c r="C889" t="inlineStr">
        <is>
          <t>89.00元</t>
        </is>
      </c>
      <c r="D889" t="inlineStr">
        <is>
          <t>29.00元</t>
        </is>
      </c>
      <c r="E889" t="inlineStr">
        <is>
          <t>6.7折</t>
        </is>
      </c>
      <c r="F889">
        <f>HYPERLINK("https://i0.hdslb.com/bfs/mall/mall/dc/86/dc864bdf51bb1b7b296d6a01156e8e82.png", "点击查看图片")</f>
        <v/>
      </c>
      <c r="G889">
        <f>HYPERLINK("https://mall.bilibili.com/neul-next/index.html?page=magic-market_detail&amp;noTitleBar=1&amp;itemsId=107147290387&amp;from=market_index", "点击打开")</f>
        <v/>
      </c>
    </row>
    <row r="890">
      <c r="A890" t="inlineStr">
        <is>
          <t>OUR TREASURE 别当欧尼酱了！ 绪山真寻 Summer Queens Ver. 手办</t>
        </is>
      </c>
      <c r="B890" t="inlineStr">
        <is>
          <t>499.99元</t>
        </is>
      </c>
      <c r="C890" t="inlineStr">
        <is>
          <t>1015.00元</t>
        </is>
      </c>
      <c r="D890" t="inlineStr">
        <is>
          <t>515.01元</t>
        </is>
      </c>
      <c r="E890" t="inlineStr">
        <is>
          <t>4.9折</t>
        </is>
      </c>
      <c r="F890">
        <f>HYPERLINK("https://i0.hdslb.com/bfs/mall/mall/65/9f/659f03354dc66d7dd39e0756f42ef500.png", "点击查看图片")</f>
        <v/>
      </c>
      <c r="G890">
        <f>HYPERLINK("https://mall.bilibili.com/neul-next/index.html?page=magic-market_detail&amp;noTitleBar=1&amp;itemsId=106818146143&amp;from=market_index", "点击打开")</f>
        <v/>
      </c>
    </row>
    <row r="891">
      <c r="A891" t="inlineStr">
        <is>
          <t>GSC  时崎狂三  制服Ver. L size 手办</t>
        </is>
      </c>
      <c r="B891" t="inlineStr">
        <is>
          <t>349.00元</t>
        </is>
      </c>
      <c r="C891" t="inlineStr">
        <is>
          <t>395.00元</t>
        </is>
      </c>
      <c r="D891" t="inlineStr">
        <is>
          <t>46.00元</t>
        </is>
      </c>
      <c r="E891" t="inlineStr">
        <is>
          <t>8.8折</t>
        </is>
      </c>
      <c r="F891">
        <f>HYPERLINK("https://i0.hdslb.com/bfs/mall/mall/5a/1b/5a1b4ec19756136a6a946257e88b3ace.png", "点击查看图片")</f>
        <v/>
      </c>
      <c r="G891">
        <f>HYPERLINK("https://mall.bilibili.com/neul-next/index.html?page=magic-market_detail&amp;noTitleBar=1&amp;itemsId=111914477922&amp;from=market_index", "点击打开")</f>
        <v/>
      </c>
    </row>
    <row r="892">
      <c r="A892" t="inlineStr">
        <is>
          <t>Plum 巧克力 正比手办 再版</t>
        </is>
      </c>
      <c r="B892" t="inlineStr">
        <is>
          <t>480.00元</t>
        </is>
      </c>
      <c r="C892" t="inlineStr">
        <is>
          <t>857.00元</t>
        </is>
      </c>
      <c r="D892" t="inlineStr">
        <is>
          <t>377.00元</t>
        </is>
      </c>
      <c r="E892" t="inlineStr">
        <is>
          <t>5.6折</t>
        </is>
      </c>
      <c r="F892">
        <f>HYPERLINK("https://i0.hdslb.com/bfs/mall/mall/87/89/87891e7c0ee43b6e70993ebc95984f69.png", "点击查看图片")</f>
        <v/>
      </c>
      <c r="G892">
        <f>HYPERLINK("https://mall.bilibili.com/neul-next/index.html?page=magic-market_detail&amp;noTitleBar=1&amp;itemsId=120669733137&amp;from=market_index", "点击打开")</f>
        <v/>
      </c>
    </row>
    <row r="893">
      <c r="A893" t="inlineStr">
        <is>
          <t>ALTER 獒&amp;犬 至高焦点&amp;巅峰时速ver. 手办</t>
        </is>
      </c>
      <c r="B893" t="inlineStr">
        <is>
          <t>1588.00元</t>
        </is>
      </c>
      <c r="C893" t="inlineStr">
        <is>
          <t>1950.00元</t>
        </is>
      </c>
      <c r="D893" t="inlineStr">
        <is>
          <t>362.00元</t>
        </is>
      </c>
      <c r="E893" t="inlineStr">
        <is>
          <t>8.1折</t>
        </is>
      </c>
      <c r="F893">
        <f>HYPERLINK("https://i0.hdslb.com/bfs/mall/mall/87/bf/87bff81b1869b513ba59640251c22ae3.png", "点击查看图片")</f>
        <v/>
      </c>
      <c r="G893">
        <f>HYPERLINK("https://mall.bilibili.com/neul-next/index.html?page=magic-market_detail&amp;noTitleBar=1&amp;itemsId=111921009758&amp;from=market_index", "点击打开")</f>
        <v/>
      </c>
    </row>
    <row r="894">
      <c r="A894" t="inlineStr">
        <is>
          <t>ANIPLEX+ 六车宫古 泳装ver.手办</t>
        </is>
      </c>
      <c r="B894" t="inlineStr">
        <is>
          <t>436.00元</t>
        </is>
      </c>
      <c r="C894" t="inlineStr">
        <is>
          <t>1030.00元</t>
        </is>
      </c>
      <c r="D894" t="inlineStr">
        <is>
          <t>594.00元</t>
        </is>
      </c>
      <c r="E894" t="inlineStr">
        <is>
          <t>4.2折</t>
        </is>
      </c>
      <c r="F894">
        <f>HYPERLINK("https://i0.hdslb.com/bfs/mall/mall/85/0e/850ef2a1513a0473ee05426016aef345.png", "点击查看图片")</f>
        <v/>
      </c>
      <c r="G894">
        <f>HYPERLINK("https://mall.bilibili.com/neul-next/index.html?page=magic-market_detail&amp;noTitleBar=1&amp;itemsId=111914262547&amp;from=market_index", "点击打开")</f>
        <v/>
      </c>
    </row>
    <row r="895">
      <c r="A895" t="inlineStr">
        <is>
          <t>FREEing 休比·多拉 兔女郎Ver. 正比手办</t>
        </is>
      </c>
      <c r="B895" t="inlineStr">
        <is>
          <t>2199.00元</t>
        </is>
      </c>
      <c r="C895" t="inlineStr">
        <is>
          <t>3109.00元</t>
        </is>
      </c>
      <c r="D895" t="inlineStr">
        <is>
          <t>910.00元</t>
        </is>
      </c>
      <c r="E895" t="inlineStr">
        <is>
          <t>7.1折</t>
        </is>
      </c>
      <c r="F895">
        <f>HYPERLINK("https://i0.hdslb.com/bfs/mall/mall/0a/e6/0ae65c39941ad555d910f01e54d3de0d.png", "点击查看图片")</f>
        <v/>
      </c>
      <c r="G895">
        <f>HYPERLINK("https://mall.bilibili.com/neul-next/index.html?page=magic-market_detail&amp;noTitleBar=1&amp;itemsId=106831108795&amp;from=market_index", "点击打开")</f>
        <v/>
      </c>
    </row>
    <row r="896">
      <c r="A896" t="inlineStr">
        <is>
          <t>GSC Kano Q版手办</t>
        </is>
      </c>
      <c r="B896" t="inlineStr">
        <is>
          <t>129.00元</t>
        </is>
      </c>
      <c r="C896" t="inlineStr">
        <is>
          <t>175.00元</t>
        </is>
      </c>
      <c r="D896" t="inlineStr">
        <is>
          <t>46.00元</t>
        </is>
      </c>
      <c r="E896" t="inlineStr">
        <is>
          <t>7.4折</t>
        </is>
      </c>
      <c r="F896">
        <f>HYPERLINK("https://i0.hdslb.com/bfs/mall/mall/68/8f/688fc6953c40002b2e61851bc5062860.png", "点击查看图片")</f>
        <v/>
      </c>
      <c r="G896">
        <f>HYPERLINK("https://mall.bilibili.com/neul-next/index.html?page=magic-market_detail&amp;noTitleBar=1&amp;itemsId=107140810383&amp;from=market_index", "点击打开")</f>
        <v/>
      </c>
    </row>
    <row r="897">
      <c r="A897" t="inlineStr">
        <is>
          <t>GSAS 萧逸 浮梦夏日长Ver. Q版手办</t>
        </is>
      </c>
      <c r="B897" t="inlineStr">
        <is>
          <t>389.23元</t>
        </is>
      </c>
      <c r="C897" t="inlineStr">
        <is>
          <t>445.00元</t>
        </is>
      </c>
      <c r="D897" t="inlineStr">
        <is>
          <t>55.77元</t>
        </is>
      </c>
      <c r="E897" t="inlineStr">
        <is>
          <t>8.7折</t>
        </is>
      </c>
      <c r="F897">
        <f>HYPERLINK("https://i0.hdslb.com/bfs/mall/mall/ad/83/ad83581bf8bd56c20004ca8314e77fa1.png", "点击查看图片")</f>
        <v/>
      </c>
      <c r="G897">
        <f>HYPERLINK("https://mall.bilibili.com/neul-next/index.html?page=magic-market_detail&amp;noTitleBar=1&amp;itemsId=111903943532&amp;from=market_index", "点击打开")</f>
        <v/>
      </c>
    </row>
    <row r="898">
      <c r="A898" t="inlineStr">
        <is>
          <t>宝可梦 皮卡丘 正比手办</t>
        </is>
      </c>
      <c r="B898" t="inlineStr">
        <is>
          <t>498.00元</t>
        </is>
      </c>
      <c r="C898" t="inlineStr">
        <is>
          <t>599.00元</t>
        </is>
      </c>
      <c r="D898" t="inlineStr">
        <is>
          <t>101.00元</t>
        </is>
      </c>
      <c r="E898" t="inlineStr">
        <is>
          <t>8.3折</t>
        </is>
      </c>
      <c r="F898">
        <f>HYPERLINK("https://i0.hdslb.com/bfs/mall/mall/41/5c/415c88b3fefe901684d1cdda50b170ac.png", "点击查看图片")</f>
        <v/>
      </c>
      <c r="G898">
        <f>HYPERLINK("https://mall.bilibili.com/neul-next/index.html?page=magic-market_detail&amp;noTitleBar=1&amp;itemsId=111915398913&amp;from=market_index", "点击打开")</f>
        <v/>
      </c>
    </row>
    <row r="899">
      <c r="A899" t="inlineStr">
        <is>
          <t>ANIPLEX+ Berserker/摩根 正比手办</t>
        </is>
      </c>
      <c r="B899" t="inlineStr">
        <is>
          <t>429.00元</t>
        </is>
      </c>
      <c r="C899" t="inlineStr">
        <is>
          <t>499.00元</t>
        </is>
      </c>
      <c r="D899" t="inlineStr">
        <is>
          <t>70.00元</t>
        </is>
      </c>
      <c r="E899" t="inlineStr">
        <is>
          <t>8.6折</t>
        </is>
      </c>
      <c r="F899">
        <f>HYPERLINK("https://i0.hdslb.com/bfs/mall/mall/20/e2/20e2566e5a76cb9bbd32f6d6b6bd5ec6.png", "点击查看图片")</f>
        <v/>
      </c>
      <c r="G899">
        <f>HYPERLINK("https://mall.bilibili.com/neul-next/index.html?page=magic-market_detail&amp;noTitleBar=1&amp;itemsId=120668818882&amp;from=market_index", "点击打开")</f>
        <v/>
      </c>
    </row>
    <row r="900">
      <c r="A900" t="inlineStr">
        <is>
          <t>Union Creative 怪物猎人 集会所的接待员 火芽 手办</t>
        </is>
      </c>
      <c r="B900" t="inlineStr">
        <is>
          <t>555.00元</t>
        </is>
      </c>
      <c r="C900" t="inlineStr">
        <is>
          <t>715.00元</t>
        </is>
      </c>
      <c r="D900" t="inlineStr">
        <is>
          <t>160.00元</t>
        </is>
      </c>
      <c r="E900" t="inlineStr">
        <is>
          <t>7.8折</t>
        </is>
      </c>
      <c r="F900">
        <f>HYPERLINK("https://i0.hdslb.com/bfs/mall/mall/f4/86/f486af1386613975e105489e6e13d68b.png", "点击查看图片")</f>
        <v/>
      </c>
      <c r="G900">
        <f>HYPERLINK("https://mall.bilibili.com/neul-next/index.html?page=magic-market_detail&amp;noTitleBar=1&amp;itemsId=111901939841&amp;from=market_index", "点击打开")</f>
        <v/>
      </c>
    </row>
    <row r="901">
      <c r="A901" t="inlineStr">
        <is>
          <t>宝可梦 小火龙 手办</t>
        </is>
      </c>
      <c r="B901" t="inlineStr">
        <is>
          <t>355.12元</t>
        </is>
      </c>
      <c r="C901" t="inlineStr">
        <is>
          <t>597.00元</t>
        </is>
      </c>
      <c r="D901" t="inlineStr">
        <is>
          <t>241.88元</t>
        </is>
      </c>
      <c r="E901" t="inlineStr">
        <is>
          <t>5.9折</t>
        </is>
      </c>
      <c r="F901">
        <f>HYPERLINK("https://i0.hdslb.com/bfs/mall/mall/3e/64/3e64e859b716ca21fa69eecb0290877c.png", "点击查看图片")</f>
        <v/>
      </c>
      <c r="G901">
        <f>HYPERLINK("https://mall.bilibili.com/neul-next/index.html?page=magic-market_detail&amp;noTitleBar=1&amp;itemsId=111906608092&amp;from=market_index", "点击打开")</f>
        <v/>
      </c>
    </row>
    <row r="902">
      <c r="A902" t="inlineStr">
        <is>
          <t>角川 某科学的超电磁炮 御坂美琴 呱太披风ver. 手办</t>
        </is>
      </c>
      <c r="B902" t="inlineStr">
        <is>
          <t>1134.00元</t>
        </is>
      </c>
      <c r="C902" t="inlineStr">
        <is>
          <t>1134.00元</t>
        </is>
      </c>
      <c r="D902" t="inlineStr">
        <is>
          <t>0.00元</t>
        </is>
      </c>
      <c r="E902" t="inlineStr">
        <is>
          <t>10.0折</t>
        </is>
      </c>
      <c r="F902">
        <f>HYPERLINK("https://i0.hdslb.com/bfs/mall/mall/9a/9e/9a9ee575bb63e1b31c204ebf6e560339.png", "点击查看图片")</f>
        <v/>
      </c>
      <c r="G902">
        <f>HYPERLINK("https://mall.bilibili.com/neul-next/index.html?page=magic-market_detail&amp;noTitleBar=1&amp;itemsId=109858967852&amp;from=market_index", "点击打开")</f>
        <v/>
      </c>
    </row>
    <row r="903">
      <c r="A903" t="inlineStr">
        <is>
          <t>Astrum Design 莉娜·马萨路·卡塔琳娜 手办</t>
        </is>
      </c>
      <c r="B903" t="inlineStr">
        <is>
          <t>769.00元</t>
        </is>
      </c>
      <c r="C903" t="inlineStr">
        <is>
          <t>988.00元</t>
        </is>
      </c>
      <c r="D903" t="inlineStr">
        <is>
          <t>219.00元</t>
        </is>
      </c>
      <c r="E903" t="inlineStr">
        <is>
          <t>7.8折</t>
        </is>
      </c>
      <c r="F903">
        <f>HYPERLINK("https://i0.hdslb.com/bfs/mall/mall/ab/59/ab59688ea9d4f1c426fc18be4d1e0deb.png", "点击查看图片")</f>
        <v/>
      </c>
      <c r="G903">
        <f>HYPERLINK("https://mall.bilibili.com/neul-next/index.html?page=magic-market_detail&amp;noTitleBar=1&amp;itemsId=109852422624&amp;from=market_index", "点击打开")</f>
        <v/>
      </c>
    </row>
    <row r="904">
      <c r="A904" t="inlineStr">
        <is>
          <t>ALTER 火奴鲁鲁 手办 轻装版</t>
        </is>
      </c>
      <c r="B904" t="inlineStr">
        <is>
          <t>868.00元</t>
        </is>
      </c>
      <c r="C904" t="inlineStr">
        <is>
          <t>1180.00元</t>
        </is>
      </c>
      <c r="D904" t="inlineStr">
        <is>
          <t>312.00元</t>
        </is>
      </c>
      <c r="E904" t="inlineStr">
        <is>
          <t>7.4折</t>
        </is>
      </c>
      <c r="F904">
        <f>HYPERLINK("https://i0.hdslb.com/bfs/mall/mall/9a/6e/9a6e5eef0ad4052320bd72f1665ab292.png", "点击查看图片")</f>
        <v/>
      </c>
      <c r="G904">
        <f>HYPERLINK("https://mall.bilibili.com/neul-next/index.html?page=magic-market_detail&amp;noTitleBar=1&amp;itemsId=109887002181&amp;from=market_index", "点击打开")</f>
        <v/>
      </c>
    </row>
    <row r="905">
      <c r="A905" t="inlineStr">
        <is>
          <t>世嘉 五条悟 觉醒 景品手办</t>
        </is>
      </c>
      <c r="B905" t="inlineStr">
        <is>
          <t>103.69元</t>
        </is>
      </c>
      <c r="C905" t="inlineStr">
        <is>
          <t>109.00元</t>
        </is>
      </c>
      <c r="D905" t="inlineStr">
        <is>
          <t>5.31元</t>
        </is>
      </c>
      <c r="E905" t="inlineStr">
        <is>
          <t>9.5折</t>
        </is>
      </c>
      <c r="F905">
        <f>HYPERLINK("https://i0.hdslb.com/bfs/mall/mall/74/c0/74c0b7ba9df0b6067cc86059fe399d1d.png", "点击查看图片")</f>
        <v/>
      </c>
      <c r="G905">
        <f>HYPERLINK("https://mall.bilibili.com/neul-next/index.html?page=magic-market_detail&amp;noTitleBar=1&amp;itemsId=109851187220&amp;from=market_index", "点击打开")</f>
        <v/>
      </c>
    </row>
    <row r="906">
      <c r="A906" t="inlineStr">
        <is>
          <t>宝可梦 梦幻 正比手办</t>
        </is>
      </c>
      <c r="B906" t="inlineStr">
        <is>
          <t>129.00元</t>
        </is>
      </c>
      <c r="C906" t="inlineStr">
        <is>
          <t>199.00元</t>
        </is>
      </c>
      <c r="D906" t="inlineStr">
        <is>
          <t>70.00元</t>
        </is>
      </c>
      <c r="E906" t="inlineStr">
        <is>
          <t>6.5折</t>
        </is>
      </c>
      <c r="F906">
        <f>HYPERLINK("https://i0.hdslb.com/bfs/mall/mall/af/94/af94ca18edc06db0e7c0f206fd525d2c.png", "点击查看图片")</f>
        <v/>
      </c>
      <c r="G906">
        <f>HYPERLINK("https://mall.bilibili.com/neul-next/index.html?page=magic-market_detail&amp;noTitleBar=1&amp;itemsId=111917009711&amp;from=market_index", "点击打开")</f>
        <v/>
      </c>
    </row>
    <row r="907">
      <c r="A907" t="inlineStr">
        <is>
          <t>游戏印象 咸鱼超大抱枕（80cm） 毛绒玩偶</t>
        </is>
      </c>
      <c r="B907" t="inlineStr">
        <is>
          <t>269.99元</t>
        </is>
      </c>
      <c r="C907" t="inlineStr">
        <is>
          <t>387.00元</t>
        </is>
      </c>
      <c r="D907" t="inlineStr">
        <is>
          <t>117.01元</t>
        </is>
      </c>
      <c r="E907" t="inlineStr">
        <is>
          <t>7.0折</t>
        </is>
      </c>
      <c r="F907">
        <f>HYPERLINK("https://i0.hdslb.com/bfs/mall/vendor/d9/7f/d97f8fc4b62ae451f48146db55dfce02.png", "点击查看图片")</f>
        <v/>
      </c>
      <c r="G907">
        <f>HYPERLINK("https://mall.bilibili.com/neul-next/index.html?page=magic-market_detail&amp;noTitleBar=1&amp;itemsId=109869636741&amp;from=market_index", "点击打开")</f>
        <v/>
      </c>
    </row>
    <row r="908">
      <c r="A908" t="inlineStr">
        <is>
          <t>F:NEX 虚拟主播 时雨羽衣 Masterpiece 1/4手办</t>
        </is>
      </c>
      <c r="B908" t="inlineStr">
        <is>
          <t>753.18元</t>
        </is>
      </c>
      <c r="C908" t="inlineStr">
        <is>
          <t>999.00元</t>
        </is>
      </c>
      <c r="D908" t="inlineStr">
        <is>
          <t>245.82元</t>
        </is>
      </c>
      <c r="E908" t="inlineStr">
        <is>
          <t>7.5折</t>
        </is>
      </c>
      <c r="F908">
        <f>HYPERLINK("https://i0.hdslb.com/bfs/mall/mall/78/b6/78b64d8cbe3a6e482612d98f692cc00b.png", "点击查看图片")</f>
        <v/>
      </c>
      <c r="G908">
        <f>HYPERLINK("https://mall.bilibili.com/neul-next/index.html?page=magic-market_detail&amp;noTitleBar=1&amp;itemsId=111913781862&amp;from=market_index", "点击打开")</f>
        <v/>
      </c>
    </row>
    <row r="909">
      <c r="A909" t="inlineStr">
        <is>
          <t>少女前线 M4 手办 进阶大礼包</t>
        </is>
      </c>
      <c r="B909" t="inlineStr">
        <is>
          <t>530.00元</t>
        </is>
      </c>
      <c r="C909" t="inlineStr">
        <is>
          <t>1470.00元</t>
        </is>
      </c>
      <c r="D909" t="inlineStr">
        <is>
          <t>940.00元</t>
        </is>
      </c>
      <c r="E909" t="inlineStr">
        <is>
          <t>3.6折</t>
        </is>
      </c>
      <c r="F909">
        <f>HYPERLINK("https://i0.hdslb.com/bfs/mall/mall/d7/c0/d7c0293dc3ce34eef322d05ab6b72984.png", "点击查看图片")</f>
        <v/>
      </c>
      <c r="G909">
        <f>HYPERLINK("https://mall.bilibili.com/neul-next/index.html?page=magic-market_detail&amp;noTitleBar=1&amp;itemsId=111922028834&amp;from=market_index", "点击打开")</f>
        <v/>
      </c>
    </row>
    <row r="910">
      <c r="A910" t="inlineStr">
        <is>
          <t>宝可梦 炎兔儿 正比手办</t>
        </is>
      </c>
      <c r="B910" t="inlineStr">
        <is>
          <t>185.00元</t>
        </is>
      </c>
      <c r="C910" t="inlineStr">
        <is>
          <t>276.00元</t>
        </is>
      </c>
      <c r="D910" t="inlineStr">
        <is>
          <t>91.00元</t>
        </is>
      </c>
      <c r="E910" t="inlineStr">
        <is>
          <t>6.7折</t>
        </is>
      </c>
      <c r="F910">
        <f>HYPERLINK("https://i0.hdslb.com/bfs/mall/mall/99/ff/99ff706bc5c0d5d3f693779d9e6abb6c.png", "点击查看图片")</f>
        <v/>
      </c>
      <c r="G910">
        <f>HYPERLINK("https://mall.bilibili.com/neul-next/index.html?page=magic-market_detail&amp;noTitleBar=1&amp;itemsId=106816412206&amp;from=market_index", "点击打开")</f>
        <v/>
      </c>
    </row>
    <row r="911">
      <c r="A911" t="inlineStr">
        <is>
          <t>AniGift 犬山玉姬 手办</t>
        </is>
      </c>
      <c r="B911" t="inlineStr">
        <is>
          <t>518.00元</t>
        </is>
      </c>
      <c r="C911" t="inlineStr">
        <is>
          <t>768.00元</t>
        </is>
      </c>
      <c r="D911" t="inlineStr">
        <is>
          <t>250.00元</t>
        </is>
      </c>
      <c r="E911" t="inlineStr">
        <is>
          <t>6.7折</t>
        </is>
      </c>
      <c r="F911">
        <f>HYPERLINK("https://i0.hdslb.com/bfs/mall/mall/3d/10/3d10bc3c5b453f4e3b63d396aeb42143.png", "点击查看图片")</f>
        <v/>
      </c>
      <c r="G911">
        <f>HYPERLINK("https://mall.bilibili.com/neul-next/index.html?page=magic-market_detail&amp;noTitleBar=1&amp;itemsId=111905843875&amp;from=market_index", "点击打开")</f>
        <v/>
      </c>
    </row>
    <row r="912">
      <c r="A912" t="inlineStr">
        <is>
          <t>FREEing OTs-14  Groza 晚宴的统治者 重创Ver. 手办</t>
        </is>
      </c>
      <c r="B912" t="inlineStr">
        <is>
          <t>1388.00元</t>
        </is>
      </c>
      <c r="C912" t="inlineStr">
        <is>
          <t>2279.00元</t>
        </is>
      </c>
      <c r="D912" t="inlineStr">
        <is>
          <t>891.00元</t>
        </is>
      </c>
      <c r="E912" t="inlineStr">
        <is>
          <t>6.1折</t>
        </is>
      </c>
      <c r="F912">
        <f>HYPERLINK("https://i0.hdslb.com/bfs/mall/mall/ad/22/ad221235d724e9029c3f42b2568e2cbf.png", "点击查看图片")</f>
        <v/>
      </c>
      <c r="G912">
        <f>HYPERLINK("https://mall.bilibili.com/neul-next/index.html?page=magic-market_detail&amp;noTitleBar=1&amp;itemsId=109867661313&amp;from=market_index", "点击打开")</f>
        <v/>
      </c>
    </row>
    <row r="913">
      <c r="A913" t="inlineStr">
        <is>
          <t>Spiritale 黑岩射手 黎明降临 皇后 手办</t>
        </is>
      </c>
      <c r="B913" t="inlineStr">
        <is>
          <t>2499.00元</t>
        </is>
      </c>
      <c r="C913" t="inlineStr">
        <is>
          <t>2750.00元</t>
        </is>
      </c>
      <c r="D913" t="inlineStr">
        <is>
          <t>251.00元</t>
        </is>
      </c>
      <c r="E913" t="inlineStr">
        <is>
          <t>9.1折</t>
        </is>
      </c>
      <c r="F913">
        <f>HYPERLINK("https://i0.hdslb.com/bfs/mall/mall/f5/ac/f5ac78b3ffce5a39916414627e4e1fea.png", "点击查看图片")</f>
        <v/>
      </c>
      <c r="G913">
        <f>HYPERLINK("https://mall.bilibili.com/neul-next/index.html?page=magic-market_detail&amp;noTitleBar=1&amp;itemsId=106894198877&amp;from=market_index", "点击打开")</f>
        <v/>
      </c>
    </row>
    <row r="914">
      <c r="A914" t="inlineStr">
        <is>
          <t>PROOF 魔女之旅 伊蕾娜 手办</t>
        </is>
      </c>
      <c r="B914" t="inlineStr">
        <is>
          <t>1341.48元</t>
        </is>
      </c>
      <c r="C914" t="inlineStr">
        <is>
          <t>1350.00元</t>
        </is>
      </c>
      <c r="D914" t="inlineStr">
        <is>
          <t>8.52元</t>
        </is>
      </c>
      <c r="E914" t="inlineStr">
        <is>
          <t>9.9折</t>
        </is>
      </c>
      <c r="F914">
        <f>HYPERLINK("https://i0.hdslb.com/bfs/mall/mall/c0/37/c037c8feb37fd00bfff597d5e826e439.png", "点击查看图片")</f>
        <v/>
      </c>
      <c r="G914">
        <f>HYPERLINK("https://mall.bilibili.com/neul-next/index.html?page=magic-market_detail&amp;noTitleBar=1&amp;itemsId=109888253067&amp;from=market_index", "点击打开")</f>
        <v/>
      </c>
    </row>
    <row r="915">
      <c r="A915" t="inlineStr">
        <is>
          <t>Phat! M4A1 MOD3 正比手办</t>
        </is>
      </c>
      <c r="B915" t="inlineStr">
        <is>
          <t>1074.92元</t>
        </is>
      </c>
      <c r="C915" t="inlineStr">
        <is>
          <t>1625.00元</t>
        </is>
      </c>
      <c r="D915" t="inlineStr">
        <is>
          <t>550.08元</t>
        </is>
      </c>
      <c r="E915" t="inlineStr">
        <is>
          <t>6.6折</t>
        </is>
      </c>
      <c r="F915">
        <f>HYPERLINK("https://i0.hdslb.com/bfs/mall/mall/a6/18/a618f529a68415e0442b556e103f4eaa.png", "点击查看图片")</f>
        <v/>
      </c>
      <c r="G915">
        <f>HYPERLINK("https://mall.bilibili.com/neul-next/index.html?page=magic-market_detail&amp;noTitleBar=1&amp;itemsId=111904950662&amp;from=market_index", "点击打开")</f>
        <v/>
      </c>
    </row>
    <row r="916">
      <c r="A916" t="inlineStr">
        <is>
          <t>TAITO 莱莎琳·斯托特 A賞 景品手办</t>
        </is>
      </c>
      <c r="B916" t="inlineStr">
        <is>
          <t>228.00元</t>
        </is>
      </c>
      <c r="C916" t="inlineStr">
        <is>
          <t>415.00元</t>
        </is>
      </c>
      <c r="D916" t="inlineStr">
        <is>
          <t>187.00元</t>
        </is>
      </c>
      <c r="E916" t="inlineStr">
        <is>
          <t>5.5折</t>
        </is>
      </c>
      <c r="F916">
        <f>HYPERLINK("https://i0.hdslb.com/bfs/mall/mall/2d/43/2d4316ee2416c538585990870bd8e945.png", "点击查看图片")</f>
        <v/>
      </c>
      <c r="G916">
        <f>HYPERLINK("https://mall.bilibili.com/neul-next/index.html?page=magic-market_detail&amp;noTitleBar=1&amp;itemsId=107061910755&amp;from=market_index", "点击打开")</f>
        <v/>
      </c>
    </row>
    <row r="917">
      <c r="A917" t="inlineStr">
        <is>
          <t>角川 OVERLORD 雅儿贝德 豪华绚烂和服Ver. 1/7手办</t>
        </is>
      </c>
      <c r="B917" t="inlineStr">
        <is>
          <t>1093.74元</t>
        </is>
      </c>
      <c r="C917" t="inlineStr">
        <is>
          <t>1659.00元</t>
        </is>
      </c>
      <c r="D917" t="inlineStr">
        <is>
          <t>565.26元</t>
        </is>
      </c>
      <c r="E917" t="inlineStr">
        <is>
          <t>6.6折</t>
        </is>
      </c>
      <c r="F917">
        <f>HYPERLINK("https://i0.hdslb.com/bfs/mall/mall/c7/6d/c76d20196d981b2ebefd4c26f9e555ec.png", "点击查看图片")</f>
        <v/>
      </c>
      <c r="G917">
        <f>HYPERLINK("https://mall.bilibili.com/neul-next/index.html?page=magic-market_detail&amp;noTitleBar=1&amp;itemsId=109849329646&amp;from=market_index", "点击打开")</f>
        <v/>
      </c>
    </row>
    <row r="918">
      <c r="A918" t="inlineStr">
        <is>
          <t>TAITO 喜多川海梦 卫衣Ver. 景品手办</t>
        </is>
      </c>
      <c r="B918" t="inlineStr">
        <is>
          <t>105.55元</t>
        </is>
      </c>
      <c r="C918" t="inlineStr">
        <is>
          <t>112.00元</t>
        </is>
      </c>
      <c r="D918" t="inlineStr">
        <is>
          <t>6.45元</t>
        </is>
      </c>
      <c r="E918" t="inlineStr">
        <is>
          <t>9.4折</t>
        </is>
      </c>
      <c r="F918">
        <f>HYPERLINK("https://i0.hdslb.com/bfs/mall/mall/f5/01/f5019404378f5031537da2c9b4d7ed30.png", "点击查看图片")</f>
        <v/>
      </c>
      <c r="G918">
        <f>HYPERLINK("https://mall.bilibili.com/neul-next/index.html?page=magic-market_detail&amp;noTitleBar=1&amp;itemsId=110482344718&amp;from=market_index", "点击打开")</f>
        <v/>
      </c>
    </row>
    <row r="919">
      <c r="A919" t="inlineStr">
        <is>
          <t>GSC 噶呜·古拉 手办 再版</t>
        </is>
      </c>
      <c r="B919" t="inlineStr">
        <is>
          <t>198.00元</t>
        </is>
      </c>
      <c r="C919" t="inlineStr">
        <is>
          <t>245.00元</t>
        </is>
      </c>
      <c r="D919" t="inlineStr">
        <is>
          <t>47.00元</t>
        </is>
      </c>
      <c r="E919" t="inlineStr">
        <is>
          <t>8.1折</t>
        </is>
      </c>
      <c r="F919">
        <f>HYPERLINK("https://i0.hdslb.com/bfs/mall/mall/4e/f7/4ef78fd9fb514fc745c48ec9f68e88a3.png", "点击查看图片")</f>
        <v/>
      </c>
      <c r="G919">
        <f>HYPERLINK("https://mall.bilibili.com/neul-next/index.html?page=magic-market_detail&amp;noTitleBar=1&amp;itemsId=106864765757&amp;from=market_index", "点击打开")</f>
        <v/>
      </c>
    </row>
    <row r="920">
      <c r="A920" t="inlineStr">
        <is>
          <t>Phat! 小鸟游星野 泳装 正比手办</t>
        </is>
      </c>
      <c r="B920" t="inlineStr">
        <is>
          <t>988.00元</t>
        </is>
      </c>
      <c r="C920" t="inlineStr">
        <is>
          <t>1455.00元</t>
        </is>
      </c>
      <c r="D920" t="inlineStr">
        <is>
          <t>467.00元</t>
        </is>
      </c>
      <c r="E920" t="inlineStr">
        <is>
          <t>6.8折</t>
        </is>
      </c>
      <c r="F920">
        <f>HYPERLINK("https://i0.hdslb.com/bfs/mall/mall/d2/ba/d2ba74014e4259c518b48d96d272acd6.png", "点击查看图片")</f>
        <v/>
      </c>
      <c r="G920">
        <f>HYPERLINK("https://mall.bilibili.com/neul-next/index.html?page=magic-market_detail&amp;noTitleBar=1&amp;itemsId=111918320318&amp;from=market_index", "点击打开")</f>
        <v/>
      </c>
    </row>
    <row r="921">
      <c r="A921" t="inlineStr">
        <is>
          <t>WANDERER  Fate/Apocrypha Ruler（贞德） 1/7手办</t>
        </is>
      </c>
      <c r="B921" t="inlineStr">
        <is>
          <t>700.00元</t>
        </is>
      </c>
      <c r="C921" t="inlineStr">
        <is>
          <t>980.00元</t>
        </is>
      </c>
      <c r="D921" t="inlineStr">
        <is>
          <t>280.00元</t>
        </is>
      </c>
      <c r="E921" t="inlineStr">
        <is>
          <t>7.1折</t>
        </is>
      </c>
      <c r="F921">
        <f>HYPERLINK("https://i0.hdslb.com/bfs/mall/mall/10/a5/10a5082bdd51d3d3f87837c97620270a.png", "点击查看图片")</f>
        <v/>
      </c>
      <c r="G921">
        <f>HYPERLINK("https://mall.bilibili.com/neul-next/index.html?page=magic-market_detail&amp;noTitleBar=1&amp;itemsId=111901945295&amp;from=market_index", "点击打开")</f>
        <v/>
      </c>
    </row>
    <row r="922">
      <c r="A922" t="inlineStr">
        <is>
          <t>BANPRESTO 利姆露·特恩佩斯特 景品手办</t>
        </is>
      </c>
      <c r="B922" t="inlineStr">
        <is>
          <t>85.00元</t>
        </is>
      </c>
      <c r="C922" t="inlineStr">
        <is>
          <t>129.00元</t>
        </is>
      </c>
      <c r="D922" t="inlineStr">
        <is>
          <t>44.00元</t>
        </is>
      </c>
      <c r="E922" t="inlineStr">
        <is>
          <t>6.6折</t>
        </is>
      </c>
      <c r="F922">
        <f>HYPERLINK("https://i0.hdslb.com/bfs/mall/mall/38/12/381219dd039ef7dab0e3919e54b59113.png", "点击查看图片")</f>
        <v/>
      </c>
      <c r="G922">
        <f>HYPERLINK("https://mall.bilibili.com/neul-next/index.html?page=magic-market_detail&amp;noTitleBar=1&amp;itemsId=106988365561&amp;from=market_index", "点击打开")</f>
        <v/>
      </c>
    </row>
    <row r="923">
      <c r="A923" t="inlineStr">
        <is>
          <t>ANYCOLOR 虚拟主播-彩虹社 Shu Yamino Summer ver. 1/7手办</t>
        </is>
      </c>
      <c r="B923" t="inlineStr">
        <is>
          <t>1086.00元</t>
        </is>
      </c>
      <c r="C923" t="inlineStr">
        <is>
          <t>1330.00元</t>
        </is>
      </c>
      <c r="D923" t="inlineStr">
        <is>
          <t>244.00元</t>
        </is>
      </c>
      <c r="E923" t="inlineStr">
        <is>
          <t>8.2折</t>
        </is>
      </c>
      <c r="F923">
        <f>HYPERLINK("https://i0.hdslb.com/bfs/mall/mall/b1/7a/b17ae8b5a4456ba061e741ceccd9e439.png", "点击查看图片")</f>
        <v/>
      </c>
      <c r="G923">
        <f>HYPERLINK("https://mall.bilibili.com/neul-next/index.html?page=magic-market_detail&amp;noTitleBar=1&amp;itemsId=109873793662&amp;from=market_index", "点击打开")</f>
        <v/>
      </c>
    </row>
    <row r="924">
      <c r="A924" t="inlineStr">
        <is>
          <t>德凯奥特曼 闪亮型 可动手办 进阶大礼包</t>
        </is>
      </c>
      <c r="B924" t="inlineStr">
        <is>
          <t>197.99元</t>
        </is>
      </c>
      <c r="C924" t="inlineStr">
        <is>
          <t>520.00元</t>
        </is>
      </c>
      <c r="D924" t="inlineStr">
        <is>
          <t>322.01元</t>
        </is>
      </c>
      <c r="E924" t="inlineStr">
        <is>
          <t>3.8折</t>
        </is>
      </c>
      <c r="F924">
        <f>HYPERLINK("https://i0.hdslb.com/bfs/mall/mall/e7/ce/e7ce716740cf0f3b383f2e83cd32f16c.png", "点击查看图片")</f>
        <v/>
      </c>
      <c r="G924">
        <f>HYPERLINK("https://mall.bilibili.com/neul-next/index.html?page=magic-market_detail&amp;noTitleBar=1&amp;itemsId=109853949079&amp;from=market_index", "点击打开")</f>
        <v/>
      </c>
    </row>
    <row r="925">
      <c r="A925" t="inlineStr">
        <is>
          <t>Solarain 福丸小糸 子夜怪物 Ver. 正比手办</t>
        </is>
      </c>
      <c r="B925" t="inlineStr">
        <is>
          <t>649.71元</t>
        </is>
      </c>
      <c r="C925" t="inlineStr">
        <is>
          <t>999.00元</t>
        </is>
      </c>
      <c r="D925" t="inlineStr">
        <is>
          <t>349.29元</t>
        </is>
      </c>
      <c r="E925" t="inlineStr">
        <is>
          <t>6.5折</t>
        </is>
      </c>
      <c r="F925">
        <f>HYPERLINK("https://i0.hdslb.com/bfs/mall/mall/8a/72/8a72e2a9e944a006592f0b87acf41ef4.png", "点击查看图片")</f>
        <v/>
      </c>
      <c r="G925">
        <f>HYPERLINK("https://mall.bilibili.com/neul-next/index.html?page=magic-market_detail&amp;noTitleBar=1&amp;itemsId=110460526934&amp;from=market_index", "点击打开")</f>
        <v/>
      </c>
    </row>
    <row r="926">
      <c r="A926" t="inlineStr">
        <is>
          <t>WING 狼帽子酱 手办</t>
        </is>
      </c>
      <c r="B926" t="inlineStr">
        <is>
          <t>788.00元</t>
        </is>
      </c>
      <c r="C926" t="inlineStr">
        <is>
          <t>1195.00元</t>
        </is>
      </c>
      <c r="D926" t="inlineStr">
        <is>
          <t>407.00元</t>
        </is>
      </c>
      <c r="E926" t="inlineStr">
        <is>
          <t>6.6折</t>
        </is>
      </c>
      <c r="F926">
        <f>HYPERLINK("https://i0.hdslb.com/bfs/mall/mall/9d/97/9d9796ae8045e58d9fbb37bd3655388e.png", "点击查看图片")</f>
        <v/>
      </c>
      <c r="G926">
        <f>HYPERLINK("https://mall.bilibili.com/neul-next/index.html?page=magic-market_detail&amp;noTitleBar=1&amp;itemsId=111915516688&amp;from=market_index", "点击打开")</f>
        <v/>
      </c>
    </row>
    <row r="927">
      <c r="A927" t="inlineStr">
        <is>
          <t>APEX 卡莎 正比手办</t>
        </is>
      </c>
      <c r="B927" t="inlineStr">
        <is>
          <t>500.00元</t>
        </is>
      </c>
      <c r="C927" t="inlineStr">
        <is>
          <t>699.00元</t>
        </is>
      </c>
      <c r="D927" t="inlineStr">
        <is>
          <t>199.00元</t>
        </is>
      </c>
      <c r="E927" t="inlineStr">
        <is>
          <t>7.2折</t>
        </is>
      </c>
      <c r="F927">
        <f>HYPERLINK("https://i0.hdslb.com/bfs/mall/mall/4c/a4/4ca41df87681a90744834591dc790393.png", "点击查看图片")</f>
        <v/>
      </c>
      <c r="G927">
        <f>HYPERLINK("https://mall.bilibili.com/neul-next/index.html?page=magic-market_detail&amp;noTitleBar=1&amp;itemsId=109813653736&amp;from=market_index", "点击打开")</f>
        <v/>
      </c>
    </row>
    <row r="928">
      <c r="A928" t="inlineStr">
        <is>
          <t>Phat! 荣进闪耀 正比手办</t>
        </is>
      </c>
      <c r="B928" t="inlineStr">
        <is>
          <t>1000.00元</t>
        </is>
      </c>
      <c r="C928" t="inlineStr">
        <is>
          <t>1425.00元</t>
        </is>
      </c>
      <c r="D928" t="inlineStr">
        <is>
          <t>425.00元</t>
        </is>
      </c>
      <c r="E928" t="inlineStr">
        <is>
          <t>7.0折</t>
        </is>
      </c>
      <c r="F928">
        <f>HYPERLINK("https://i0.hdslb.com/bfs/mall/mall/f5/26/f526a87052c5a09a5173c1a5cd3ecbe5.png", "点击查看图片")</f>
        <v/>
      </c>
      <c r="G928">
        <f>HYPERLINK("https://mall.bilibili.com/neul-next/index.html?page=magic-market_detail&amp;noTitleBar=1&amp;itemsId=111919310735&amp;from=market_index", "点击打开")</f>
        <v/>
      </c>
    </row>
    <row r="929">
      <c r="A929" t="inlineStr">
        <is>
          <t>GSC 天使的克罗塞尔 手办</t>
        </is>
      </c>
      <c r="B929" t="inlineStr">
        <is>
          <t>988.00元</t>
        </is>
      </c>
      <c r="C929" t="inlineStr">
        <is>
          <t>1189.00元</t>
        </is>
      </c>
      <c r="D929" t="inlineStr">
        <is>
          <t>201.00元</t>
        </is>
      </c>
      <c r="E929" t="inlineStr">
        <is>
          <t>8.3折</t>
        </is>
      </c>
      <c r="F929">
        <f>HYPERLINK("https://i0.hdslb.com/bfs/mall/mall/b4/6d/b46dd84501af6e69248600d8aa8f091e.png", "点击查看图片")</f>
        <v/>
      </c>
      <c r="G929">
        <f>HYPERLINK("https://mall.bilibili.com/neul-next/index.html?page=magic-market_detail&amp;noTitleBar=1&amp;itemsId=109869936750&amp;from=market_index", "点击打开")</f>
        <v/>
      </c>
    </row>
    <row r="930">
      <c r="A930" t="inlineStr">
        <is>
          <t>排球少年!! 泽村大地 Q版手办 再版 进阶大礼包</t>
        </is>
      </c>
      <c r="B930" t="inlineStr">
        <is>
          <t>205.00元</t>
        </is>
      </c>
      <c r="C930" t="inlineStr">
        <is>
          <t>604.00元</t>
        </is>
      </c>
      <c r="D930" t="inlineStr">
        <is>
          <t>399.00元</t>
        </is>
      </c>
      <c r="E930" t="inlineStr">
        <is>
          <t>3.4折</t>
        </is>
      </c>
      <c r="F930">
        <f>HYPERLINK("https://i0.hdslb.com/bfs/mall/mall/df/ce/dfcec6d164c30f1964f613238dd66838.png", "点击查看图片")</f>
        <v/>
      </c>
      <c r="G930">
        <f>HYPERLINK("https://mall.bilibili.com/neul-next/index.html?page=magic-market_detail&amp;noTitleBar=1&amp;itemsId=106924525814&amp;from=market_index", "点击打开")</f>
        <v/>
      </c>
    </row>
    <row r="931">
      <c r="A931" t="inlineStr">
        <is>
          <t>CAPCOM 天彗龙 正比手办 复刻版</t>
        </is>
      </c>
      <c r="B931" t="inlineStr">
        <is>
          <t>799.00元</t>
        </is>
      </c>
      <c r="C931" t="inlineStr">
        <is>
          <t>1139.00元</t>
        </is>
      </c>
      <c r="D931" t="inlineStr">
        <is>
          <t>340.00元</t>
        </is>
      </c>
      <c r="E931" t="inlineStr">
        <is>
          <t>7.0折</t>
        </is>
      </c>
      <c r="F931">
        <f>HYPERLINK("https://i0.hdslb.com/bfs/mall/mall/92/32/9232b1f7f71cea161754099f974ed2ce.png", "点击查看图片")</f>
        <v/>
      </c>
      <c r="G931">
        <f>HYPERLINK("https://mall.bilibili.com/neul-next/index.html?page=magic-market_detail&amp;noTitleBar=1&amp;itemsId=107139707982&amp;from=market_index", "点击打开")</f>
        <v/>
      </c>
    </row>
    <row r="932">
      <c r="A932" t="inlineStr">
        <is>
          <t>Nippon Columbia 圣剑学院的魔剑使 黎榭莉亚·雷·克里斯塔利亚 深红兔女郎ver. 1/6手办</t>
        </is>
      </c>
      <c r="B932" t="inlineStr">
        <is>
          <t>818.00元</t>
        </is>
      </c>
      <c r="C932" t="inlineStr">
        <is>
          <t>1050.00元</t>
        </is>
      </c>
      <c r="D932" t="inlineStr">
        <is>
          <t>232.00元</t>
        </is>
      </c>
      <c r="E932" t="inlineStr">
        <is>
          <t>7.8折</t>
        </is>
      </c>
      <c r="F932">
        <f>HYPERLINK("https://i0.hdslb.com/bfs/mall/mall/df/f6/dff639ae0d385df3b03e7de5440f9f7d.png", "点击查看图片")</f>
        <v/>
      </c>
      <c r="G932">
        <f>HYPERLINK("https://mall.bilibili.com/neul-next/index.html?page=magic-market_detail&amp;noTitleBar=1&amp;itemsId=106822337776&amp;from=market_index", "点击打开")</f>
        <v/>
      </c>
    </row>
    <row r="933">
      <c r="A933" t="inlineStr">
        <is>
          <t>DMM 岩屋爱 手办</t>
        </is>
      </c>
      <c r="B933" t="inlineStr">
        <is>
          <t>980.00元</t>
        </is>
      </c>
      <c r="C933" t="inlineStr">
        <is>
          <t>1465.00元</t>
        </is>
      </c>
      <c r="D933" t="inlineStr">
        <is>
          <t>485.00元</t>
        </is>
      </c>
      <c r="E933" t="inlineStr">
        <is>
          <t>6.7折</t>
        </is>
      </c>
      <c r="F933">
        <f>HYPERLINK("https://i0.hdslb.com/bfs/mall/mall/65/2e/652e0f548c5c25c02ae47cb642767c1a.png", "点击查看图片")</f>
        <v/>
      </c>
      <c r="G933">
        <f>HYPERLINK("https://mall.bilibili.com/neul-next/index.html?page=magic-market_detail&amp;noTitleBar=1&amp;itemsId=106822333434&amp;from=market_index", "点击打开")</f>
        <v/>
      </c>
    </row>
    <row r="934">
      <c r="A934" t="inlineStr">
        <is>
          <t>Wonderful Works 科洛蒂娅·巴兰茨  睡袍Ver.  手办</t>
        </is>
      </c>
      <c r="B934" t="inlineStr">
        <is>
          <t>920.00元</t>
        </is>
      </c>
      <c r="C934" t="inlineStr">
        <is>
          <t>1109.00元</t>
        </is>
      </c>
      <c r="D934" t="inlineStr">
        <is>
          <t>189.00元</t>
        </is>
      </c>
      <c r="E934" t="inlineStr">
        <is>
          <t>8.3折</t>
        </is>
      </c>
      <c r="F934">
        <f>HYPERLINK("https://i0.hdslb.com/bfs/mall/mall/75/51/75518b5828b2b7ea37e651c3f1d3b194.png", "点击查看图片")</f>
        <v/>
      </c>
      <c r="G934">
        <f>HYPERLINK("https://mall.bilibili.com/neul-next/index.html?page=magic-market_detail&amp;noTitleBar=1&amp;itemsId=107146105791&amp;from=market_index", "点击打开")</f>
        <v/>
      </c>
    </row>
    <row r="935">
      <c r="A935" t="inlineStr">
        <is>
          <t>Union Creative OVERLORD 雅儿贝德 so-bin ver. Limited Color 手办</t>
        </is>
      </c>
      <c r="B935" t="inlineStr">
        <is>
          <t>550.00元</t>
        </is>
      </c>
      <c r="C935" t="inlineStr">
        <is>
          <t>885.00元</t>
        </is>
      </c>
      <c r="D935" t="inlineStr">
        <is>
          <t>335.00元</t>
        </is>
      </c>
      <c r="E935" t="inlineStr">
        <is>
          <t>6.2折</t>
        </is>
      </c>
      <c r="F935">
        <f>HYPERLINK("https://i0.hdslb.com/bfs/mall/mall/cb/70/cb70713013cd45d11bdd433f504a5138.png", "点击查看图片")</f>
        <v/>
      </c>
      <c r="G935">
        <f>HYPERLINK("https://mall.bilibili.com/neul-next/index.html?page=magic-market_detail&amp;noTitleBar=1&amp;itemsId=106991290662&amp;from=market_index", "点击打开")</f>
        <v/>
      </c>
    </row>
    <row r="936">
      <c r="A936" t="inlineStr">
        <is>
          <t>Myethos 赵灵儿 正比手办</t>
        </is>
      </c>
      <c r="B936" t="inlineStr">
        <is>
          <t>180.00元</t>
        </is>
      </c>
      <c r="C936" t="inlineStr">
        <is>
          <t>199.00元</t>
        </is>
      </c>
      <c r="D936" t="inlineStr">
        <is>
          <t>19.00元</t>
        </is>
      </c>
      <c r="E936" t="inlineStr">
        <is>
          <t>9.0折</t>
        </is>
      </c>
      <c r="F936">
        <f>HYPERLINK("https://i0.hdslb.com/bfs/mall/mall/17/22/17227bc1d08177f085282d24c3b7c5c0.png", "点击查看图片")</f>
        <v/>
      </c>
      <c r="G936">
        <f>HYPERLINK("https://mall.bilibili.com/neul-next/index.html?page=magic-market_detail&amp;noTitleBar=1&amp;itemsId=109850857463&amp;from=market_index", "点击打开")</f>
        <v/>
      </c>
    </row>
    <row r="937">
      <c r="A937" t="inlineStr">
        <is>
          <t>FREEing 雪未来 手办 再版</t>
        </is>
      </c>
      <c r="B937" t="inlineStr">
        <is>
          <t>1298.19元</t>
        </is>
      </c>
      <c r="C937" t="inlineStr">
        <is>
          <t>2009.00元</t>
        </is>
      </c>
      <c r="D937" t="inlineStr">
        <is>
          <t>710.81元</t>
        </is>
      </c>
      <c r="E937" t="inlineStr">
        <is>
          <t>6.5折</t>
        </is>
      </c>
      <c r="F937">
        <f>HYPERLINK("https://i0.hdslb.com/bfs/mall/mall/86/ee/86ee305ed8d92e7ef63409108032dc58.png", "点击查看图片")</f>
        <v/>
      </c>
      <c r="G937">
        <f>HYPERLINK("https://mall.bilibili.com/neul-next/index.html?page=magic-market_detail&amp;noTitleBar=1&amp;itemsId=109860996071&amp;from=market_index", "点击打开")</f>
        <v/>
      </c>
    </row>
    <row r="938">
      <c r="A938" t="inlineStr">
        <is>
          <t>寿屋 勇者赫鲁库 瓦米里奥 手办</t>
        </is>
      </c>
      <c r="B938" t="inlineStr">
        <is>
          <t>738.00元</t>
        </is>
      </c>
      <c r="C938" t="inlineStr">
        <is>
          <t>905.00元</t>
        </is>
      </c>
      <c r="D938" t="inlineStr">
        <is>
          <t>167.00元</t>
        </is>
      </c>
      <c r="E938" t="inlineStr">
        <is>
          <t>8.2折</t>
        </is>
      </c>
      <c r="F938">
        <f>HYPERLINK("https://i0.hdslb.com/bfs/mall/mall/68/7c/687c09f5a55c6493355bae49c9139c52.png", "点击查看图片")</f>
        <v/>
      </c>
      <c r="G938">
        <f>HYPERLINK("https://mall.bilibili.com/neul-next/index.html?page=magic-market_detail&amp;noTitleBar=1&amp;itemsId=110460509934&amp;from=market_index", "点击打开")</f>
        <v/>
      </c>
    </row>
    <row r="939">
      <c r="A939" t="inlineStr">
        <is>
          <t xml:space="preserve"> F:NEX 罗德尼 手办</t>
        </is>
      </c>
      <c r="B939" t="inlineStr">
        <is>
          <t>999.00元</t>
        </is>
      </c>
      <c r="C939" t="inlineStr">
        <is>
          <t>1499.00元</t>
        </is>
      </c>
      <c r="D939" t="inlineStr">
        <is>
          <t>500.00元</t>
        </is>
      </c>
      <c r="E939" t="inlineStr">
        <is>
          <t>6.7折</t>
        </is>
      </c>
      <c r="F939">
        <f>HYPERLINK("https://i0.hdslb.com/bfs/mall/mall/a6/85/a6850d5614a7958f02d579d39e6543d1.png", "点击查看图片")</f>
        <v/>
      </c>
      <c r="G939">
        <f>HYPERLINK("https://mall.bilibili.com/neul-next/index.html?page=magic-market_detail&amp;noTitleBar=1&amp;itemsId=107069383861&amp;from=market_index", "点击打开")</f>
        <v/>
      </c>
    </row>
    <row r="940">
      <c r="A940" t="inlineStr">
        <is>
          <t>Hobbymax M4 SOPMOD Ⅱ 酒席的扫荡者Ver. 手办</t>
        </is>
      </c>
      <c r="B940" t="inlineStr">
        <is>
          <t>568.00元</t>
        </is>
      </c>
      <c r="C940" t="inlineStr">
        <is>
          <t>798.00元</t>
        </is>
      </c>
      <c r="D940" t="inlineStr">
        <is>
          <t>230.00元</t>
        </is>
      </c>
      <c r="E940" t="inlineStr">
        <is>
          <t>7.1折</t>
        </is>
      </c>
      <c r="F940">
        <f>HYPERLINK("https://i0.hdslb.com/bfs/mall/mall/49/b4/49b40797e75f9b4d6e5daed638896a91.png", "点击查看图片")</f>
        <v/>
      </c>
      <c r="G940">
        <f>HYPERLINK("https://mall.bilibili.com/neul-next/index.html?page=magic-market_detail&amp;noTitleBar=1&amp;itemsId=110464182227&amp;from=market_index", "点击打开")</f>
        <v/>
      </c>
    </row>
    <row r="941">
      <c r="A941" t="inlineStr">
        <is>
          <t>AniMester大漫匠 明日香 手办</t>
        </is>
      </c>
      <c r="B941" t="inlineStr">
        <is>
          <t>900.00元</t>
        </is>
      </c>
      <c r="C941" t="inlineStr">
        <is>
          <t>980.00元</t>
        </is>
      </c>
      <c r="D941" t="inlineStr">
        <is>
          <t>80.00元</t>
        </is>
      </c>
      <c r="E941" t="inlineStr">
        <is>
          <t>9.2折</t>
        </is>
      </c>
      <c r="F941">
        <f>HYPERLINK("https://i0.hdslb.com/bfs/mall/mall/0b/7b/0b7b3193944323540a2e7e7f46d844b5.png", "点击查看图片")</f>
        <v/>
      </c>
      <c r="G941">
        <f>HYPERLINK("https://mall.bilibili.com/neul-next/index.html?page=magic-market_detail&amp;noTitleBar=1&amp;itemsId=106984694598&amp;from=market_index", "点击打开")</f>
        <v/>
      </c>
    </row>
    <row r="942">
      <c r="A942" t="inlineStr">
        <is>
          <t>寿屋 我的青春恋爱物语果然有问题。 由比滨结衣 手办 再版</t>
        </is>
      </c>
      <c r="B942" t="inlineStr">
        <is>
          <t>528.00元</t>
        </is>
      </c>
      <c r="C942" t="inlineStr">
        <is>
          <t>610.00元</t>
        </is>
      </c>
      <c r="D942" t="inlineStr">
        <is>
          <t>82.00元</t>
        </is>
      </c>
      <c r="E942" t="inlineStr">
        <is>
          <t>8.7折</t>
        </is>
      </c>
      <c r="F942">
        <f>HYPERLINK("https://i0.hdslb.com/bfs/mall/mall/24/70/2470337f96110ce70a5585082c5128f5.png", "点击查看图片")</f>
        <v/>
      </c>
      <c r="G942">
        <f>HYPERLINK("https://mall.bilibili.com/neul-next/index.html?page=magic-market_detail&amp;noTitleBar=1&amp;itemsId=110457762992&amp;from=market_index", "点击打开")</f>
        <v/>
      </c>
    </row>
    <row r="943">
      <c r="A943" t="inlineStr">
        <is>
          <t>Prime 1 Studio 盾之勇者成名录 拉芙塔莉雅 幼年Ver. 1/7手办</t>
        </is>
      </c>
      <c r="B943" t="inlineStr">
        <is>
          <t>1299.00元</t>
        </is>
      </c>
      <c r="C943" t="inlineStr">
        <is>
          <t>1899.00元</t>
        </is>
      </c>
      <c r="D943" t="inlineStr">
        <is>
          <t>600.00元</t>
        </is>
      </c>
      <c r="E943" t="inlineStr">
        <is>
          <t>6.8折</t>
        </is>
      </c>
      <c r="F943">
        <f>HYPERLINK("https://i0.hdslb.com/bfs/mall/mall/13/52/135201256f7c71b84337771dc14b4443.png", "点击查看图片")</f>
        <v/>
      </c>
      <c r="G943">
        <f>HYPERLINK("https://mall.bilibili.com/neul-next/index.html?page=magic-market_detail&amp;noTitleBar=1&amp;itemsId=106919996296&amp;from=market_index", "点击打开")</f>
        <v/>
      </c>
    </row>
    <row r="944">
      <c r="A944" t="inlineStr">
        <is>
          <t>寿屋 洛基 手办</t>
        </is>
      </c>
      <c r="B944" t="inlineStr">
        <is>
          <t>520.00元</t>
        </is>
      </c>
      <c r="C944" t="inlineStr">
        <is>
          <t>825.00元</t>
        </is>
      </c>
      <c r="D944" t="inlineStr">
        <is>
          <t>305.00元</t>
        </is>
      </c>
      <c r="E944" t="inlineStr">
        <is>
          <t>6.3折</t>
        </is>
      </c>
      <c r="F944">
        <f>HYPERLINK("https://i0.hdslb.com/bfs/mall/mall/f3/6e/f36ed26d5f006fac0f90f655d883e029.png", "点击查看图片")</f>
        <v/>
      </c>
      <c r="G944">
        <f>HYPERLINK("https://mall.bilibili.com/neul-next/index.html?page=magic-market_detail&amp;noTitleBar=1&amp;itemsId=106819798934&amp;from=market_index", "点击打开")</f>
        <v/>
      </c>
    </row>
    <row r="945">
      <c r="A945" t="inlineStr">
        <is>
          <t>GSC Ruby Rose 清醒梦 正比手办</t>
        </is>
      </c>
      <c r="B945" t="inlineStr">
        <is>
          <t>1488.00元</t>
        </is>
      </c>
      <c r="C945" t="inlineStr">
        <is>
          <t>1505.00元</t>
        </is>
      </c>
      <c r="D945" t="inlineStr">
        <is>
          <t>17.00元</t>
        </is>
      </c>
      <c r="E945" t="inlineStr">
        <is>
          <t>9.9折</t>
        </is>
      </c>
      <c r="F945">
        <f>HYPERLINK("https://i0.hdslb.com/bfs/mall/mall/b0/00/b00019b155959438adb1c501eddd7e16.png", "点击查看图片")</f>
        <v/>
      </c>
      <c r="G945">
        <f>HYPERLINK("https://mall.bilibili.com/neul-next/index.html?page=magic-market_detail&amp;noTitleBar=1&amp;itemsId=106819820705&amp;from=market_index", "点击打开")</f>
        <v/>
      </c>
    </row>
    <row r="946">
      <c r="A946" t="inlineStr">
        <is>
          <t>GSC 初音未来 0x27 Eternal Stream 手办</t>
        </is>
      </c>
      <c r="B946" t="inlineStr">
        <is>
          <t>1480.00元</t>
        </is>
      </c>
      <c r="C946" t="inlineStr">
        <is>
          <t>1789.00元</t>
        </is>
      </c>
      <c r="D946" t="inlineStr">
        <is>
          <t>309.00元</t>
        </is>
      </c>
      <c r="E946" t="inlineStr">
        <is>
          <t>8.3折</t>
        </is>
      </c>
      <c r="F946">
        <f>HYPERLINK("https://i0.hdslb.com/bfs/mall/mall/5e/2d/5e2d41a2c1df23528ee55dbdad5b2e71.png", "点击查看图片")</f>
        <v/>
      </c>
      <c r="G946">
        <f>HYPERLINK("https://mall.bilibili.com/neul-next/index.html?page=magic-market_detail&amp;noTitleBar=1&amp;itemsId=109821779315&amp;from=market_index", "点击打开")</f>
        <v/>
      </c>
    </row>
    <row r="947">
      <c r="A947" t="inlineStr">
        <is>
          <t>MEDICOS 伽摩 最终再临 正比手办</t>
        </is>
      </c>
      <c r="B947" t="inlineStr">
        <is>
          <t>888.00元</t>
        </is>
      </c>
      <c r="C947" t="inlineStr">
        <is>
          <t>1275.00元</t>
        </is>
      </c>
      <c r="D947" t="inlineStr">
        <is>
          <t>387.00元</t>
        </is>
      </c>
      <c r="E947" t="inlineStr">
        <is>
          <t>7.0折</t>
        </is>
      </c>
      <c r="F947">
        <f>HYPERLINK("https://i0.hdslb.com/bfs/mall/mall/9c/12/9c1295aa617947499e79b0670d0d4608.png", "点击查看图片")</f>
        <v/>
      </c>
      <c r="G947">
        <f>HYPERLINK("https://mall.bilibili.com/neul-next/index.html?page=magic-market_detail&amp;noTitleBar=1&amp;itemsId=111904764942&amp;from=market_index", "点击打开")</f>
        <v/>
      </c>
    </row>
    <row r="948">
      <c r="A948" t="inlineStr">
        <is>
          <t>寿屋 达斯·维达 手办</t>
        </is>
      </c>
      <c r="B948" t="inlineStr">
        <is>
          <t>580.00元</t>
        </is>
      </c>
      <c r="C948" t="inlineStr">
        <is>
          <t>1680.00元</t>
        </is>
      </c>
      <c r="D948" t="inlineStr">
        <is>
          <t>1100.00元</t>
        </is>
      </c>
      <c r="E948" t="inlineStr">
        <is>
          <t>3.5折</t>
        </is>
      </c>
      <c r="F948">
        <f>HYPERLINK("https://i0.hdslb.com/bfs/mall/mall/16/ef/16efc44b4a64ed0fe8e2a85f07e0b5bd.png", "点击查看图片")</f>
        <v/>
      </c>
      <c r="G948">
        <f>HYPERLINK("https://mall.bilibili.com/neul-next/index.html?page=magic-market_detail&amp;noTitleBar=1&amp;itemsId=106871189865&amp;from=market_index", "点击打开")</f>
        <v/>
      </c>
    </row>
    <row r="949">
      <c r="A949" t="inlineStr">
        <is>
          <t>Prime 1 Studio 初音未来  Art by lack 手办</t>
        </is>
      </c>
      <c r="B949" t="inlineStr">
        <is>
          <t>497.30元</t>
        </is>
      </c>
      <c r="C949" t="inlineStr">
        <is>
          <t>999.00元</t>
        </is>
      </c>
      <c r="D949" t="inlineStr">
        <is>
          <t>501.70元</t>
        </is>
      </c>
      <c r="E949" t="inlineStr">
        <is>
          <t>5.0折</t>
        </is>
      </c>
      <c r="F949">
        <f>HYPERLINK("https://i0.hdslb.com/bfs/mall/mall/ad/8e/ad8e6ef558a8973b05b2d470a9401851.png", "点击查看图片")</f>
        <v/>
      </c>
      <c r="G949">
        <f>HYPERLINK("https://mall.bilibili.com/neul-next/index.html?page=magic-market_detail&amp;noTitleBar=1&amp;itemsId=109884305574&amp;from=market_index", "点击打开")</f>
        <v/>
      </c>
    </row>
    <row r="950">
      <c r="A950" t="inlineStr">
        <is>
          <t>GSC 生盐诺亚 Q版手办</t>
        </is>
      </c>
      <c r="B950" t="inlineStr">
        <is>
          <t>285.00元</t>
        </is>
      </c>
      <c r="C950" t="inlineStr">
        <is>
          <t>315.00元</t>
        </is>
      </c>
      <c r="D950" t="inlineStr">
        <is>
          <t>30.00元</t>
        </is>
      </c>
      <c r="E950" t="inlineStr">
        <is>
          <t>9.0折</t>
        </is>
      </c>
      <c r="F950">
        <f>HYPERLINK("https://i0.hdslb.com/bfs/mall/mall/04/03/04034f95962be5eb63b89d9b4ba6ab3a.png", "点击查看图片")</f>
        <v/>
      </c>
      <c r="G950">
        <f>HYPERLINK("https://mall.bilibili.com/neul-next/index.html?page=magic-market_detail&amp;noTitleBar=1&amp;itemsId=111911785330&amp;from=market_index", "点击打开")</f>
        <v/>
      </c>
    </row>
    <row r="951">
      <c r="A951" t="inlineStr">
        <is>
          <t>Max Factory 井上泷奈 可动手办</t>
        </is>
      </c>
      <c r="B951" t="inlineStr">
        <is>
          <t>535.00元</t>
        </is>
      </c>
      <c r="C951" t="inlineStr">
        <is>
          <t>699.00元</t>
        </is>
      </c>
      <c r="D951" t="inlineStr">
        <is>
          <t>164.00元</t>
        </is>
      </c>
      <c r="E951" t="inlineStr">
        <is>
          <t>7.7折</t>
        </is>
      </c>
      <c r="F951">
        <f>HYPERLINK("https://i0.hdslb.com/bfs/mall/mall/ed/69/ed69234b2b694d8ed71ccea729073d1e.png", "点击查看图片")</f>
        <v/>
      </c>
      <c r="G951">
        <f>HYPERLINK("https://mall.bilibili.com/neul-next/index.html?page=magic-market_detail&amp;noTitleBar=1&amp;itemsId=106828062440&amp;from=market_index", "点击打开")</f>
        <v/>
      </c>
    </row>
    <row r="952">
      <c r="A952" t="inlineStr">
        <is>
          <t>Union Creative 花园 兔女郎 Ver. 手办</t>
        </is>
      </c>
      <c r="B952" t="inlineStr">
        <is>
          <t>2088.00元</t>
        </is>
      </c>
      <c r="C952" t="inlineStr">
        <is>
          <t>3199.00元</t>
        </is>
      </c>
      <c r="D952" t="inlineStr">
        <is>
          <t>1111.00元</t>
        </is>
      </c>
      <c r="E952" t="inlineStr">
        <is>
          <t>6.5折</t>
        </is>
      </c>
      <c r="F952">
        <f>HYPERLINK("https://i0.hdslb.com/bfs/mall/mall/a2/b9/a2b99b9eeaa8f2fdfd20574ac0b9907c.png", "点击查看图片")</f>
        <v/>
      </c>
      <c r="G952">
        <f>HYPERLINK("https://mall.bilibili.com/neul-next/index.html?page=magic-market_detail&amp;noTitleBar=1&amp;itemsId=111918007644&amp;from=market_index", "点击打开")</f>
        <v/>
      </c>
    </row>
    <row r="953">
      <c r="A953" t="inlineStr">
        <is>
          <t>F:NEX 魔女之旅 伊蕾娜 夏日假期ver. 1/7手办</t>
        </is>
      </c>
      <c r="B953" t="inlineStr">
        <is>
          <t>778.54元</t>
        </is>
      </c>
      <c r="C953" t="inlineStr">
        <is>
          <t>999.00元</t>
        </is>
      </c>
      <c r="D953" t="inlineStr">
        <is>
          <t>220.46元</t>
        </is>
      </c>
      <c r="E953" t="inlineStr">
        <is>
          <t>7.8折</t>
        </is>
      </c>
      <c r="F953">
        <f>HYPERLINK("https://i0.hdslb.com/bfs/mall/mall/ae/24/ae247750f0e6213ad3fb2144b00bfddf.png", "点击查看图片")</f>
        <v/>
      </c>
      <c r="G953">
        <f>HYPERLINK("https://mall.bilibili.com/neul-next/index.html?page=magic-market_detail&amp;noTitleBar=1&amp;itemsId=109872505789&amp;from=market_index", "点击打开")</f>
        <v/>
      </c>
    </row>
    <row r="954">
      <c r="A954" t="inlineStr">
        <is>
          <t>Phat! ST AR-15 手办</t>
        </is>
      </c>
      <c r="B954" t="inlineStr">
        <is>
          <t>869.00元</t>
        </is>
      </c>
      <c r="C954" t="inlineStr">
        <is>
          <t>1249.00元</t>
        </is>
      </c>
      <c r="D954" t="inlineStr">
        <is>
          <t>380.00元</t>
        </is>
      </c>
      <c r="E954" t="inlineStr">
        <is>
          <t>7.0折</t>
        </is>
      </c>
      <c r="F954">
        <f>HYPERLINK("https://i0.hdslb.com/bfs/mall/mall/ca/3b/ca3b265e0305554e862e9c809702b597.png", "点击查看图片")</f>
        <v/>
      </c>
      <c r="G954">
        <f>HYPERLINK("https://mall.bilibili.com/neul-next/index.html?page=magic-market_detail&amp;noTitleBar=1&amp;itemsId=107087653043&amp;from=market_index", "点击打开")</f>
        <v/>
      </c>
    </row>
    <row r="955">
      <c r="A955" t="inlineStr">
        <is>
          <t>原创 Mois 手办 进阶大礼包</t>
        </is>
      </c>
      <c r="B955" t="inlineStr">
        <is>
          <t>688.00元</t>
        </is>
      </c>
      <c r="C955" t="inlineStr">
        <is>
          <t>1744.00元</t>
        </is>
      </c>
      <c r="D955" t="inlineStr">
        <is>
          <t>1056.00元</t>
        </is>
      </c>
      <c r="E955" t="inlineStr">
        <is>
          <t>3.9折</t>
        </is>
      </c>
      <c r="F955">
        <f>HYPERLINK("https://i0.hdslb.com/bfs/mall/mall/17/04/1704287d65d20fd70e688904eb12f4f8.png", "点击查看图片")</f>
        <v/>
      </c>
      <c r="G955">
        <f>HYPERLINK("https://mall.bilibili.com/neul-next/index.html?page=magic-market_detail&amp;noTitleBar=1&amp;itemsId=106858093566&amp;from=market_index", "点击打开")</f>
        <v/>
      </c>
    </row>
    <row r="956">
      <c r="A956" t="inlineStr">
        <is>
          <t>BellFine 蕾莉・米拉 手办</t>
        </is>
      </c>
      <c r="B956" t="inlineStr">
        <is>
          <t>560.00元</t>
        </is>
      </c>
      <c r="C956" t="inlineStr">
        <is>
          <t>1029.00元</t>
        </is>
      </c>
      <c r="D956" t="inlineStr">
        <is>
          <t>469.00元</t>
        </is>
      </c>
      <c r="E956" t="inlineStr">
        <is>
          <t>5.4折</t>
        </is>
      </c>
      <c r="F956">
        <f>HYPERLINK("https://i0.hdslb.com/bfs/mall/mall/32/52/3252091b91bb8b0ddbd98072e1b59869.png", "点击查看图片")</f>
        <v/>
      </c>
      <c r="G956">
        <f>HYPERLINK("https://mall.bilibili.com/neul-next/index.html?page=magic-market_detail&amp;noTitleBar=1&amp;itemsId=111914184079&amp;from=market_index", "点击打开")</f>
        <v/>
      </c>
    </row>
    <row r="957">
      <c r="A957" t="inlineStr">
        <is>
          <t>Union Creative 原创 Mika Pikazo原画 猫女仆 手办 再版</t>
        </is>
      </c>
      <c r="B957" t="inlineStr">
        <is>
          <t>554.30元</t>
        </is>
      </c>
      <c r="C957" t="inlineStr">
        <is>
          <t>899.00元</t>
        </is>
      </c>
      <c r="D957" t="inlineStr">
        <is>
          <t>344.70元</t>
        </is>
      </c>
      <c r="E957" t="inlineStr">
        <is>
          <t>6.2折</t>
        </is>
      </c>
      <c r="F957">
        <f>HYPERLINK("https://i0.hdslb.com/bfs/mall/mall/83/6b/836be7bdc53c4769b3b17a8578474d1f.png", "点击查看图片")</f>
        <v/>
      </c>
      <c r="G957">
        <f>HYPERLINK("https://mall.bilibili.com/neul-next/index.html?page=magic-market_detail&amp;noTitleBar=1&amp;itemsId=109825166246&amp;from=market_index", "点击打开")</f>
        <v/>
      </c>
    </row>
    <row r="958">
      <c r="A958" t="inlineStr">
        <is>
          <t>FuRyu 中野一花 景品手办</t>
        </is>
      </c>
      <c r="B958" t="inlineStr">
        <is>
          <t>179.00元</t>
        </is>
      </c>
      <c r="C958" t="inlineStr">
        <is>
          <t>258.00元</t>
        </is>
      </c>
      <c r="D958" t="inlineStr">
        <is>
          <t>79.00元</t>
        </is>
      </c>
      <c r="E958" t="inlineStr">
        <is>
          <t>6.9折</t>
        </is>
      </c>
      <c r="F958">
        <f>HYPERLINK("https://i0.hdslb.com/bfs/mall/mall/64/8c/648c46c2c6c95345f734a9d30b273f75.png", "点击查看图片")</f>
        <v/>
      </c>
      <c r="G958">
        <f>HYPERLINK("https://mall.bilibili.com/neul-next/index.html?page=magic-market_detail&amp;noTitleBar=1&amp;itemsId=109850710726&amp;from=market_index", "点击打开")</f>
        <v/>
      </c>
    </row>
    <row r="959">
      <c r="A959" t="inlineStr">
        <is>
          <t>GSC 伊蕾娜 Q版手办 再版</t>
        </is>
      </c>
      <c r="B959" t="inlineStr">
        <is>
          <t>339.00元</t>
        </is>
      </c>
      <c r="C959" t="inlineStr">
        <is>
          <t>365.00元</t>
        </is>
      </c>
      <c r="D959" t="inlineStr">
        <is>
          <t>26.00元</t>
        </is>
      </c>
      <c r="E959" t="inlineStr">
        <is>
          <t>9.3折</t>
        </is>
      </c>
      <c r="F959">
        <f>HYPERLINK("https://i0.hdslb.com/bfs/mall/mall/6e/fa/6efa25eda0c2d651ac72b7ffeda76131.png", "点击查看图片")</f>
        <v/>
      </c>
      <c r="G959">
        <f>HYPERLINK("https://mall.bilibili.com/neul-next/index.html?page=magic-market_detail&amp;noTitleBar=1&amp;itemsId=111905476090&amp;from=market_index", "点击打开")</f>
        <v/>
      </c>
    </row>
    <row r="960">
      <c r="A960" t="inlineStr">
        <is>
          <t xml:space="preserve">新世纪福音战士 碇真嗣 手办 进阶大礼包 </t>
        </is>
      </c>
      <c r="B960" t="inlineStr">
        <is>
          <t>308.00元</t>
        </is>
      </c>
      <c r="C960" t="inlineStr">
        <is>
          <t>893.00元</t>
        </is>
      </c>
      <c r="D960" t="inlineStr">
        <is>
          <t>585.00元</t>
        </is>
      </c>
      <c r="E960" t="inlineStr">
        <is>
          <t>3.4折</t>
        </is>
      </c>
      <c r="F960">
        <f>HYPERLINK("https://i0.hdslb.com/bfs/mall/mall/61/a6/61a663506cc6b5336552ca5eb55da495.png", "点击查看图片")</f>
        <v/>
      </c>
      <c r="G960">
        <f>HYPERLINK("https://mall.bilibili.com/neul-next/index.html?page=magic-market_detail&amp;noTitleBar=1&amp;itemsId=106897303066&amp;from=market_index", "点击打开")</f>
        <v/>
      </c>
    </row>
    <row r="961">
      <c r="A961" t="inlineStr">
        <is>
          <t>FuRyu 奇犽·揍敌客 景品手办</t>
        </is>
      </c>
      <c r="B961" t="inlineStr">
        <is>
          <t>119.00元</t>
        </is>
      </c>
      <c r="C961" t="inlineStr">
        <is>
          <t>119.00元</t>
        </is>
      </c>
      <c r="D961" t="inlineStr">
        <is>
          <t>0.00元</t>
        </is>
      </c>
      <c r="E961" t="inlineStr">
        <is>
          <t>10.0折</t>
        </is>
      </c>
      <c r="F961">
        <f>HYPERLINK("https://i0.hdslb.com/bfs/mall/mall/23/23/2323af72e1179984fdf394bbe016d1bd.png", "点击查看图片")</f>
        <v/>
      </c>
      <c r="G961">
        <f>HYPERLINK("https://mall.bilibili.com/neul-next/index.html?page=magic-market_detail&amp;noTitleBar=1&amp;itemsId=106926837029&amp;from=market_index", "点击打开")</f>
        <v/>
      </c>
    </row>
    <row r="962">
      <c r="A962" t="inlineStr">
        <is>
          <t>FREEing 莉希雅·艾尔孚利登 兔女郎ver.  手办</t>
        </is>
      </c>
      <c r="B962" t="inlineStr">
        <is>
          <t>1088.00元</t>
        </is>
      </c>
      <c r="C962" t="inlineStr">
        <is>
          <t>1599.00元</t>
        </is>
      </c>
      <c r="D962" t="inlineStr">
        <is>
          <t>511.00元</t>
        </is>
      </c>
      <c r="E962" t="inlineStr">
        <is>
          <t>6.8折</t>
        </is>
      </c>
      <c r="F962">
        <f>HYPERLINK("https://i0.hdslb.com/bfs/mall/mall/bf/eb/bfeb41acfdadaab55a4f2feeda0d2082.png", "点击查看图片")</f>
        <v/>
      </c>
      <c r="G962">
        <f>HYPERLINK("https://mall.bilibili.com/neul-next/index.html?page=magic-market_detail&amp;noTitleBar=1&amp;itemsId=111915450982&amp;from=market_index", "点击打开")</f>
        <v/>
      </c>
    </row>
    <row r="963">
      <c r="A963" t="inlineStr">
        <is>
          <t>BANPRESTO 高石武&amp;巴达兽 景品</t>
        </is>
      </c>
      <c r="B963" t="inlineStr">
        <is>
          <t>120.00元</t>
        </is>
      </c>
      <c r="C963" t="inlineStr">
        <is>
          <t>209.00元</t>
        </is>
      </c>
      <c r="D963" t="inlineStr">
        <is>
          <t>89.00元</t>
        </is>
      </c>
      <c r="E963" t="inlineStr">
        <is>
          <t>5.7折</t>
        </is>
      </c>
      <c r="F963">
        <f>HYPERLINK("https://i0.hdslb.com/bfs/mall/mall/fa/77/fa77438c5defa7ff93e4a2b86bb777bb.png", "点击查看图片")</f>
        <v/>
      </c>
      <c r="G963">
        <f>HYPERLINK("https://mall.bilibili.com/neul-next/index.html?page=magic-market_detail&amp;noTitleBar=1&amp;itemsId=111902978235&amp;from=market_index", "点击打开")</f>
        <v/>
      </c>
    </row>
    <row r="964">
      <c r="A964" t="inlineStr">
        <is>
          <t>Union Creative 娜娜·阿丝达·戴比路克 Darkness Ver. 手办</t>
        </is>
      </c>
      <c r="B964" t="inlineStr">
        <is>
          <t>470.00元</t>
        </is>
      </c>
      <c r="C964" t="inlineStr">
        <is>
          <t>749.00元</t>
        </is>
      </c>
      <c r="D964" t="inlineStr">
        <is>
          <t>279.00元</t>
        </is>
      </c>
      <c r="E964" t="inlineStr">
        <is>
          <t>6.3折</t>
        </is>
      </c>
      <c r="F964">
        <f>HYPERLINK("https://i0.hdslb.com/bfs/mall/mall/88/63/8863155ca116b6786e4f8498f5abf30c.png", "点击查看图片")</f>
        <v/>
      </c>
      <c r="G964">
        <f>HYPERLINK("https://mall.bilibili.com/neul-next/index.html?page=magic-market_detail&amp;noTitleBar=1&amp;itemsId=107085917716&amp;from=market_index", "点击打开")</f>
        <v/>
      </c>
    </row>
    <row r="965">
      <c r="A965" t="inlineStr">
        <is>
          <t>Phat!  锖兔 正比手办</t>
        </is>
      </c>
      <c r="B965" t="inlineStr">
        <is>
          <t>788.00元</t>
        </is>
      </c>
      <c r="C965" t="inlineStr">
        <is>
          <t>959.00元</t>
        </is>
      </c>
      <c r="D965" t="inlineStr">
        <is>
          <t>171.00元</t>
        </is>
      </c>
      <c r="E965" t="inlineStr">
        <is>
          <t>8.2折</t>
        </is>
      </c>
      <c r="F965">
        <f>HYPERLINK("https://i0.hdslb.com/bfs/mall/mall/6f/3f/6f3fb3d4ef3706ad9cc675a71aee854e.png", "点击查看图片")</f>
        <v/>
      </c>
      <c r="G965">
        <f>HYPERLINK("https://mall.bilibili.com/neul-next/index.html?page=magic-market_detail&amp;noTitleBar=1&amp;itemsId=109873770758&amp;from=market_index", "点击打开")</f>
        <v/>
      </c>
    </row>
    <row r="966">
      <c r="A966" t="inlineStr">
        <is>
          <t>GSAS 柳梦璃 织梦行云Ver.  正比手办</t>
        </is>
      </c>
      <c r="B966" t="inlineStr">
        <is>
          <t>1047.30元</t>
        </is>
      </c>
      <c r="C966" t="inlineStr">
        <is>
          <t>1389.00元</t>
        </is>
      </c>
      <c r="D966" t="inlineStr">
        <is>
          <t>341.70元</t>
        </is>
      </c>
      <c r="E966" t="inlineStr">
        <is>
          <t>7.5折</t>
        </is>
      </c>
      <c r="F966">
        <f>HYPERLINK("https://i0.hdslb.com/bfs/mall/mall/ed/1c/ed1cf5d5ad992d10c97deb451c60b0b7.png", "点击查看图片")</f>
        <v/>
      </c>
      <c r="G966">
        <f>HYPERLINK("https://mall.bilibili.com/neul-next/index.html?page=magic-market_detail&amp;noTitleBar=1&amp;itemsId=109856349961&amp;from=market_index", "点击打开")</f>
        <v/>
      </c>
    </row>
    <row r="967">
      <c r="A967" t="inlineStr">
        <is>
          <t>F:NEX 约会大作战 时崎狂三 1/1胸像手办</t>
        </is>
      </c>
      <c r="B967" t="inlineStr">
        <is>
          <t>8888.00元</t>
        </is>
      </c>
      <c r="C967" t="inlineStr">
        <is>
          <t>13999.00元</t>
        </is>
      </c>
      <c r="D967" t="inlineStr">
        <is>
          <t>5111.00元</t>
        </is>
      </c>
      <c r="E967" t="inlineStr">
        <is>
          <t>6.3折</t>
        </is>
      </c>
      <c r="F967">
        <f>HYPERLINK("https://i0.hdslb.com/bfs/mall/mall/56/9b/569bc7e9eb3242060d43a05d35ccddec.png", "点击查看图片")</f>
        <v/>
      </c>
      <c r="G967">
        <f>HYPERLINK("https://mall.bilibili.com/neul-next/index.html?page=magic-market_detail&amp;noTitleBar=1&amp;itemsId=107083668014&amp;from=market_index", "点击打开")</f>
        <v/>
      </c>
    </row>
    <row r="968">
      <c r="A968" t="inlineStr">
        <is>
          <t>GSC 贝露丹蒂 Q版手办</t>
        </is>
      </c>
      <c r="B968" t="inlineStr">
        <is>
          <t>245.00元</t>
        </is>
      </c>
      <c r="C968" t="inlineStr">
        <is>
          <t>305.00元</t>
        </is>
      </c>
      <c r="D968" t="inlineStr">
        <is>
          <t>60.00元</t>
        </is>
      </c>
      <c r="E968" t="inlineStr">
        <is>
          <t>8.0折</t>
        </is>
      </c>
      <c r="F968">
        <f>HYPERLINK("https://i0.hdslb.com/bfs/mall/mall/61/fc/61fc296aa8657b456553580cef2beace.png", "点击查看图片")</f>
        <v/>
      </c>
      <c r="G968">
        <f>HYPERLINK("https://mall.bilibili.com/neul-next/index.html?page=magic-market_detail&amp;noTitleBar=1&amp;itemsId=111912413586&amp;from=market_index", "点击打开")</f>
        <v/>
      </c>
    </row>
    <row r="969">
      <c r="A969" t="inlineStr">
        <is>
          <t>ALTER NIKKE：胜利女神 毒蛇 兔之吻ver. 1/7手办</t>
        </is>
      </c>
      <c r="B969" t="inlineStr">
        <is>
          <t>930.00元</t>
        </is>
      </c>
      <c r="C969" t="inlineStr">
        <is>
          <t>1130.00元</t>
        </is>
      </c>
      <c r="D969" t="inlineStr">
        <is>
          <t>200.00元</t>
        </is>
      </c>
      <c r="E969" t="inlineStr">
        <is>
          <t>8.2折</t>
        </is>
      </c>
      <c r="F969">
        <f>HYPERLINK("https://i0.hdslb.com/bfs/mall/mall/ba/41/ba410dc4decbcebc40c0dc1367ffcc4c.png", "点击查看图片")</f>
        <v/>
      </c>
      <c r="G969">
        <f>HYPERLINK("https://mall.bilibili.com/neul-next/index.html?page=magic-market_detail&amp;noTitleBar=1&amp;itemsId=120667917017&amp;from=market_index", "点击打开")</f>
        <v/>
      </c>
    </row>
    <row r="970">
      <c r="A970" t="inlineStr">
        <is>
          <t>Max Factory 初音未来 VIRTUAL POPSTAR Ver.  手办</t>
        </is>
      </c>
      <c r="B970" t="inlineStr">
        <is>
          <t>1887.90元</t>
        </is>
      </c>
      <c r="C970" t="inlineStr">
        <is>
          <t>2635.00元</t>
        </is>
      </c>
      <c r="D970" t="inlineStr">
        <is>
          <t>747.10元</t>
        </is>
      </c>
      <c r="E970" t="inlineStr">
        <is>
          <t>7.2折</t>
        </is>
      </c>
      <c r="F970">
        <f>HYPERLINK("https://i0.hdslb.com/bfs/mall/mall/ad/78/ad7820160435faa2dac06001df8d5385.png", "点击查看图片")</f>
        <v/>
      </c>
      <c r="G970">
        <f>HYPERLINK("https://mall.bilibili.com/neul-next/index.html?page=magic-market_detail&amp;noTitleBar=1&amp;itemsId=106879635379&amp;from=market_index", "点击打开")</f>
        <v/>
      </c>
    </row>
    <row r="971">
      <c r="A971" t="inlineStr">
        <is>
          <t>F:NEX Re:从零开始的异世界生活 雷姆 百鬼夜行ver. 手办</t>
        </is>
      </c>
      <c r="B971" t="inlineStr">
        <is>
          <t>1185.00元</t>
        </is>
      </c>
      <c r="C971" t="inlineStr">
        <is>
          <t>1480.00元</t>
        </is>
      </c>
      <c r="D971" t="inlineStr">
        <is>
          <t>295.00元</t>
        </is>
      </c>
      <c r="E971" t="inlineStr">
        <is>
          <t>8.0折</t>
        </is>
      </c>
      <c r="F971">
        <f>HYPERLINK("https://i0.hdslb.com/bfs/mall/mall/59/7a/597a5486c2f8499f200f519a665d5b49.png", "点击查看图片")</f>
        <v/>
      </c>
      <c r="G971">
        <f>HYPERLINK("https://mall.bilibili.com/neul-next/index.html?page=magic-market_detail&amp;noTitleBar=1&amp;itemsId=109877843161&amp;from=market_index", "点击打开")</f>
        <v/>
      </c>
    </row>
    <row r="972">
      <c r="A972" t="inlineStr">
        <is>
          <t>双翼社 让·巴尔  手办</t>
        </is>
      </c>
      <c r="B972" t="inlineStr">
        <is>
          <t>799.00元</t>
        </is>
      </c>
      <c r="C972" t="inlineStr">
        <is>
          <t>1150.00元</t>
        </is>
      </c>
      <c r="D972" t="inlineStr">
        <is>
          <t>351.00元</t>
        </is>
      </c>
      <c r="E972" t="inlineStr">
        <is>
          <t>6.9折</t>
        </is>
      </c>
      <c r="F972">
        <f>HYPERLINK("https://i0.hdslb.com/bfs/mall/mall/c7/91/c79143fd98da3008b71ffdf3579ecab6.png", "点击查看图片")</f>
        <v/>
      </c>
      <c r="G972">
        <f>HYPERLINK("https://mall.bilibili.com/neul-next/index.html?page=magic-market_detail&amp;noTitleBar=1&amp;itemsId=110469367759&amp;from=market_index", "点击打开")</f>
        <v/>
      </c>
    </row>
    <row r="973">
      <c r="A973" t="inlineStr">
        <is>
          <t xml:space="preserve"> F:NEX 艾姬多娜 汉服ver. 手办</t>
        </is>
      </c>
      <c r="B973" t="inlineStr">
        <is>
          <t>944.80元</t>
        </is>
      </c>
      <c r="C973" t="inlineStr">
        <is>
          <t>1259.00元</t>
        </is>
      </c>
      <c r="D973" t="inlineStr">
        <is>
          <t>314.20元</t>
        </is>
      </c>
      <c r="E973" t="inlineStr">
        <is>
          <t>7.5折</t>
        </is>
      </c>
      <c r="F973">
        <f>HYPERLINK("https://i0.hdslb.com/bfs/mall/mall/60/4f/604fa2ab580706f58da99587e7386bb8.png", "点击查看图片")</f>
        <v/>
      </c>
      <c r="G973">
        <f>HYPERLINK("https://mall.bilibili.com/neul-next/index.html?page=magic-market_detail&amp;noTitleBar=1&amp;itemsId=107155355285&amp;from=market_index", "点击打开")</f>
        <v/>
      </c>
    </row>
    <row r="974">
      <c r="A974" t="inlineStr">
        <is>
          <t>Astrum Design  万圣节魅魔 手办</t>
        </is>
      </c>
      <c r="B974" t="inlineStr">
        <is>
          <t>700.00元</t>
        </is>
      </c>
      <c r="C974" t="inlineStr">
        <is>
          <t>1320.00元</t>
        </is>
      </c>
      <c r="D974" t="inlineStr">
        <is>
          <t>620.00元</t>
        </is>
      </c>
      <c r="E974" t="inlineStr">
        <is>
          <t>5.3折</t>
        </is>
      </c>
      <c r="F974">
        <f>HYPERLINK("https://i0.hdslb.com/bfs/mall/mall/dc/84/dc8493db760e44b43254418851c354ee.png", "点击查看图片")</f>
        <v/>
      </c>
      <c r="G974">
        <f>HYPERLINK("https://mall.bilibili.com/neul-next/index.html?page=magic-market_detail&amp;noTitleBar=1&amp;itemsId=106826475153&amp;from=market_index", "点击打开")</f>
        <v/>
      </c>
    </row>
    <row r="975">
      <c r="A975" t="inlineStr">
        <is>
          <t>AMAKUNI 宇崎学妹想要玩！ 宇崎月 小恶魔ver. 手办</t>
        </is>
      </c>
      <c r="B975" t="inlineStr">
        <is>
          <t>980.00元</t>
        </is>
      </c>
      <c r="C975" t="inlineStr">
        <is>
          <t>1220.00元</t>
        </is>
      </c>
      <c r="D975" t="inlineStr">
        <is>
          <t>240.00元</t>
        </is>
      </c>
      <c r="E975" t="inlineStr">
        <is>
          <t>8.0折</t>
        </is>
      </c>
      <c r="F975">
        <f>HYPERLINK("https://i0.hdslb.com/bfs/mall/mall/df/c9/dfc9af798bcc913f52ba585d317680ab.png", "点击查看图片")</f>
        <v/>
      </c>
      <c r="G975">
        <f>HYPERLINK("https://mall.bilibili.com/neul-next/index.html?page=magic-market_detail&amp;noTitleBar=1&amp;itemsId=106831083540&amp;from=market_index", "点击打开")</f>
        <v/>
      </c>
    </row>
    <row r="976">
      <c r="A976" t="inlineStr">
        <is>
          <t>FuRyu Vsinger 洛天依MOCHIPICO BIG 毛绒</t>
        </is>
      </c>
      <c r="B976" t="inlineStr">
        <is>
          <t>887.90元</t>
        </is>
      </c>
      <c r="C976" t="inlineStr">
        <is>
          <t>1171.00元</t>
        </is>
      </c>
      <c r="D976" t="inlineStr">
        <is>
          <t>283.10元</t>
        </is>
      </c>
      <c r="E976" t="inlineStr">
        <is>
          <t>7.6折</t>
        </is>
      </c>
      <c r="F976">
        <f>HYPERLINK("https://i0.hdslb.com/bfs/mall/mall/d8/84/d884ed6118bb54f669547a454392bcfa.png", "点击查看图片")</f>
        <v/>
      </c>
      <c r="G976">
        <f>HYPERLINK("https://mall.bilibili.com/neul-next/index.html?page=magic-market_detail&amp;noTitleBar=1&amp;itemsId=106903569865&amp;from=market_index", "点击打开")</f>
        <v/>
      </c>
    </row>
    <row r="977">
      <c r="A977" t="inlineStr">
        <is>
          <t>F:NEX 超级索尼子 索尼子 -日本人形- 手办</t>
        </is>
      </c>
      <c r="B977" t="inlineStr">
        <is>
          <t>5555.00元</t>
        </is>
      </c>
      <c r="C977" t="inlineStr">
        <is>
          <t>8499.00元</t>
        </is>
      </c>
      <c r="D977" t="inlineStr">
        <is>
          <t>2944.00元</t>
        </is>
      </c>
      <c r="E977" t="inlineStr">
        <is>
          <t>6.5折</t>
        </is>
      </c>
      <c r="F977">
        <f>HYPERLINK("https://i0.hdslb.com/bfs/mall/mall/c9/b6/c9b67ec495dc56aa6450995e07db789d.png", "点击查看图片")</f>
        <v/>
      </c>
      <c r="G977">
        <f>HYPERLINK("https://mall.bilibili.com/neul-next/index.html?page=magic-market_detail&amp;noTitleBar=1&amp;itemsId=111905611852&amp;from=market_index", "点击打开")</f>
        <v/>
      </c>
    </row>
    <row r="978">
      <c r="A978" t="inlineStr">
        <is>
          <t>在魔王城说晚安 恶魔小熊 毛绒玩偶 进阶大礼包</t>
        </is>
      </c>
      <c r="B978" t="inlineStr">
        <is>
          <t>928.00元</t>
        </is>
      </c>
      <c r="C978" t="inlineStr">
        <is>
          <t>1328.00元</t>
        </is>
      </c>
      <c r="D978" t="inlineStr">
        <is>
          <t>400.00元</t>
        </is>
      </c>
      <c r="E978" t="inlineStr">
        <is>
          <t>7.0折</t>
        </is>
      </c>
      <c r="F978">
        <f>HYPERLINK("https://i0.hdslb.com/bfs/mall/mall/ee/c2/eec2ff779508832c15f29278737df8e2.png", "点击查看图片")</f>
        <v/>
      </c>
      <c r="G978">
        <f>HYPERLINK("https://mall.bilibili.com/neul-next/index.html?page=magic-market_detail&amp;noTitleBar=1&amp;itemsId=109866912654&amp;from=market_index", "点击打开")</f>
        <v/>
      </c>
    </row>
    <row r="979">
      <c r="A979" t="inlineStr">
        <is>
          <t>擎苍 初音未来 16周年 Q版手办</t>
        </is>
      </c>
      <c r="B979" t="inlineStr">
        <is>
          <t>146.60元</t>
        </is>
      </c>
      <c r="C979" t="inlineStr">
        <is>
          <t>199.00元</t>
        </is>
      </c>
      <c r="D979" t="inlineStr">
        <is>
          <t>52.40元</t>
        </is>
      </c>
      <c r="E979" t="inlineStr">
        <is>
          <t>7.4折</t>
        </is>
      </c>
      <c r="F979">
        <f>HYPERLINK("https://i0.hdslb.com/bfs/mall/mall/e9/06/e9063d3969116f32ade7d50216f9644c.png", "点击查看图片")</f>
        <v/>
      </c>
      <c r="G979">
        <f>HYPERLINK("https://mall.bilibili.com/neul-next/index.html?page=magic-market_detail&amp;noTitleBar=1&amp;itemsId=106953086699&amp;from=market_index", "点击打开")</f>
        <v/>
      </c>
    </row>
    <row r="980">
      <c r="A980" t="inlineStr">
        <is>
          <t>iDELiTE FiGURE 晓想系列 关于我转生变成史莱姆这档事 利姆露·特恩佩斯特 手办</t>
        </is>
      </c>
      <c r="B980" t="inlineStr">
        <is>
          <t>1215.00元</t>
        </is>
      </c>
      <c r="C980" t="inlineStr">
        <is>
          <t>1530.00元</t>
        </is>
      </c>
      <c r="D980" t="inlineStr">
        <is>
          <t>315.00元</t>
        </is>
      </c>
      <c r="E980" t="inlineStr">
        <is>
          <t>7.9折</t>
        </is>
      </c>
      <c r="F980">
        <f>HYPERLINK("https://i0.hdslb.com/bfs/mall/mall/b7/05/b705ed4049e9a906f908b0f2d19999a1.png", "点击查看图片")</f>
        <v/>
      </c>
      <c r="G980">
        <f>HYPERLINK("https://mall.bilibili.com/neul-next/index.html?page=magic-market_detail&amp;noTitleBar=1&amp;itemsId=111913291447&amp;from=market_index", "点击打开")</f>
        <v/>
      </c>
    </row>
    <row r="981">
      <c r="A981" t="inlineStr">
        <is>
          <t>角川 因为太怕痛就全点防御力了 本条枫 核心镕毁ver. 手办</t>
        </is>
      </c>
      <c r="B981" t="inlineStr">
        <is>
          <t>758.00元</t>
        </is>
      </c>
      <c r="C981" t="inlineStr">
        <is>
          <t>999.00元</t>
        </is>
      </c>
      <c r="D981" t="inlineStr">
        <is>
          <t>241.00元</t>
        </is>
      </c>
      <c r="E981" t="inlineStr">
        <is>
          <t>7.6折</t>
        </is>
      </c>
      <c r="F981">
        <f>HYPERLINK("https://i0.hdslb.com/bfs/mall/mall/89/14/8914ce355b7432f5dad964db67dc9cd3.png", "点击查看图片")</f>
        <v/>
      </c>
      <c r="G981">
        <f>HYPERLINK("https://mall.bilibili.com/neul-next/index.html?page=magic-market_detail&amp;noTitleBar=1&amp;itemsId=109858229052&amp;from=market_index", "点击打开")</f>
        <v/>
      </c>
    </row>
    <row r="982">
      <c r="A982" t="inlineStr">
        <is>
          <t>GSAS 宫园薰&amp;有马公生 Q版手办</t>
        </is>
      </c>
      <c r="B982" t="inlineStr">
        <is>
          <t>167.00元</t>
        </is>
      </c>
      <c r="C982" t="inlineStr">
        <is>
          <t>255.00元</t>
        </is>
      </c>
      <c r="D982" t="inlineStr">
        <is>
          <t>88.00元</t>
        </is>
      </c>
      <c r="E982" t="inlineStr">
        <is>
          <t>6.5折</t>
        </is>
      </c>
      <c r="F982">
        <f>HYPERLINK("https://i0.hdslb.com/bfs/mall/mall/a6/83/a683d0e297ee928948a6154f426aeaba.png", "点击查看图片")</f>
        <v/>
      </c>
      <c r="G982">
        <f>HYPERLINK("https://mall.bilibili.com/neul-next/index.html?page=magic-market_detail&amp;noTitleBar=1&amp;itemsId=111914824526&amp;from=market_index", "点击打开")</f>
        <v/>
      </c>
    </row>
    <row r="983">
      <c r="A983" t="inlineStr">
        <is>
          <t>ALTER 海拉伯爵 手办</t>
        </is>
      </c>
      <c r="B983" t="inlineStr">
        <is>
          <t>1018.00元</t>
        </is>
      </c>
      <c r="C983" t="inlineStr">
        <is>
          <t>1229.00元</t>
        </is>
      </c>
      <c r="D983" t="inlineStr">
        <is>
          <t>211.00元</t>
        </is>
      </c>
      <c r="E983" t="inlineStr">
        <is>
          <t>8.3折</t>
        </is>
      </c>
      <c r="F983">
        <f>HYPERLINK("https://i0.hdslb.com/bfs/mall/mall/e2/bf/e2bfdc897b25e377d4b54a36da10cf3f.png", "点击查看图片")</f>
        <v/>
      </c>
      <c r="G983">
        <f>HYPERLINK("https://mall.bilibili.com/neul-next/index.html?page=magic-market_detail&amp;noTitleBar=1&amp;itemsId=109859853883&amp;from=market_index", "点击打开")</f>
        <v/>
      </c>
    </row>
    <row r="984">
      <c r="A984" t="inlineStr">
        <is>
          <t>SSF 爱丽丝·辛赛西斯·萨提 水晶礼服 Ver. 手办</t>
        </is>
      </c>
      <c r="B984" t="inlineStr">
        <is>
          <t>1450.00元</t>
        </is>
      </c>
      <c r="C984" t="inlineStr">
        <is>
          <t>1859.00元</t>
        </is>
      </c>
      <c r="D984" t="inlineStr">
        <is>
          <t>409.00元</t>
        </is>
      </c>
      <c r="E984" t="inlineStr">
        <is>
          <t>7.8折</t>
        </is>
      </c>
      <c r="F984">
        <f>HYPERLINK("https://i0.hdslb.com/bfs/mall/mall/1c/5b/1c5b39af2a31027cff823b9f4f80ea57.png", "点击查看图片")</f>
        <v/>
      </c>
      <c r="G984">
        <f>HYPERLINK("https://mall.bilibili.com/neul-next/index.html?page=magic-market_detail&amp;noTitleBar=1&amp;itemsId=111908868802&amp;from=market_index", "点击打开")</f>
        <v/>
      </c>
    </row>
    <row r="985">
      <c r="A985" t="inlineStr">
        <is>
          <t>SSF 尤吉欧 白色西装Ver. 手办</t>
        </is>
      </c>
      <c r="B985" t="inlineStr">
        <is>
          <t>450.00元</t>
        </is>
      </c>
      <c r="C985" t="inlineStr">
        <is>
          <t>949.00元</t>
        </is>
      </c>
      <c r="D985" t="inlineStr">
        <is>
          <t>499.00元</t>
        </is>
      </c>
      <c r="E985" t="inlineStr">
        <is>
          <t>4.7折</t>
        </is>
      </c>
      <c r="F985">
        <f>HYPERLINK("https://i0.hdslb.com/bfs/mall/mall/28/3e/283eae01967584274d8da992c30abbd2.png", "点击查看图片")</f>
        <v/>
      </c>
      <c r="G985">
        <f>HYPERLINK("https://mall.bilibili.com/neul-next/index.html?page=magic-market_detail&amp;noTitleBar=1&amp;itemsId=111920393848&amp;from=market_index", "点击打开")</f>
        <v/>
      </c>
    </row>
    <row r="986">
      <c r="A986" t="inlineStr">
        <is>
          <t>Alice Glint 碧蓝航线 圣女贞德 海之圣女ver. 手办</t>
        </is>
      </c>
      <c r="B986" t="inlineStr">
        <is>
          <t>1088.00元</t>
        </is>
      </c>
      <c r="C986" t="inlineStr">
        <is>
          <t>1350.00元</t>
        </is>
      </c>
      <c r="D986" t="inlineStr">
        <is>
          <t>262.00元</t>
        </is>
      </c>
      <c r="E986" t="inlineStr">
        <is>
          <t>8.1折</t>
        </is>
      </c>
      <c r="F986">
        <f>HYPERLINK("https://i0.hdslb.com/bfs/mall/mall/0a/c9/0ac9a13f749699dcebe36760b1bae6a0.png", "点击查看图片")</f>
        <v/>
      </c>
      <c r="G986">
        <f>HYPERLINK("https://mall.bilibili.com/neul-next/index.html?page=magic-market_detail&amp;noTitleBar=1&amp;itemsId=107047637151&amp;from=market_index", "点击打开")</f>
        <v/>
      </c>
    </row>
    <row r="987">
      <c r="A987" t="inlineStr">
        <is>
          <t>GSC 久远崎彩祸 手办</t>
        </is>
      </c>
      <c r="B987" t="inlineStr">
        <is>
          <t>900.00元</t>
        </is>
      </c>
      <c r="C987" t="inlineStr">
        <is>
          <t>1219.00元</t>
        </is>
      </c>
      <c r="D987" t="inlineStr">
        <is>
          <t>319.00元</t>
        </is>
      </c>
      <c r="E987" t="inlineStr">
        <is>
          <t>7.4折</t>
        </is>
      </c>
      <c r="F987">
        <f>HYPERLINK("https://i0.hdslb.com/bfs/mall/mall/ac/6e/ac6eca1f430fbc7bb01d02b176f03a23.png", "点击查看图片")</f>
        <v/>
      </c>
      <c r="G987">
        <f>HYPERLINK("https://mall.bilibili.com/neul-next/index.html?page=magic-market_detail&amp;noTitleBar=1&amp;itemsId=109834114795&amp;from=market_index", "点击打开")</f>
        <v/>
      </c>
    </row>
    <row r="988">
      <c r="A988" t="inlineStr">
        <is>
          <t>Prime 1 Studio 伊莉雅斯菲尔·冯·爱因兹贝伦 手办</t>
        </is>
      </c>
      <c r="B988" t="inlineStr">
        <is>
          <t>980.00元</t>
        </is>
      </c>
      <c r="C988" t="inlineStr">
        <is>
          <t>1235.00元</t>
        </is>
      </c>
      <c r="D988" t="inlineStr">
        <is>
          <t>255.00元</t>
        </is>
      </c>
      <c r="E988" t="inlineStr">
        <is>
          <t>7.9折</t>
        </is>
      </c>
      <c r="F988">
        <f>HYPERLINK("https://i0.hdslb.com/bfs/mall/mall/1f/d6/1fd69fbaafdff0bf1cc93e32870a22e7.png", "点击查看图片")</f>
        <v/>
      </c>
      <c r="G988">
        <f>HYPERLINK("https://mall.bilibili.com/neul-next/index.html?page=magic-market_detail&amp;noTitleBar=1&amp;itemsId=106832282166&amp;from=market_index", "点击打开")</f>
        <v/>
      </c>
    </row>
    <row r="989">
      <c r="A989" t="inlineStr">
        <is>
          <t>大气工业 原创 The witch 1/7手办</t>
        </is>
      </c>
      <c r="B989" t="inlineStr">
        <is>
          <t>1288.00元</t>
        </is>
      </c>
      <c r="C989" t="inlineStr">
        <is>
          <t>1499.00元</t>
        </is>
      </c>
      <c r="D989" t="inlineStr">
        <is>
          <t>211.00元</t>
        </is>
      </c>
      <c r="E989" t="inlineStr">
        <is>
          <t>8.6折</t>
        </is>
      </c>
      <c r="F989">
        <f>HYPERLINK("https://i0.hdslb.com/bfs/mall/mall/4f/37/4f3773b7cd043e9ec2ae7e5902152232.png", "点击查看图片")</f>
        <v/>
      </c>
      <c r="G989">
        <f>HYPERLINK("https://mall.bilibili.com/neul-next/index.html?page=magic-market_detail&amp;noTitleBar=1&amp;itemsId=106959572159&amp;from=market_index", "点击打开")</f>
        <v/>
      </c>
    </row>
    <row r="990">
      <c r="A990" t="inlineStr">
        <is>
          <t>BellFine 桐间纱路 哥特萝莉Ver. 手办 再版</t>
        </is>
      </c>
      <c r="B990" t="inlineStr">
        <is>
          <t>758.00元</t>
        </is>
      </c>
      <c r="C990" t="inlineStr">
        <is>
          <t>899.00元</t>
        </is>
      </c>
      <c r="D990" t="inlineStr">
        <is>
          <t>141.00元</t>
        </is>
      </c>
      <c r="E990" t="inlineStr">
        <is>
          <t>8.4折</t>
        </is>
      </c>
      <c r="F990">
        <f>HYPERLINK("https://i0.hdslb.com/bfs/mall/mall/68/cd/68cd1abe896b00c1fbb023572efdc204.png", "点击查看图片")</f>
        <v/>
      </c>
      <c r="G990">
        <f>HYPERLINK("https://mall.bilibili.com/neul-next/index.html?page=magic-market_detail&amp;noTitleBar=1&amp;itemsId=109871115414&amp;from=market_index", "点击打开")</f>
        <v/>
      </c>
    </row>
    <row r="991">
      <c r="A991" t="inlineStr">
        <is>
          <t>箱娘 哥布林猎人 剑之圣女 手办</t>
        </is>
      </c>
      <c r="B991" t="inlineStr">
        <is>
          <t>780.00元</t>
        </is>
      </c>
      <c r="C991" t="inlineStr">
        <is>
          <t>1199.00元</t>
        </is>
      </c>
      <c r="D991" t="inlineStr">
        <is>
          <t>419.00元</t>
        </is>
      </c>
      <c r="E991" t="inlineStr">
        <is>
          <t>6.5折</t>
        </is>
      </c>
      <c r="F991">
        <f>HYPERLINK("https://i0.hdslb.com/bfs/mall/mall/a5/c7/a5c71c087f523617b0865ce4f15959ed.png", "点击查看图片")</f>
        <v/>
      </c>
      <c r="G991">
        <f>HYPERLINK("https://mall.bilibili.com/neul-next/index.html?page=magic-market_detail&amp;noTitleBar=1&amp;itemsId=110455932318&amp;from=market_index", "点击打开")</f>
        <v/>
      </c>
    </row>
    <row r="992">
      <c r="A992" t="inlineStr">
        <is>
          <t>MIMEYOI 碧蓝航线 鹬 疾速之鹤ver. 手办</t>
        </is>
      </c>
      <c r="B992" t="inlineStr">
        <is>
          <t>1600.00元</t>
        </is>
      </c>
      <c r="C992" t="inlineStr">
        <is>
          <t>2050.00元</t>
        </is>
      </c>
      <c r="D992" t="inlineStr">
        <is>
          <t>450.00元</t>
        </is>
      </c>
      <c r="E992" t="inlineStr">
        <is>
          <t>7.8折</t>
        </is>
      </c>
      <c r="F992">
        <f>HYPERLINK("https://i0.hdslb.com/bfs/mall/mall/ff/a9/ffa9eb7eb62ae4e2c5a3779e17a51d58.png", "点击查看图片")</f>
        <v/>
      </c>
      <c r="G992">
        <f>HYPERLINK("https://mall.bilibili.com/neul-next/index.html?page=magic-market_detail&amp;noTitleBar=1&amp;itemsId=111901946193&amp;from=market_index", "点击打开")</f>
        <v/>
      </c>
    </row>
    <row r="993">
      <c r="A993" t="inlineStr">
        <is>
          <t>GSC 伏黑惠  可动手办</t>
        </is>
      </c>
      <c r="B993" t="inlineStr">
        <is>
          <t>408.00元</t>
        </is>
      </c>
      <c r="C993" t="inlineStr">
        <is>
          <t>499.00元</t>
        </is>
      </c>
      <c r="D993" t="inlineStr">
        <is>
          <t>91.00元</t>
        </is>
      </c>
      <c r="E993" t="inlineStr">
        <is>
          <t>8.2折</t>
        </is>
      </c>
      <c r="F993">
        <f>HYPERLINK("https://i0.hdslb.com/bfs/mall/mall/63/50/6350c91ebc8d384840d8a831624894c0.png", "点击查看图片")</f>
        <v/>
      </c>
      <c r="G993">
        <f>HYPERLINK("https://mall.bilibili.com/neul-next/index.html?page=magic-market_detail&amp;noTitleBar=1&amp;itemsId=111910611627&amp;from=market_index", "点击打开")</f>
        <v/>
      </c>
    </row>
    <row r="994">
      <c r="A994" t="inlineStr">
        <is>
          <t>GSC 优子 Q版手办</t>
        </is>
      </c>
      <c r="B994" t="inlineStr">
        <is>
          <t>299.00元</t>
        </is>
      </c>
      <c r="C994" t="inlineStr">
        <is>
          <t>355.00元</t>
        </is>
      </c>
      <c r="D994" t="inlineStr">
        <is>
          <t>56.00元</t>
        </is>
      </c>
      <c r="E994" t="inlineStr">
        <is>
          <t>8.4折</t>
        </is>
      </c>
      <c r="F994">
        <f>HYPERLINK("https://i0.hdslb.com/bfs/mall/mall/80/1e/801e6544c8fac1352d5051ddebdf1a65.png", "点击查看图片")</f>
        <v/>
      </c>
      <c r="G994">
        <f>HYPERLINK("https://mall.bilibili.com/neul-next/index.html?page=magic-market_detail&amp;noTitleBar=1&amp;itemsId=106830614469&amp;from=market_index", "点击打开")</f>
        <v/>
      </c>
    </row>
    <row r="995">
      <c r="A995" t="inlineStr">
        <is>
          <t>BANPRESTO 八神太一&amp;亚古兽 景品</t>
        </is>
      </c>
      <c r="B995" t="inlineStr">
        <is>
          <t>499.00元</t>
        </is>
      </c>
      <c r="C995" t="inlineStr">
        <is>
          <t>836.00元</t>
        </is>
      </c>
      <c r="D995" t="inlineStr">
        <is>
          <t>337.00元</t>
        </is>
      </c>
      <c r="E995" t="inlineStr">
        <is>
          <t>6.0折</t>
        </is>
      </c>
      <c r="F995">
        <f>HYPERLINK("https://i0.hdslb.com/bfs/mall/mall/a2/72/a2722d3d5259e4a794e209cc8f7e3a3a.png", "点击查看图片")</f>
        <v/>
      </c>
      <c r="G995">
        <f>HYPERLINK("https://mall.bilibili.com/neul-next/index.html?page=magic-market_detail&amp;noTitleBar=1&amp;itemsId=106922444035&amp;from=market_index", "点击打开")</f>
        <v/>
      </c>
    </row>
    <row r="996">
      <c r="A996" t="inlineStr">
        <is>
          <t>GSAS 魏无羡&amp;蓝忘机 溱洧赠Ver. 正比手办</t>
        </is>
      </c>
      <c r="B996" t="inlineStr">
        <is>
          <t>1773.13元</t>
        </is>
      </c>
      <c r="C996" t="inlineStr">
        <is>
          <t>2075.00元</t>
        </is>
      </c>
      <c r="D996" t="inlineStr">
        <is>
          <t>301.87元</t>
        </is>
      </c>
      <c r="E996" t="inlineStr">
        <is>
          <t>8.5折</t>
        </is>
      </c>
      <c r="F996">
        <f>HYPERLINK("https://i0.hdslb.com/bfs/mall/mall/4b/19/4b19d52f6c97a3ed7f343200be6127bb.png", "点击查看图片")</f>
        <v/>
      </c>
      <c r="G996">
        <f>HYPERLINK("https://mall.bilibili.com/neul-next/index.html?page=magic-market_detail&amp;noTitleBar=1&amp;itemsId=109889159838&amp;from=market_index", "点击打开")</f>
        <v/>
      </c>
    </row>
    <row r="997">
      <c r="A997" t="inlineStr">
        <is>
          <t>BLACKRAY 洛天依 夏日海风 Ver. 手办</t>
        </is>
      </c>
      <c r="B997" t="inlineStr">
        <is>
          <t>329.00元</t>
        </is>
      </c>
      <c r="C997" t="inlineStr">
        <is>
          <t>459.00元</t>
        </is>
      </c>
      <c r="D997" t="inlineStr">
        <is>
          <t>130.00元</t>
        </is>
      </c>
      <c r="E997" t="inlineStr">
        <is>
          <t>7.2折</t>
        </is>
      </c>
      <c r="F997">
        <f>HYPERLINK("https://i0.hdslb.com/bfs/mall/mall/b1/5a/b15aca07681a42448d25313cc30eb93e.png", "点击查看图片")</f>
        <v/>
      </c>
      <c r="G997">
        <f>HYPERLINK("https://mall.bilibili.com/neul-next/index.html?page=magic-market_detail&amp;noTitleBar=1&amp;itemsId=111906693987&amp;from=market_index", "点击打开")</f>
        <v/>
      </c>
    </row>
    <row r="998">
      <c r="A998" t="inlineStr">
        <is>
          <t>RIBOSE 摩卡 正比手办</t>
        </is>
      </c>
      <c r="B998" t="inlineStr">
        <is>
          <t>480.00元</t>
        </is>
      </c>
      <c r="C998" t="inlineStr">
        <is>
          <t>698.00元</t>
        </is>
      </c>
      <c r="D998" t="inlineStr">
        <is>
          <t>218.00元</t>
        </is>
      </c>
      <c r="E998" t="inlineStr">
        <is>
          <t>6.9折</t>
        </is>
      </c>
      <c r="F998">
        <f>HYPERLINK("https://i0.hdslb.com/bfs/mall/mall/ec/db/ecdb1f63fc96293571a70b01d2b9ba12.png", "点击查看图片")</f>
        <v/>
      </c>
      <c r="G998">
        <f>HYPERLINK("https://mall.bilibili.com/neul-next/index.html?page=magic-market_detail&amp;noTitleBar=1&amp;itemsId=109873731126&amp;from=market_index", "点击打开")</f>
        <v/>
      </c>
    </row>
    <row r="999">
      <c r="A999" t="inlineStr">
        <is>
          <t>GSC 黄金船 制服Ver. 手办</t>
        </is>
      </c>
      <c r="B999" t="inlineStr">
        <is>
          <t>149.99元</t>
        </is>
      </c>
      <c r="C999" t="inlineStr">
        <is>
          <t>199.00元</t>
        </is>
      </c>
      <c r="D999" t="inlineStr">
        <is>
          <t>49.01元</t>
        </is>
      </c>
      <c r="E999" t="inlineStr">
        <is>
          <t>7.5折</t>
        </is>
      </c>
      <c r="F999">
        <f>HYPERLINK("https://i0.hdslb.com/bfs/mall/mall/34/76/3476c80b9e59bf4c6bb935c3f8b779a7.png", "点击查看图片")</f>
        <v/>
      </c>
      <c r="G999">
        <f>HYPERLINK("https://mall.bilibili.com/neul-next/index.html?page=magic-market_detail&amp;noTitleBar=1&amp;itemsId=111905806078&amp;from=market_index", "点击打开")</f>
        <v/>
      </c>
    </row>
    <row r="1000">
      <c r="A1000" t="inlineStr">
        <is>
          <t>Orange Rouge 奥伯龙·伏提庚 Q版手办</t>
        </is>
      </c>
      <c r="B1000" t="inlineStr">
        <is>
          <t>298.00元</t>
        </is>
      </c>
      <c r="C1000" t="inlineStr">
        <is>
          <t>325.00元</t>
        </is>
      </c>
      <c r="D1000" t="inlineStr">
        <is>
          <t>27.00元</t>
        </is>
      </c>
      <c r="E1000" t="inlineStr">
        <is>
          <t>9.2折</t>
        </is>
      </c>
      <c r="F1000">
        <f>HYPERLINK("https://i0.hdslb.com/bfs/mall/mall/f8/c1/f8c121ab2ad766fba04cc383be7b096a.png", "点击查看图片")</f>
        <v/>
      </c>
      <c r="G1000">
        <f>HYPERLINK("https://mall.bilibili.com/neul-next/index.html?page=magic-market_detail&amp;noTitleBar=1&amp;itemsId=109812978159&amp;from=market_index", "点击打开")</f>
        <v/>
      </c>
    </row>
    <row r="1001">
      <c r="A1001" t="inlineStr">
        <is>
          <t>角川 OVERLORD 第四季 雅儿贝德&amp;夏提雅·布拉德弗伦 新娘Ver. 手办</t>
        </is>
      </c>
      <c r="B1001" t="inlineStr">
        <is>
          <t>1889.00元</t>
        </is>
      </c>
      <c r="C1001" t="inlineStr">
        <is>
          <t>2758.00元</t>
        </is>
      </c>
      <c r="D1001" t="inlineStr">
        <is>
          <t>869.00元</t>
        </is>
      </c>
      <c r="E1001" t="inlineStr">
        <is>
          <t>6.8折</t>
        </is>
      </c>
      <c r="F1001">
        <f>HYPERLINK("https://i0.hdslb.com/bfs/mall/mall/60/43/6043360e7dd2d98d68c013452ae5d37c.png", "点击查看图片")</f>
        <v/>
      </c>
      <c r="G1001">
        <f>HYPERLINK("https://mall.bilibili.com/neul-next/index.html?page=magic-market_detail&amp;noTitleBar=1&amp;itemsId=111911879931&amp;from=market_index", "点击打开")</f>
        <v/>
      </c>
    </row>
    <row r="1002">
      <c r="A1002" t="inlineStr">
        <is>
          <t>APEX 花园 正比手办</t>
        </is>
      </c>
      <c r="B1002" t="inlineStr">
        <is>
          <t>1450.00元</t>
        </is>
      </c>
      <c r="C1002" t="inlineStr">
        <is>
          <t>1699.00元</t>
        </is>
      </c>
      <c r="D1002" t="inlineStr">
        <is>
          <t>249.00元</t>
        </is>
      </c>
      <c r="E1002" t="inlineStr">
        <is>
          <t>8.5折</t>
        </is>
      </c>
      <c r="F1002">
        <f>HYPERLINK("https://i0.hdslb.com/bfs/mall/mall/a3/7d/a37d7b8e25c99ad7e317806739d386b8.png", "点击查看图片")</f>
        <v/>
      </c>
      <c r="G1002">
        <f>HYPERLINK("https://mall.bilibili.com/neul-next/index.html?page=magic-market_detail&amp;noTitleBar=1&amp;itemsId=106829863963&amp;from=market_index", "点击打开")</f>
        <v/>
      </c>
    </row>
    <row r="1003">
      <c r="A1003" t="inlineStr">
        <is>
          <t>Plum Love Live！虹咲学园学园偶像同好会 三船栞子 手办</t>
        </is>
      </c>
      <c r="B1003" t="inlineStr">
        <is>
          <t>720.00元</t>
        </is>
      </c>
      <c r="C1003" t="inlineStr">
        <is>
          <t>1083.00元</t>
        </is>
      </c>
      <c r="D1003" t="inlineStr">
        <is>
          <t>363.00元</t>
        </is>
      </c>
      <c r="E1003" t="inlineStr">
        <is>
          <t>6.6折</t>
        </is>
      </c>
      <c r="F1003">
        <f>HYPERLINK("https://i0.hdslb.com/bfs/mall/mall/ab/db/abdb219b3a899b09919e4a3831f2882b.png", "点击查看图片")</f>
        <v/>
      </c>
      <c r="G1003">
        <f>HYPERLINK("https://mall.bilibili.com/neul-next/index.html?page=magic-market_detail&amp;noTitleBar=1&amp;itemsId=109878181071&amp;from=market_index", "点击打开")</f>
        <v/>
      </c>
    </row>
    <row r="1004">
      <c r="A1004" t="inlineStr">
        <is>
          <t>Union Creative 原创 吉他妹妹 手办</t>
        </is>
      </c>
      <c r="B1004" t="inlineStr">
        <is>
          <t>688.00元</t>
        </is>
      </c>
      <c r="C1004" t="inlineStr">
        <is>
          <t>899.00元</t>
        </is>
      </c>
      <c r="D1004" t="inlineStr">
        <is>
          <t>211.00元</t>
        </is>
      </c>
      <c r="E1004" t="inlineStr">
        <is>
          <t>7.7折</t>
        </is>
      </c>
      <c r="F1004">
        <f>HYPERLINK("https://i0.hdslb.com/bfs/mall/mall/24/7e/247e310c943092e3eddce5ecdd65f767.png", "点击查看图片")</f>
        <v/>
      </c>
      <c r="G1004">
        <f>HYPERLINK("https://mall.bilibili.com/neul-next/index.html?page=magic-market_detail&amp;noTitleBar=1&amp;itemsId=109858160634&amp;from=market_index", "点击打开")</f>
        <v/>
      </c>
    </row>
    <row r="1005">
      <c r="A1005" t="inlineStr">
        <is>
          <t>GOOD SMILE COMPANY 初音未来 手办</t>
        </is>
      </c>
      <c r="B1005" t="inlineStr">
        <is>
          <t>1088.00元</t>
        </is>
      </c>
      <c r="C1005" t="inlineStr">
        <is>
          <t>1615.00元</t>
        </is>
      </c>
      <c r="D1005" t="inlineStr">
        <is>
          <t>527.00元</t>
        </is>
      </c>
      <c r="E1005" t="inlineStr">
        <is>
          <t>6.7折</t>
        </is>
      </c>
      <c r="F1005">
        <f>HYPERLINK("https://i0.hdslb.com/bfs/mall/mall/c0/2c/c02cf9175a119ab74be4a465159c9e39.png", "点击查看图片")</f>
        <v/>
      </c>
      <c r="G1005">
        <f>HYPERLINK("https://mall.bilibili.com/neul-next/index.html?page=magic-market_detail&amp;noTitleBar=1&amp;itemsId=109868205418&amp;from=market_index", "点击打开")</f>
        <v/>
      </c>
    </row>
    <row r="1006">
      <c r="A1006" t="inlineStr">
        <is>
          <t>MIMEYOI 碧蓝航线 恶毒 懒懒的白兔Ver. 手办</t>
        </is>
      </c>
      <c r="B1006" t="inlineStr">
        <is>
          <t>1286.77元</t>
        </is>
      </c>
      <c r="C1006" t="inlineStr">
        <is>
          <t>1460.00元</t>
        </is>
      </c>
      <c r="D1006" t="inlineStr">
        <is>
          <t>173.23元</t>
        </is>
      </c>
      <c r="E1006" t="inlineStr">
        <is>
          <t>8.8折</t>
        </is>
      </c>
      <c r="F1006">
        <f>HYPERLINK("https://i0.hdslb.com/bfs/mall/mall/3e/99/3e99b71d21278784472c355a45b6c6b9.png", "点击查看图片")</f>
        <v/>
      </c>
      <c r="G1006">
        <f>HYPERLINK("https://mall.bilibili.com/neul-next/index.html?page=magic-market_detail&amp;noTitleBar=1&amp;itemsId=110463266792&amp;from=market_index", "点击打开")</f>
        <v/>
      </c>
    </row>
    <row r="1007">
      <c r="A1007" t="inlineStr">
        <is>
          <t>FuRyu 东云晶 正比手办</t>
        </is>
      </c>
      <c r="B1007" t="inlineStr">
        <is>
          <t>399.00元</t>
        </is>
      </c>
      <c r="C1007" t="inlineStr">
        <is>
          <t>598.00元</t>
        </is>
      </c>
      <c r="D1007" t="inlineStr">
        <is>
          <t>199.00元</t>
        </is>
      </c>
      <c r="E1007" t="inlineStr">
        <is>
          <t>6.7折</t>
        </is>
      </c>
      <c r="F1007">
        <f>HYPERLINK("https://i0.hdslb.com/bfs/mall/mall/a6/19/a6195b51d82bad709e1ec6f3dd1dfd13.png", "点击查看图片")</f>
        <v/>
      </c>
      <c r="G1007">
        <f>HYPERLINK("https://mall.bilibili.com/neul-next/index.html?page=magic-market_detail&amp;noTitleBar=1&amp;itemsId=111915160620&amp;from=market_index", "点击打开")</f>
        <v/>
      </c>
    </row>
    <row r="1008">
      <c r="A1008" t="inlineStr">
        <is>
          <t>世嘉 初音未来 16th Anniversary KEI Ver. 景品手办</t>
        </is>
      </c>
      <c r="B1008" t="inlineStr">
        <is>
          <t>108.00元</t>
        </is>
      </c>
      <c r="C1008" t="inlineStr">
        <is>
          <t>109.00元</t>
        </is>
      </c>
      <c r="D1008" t="inlineStr">
        <is>
          <t>1.00元</t>
        </is>
      </c>
      <c r="E1008" t="inlineStr">
        <is>
          <t>9.9折</t>
        </is>
      </c>
      <c r="F1008">
        <f>HYPERLINK("https://i0.hdslb.com/bfs/mall/mall/7b/5e/7b5e56891287cc0077acad61524b04e4.png", "点击查看图片")</f>
        <v/>
      </c>
      <c r="G1008">
        <f>HYPERLINK("https://mall.bilibili.com/neul-next/index.html?page=magic-market_detail&amp;noTitleBar=1&amp;itemsId=106938255931&amp;from=market_index", "点击打开")</f>
        <v/>
      </c>
    </row>
    <row r="1009">
      <c r="A1009" t="inlineStr">
        <is>
          <t>FuRyu  猫娘乐园 香草 景品手办</t>
        </is>
      </c>
      <c r="B1009" t="inlineStr">
        <is>
          <t>108.00元</t>
        </is>
      </c>
      <c r="C1009" t="inlineStr">
        <is>
          <t>112.00元</t>
        </is>
      </c>
      <c r="D1009" t="inlineStr">
        <is>
          <t>4.00元</t>
        </is>
      </c>
      <c r="E1009" t="inlineStr">
        <is>
          <t>9.6折</t>
        </is>
      </c>
      <c r="F1009">
        <f>HYPERLINK("https://i0.hdslb.com/bfs/mall/mall/5b/95/5b95a807d38420a782a6f6f2baf68762.png", "点击查看图片")</f>
        <v/>
      </c>
      <c r="G1009">
        <f>HYPERLINK("https://mall.bilibili.com/neul-next/index.html?page=magic-market_detail&amp;noTitleBar=1&amp;itemsId=106838101489&amp;from=market_index", "点击打开")</f>
        <v/>
      </c>
    </row>
    <row r="1010">
      <c r="A1010" t="inlineStr">
        <is>
          <t>Vsinger 洛天依 秘境花庭 常服Ver.手办 附特典</t>
        </is>
      </c>
      <c r="B1010" t="inlineStr">
        <is>
          <t>389.00元</t>
        </is>
      </c>
      <c r="C1010" t="inlineStr">
        <is>
          <t>899.00元</t>
        </is>
      </c>
      <c r="D1010" t="inlineStr">
        <is>
          <t>510.00元</t>
        </is>
      </c>
      <c r="E1010" t="inlineStr">
        <is>
          <t>4.3折</t>
        </is>
      </c>
      <c r="F1010">
        <f>HYPERLINK("https://i0.hdslb.com/bfs/mall/mall/19/31/19318d8c79df06f68f39f8bc00897b37.png", "点击查看图片")</f>
        <v/>
      </c>
      <c r="G1010">
        <f>HYPERLINK("https://mall.bilibili.com/neul-next/index.html?page=magic-market_detail&amp;noTitleBar=1&amp;itemsId=111908728827&amp;from=market_index", "点击打开")</f>
        <v/>
      </c>
    </row>
    <row r="1011">
      <c r="A1011" t="inlineStr">
        <is>
          <t>Union Creative 原创 黑旗袍桑 手办</t>
        </is>
      </c>
      <c r="B1011" t="inlineStr">
        <is>
          <t>588.00元</t>
        </is>
      </c>
      <c r="C1011" t="inlineStr">
        <is>
          <t>750.00元</t>
        </is>
      </c>
      <c r="D1011" t="inlineStr">
        <is>
          <t>162.00元</t>
        </is>
      </c>
      <c r="E1011" t="inlineStr">
        <is>
          <t>7.8折</t>
        </is>
      </c>
      <c r="F1011">
        <f>HYPERLINK("https://i0.hdslb.com/bfs/mall/mall/dc/43/dc4394bcb645d6443e203696f30f992d.png", "点击查看图片")</f>
        <v/>
      </c>
      <c r="G1011">
        <f>HYPERLINK("https://mall.bilibili.com/neul-next/index.html?page=magic-market_detail&amp;noTitleBar=1&amp;itemsId=110470177051&amp;from=market_index", "点击打开")</f>
        <v/>
      </c>
    </row>
    <row r="1012">
      <c r="A1012" t="inlineStr">
        <is>
          <t>BeBox 2233  新世纪福音战士联名款  景品</t>
        </is>
      </c>
      <c r="B1012" t="inlineStr">
        <is>
          <t>140.00元</t>
        </is>
      </c>
      <c r="C1012" t="inlineStr">
        <is>
          <t>233.00元</t>
        </is>
      </c>
      <c r="D1012" t="inlineStr">
        <is>
          <t>93.00元</t>
        </is>
      </c>
      <c r="E1012" t="inlineStr">
        <is>
          <t>6.0折</t>
        </is>
      </c>
      <c r="F1012">
        <f>HYPERLINK("https://i0.hdslb.com/bfs/mall/mall/8b/ed/8bedb3d924d1db72debb2a79d4ab0063.png", "点击查看图片")</f>
        <v/>
      </c>
      <c r="G1012">
        <f>HYPERLINK("https://mall.bilibili.com/neul-next/index.html?page=magic-market_detail&amp;noTitleBar=1&amp;itemsId=106833801808&amp;from=market_index", "点击打开")</f>
        <v/>
      </c>
    </row>
    <row r="1013">
      <c r="A1013" t="inlineStr">
        <is>
          <t>GSC 星野爱 Q版手办</t>
        </is>
      </c>
      <c r="B1013" t="inlineStr">
        <is>
          <t>259.00元</t>
        </is>
      </c>
      <c r="C1013" t="inlineStr">
        <is>
          <t>299.00元</t>
        </is>
      </c>
      <c r="D1013" t="inlineStr">
        <is>
          <t>40.00元</t>
        </is>
      </c>
      <c r="E1013" t="inlineStr">
        <is>
          <t>8.7折</t>
        </is>
      </c>
      <c r="F1013">
        <f>HYPERLINK("https://i0.hdslb.com/bfs/mall/mall/4d/cf/4dcfade8f7e2612d4fe17d68410d3b90.png", "点击查看图片")</f>
        <v/>
      </c>
      <c r="G1013">
        <f>HYPERLINK("https://mall.bilibili.com/neul-next/index.html?page=magic-market_detail&amp;noTitleBar=1&amp;itemsId=110471257823&amp;from=market_index", "点击打开")</f>
        <v/>
      </c>
    </row>
    <row r="1014">
      <c r="A1014" t="inlineStr">
        <is>
          <t>Union Creative 原创 楓子原画 佐佐城三幸 夏云白色比基尼ver. 手办</t>
        </is>
      </c>
      <c r="B1014" t="inlineStr">
        <is>
          <t>420.00元</t>
        </is>
      </c>
      <c r="C1014" t="inlineStr">
        <is>
          <t>785.00元</t>
        </is>
      </c>
      <c r="D1014" t="inlineStr">
        <is>
          <t>365.00元</t>
        </is>
      </c>
      <c r="E1014" t="inlineStr">
        <is>
          <t>5.4折</t>
        </is>
      </c>
      <c r="F1014">
        <f>HYPERLINK("https://i0.hdslb.com/bfs/mall/mall/0c/b9/0cb921925ce6c23db1a87f40658b012a.png", "点击查看图片")</f>
        <v/>
      </c>
      <c r="G1014">
        <f>HYPERLINK("https://mall.bilibili.com/neul-next/index.html?page=magic-market_detail&amp;noTitleBar=1&amp;itemsId=120681602423&amp;from=market_index", "点击打开")</f>
        <v/>
      </c>
    </row>
    <row r="1015">
      <c r="A1015" t="inlineStr">
        <is>
          <t>Plum 香草 可爱甜蜜时光 手办 再版</t>
        </is>
      </c>
      <c r="B1015" t="inlineStr">
        <is>
          <t>425.00元</t>
        </is>
      </c>
      <c r="C1015" t="inlineStr">
        <is>
          <t>857.00元</t>
        </is>
      </c>
      <c r="D1015" t="inlineStr">
        <is>
          <t>432.00元</t>
        </is>
      </c>
      <c r="E1015" t="inlineStr">
        <is>
          <t>5.0折</t>
        </is>
      </c>
      <c r="F1015">
        <f>HYPERLINK("https://i0.hdslb.com/bfs/mall/mall/76/ef/76eff7f99cf53605dc2c9a10ff7a1dfa.png", "点击查看图片")</f>
        <v/>
      </c>
      <c r="G1015">
        <f>HYPERLINK("https://mall.bilibili.com/neul-next/index.html?page=magic-market_detail&amp;noTitleBar=1&amp;itemsId=111918160649&amp;from=market_index", "点击打开")</f>
        <v/>
      </c>
    </row>
    <row r="1016">
      <c r="A1016" t="inlineStr">
        <is>
          <t>PROOF 五等分的新娘 中野一花 天使ver. 1/7手办</t>
        </is>
      </c>
      <c r="B1016" t="inlineStr">
        <is>
          <t>868.00元</t>
        </is>
      </c>
      <c r="C1016" t="inlineStr">
        <is>
          <t>1250.00元</t>
        </is>
      </c>
      <c r="D1016" t="inlineStr">
        <is>
          <t>382.00元</t>
        </is>
      </c>
      <c r="E1016" t="inlineStr">
        <is>
          <t>6.9折</t>
        </is>
      </c>
      <c r="F1016">
        <f>HYPERLINK("https://i0.hdslb.com/bfs/mall/mall/74/5b/745b73bd3b3c6bd4095f4ffadd5cb377.png", "点击查看图片")</f>
        <v/>
      </c>
      <c r="G1016">
        <f>HYPERLINK("https://mall.bilibili.com/neul-next/index.html?page=magic-market_detail&amp;noTitleBar=1&amp;itemsId=111919130983&amp;from=market_index", "点击打开")</f>
        <v/>
      </c>
    </row>
    <row r="1017">
      <c r="A1017" t="inlineStr">
        <is>
          <t>Plusone贞德&amp;阿斯托尔福 赛车Ver. 手办</t>
        </is>
      </c>
      <c r="B1017" t="inlineStr">
        <is>
          <t>1088.00元</t>
        </is>
      </c>
      <c r="C1017" t="inlineStr">
        <is>
          <t>1659.00元</t>
        </is>
      </c>
      <c r="D1017" t="inlineStr">
        <is>
          <t>571.00元</t>
        </is>
      </c>
      <c r="E1017" t="inlineStr">
        <is>
          <t>6.6折</t>
        </is>
      </c>
      <c r="F1017">
        <f>HYPERLINK("https://i0.hdslb.com/bfs/mall/mall/20/b9/20b91ab0b64ccfd9134ae042e072ab90.png", "点击查看图片")</f>
        <v/>
      </c>
      <c r="G1017">
        <f>HYPERLINK("https://mall.bilibili.com/neul-next/index.html?page=magic-market_detail&amp;noTitleBar=1&amp;itemsId=106839314767&amp;from=market_index", "点击打开")</f>
        <v/>
      </c>
    </row>
    <row r="1018">
      <c r="A1018" t="inlineStr">
        <is>
          <t>F:NEX × POPPRO VOCALOID 初音未来 2023新春ver. 手办</t>
        </is>
      </c>
      <c r="B1018" t="inlineStr">
        <is>
          <t>1085.00元</t>
        </is>
      </c>
      <c r="C1018" t="inlineStr">
        <is>
          <t>1499.00元</t>
        </is>
      </c>
      <c r="D1018" t="inlineStr">
        <is>
          <t>414.00元</t>
        </is>
      </c>
      <c r="E1018" t="inlineStr">
        <is>
          <t>7.2折</t>
        </is>
      </c>
      <c r="F1018">
        <f>HYPERLINK("https://i0.hdslb.com/bfs/mall/mall/ae/ca/aecaa565dec6dfa064112497732a7a6a.png", "点击查看图片")</f>
        <v/>
      </c>
      <c r="G1018">
        <f>HYPERLINK("https://mall.bilibili.com/neul-next/index.html?page=magic-market_detail&amp;noTitleBar=1&amp;itemsId=109871309549&amp;from=market_index", "点击打开")</f>
        <v/>
      </c>
    </row>
    <row r="1019">
      <c r="A1019" t="inlineStr">
        <is>
          <t>MEDICOS 迪奥・布兰度 可动手办</t>
        </is>
      </c>
      <c r="B1019" t="inlineStr">
        <is>
          <t>333.08元</t>
        </is>
      </c>
      <c r="C1019" t="inlineStr">
        <is>
          <t>449.00元</t>
        </is>
      </c>
      <c r="D1019" t="inlineStr">
        <is>
          <t>115.92元</t>
        </is>
      </c>
      <c r="E1019" t="inlineStr">
        <is>
          <t>7.4折</t>
        </is>
      </c>
      <c r="F1019">
        <f>HYPERLINK("https://i0.hdslb.com/bfs/mall/mall/a6/e9/a6e9654865f1c11e3fb8aa6e9421b207.png", "点击查看图片")</f>
        <v/>
      </c>
      <c r="G1019">
        <f>HYPERLINK("https://mall.bilibili.com/neul-next/index.html?page=magic-market_detail&amp;noTitleBar=1&amp;itemsId=109864954654&amp;from=market_index", "点击打开")</f>
        <v/>
      </c>
    </row>
    <row r="1020">
      <c r="A1020" t="inlineStr">
        <is>
          <t>Charm 原创 秘技二刀流 影縫舞 1/6手办 通常版</t>
        </is>
      </c>
      <c r="B1020" t="inlineStr">
        <is>
          <t>788.00元</t>
        </is>
      </c>
      <c r="C1020" t="inlineStr">
        <is>
          <t>968.00元</t>
        </is>
      </c>
      <c r="D1020" t="inlineStr">
        <is>
          <t>180.00元</t>
        </is>
      </c>
      <c r="E1020" t="inlineStr">
        <is>
          <t>8.1折</t>
        </is>
      </c>
      <c r="F1020">
        <f>HYPERLINK("https://i0.hdslb.com/bfs/mall/mall/60/ca/60ca60300f369b7208439903adf95008.png", "点击查看图片")</f>
        <v/>
      </c>
      <c r="G1020">
        <f>HYPERLINK("https://mall.bilibili.com/neul-next/index.html?page=magic-market_detail&amp;noTitleBar=1&amp;itemsId=110474937860&amp;from=market_index", "点击打开")</f>
        <v/>
      </c>
    </row>
    <row r="1021">
      <c r="A1021" t="inlineStr">
        <is>
          <t xml:space="preserve">AMAKUNI 卫宫士郎  手办 </t>
        </is>
      </c>
      <c r="B1021" t="inlineStr">
        <is>
          <t>499.00元</t>
        </is>
      </c>
      <c r="C1021" t="inlineStr">
        <is>
          <t>1220.00元</t>
        </is>
      </c>
      <c r="D1021" t="inlineStr">
        <is>
          <t>721.00元</t>
        </is>
      </c>
      <c r="E1021" t="inlineStr">
        <is>
          <t>4.1折</t>
        </is>
      </c>
      <c r="F1021">
        <f>HYPERLINK("https://i0.hdslb.com/bfs/mall/mall/6f/ac/6facb58346b6c57b9fa41e099940e5d2.png", "点击查看图片")</f>
        <v/>
      </c>
      <c r="G1021">
        <f>HYPERLINK("https://mall.bilibili.com/neul-next/index.html?page=magic-market_detail&amp;noTitleBar=1&amp;itemsId=106939435253&amp;from=market_index", "点击打开")</f>
        <v/>
      </c>
    </row>
    <row r="1022">
      <c r="A1022" t="inlineStr">
        <is>
          <t>MIMEYOI 鹤 飙速之鹤Ver.手办</t>
        </is>
      </c>
      <c r="B1022" t="inlineStr">
        <is>
          <t>1442.40元</t>
        </is>
      </c>
      <c r="C1022" t="inlineStr">
        <is>
          <t>1899.00元</t>
        </is>
      </c>
      <c r="D1022" t="inlineStr">
        <is>
          <t>456.60元</t>
        </is>
      </c>
      <c r="E1022" t="inlineStr">
        <is>
          <t>7.6折</t>
        </is>
      </c>
      <c r="F1022">
        <f>HYPERLINK("https://i0.hdslb.com/bfs/mall/mall/0b/a1/0ba1350c15bd09b3168ba2516b233fa0.png", "点击查看图片")</f>
        <v/>
      </c>
      <c r="G1022">
        <f>HYPERLINK("https://mall.bilibili.com/neul-next/index.html?page=magic-market_detail&amp;noTitleBar=1&amp;itemsId=109867846191&amp;from=market_index", "点击打开")</f>
        <v/>
      </c>
    </row>
    <row r="1023">
      <c r="A1023" t="inlineStr">
        <is>
          <t>角川 命运石之门0 牧濑红莉栖 1/7手办 LED发光件版</t>
        </is>
      </c>
      <c r="B1023" t="inlineStr">
        <is>
          <t>962.00元</t>
        </is>
      </c>
      <c r="C1023" t="inlineStr">
        <is>
          <t>1450.00元</t>
        </is>
      </c>
      <c r="D1023" t="inlineStr">
        <is>
          <t>488.00元</t>
        </is>
      </c>
      <c r="E1023" t="inlineStr">
        <is>
          <t>6.6折</t>
        </is>
      </c>
      <c r="F1023">
        <f>HYPERLINK("https://i0.hdslb.com/bfs/mall/mall/5b/42/5b429dcd0d612494c8412302106a7ddc.png", "点击查看图片")</f>
        <v/>
      </c>
      <c r="G1023">
        <f>HYPERLINK("https://mall.bilibili.com/neul-next/index.html?page=magic-market_detail&amp;noTitleBar=1&amp;itemsId=107070710286&amp;from=market_index", "点击打开")</f>
        <v/>
      </c>
    </row>
    <row r="1024">
      <c r="A1024" t="inlineStr">
        <is>
          <t>FREEing B-style 碧蓝航线 鹩 周年纪念兔女郎Ver. 1/4手办</t>
        </is>
      </c>
      <c r="B1024" t="inlineStr">
        <is>
          <t>1538.00元</t>
        </is>
      </c>
      <c r="C1024" t="inlineStr">
        <is>
          <t>1750.00元</t>
        </is>
      </c>
      <c r="D1024" t="inlineStr">
        <is>
          <t>212.00元</t>
        </is>
      </c>
      <c r="E1024" t="inlineStr">
        <is>
          <t>8.8折</t>
        </is>
      </c>
      <c r="F1024">
        <f>HYPERLINK("https://i0.hdslb.com/bfs/mall/mall/d0/a2/d0a2852d85a1b23a4a8c32db152f45f1.png", "点击查看图片")</f>
        <v/>
      </c>
      <c r="G1024">
        <f>HYPERLINK("https://mall.bilibili.com/neul-next/index.html?page=magic-market_detail&amp;noTitleBar=1&amp;itemsId=111913088877&amp;from=market_index", "点击打开")</f>
        <v/>
      </c>
    </row>
    <row r="1025">
      <c r="A1025" t="inlineStr">
        <is>
          <t>Union Creative 原创 白发兔女郎 手办</t>
        </is>
      </c>
      <c r="B1025" t="inlineStr">
        <is>
          <t>666.00元</t>
        </is>
      </c>
      <c r="C1025" t="inlineStr">
        <is>
          <t>899.00元</t>
        </is>
      </c>
      <c r="D1025" t="inlineStr">
        <is>
          <t>233.00元</t>
        </is>
      </c>
      <c r="E1025" t="inlineStr">
        <is>
          <t>7.4折</t>
        </is>
      </c>
      <c r="F1025">
        <f>HYPERLINK("https://i0.hdslb.com/bfs/mall/mall/38/c4/38c4211d895fdd64c898070a9f07a9c6.png", "点击查看图片")</f>
        <v/>
      </c>
      <c r="G1025">
        <f>HYPERLINK("https://mall.bilibili.com/neul-next/index.html?page=magic-market_detail&amp;noTitleBar=1&amp;itemsId=109884732185&amp;from=market_index", "点击打开")</f>
        <v/>
      </c>
    </row>
    <row r="1026">
      <c r="A1026" t="inlineStr">
        <is>
          <t>GSC 伊津津美 正比手办</t>
        </is>
      </c>
      <c r="B1026" t="inlineStr">
        <is>
          <t>150.00元</t>
        </is>
      </c>
      <c r="C1026" t="inlineStr">
        <is>
          <t>245.00元</t>
        </is>
      </c>
      <c r="D1026" t="inlineStr">
        <is>
          <t>95.00元</t>
        </is>
      </c>
      <c r="E1026" t="inlineStr">
        <is>
          <t>6.1折</t>
        </is>
      </c>
      <c r="F1026">
        <f>HYPERLINK("https://i0.hdslb.com/bfs/mall/mall/ba/ff/baff2230bb8bd601141138cba3f1e500.png", "点击查看图片")</f>
        <v/>
      </c>
      <c r="G1026">
        <f>HYPERLINK("https://mall.bilibili.com/neul-next/index.html?page=magic-market_detail&amp;noTitleBar=1&amp;itemsId=106837667962&amp;from=market_index", "点击打开")</f>
        <v/>
      </c>
    </row>
    <row r="1027">
      <c r="A1027" t="inlineStr">
        <is>
          <t>APEX 碧蓝幻想 薇拉 誓约晚礼服Ver. 1/7 比例手办</t>
        </is>
      </c>
      <c r="B1027" t="inlineStr">
        <is>
          <t>389.92元</t>
        </is>
      </c>
      <c r="C1027" t="inlineStr">
        <is>
          <t>899.00元</t>
        </is>
      </c>
      <c r="D1027" t="inlineStr">
        <is>
          <t>509.08元</t>
        </is>
      </c>
      <c r="E1027" t="inlineStr">
        <is>
          <t>4.3折</t>
        </is>
      </c>
      <c r="F1027">
        <f>HYPERLINK("https://i0.hdslb.com/bfs/mall/mall/3c/e7/3ce7346399eec85851ffdb0bb9319c36.png", "点击查看图片")</f>
        <v/>
      </c>
      <c r="G1027">
        <f>HYPERLINK("https://mall.bilibili.com/neul-next/index.html?page=magic-market_detail&amp;noTitleBar=1&amp;itemsId=111912350135&amp;from=market_index", "点击打开")</f>
        <v/>
      </c>
    </row>
    <row r="1028">
      <c r="A1028" t="inlineStr">
        <is>
          <t>neonmax 靡烟 手办</t>
        </is>
      </c>
      <c r="B1028" t="inlineStr">
        <is>
          <t>581.40元</t>
        </is>
      </c>
      <c r="C1028" t="inlineStr">
        <is>
          <t>999.00元</t>
        </is>
      </c>
      <c r="D1028" t="inlineStr">
        <is>
          <t>417.60元</t>
        </is>
      </c>
      <c r="E1028" t="inlineStr">
        <is>
          <t>5.8折</t>
        </is>
      </c>
      <c r="F1028">
        <f>HYPERLINK("https://i0.hdslb.com/bfs/mall/mall/75/dc/75dc084999706073085eb4eef3dc7513.png", "点击查看图片")</f>
        <v/>
      </c>
      <c r="G1028">
        <f>HYPERLINK("https://mall.bilibili.com/neul-next/index.html?page=magic-market_detail&amp;noTitleBar=1&amp;itemsId=109827810554&amp;from=market_index", "点击打开")</f>
        <v/>
      </c>
    </row>
    <row r="1029">
      <c r="A1029" t="inlineStr">
        <is>
          <t>KT model+ 炼金工作室系列-莱莎的炼金工作室2～失落传说与秘密妖精～ 莱莎琳·斯托特 手办</t>
        </is>
      </c>
      <c r="B1029" t="inlineStr">
        <is>
          <t>1199.00元</t>
        </is>
      </c>
      <c r="C1029" t="inlineStr">
        <is>
          <t>1455.00元</t>
        </is>
      </c>
      <c r="D1029" t="inlineStr">
        <is>
          <t>256.00元</t>
        </is>
      </c>
      <c r="E1029" t="inlineStr">
        <is>
          <t>8.2折</t>
        </is>
      </c>
      <c r="F1029">
        <f>HYPERLINK("https://i0.hdslb.com/bfs/mall/mall/9d/21/9d210bfd8d5ae1e99ad454095e9ca2dc.png", "点击查看图片")</f>
        <v/>
      </c>
      <c r="G1029">
        <f>HYPERLINK("https://mall.bilibili.com/neul-next/index.html?page=magic-market_detail&amp;noTitleBar=1&amp;itemsId=111916600401&amp;from=market_index", "点击打开")</f>
        <v/>
      </c>
    </row>
    <row r="1030">
      <c r="A1030" t="inlineStr">
        <is>
          <t>Phat! Lancer/宇津见绘里濑  正比手办</t>
        </is>
      </c>
      <c r="B1030" t="inlineStr">
        <is>
          <t>1158.00元</t>
        </is>
      </c>
      <c r="C1030" t="inlineStr">
        <is>
          <t>1539.00元</t>
        </is>
      </c>
      <c r="D1030" t="inlineStr">
        <is>
          <t>381.00元</t>
        </is>
      </c>
      <c r="E1030" t="inlineStr">
        <is>
          <t>7.5折</t>
        </is>
      </c>
      <c r="F1030">
        <f>HYPERLINK("https://i0.hdslb.com/bfs/mall/mall/ff/87/ff87cf19d1487bd22f3b6dd45712e028.png", "点击查看图片")</f>
        <v/>
      </c>
      <c r="G1030">
        <f>HYPERLINK("https://mall.bilibili.com/neul-next/index.html?page=magic-market_detail&amp;noTitleBar=1&amp;itemsId=109881378721&amp;from=market_index", "点击打开")</f>
        <v/>
      </c>
    </row>
    <row r="1031">
      <c r="A1031" t="inlineStr">
        <is>
          <t>角川 Fate/kaleid liner 魔法少女☆伊莉雅 伊莉雅斯菲尔·冯·爱因兹贝伦 比基尼婚纱ver. 手办 再版</t>
        </is>
      </c>
      <c r="B1031" t="inlineStr">
        <is>
          <t>658.00元</t>
        </is>
      </c>
      <c r="C1031" t="inlineStr">
        <is>
          <t>799.00元</t>
        </is>
      </c>
      <c r="D1031" t="inlineStr">
        <is>
          <t>141.00元</t>
        </is>
      </c>
      <c r="E1031" t="inlineStr">
        <is>
          <t>8.2折</t>
        </is>
      </c>
      <c r="F1031">
        <f>HYPERLINK("https://i0.hdslb.com/bfs/mall/mall/98/9d/989d770b76e114b10141f838d503c1f3.png", "点击查看图片")</f>
        <v/>
      </c>
      <c r="G1031">
        <f>HYPERLINK("https://mall.bilibili.com/neul-next/index.html?page=magic-market_detail&amp;noTitleBar=1&amp;itemsId=109853452885&amp;from=market_index", "点击打开")</f>
        <v/>
      </c>
    </row>
    <row r="1032">
      <c r="A1032" t="inlineStr">
        <is>
          <t>Prime 1 Studio 中野三玖 电影ver. 手办</t>
        </is>
      </c>
      <c r="B1032" t="inlineStr">
        <is>
          <t>1086.77元</t>
        </is>
      </c>
      <c r="C1032" t="inlineStr">
        <is>
          <t>1485.00元</t>
        </is>
      </c>
      <c r="D1032" t="inlineStr">
        <is>
          <t>398.23元</t>
        </is>
      </c>
      <c r="E1032" t="inlineStr">
        <is>
          <t>7.3折</t>
        </is>
      </c>
      <c r="F1032">
        <f>HYPERLINK("https://i0.hdslb.com/bfs/mall/mall/34/e0/34e0b0bb222766c598a7be06538e4349.png", "点击查看图片")</f>
        <v/>
      </c>
      <c r="G1032">
        <f>HYPERLINK("https://mall.bilibili.com/neul-next/index.html?page=magic-market_detail&amp;noTitleBar=1&amp;itemsId=110462322652&amp;from=market_index", "点击打开")</f>
        <v/>
      </c>
    </row>
    <row r="1033">
      <c r="A1033" t="inlineStr">
        <is>
          <t>quesQ 新条茜 手办</t>
        </is>
      </c>
      <c r="B1033" t="inlineStr">
        <is>
          <t>658.00元</t>
        </is>
      </c>
      <c r="C1033" t="inlineStr">
        <is>
          <t>859.00元</t>
        </is>
      </c>
      <c r="D1033" t="inlineStr">
        <is>
          <t>201.00元</t>
        </is>
      </c>
      <c r="E1033" t="inlineStr">
        <is>
          <t>7.7折</t>
        </is>
      </c>
      <c r="F1033">
        <f>HYPERLINK("https://i0.hdslb.com/bfs/mall/mall/a0/fd/a0fd82685578d30e13d21321ab65ea92.png", "点击查看图片")</f>
        <v/>
      </c>
      <c r="G1033">
        <f>HYPERLINK("https://mall.bilibili.com/neul-next/index.html?page=magic-market_detail&amp;noTitleBar=1&amp;itemsId=110458654193&amp;from=market_index", "点击打开")</f>
        <v/>
      </c>
    </row>
    <row r="1034">
      <c r="A1034" t="inlineStr">
        <is>
          <t>quesQ 莱莎琳·斯托特 更衣ver. 手办</t>
        </is>
      </c>
      <c r="B1034" t="inlineStr">
        <is>
          <t>718.00元</t>
        </is>
      </c>
      <c r="C1034" t="inlineStr">
        <is>
          <t>939.00元</t>
        </is>
      </c>
      <c r="D1034" t="inlineStr">
        <is>
          <t>221.00元</t>
        </is>
      </c>
      <c r="E1034" t="inlineStr">
        <is>
          <t>7.6折</t>
        </is>
      </c>
      <c r="F1034">
        <f>HYPERLINK("https://i0.hdslb.com/bfs/mall/mall/1c/7a/1c7aea365f6a41e29eb6c96714c0d2e1.png", "点击查看图片")</f>
        <v/>
      </c>
      <c r="G1034">
        <f>HYPERLINK("https://mall.bilibili.com/neul-next/index.html?page=magic-market_detail&amp;noTitleBar=1&amp;itemsId=106843468169&amp;from=market_index", "点击打开")</f>
        <v/>
      </c>
    </row>
    <row r="1035">
      <c r="A1035" t="inlineStr">
        <is>
          <t>Union Creative 出包王女 金色之暗 15周年纪念ver. 手办</t>
        </is>
      </c>
      <c r="B1035" t="inlineStr">
        <is>
          <t>795.20元</t>
        </is>
      </c>
      <c r="C1035" t="inlineStr">
        <is>
          <t>1270.00元</t>
        </is>
      </c>
      <c r="D1035" t="inlineStr">
        <is>
          <t>474.80元</t>
        </is>
      </c>
      <c r="E1035" t="inlineStr">
        <is>
          <t>6.3折</t>
        </is>
      </c>
      <c r="F1035">
        <f>HYPERLINK("https://i0.hdslb.com/bfs/mall/mall/29/b5/29b5648de779817f9675b72bac9f6e5c.png", "点击查看图片")</f>
        <v/>
      </c>
      <c r="G1035">
        <f>HYPERLINK("https://mall.bilibili.com/neul-next/index.html?page=magic-market_detail&amp;noTitleBar=1&amp;itemsId=106953695125&amp;from=market_index", "点击打开")</f>
        <v/>
      </c>
    </row>
    <row r="1036">
      <c r="A1036" t="inlineStr">
        <is>
          <t>FREEing B-style 碧蓝航线 里诺 bunny·reno! 手办</t>
        </is>
      </c>
      <c r="B1036" t="inlineStr">
        <is>
          <t>1288.00元</t>
        </is>
      </c>
      <c r="C1036" t="inlineStr">
        <is>
          <t>2100.00元</t>
        </is>
      </c>
      <c r="D1036" t="inlineStr">
        <is>
          <t>812.00元</t>
        </is>
      </c>
      <c r="E1036" t="inlineStr">
        <is>
          <t>6.1折</t>
        </is>
      </c>
      <c r="F1036">
        <f>HYPERLINK("https://i0.hdslb.com/bfs/mall/mall/98/50/9850974f09f293fa02aa4b282f3ded0f.png", "点击查看图片")</f>
        <v/>
      </c>
      <c r="G1036">
        <f>HYPERLINK("https://mall.bilibili.com/neul-next/index.html?page=magic-market_detail&amp;noTitleBar=1&amp;itemsId=109869394577&amp;from=market_index", "点击打开")</f>
        <v/>
      </c>
    </row>
    <row r="1037">
      <c r="A1037" t="inlineStr">
        <is>
          <t>FREEing B-style 碧蓝航线 树城 羞怯的蓝宝石ver. 1/4手办</t>
        </is>
      </c>
      <c r="B1037" t="inlineStr">
        <is>
          <t>1018.00元</t>
        </is>
      </c>
      <c r="C1037" t="inlineStr">
        <is>
          <t>1899.00元</t>
        </is>
      </c>
      <c r="D1037" t="inlineStr">
        <is>
          <t>881.00元</t>
        </is>
      </c>
      <c r="E1037" t="inlineStr">
        <is>
          <t>5.4折</t>
        </is>
      </c>
      <c r="F1037">
        <f>HYPERLINK("https://i0.hdslb.com/bfs/mall/mall/e1/3f/e13f5b5c9f65cdaeebe61467e7f8e508.png", "点击查看图片")</f>
        <v/>
      </c>
      <c r="G1037">
        <f>HYPERLINK("https://mall.bilibili.com/neul-next/index.html?page=magic-market_detail&amp;noTitleBar=1&amp;itemsId=109823920868&amp;from=market_index", "点击打开")</f>
        <v/>
      </c>
    </row>
    <row r="1038">
      <c r="A1038" t="inlineStr">
        <is>
          <t>角川 关于我转生变成史莱姆这档事 米莉姆 婚纱ver. 手办  普通版</t>
        </is>
      </c>
      <c r="B1038" t="inlineStr">
        <is>
          <t>879.10元</t>
        </is>
      </c>
      <c r="C1038" t="inlineStr">
        <is>
          <t>1557.00元</t>
        </is>
      </c>
      <c r="D1038" t="inlineStr">
        <is>
          <t>677.90元</t>
        </is>
      </c>
      <c r="E1038" t="inlineStr">
        <is>
          <t>5.6折</t>
        </is>
      </c>
      <c r="F1038">
        <f>HYPERLINK("https://i0.hdslb.com/bfs/mall/mall/27/cc/27cc3c181dab254afe1500e4a227b184.png", "点击查看图片")</f>
        <v/>
      </c>
      <c r="G1038">
        <f>HYPERLINK("https://mall.bilibili.com/neul-next/index.html?page=magic-market_detail&amp;noTitleBar=1&amp;itemsId=106842643022&amp;from=market_index", "点击打开")</f>
        <v/>
      </c>
    </row>
    <row r="1039">
      <c r="A1039" t="inlineStr">
        <is>
          <t>Myethos 睡美人 手办</t>
        </is>
      </c>
      <c r="B1039" t="inlineStr">
        <is>
          <t>747.20元</t>
        </is>
      </c>
      <c r="C1039" t="inlineStr">
        <is>
          <t>999.00元</t>
        </is>
      </c>
      <c r="D1039" t="inlineStr">
        <is>
          <t>251.80元</t>
        </is>
      </c>
      <c r="E1039" t="inlineStr">
        <is>
          <t>7.5折</t>
        </is>
      </c>
      <c r="F1039">
        <f>HYPERLINK("https://i0.hdslb.com/bfs/mall/mall/d7/54/d754ece0b92882e8af45ec207b97b871.png", "点击查看图片")</f>
        <v/>
      </c>
      <c r="G1039">
        <f>HYPERLINK("https://mall.bilibili.com/neul-next/index.html?page=magic-market_detail&amp;noTitleBar=1&amp;itemsId=106844509422&amp;from=market_index", "点击打开")</f>
        <v/>
      </c>
    </row>
    <row r="1040">
      <c r="A1040" t="inlineStr">
        <is>
          <t>ANIPLEX ONLINE 阿瓦隆女士 正比手办</t>
        </is>
      </c>
      <c r="B1040" t="inlineStr">
        <is>
          <t>825.86元</t>
        </is>
      </c>
      <c r="C1040" t="inlineStr">
        <is>
          <t>1559.00元</t>
        </is>
      </c>
      <c r="D1040" t="inlineStr">
        <is>
          <t>733.14元</t>
        </is>
      </c>
      <c r="E1040" t="inlineStr">
        <is>
          <t>5.3折</t>
        </is>
      </c>
      <c r="F1040">
        <f>HYPERLINK("https://i0.hdslb.com/bfs/mall/mall/92/90/9290e0acf61c5bc88e9d8057a2349eae.png", "点击查看图片")</f>
        <v/>
      </c>
      <c r="G1040">
        <f>HYPERLINK("https://mall.bilibili.com/neul-next/index.html?page=magic-market_detail&amp;noTitleBar=1&amp;itemsId=111911051064&amp;from=market_index", "点击打开")</f>
        <v/>
      </c>
    </row>
    <row r="1041">
      <c r="A1041" t="inlineStr">
        <is>
          <t>Union Creative 原创 TACCO原画 玫瑰狐娘 手办</t>
        </is>
      </c>
      <c r="B1041" t="inlineStr">
        <is>
          <t>518.00元</t>
        </is>
      </c>
      <c r="C1041" t="inlineStr">
        <is>
          <t>1070.00元</t>
        </is>
      </c>
      <c r="D1041" t="inlineStr">
        <is>
          <t>552.00元</t>
        </is>
      </c>
      <c r="E1041" t="inlineStr">
        <is>
          <t>4.8折</t>
        </is>
      </c>
      <c r="F1041">
        <f>HYPERLINK("https://i0.hdslb.com/bfs/mall/mall/11/ae/11ae2d0dbe41857d171c71c2af66944f.png", "点击查看图片")</f>
        <v/>
      </c>
      <c r="G1041">
        <f>HYPERLINK("https://mall.bilibili.com/neul-next/index.html?page=magic-market_detail&amp;noTitleBar=1&amp;itemsId=111919032916&amp;from=market_index", "点击打开")</f>
        <v/>
      </c>
    </row>
    <row r="1042">
      <c r="A1042" t="inlineStr">
        <is>
          <t>Max Factory 白狼战鬼 可动手办</t>
        </is>
      </c>
      <c r="B1042" t="inlineStr">
        <is>
          <t>650.00元</t>
        </is>
      </c>
      <c r="C1042" t="inlineStr">
        <is>
          <t>765.00元</t>
        </is>
      </c>
      <c r="D1042" t="inlineStr">
        <is>
          <t>115.00元</t>
        </is>
      </c>
      <c r="E1042" t="inlineStr">
        <is>
          <t>8.5折</t>
        </is>
      </c>
      <c r="F1042">
        <f>HYPERLINK("https://i0.hdslb.com/bfs/mall/mall/37/00/3700aa7fae473a72dca2fbac6a63c8b4.png", "点击查看图片")</f>
        <v/>
      </c>
      <c r="G1042">
        <f>HYPERLINK("https://mall.bilibili.com/neul-next/index.html?page=magic-market_detail&amp;noTitleBar=1&amp;itemsId=106847169695&amp;from=market_index", "点击打开")</f>
        <v/>
      </c>
    </row>
    <row r="1043">
      <c r="A1043" t="inlineStr">
        <is>
          <t>Hobbymax 索米KP31 耳朵山的雪妖精 Ver.  手办</t>
        </is>
      </c>
      <c r="B1043" t="inlineStr">
        <is>
          <t>799.00元</t>
        </is>
      </c>
      <c r="C1043" t="inlineStr">
        <is>
          <t>999.00元</t>
        </is>
      </c>
      <c r="D1043" t="inlineStr">
        <is>
          <t>200.00元</t>
        </is>
      </c>
      <c r="E1043" t="inlineStr">
        <is>
          <t>8.0折</t>
        </is>
      </c>
      <c r="F1043">
        <f>HYPERLINK("https://i0.hdslb.com/bfs/mall/mall/86/cb/86cb2ed3391e10690d4b486f04ad7ee3.png", "点击查看图片")</f>
        <v/>
      </c>
      <c r="G1043">
        <f>HYPERLINK("https://mall.bilibili.com/neul-next/index.html?page=magic-market_detail&amp;noTitleBar=1&amp;itemsId=109853368001&amp;from=market_index", "点击打开")</f>
        <v/>
      </c>
    </row>
    <row r="1044">
      <c r="A1044" t="inlineStr">
        <is>
          <t>AOWOBOX  绫奈奈奈 Q版手办</t>
        </is>
      </c>
      <c r="B1044" t="inlineStr">
        <is>
          <t>204.90元</t>
        </is>
      </c>
      <c r="C1044" t="inlineStr">
        <is>
          <t>399.00元</t>
        </is>
      </c>
      <c r="D1044" t="inlineStr">
        <is>
          <t>194.10元</t>
        </is>
      </c>
      <c r="E1044" t="inlineStr">
        <is>
          <t>5.1折</t>
        </is>
      </c>
      <c r="F1044">
        <f>HYPERLINK("https://i0.hdslb.com/bfs/mall/mall/d6/7a/d67a7ab89342a861d0af2669b1721a2a.png", "点击查看图片")</f>
        <v/>
      </c>
      <c r="G1044">
        <f>HYPERLINK("https://mall.bilibili.com/neul-next/index.html?page=magic-market_detail&amp;noTitleBar=1&amp;itemsId=109888081669&amp;from=market_index", "点击打开")</f>
        <v/>
      </c>
    </row>
    <row r="1045">
      <c r="A1045" t="inlineStr">
        <is>
          <t>Otherwhere 精灵之舞 手办 普通版</t>
        </is>
      </c>
      <c r="B1045" t="inlineStr">
        <is>
          <t>610.00元</t>
        </is>
      </c>
      <c r="C1045" t="inlineStr">
        <is>
          <t>899.00元</t>
        </is>
      </c>
      <c r="D1045" t="inlineStr">
        <is>
          <t>289.00元</t>
        </is>
      </c>
      <c r="E1045" t="inlineStr">
        <is>
          <t>6.8折</t>
        </is>
      </c>
      <c r="F1045">
        <f>HYPERLINK("https://i0.hdslb.com/bfs/mall/mall/7a/8a/7a8abe0cc620a2005b0068a94bda8c8b.png", "点击查看图片")</f>
        <v/>
      </c>
      <c r="G1045">
        <f>HYPERLINK("https://mall.bilibili.com/neul-next/index.html?page=magic-market_detail&amp;noTitleBar=1&amp;itemsId=107152577248&amp;from=market_index", "点击打开")</f>
        <v/>
      </c>
    </row>
    <row r="1046">
      <c r="A1046" t="inlineStr">
        <is>
          <t xml:space="preserve"> F:NEX 爱蜜莉雅 汉服ver. 手办</t>
        </is>
      </c>
      <c r="B1046" t="inlineStr">
        <is>
          <t>950.00元</t>
        </is>
      </c>
      <c r="C1046" t="inlineStr">
        <is>
          <t>1249.00元</t>
        </is>
      </c>
      <c r="D1046" t="inlineStr">
        <is>
          <t>299.00元</t>
        </is>
      </c>
      <c r="E1046" t="inlineStr">
        <is>
          <t>7.6折</t>
        </is>
      </c>
      <c r="F1046">
        <f>HYPERLINK("https://i0.hdslb.com/bfs/mall/mall/29/04/29049c27cd540b6927396868397f2b55.png", "点击查看图片")</f>
        <v/>
      </c>
      <c r="G1046">
        <f>HYPERLINK("https://mall.bilibili.com/neul-next/index.html?page=magic-market_detail&amp;noTitleBar=1&amp;itemsId=107002197674&amp;from=market_index", "点击打开")</f>
        <v/>
      </c>
    </row>
    <row r="1047">
      <c r="A1047" t="inlineStr">
        <is>
          <t>SSF 为美好的世界献上爆焰！ 惠惠&amp;悠悠 两人是朋友Ver. 1/7手办</t>
        </is>
      </c>
      <c r="B1047" t="inlineStr">
        <is>
          <t>1554.77元</t>
        </is>
      </c>
      <c r="C1047" t="inlineStr">
        <is>
          <t>1710.00元</t>
        </is>
      </c>
      <c r="D1047" t="inlineStr">
        <is>
          <t>155.23元</t>
        </is>
      </c>
      <c r="E1047" t="inlineStr">
        <is>
          <t>9.1折</t>
        </is>
      </c>
      <c r="F1047">
        <f>HYPERLINK("https://i0.hdslb.com/bfs/mall/mall/cc/ff/ccff903a8a576e8ad981a402bdfdb192.png", "点击查看图片")</f>
        <v/>
      </c>
      <c r="G1047">
        <f>HYPERLINK("https://mall.bilibili.com/neul-next/index.html?page=magic-market_detail&amp;noTitleBar=1&amp;itemsId=111911309095&amp;from=market_index", "点击打开")</f>
        <v/>
      </c>
    </row>
    <row r="1048">
      <c r="A1048" t="inlineStr">
        <is>
          <t>Knead 黛朵重装版 手办</t>
        </is>
      </c>
      <c r="B1048" t="inlineStr">
        <is>
          <t>920.00元</t>
        </is>
      </c>
      <c r="C1048" t="inlineStr">
        <is>
          <t>1739.00元</t>
        </is>
      </c>
      <c r="D1048" t="inlineStr">
        <is>
          <t>819.00元</t>
        </is>
      </c>
      <c r="E1048" t="inlineStr">
        <is>
          <t>5.3折</t>
        </is>
      </c>
      <c r="F1048">
        <f>HYPERLINK("https://i0.hdslb.com/bfs/mall/mall/68/1a/681a319b2bd1ecb532db16d5b3131514.png", "点击查看图片")</f>
        <v/>
      </c>
      <c r="G1048">
        <f>HYPERLINK("https://mall.bilibili.com/neul-next/index.html?page=magic-market_detail&amp;noTitleBar=1&amp;itemsId=109813935630&amp;from=market_index", "点击打开")</f>
        <v/>
      </c>
    </row>
    <row r="1049">
      <c r="A1049" t="inlineStr">
        <is>
          <t>初音未来 2021 Vacation Style Ver. 正比手办</t>
        </is>
      </c>
      <c r="B1049" t="inlineStr">
        <is>
          <t>965.00元</t>
        </is>
      </c>
      <c r="C1049" t="inlineStr">
        <is>
          <t>1335.00元</t>
        </is>
      </c>
      <c r="D1049" t="inlineStr">
        <is>
          <t>370.00元</t>
        </is>
      </c>
      <c r="E1049" t="inlineStr">
        <is>
          <t>7.2折</t>
        </is>
      </c>
      <c r="F1049">
        <f>HYPERLINK("https://i0.hdslb.com/bfs/mall/mall/c4/46/c44613be746f52f7ef0b901f685f81ad.png", "点击查看图片")</f>
        <v/>
      </c>
      <c r="G1049">
        <f>HYPERLINK("https://mall.bilibili.com/neul-next/index.html?page=magic-market_detail&amp;noTitleBar=1&amp;itemsId=109879240430&amp;from=market_index", "点击打开")</f>
        <v/>
      </c>
    </row>
    <row r="1050">
      <c r="A1050" t="inlineStr">
        <is>
          <t>ALTER LoveLive!Sunshine!! 津岛善子 手办 再版</t>
        </is>
      </c>
      <c r="B1050" t="inlineStr">
        <is>
          <t>1080.00元</t>
        </is>
      </c>
      <c r="C1050" t="inlineStr">
        <is>
          <t>1299.00元</t>
        </is>
      </c>
      <c r="D1050" t="inlineStr">
        <is>
          <t>219.00元</t>
        </is>
      </c>
      <c r="E1050" t="inlineStr">
        <is>
          <t>8.3折</t>
        </is>
      </c>
      <c r="F1050">
        <f>HYPERLINK("https://i0.hdslb.com/bfs/mall/mall/ab/1a/ab1abbea023b0e9113cbc5d00d1f8a61.png", "点击查看图片")</f>
        <v/>
      </c>
      <c r="G1050">
        <f>HYPERLINK("https://mall.bilibili.com/neul-next/index.html?page=magic-market_detail&amp;noTitleBar=1&amp;itemsId=110466734474&amp;from=market_index", "点击打开")</f>
        <v/>
      </c>
    </row>
    <row r="1051">
      <c r="A1051" t="inlineStr">
        <is>
          <t>PROOF 尼尔：机械纪元 9S -游击- 1/7手办</t>
        </is>
      </c>
      <c r="B1051" t="inlineStr">
        <is>
          <t>918.00元</t>
        </is>
      </c>
      <c r="C1051" t="inlineStr">
        <is>
          <t>1150.00元</t>
        </is>
      </c>
      <c r="D1051" t="inlineStr">
        <is>
          <t>232.00元</t>
        </is>
      </c>
      <c r="E1051" t="inlineStr">
        <is>
          <t>8.0折</t>
        </is>
      </c>
      <c r="F1051">
        <f>HYPERLINK("https://i0.hdslb.com/bfs/mall/mall/64/32/6432acab2fb914f7d0b2cb889b599897.png", "点击查看图片")</f>
        <v/>
      </c>
      <c r="G1051">
        <f>HYPERLINK("https://mall.bilibili.com/neul-next/index.html?page=magic-market_detail&amp;noTitleBar=1&amp;itemsId=109885757702&amp;from=market_index", "点击打开")</f>
        <v/>
      </c>
    </row>
    <row r="1052">
      <c r="A1052" t="inlineStr">
        <is>
          <t>F:NEX 魔女之旅 伊蕾娜 夏日白裙ver. 手办 再版</t>
        </is>
      </c>
      <c r="B1052" t="inlineStr">
        <is>
          <t>942.90元</t>
        </is>
      </c>
      <c r="C1052" t="inlineStr">
        <is>
          <t>999.00元</t>
        </is>
      </c>
      <c r="D1052" t="inlineStr">
        <is>
          <t>56.10元</t>
        </is>
      </c>
      <c r="E1052" t="inlineStr">
        <is>
          <t>9.4折</t>
        </is>
      </c>
      <c r="F1052">
        <f>HYPERLINK("https://i0.hdslb.com/bfs/mall/mall/e5/7d/e57da61a33477d4ce99bf9a69db8497f.png", "点击查看图片")</f>
        <v/>
      </c>
      <c r="G1052">
        <f>HYPERLINK("https://mall.bilibili.com/neul-next/index.html?page=magic-market_detail&amp;noTitleBar=1&amp;itemsId=107048517836&amp;from=market_index", "点击打开")</f>
        <v/>
      </c>
    </row>
    <row r="1053">
      <c r="A1053" t="inlineStr">
        <is>
          <t>SSF 剧场版《间谍×过家家》 阿尼亚·福杰&amp;邦德 CODE: White Ver. 手办</t>
        </is>
      </c>
      <c r="B1053" t="inlineStr">
        <is>
          <t>888.00元</t>
        </is>
      </c>
      <c r="C1053" t="inlineStr">
        <is>
          <t>1200.00元</t>
        </is>
      </c>
      <c r="D1053" t="inlineStr">
        <is>
          <t>312.00元</t>
        </is>
      </c>
      <c r="E1053" t="inlineStr">
        <is>
          <t>7.4折</t>
        </is>
      </c>
      <c r="F1053">
        <f>HYPERLINK("https://i0.hdslb.com/bfs/mall/mall/05/3f/053f1f2546a22556593be93e66e8318d.png", "点击查看图片")</f>
        <v/>
      </c>
      <c r="G1053">
        <f>HYPERLINK("https://mall.bilibili.com/neul-next/index.html?page=magic-market_detail&amp;noTitleBar=1&amp;itemsId=106843988031&amp;from=market_index", "点击打开")</f>
        <v/>
      </c>
    </row>
    <row r="1054">
      <c r="A1054" t="inlineStr">
        <is>
          <t>Max Factory 杏山和纱 可动手办</t>
        </is>
      </c>
      <c r="B1054" t="inlineStr">
        <is>
          <t>629.00元</t>
        </is>
      </c>
      <c r="C1054" t="inlineStr">
        <is>
          <t>629.00元</t>
        </is>
      </c>
      <c r="D1054" t="inlineStr">
        <is>
          <t>0.00元</t>
        </is>
      </c>
      <c r="E1054" t="inlineStr">
        <is>
          <t>10.0折</t>
        </is>
      </c>
      <c r="F1054">
        <f>HYPERLINK("https://i0.hdslb.com/bfs/mall/mall/6d/72/6d72344a6b42e93c7a4a5ad252665488.png", "点击查看图片")</f>
        <v/>
      </c>
      <c r="G1054">
        <f>HYPERLINK("https://mall.bilibili.com/neul-next/index.html?page=magic-market_detail&amp;noTitleBar=1&amp;itemsId=111905788191&amp;from=market_index", "点击打开")</f>
        <v/>
      </c>
    </row>
    <row r="1055">
      <c r="A1055" t="inlineStr">
        <is>
          <t>ALTER 新世纪福音战士剧场版 绫波零 长发ver. 手办</t>
        </is>
      </c>
      <c r="B1055" t="inlineStr">
        <is>
          <t>1175.00元</t>
        </is>
      </c>
      <c r="C1055" t="inlineStr">
        <is>
          <t>1175.00元</t>
        </is>
      </c>
      <c r="D1055" t="inlineStr">
        <is>
          <t>0.00元</t>
        </is>
      </c>
      <c r="E1055" t="inlineStr">
        <is>
          <t>10.0折</t>
        </is>
      </c>
      <c r="F1055">
        <f>HYPERLINK("https://i0.hdslb.com/bfs/mall/mall/cb/e3/cbe3f5003668c589c8706f293dc3e377.png", "点击查看图片")</f>
        <v/>
      </c>
      <c r="G1055">
        <f>HYPERLINK("https://mall.bilibili.com/neul-next/index.html?page=magic-market_detail&amp;noTitleBar=1&amp;itemsId=109872836867&amp;from=market_index", "点击打开")</f>
        <v/>
      </c>
    </row>
    <row r="1056">
      <c r="A1056" t="inlineStr">
        <is>
          <t>F:NEX 堤亚穆帝国物语 米雅·卢娜·堤亚穆 手办</t>
        </is>
      </c>
      <c r="B1056" t="inlineStr">
        <is>
          <t>499.00元</t>
        </is>
      </c>
      <c r="C1056" t="inlineStr">
        <is>
          <t>899.00元</t>
        </is>
      </c>
      <c r="D1056" t="inlineStr">
        <is>
          <t>400.00元</t>
        </is>
      </c>
      <c r="E1056" t="inlineStr">
        <is>
          <t>5.6折</t>
        </is>
      </c>
      <c r="F1056">
        <f>HYPERLINK("https://i0.hdslb.com/bfs/mall/mall/83/ed/83ed3231ae5694f01111b5641806aee9.png", "点击查看图片")</f>
        <v/>
      </c>
      <c r="G1056">
        <f>HYPERLINK("https://mall.bilibili.com/neul-next/index.html?page=magic-market_detail&amp;noTitleBar=1&amp;itemsId=106853066004&amp;from=market_index", "点击打开")</f>
        <v/>
      </c>
    </row>
    <row r="1057">
      <c r="A1057" t="inlineStr">
        <is>
          <t>ALTER 偶像大师 闪耀色彩 黛冬优子 私下密谈ver. 手办</t>
        </is>
      </c>
      <c r="B1057" t="inlineStr">
        <is>
          <t>1179.00元</t>
        </is>
      </c>
      <c r="C1057" t="inlineStr">
        <is>
          <t>1199.00元</t>
        </is>
      </c>
      <c r="D1057" t="inlineStr">
        <is>
          <t>20.00元</t>
        </is>
      </c>
      <c r="E1057" t="inlineStr">
        <is>
          <t>9.8折</t>
        </is>
      </c>
      <c r="F1057">
        <f>HYPERLINK("https://i0.hdslb.com/bfs/mall/mall/c1/7f/c17f9bf838f4d6605bc3a664000b7ac5.png", "点击查看图片")</f>
        <v/>
      </c>
      <c r="G1057">
        <f>HYPERLINK("https://mall.bilibili.com/neul-next/index.html?page=magic-market_detail&amp;noTitleBar=1&amp;itemsId=109848984152&amp;from=market_index", "点击打开")</f>
        <v/>
      </c>
    </row>
    <row r="1058">
      <c r="A1058" t="inlineStr">
        <is>
          <t>quesQ 命运-冠位指定 Caster 酒吞童子[万圣节] 手办</t>
        </is>
      </c>
      <c r="B1058" t="inlineStr">
        <is>
          <t>1250.00元</t>
        </is>
      </c>
      <c r="C1058" t="inlineStr">
        <is>
          <t>1699.00元</t>
        </is>
      </c>
      <c r="D1058" t="inlineStr">
        <is>
          <t>449.00元</t>
        </is>
      </c>
      <c r="E1058" t="inlineStr">
        <is>
          <t>7.4折</t>
        </is>
      </c>
      <c r="F1058">
        <f>HYPERLINK("https://i0.hdslb.com/bfs/mall/mall/82/7e/827eae1a86e59961d251a0c44cd031c6.png", "点击查看图片")</f>
        <v/>
      </c>
      <c r="G1058">
        <f>HYPERLINK("https://mall.bilibili.com/neul-next/index.html?page=magic-market_detail&amp;noTitleBar=1&amp;itemsId=109809562297&amp;from=market_index", "点击打开")</f>
        <v/>
      </c>
    </row>
    <row r="1059">
      <c r="A1059" t="inlineStr">
        <is>
          <t>GSAS Zas M21 花之后的情愫 手办</t>
        </is>
      </c>
      <c r="B1059" t="inlineStr">
        <is>
          <t>851.99元</t>
        </is>
      </c>
      <c r="C1059" t="inlineStr">
        <is>
          <t>1129.00元</t>
        </is>
      </c>
      <c r="D1059" t="inlineStr">
        <is>
          <t>277.01元</t>
        </is>
      </c>
      <c r="E1059" t="inlineStr">
        <is>
          <t>7.5折</t>
        </is>
      </c>
      <c r="F1059">
        <f>HYPERLINK("https://i0.hdslb.com/bfs/mall/mall/06/19/0619f76d6933d1449d36c77175ff3c14.png", "点击查看图片")</f>
        <v/>
      </c>
      <c r="G1059">
        <f>HYPERLINK("https://mall.bilibili.com/neul-next/index.html?page=magic-market_detail&amp;noTitleBar=1&amp;itemsId=111907960868&amp;from=market_index", "点击打开")</f>
        <v/>
      </c>
    </row>
    <row r="1060">
      <c r="A1060" t="inlineStr">
        <is>
          <t>GSC 初音未来 World Is Mine 棕色相框 手办 二次再版</t>
        </is>
      </c>
      <c r="B1060" t="inlineStr">
        <is>
          <t>546.00元</t>
        </is>
      </c>
      <c r="C1060" t="inlineStr">
        <is>
          <t>839.00元</t>
        </is>
      </c>
      <c r="D1060" t="inlineStr">
        <is>
          <t>293.00元</t>
        </is>
      </c>
      <c r="E1060" t="inlineStr">
        <is>
          <t>6.5折</t>
        </is>
      </c>
      <c r="F1060">
        <f>HYPERLINK("https://i0.hdslb.com/bfs/mall/mall/60/63/6063ee32f1770bd13f59f0e5f1404bbf.png", "点击查看图片")</f>
        <v/>
      </c>
      <c r="G1060">
        <f>HYPERLINK("https://mall.bilibili.com/neul-next/index.html?page=magic-market_detail&amp;noTitleBar=1&amp;itemsId=111919189981&amp;from=market_index", "点击打开")</f>
        <v/>
      </c>
    </row>
    <row r="1061">
      <c r="A1061" t="inlineStr">
        <is>
          <t xml:space="preserve"> F:NEX 天野绘里香 浴衣Ver. 手办</t>
        </is>
      </c>
      <c r="B1061" t="inlineStr">
        <is>
          <t>728.00元</t>
        </is>
      </c>
      <c r="C1061" t="inlineStr">
        <is>
          <t>949.00元</t>
        </is>
      </c>
      <c r="D1061" t="inlineStr">
        <is>
          <t>221.00元</t>
        </is>
      </c>
      <c r="E1061" t="inlineStr">
        <is>
          <t>7.7折</t>
        </is>
      </c>
      <c r="F1061">
        <f>HYPERLINK("https://i0.hdslb.com/bfs/mall/mall/69/04/69049d5d944381fbf00a9e6d1aab0f6f.png", "点击查看图片")</f>
        <v/>
      </c>
      <c r="G1061">
        <f>HYPERLINK("https://mall.bilibili.com/neul-next/index.html?page=magic-market_detail&amp;noTitleBar=1&amp;itemsId=109859445337&amp;from=market_index", "点击打开")</f>
        <v/>
      </c>
    </row>
    <row r="1062">
      <c r="A1062" t="inlineStr">
        <is>
          <t>GSC 米浴 化妆吸血鬼!  正比手办</t>
        </is>
      </c>
      <c r="B1062" t="inlineStr">
        <is>
          <t>955.00元</t>
        </is>
      </c>
      <c r="C1062" t="inlineStr">
        <is>
          <t>1189.00元</t>
        </is>
      </c>
      <c r="D1062" t="inlineStr">
        <is>
          <t>234.00元</t>
        </is>
      </c>
      <c r="E1062" t="inlineStr">
        <is>
          <t>8.0折</t>
        </is>
      </c>
      <c r="F1062">
        <f>HYPERLINK("https://i0.hdslb.com/bfs/mall/mall/5d/7c/5d7caad24981b0b11dfbadaedc215d3e.png", "点击查看图片")</f>
        <v/>
      </c>
      <c r="G1062">
        <f>HYPERLINK("https://mall.bilibili.com/neul-next/index.html?page=magic-market_detail&amp;noTitleBar=1&amp;itemsId=111909997839&amp;from=market_index", "点击打开")</f>
        <v/>
      </c>
    </row>
    <row r="1063">
      <c r="A1063" t="inlineStr">
        <is>
          <t xml:space="preserve"> 葛饰北斋 泳装Ver. 手办 进阶大礼包</t>
        </is>
      </c>
      <c r="B1063" t="inlineStr">
        <is>
          <t>789.00元</t>
        </is>
      </c>
      <c r="C1063" t="inlineStr">
        <is>
          <t>2011.00元</t>
        </is>
      </c>
      <c r="D1063" t="inlineStr">
        <is>
          <t>1222.00元</t>
        </is>
      </c>
      <c r="E1063" t="inlineStr">
        <is>
          <t>3.9折</t>
        </is>
      </c>
      <c r="F1063">
        <f>HYPERLINK("https://i0.hdslb.com/bfs/mall/mall/e6/f9/e6f9f79b4fa97044a49477ea4201d3ae.png", "点击查看图片")</f>
        <v/>
      </c>
      <c r="G1063">
        <f>HYPERLINK("https://mall.bilibili.com/neul-next/index.html?page=magic-market_detail&amp;noTitleBar=1&amp;itemsId=109845834854&amp;from=market_index", "点击打开")</f>
        <v/>
      </c>
    </row>
    <row r="1064">
      <c r="A1064" t="inlineStr">
        <is>
          <t>ANIPLEX+ 冰堂美智留 睡衣Ver. 手办</t>
        </is>
      </c>
      <c r="B1064" t="inlineStr">
        <is>
          <t>788.00元</t>
        </is>
      </c>
      <c r="C1064" t="inlineStr">
        <is>
          <t>1150.00元</t>
        </is>
      </c>
      <c r="D1064" t="inlineStr">
        <is>
          <t>362.00元</t>
        </is>
      </c>
      <c r="E1064" t="inlineStr">
        <is>
          <t>6.9折</t>
        </is>
      </c>
      <c r="F1064">
        <f>HYPERLINK("https://i0.hdslb.com/bfs/mall/mall/a4/0d/a40ded8cf2336ecb6ff553437077088e.png", "点击查看图片")</f>
        <v/>
      </c>
      <c r="G1064">
        <f>HYPERLINK("https://mall.bilibili.com/neul-next/index.html?page=magic-market_detail&amp;noTitleBar=1&amp;itemsId=111919359475&amp;from=market_index", "点击打开")</f>
        <v/>
      </c>
    </row>
    <row r="1065">
      <c r="A1065" t="inlineStr">
        <is>
          <t>角川 狼与香辛料 MERCHANT MEETS THE WISE WOLF 赫萝 浴衣美人Ver. 手办 通常版</t>
        </is>
      </c>
      <c r="B1065" t="inlineStr">
        <is>
          <t>766.00元</t>
        </is>
      </c>
      <c r="C1065" t="inlineStr">
        <is>
          <t>949.00元</t>
        </is>
      </c>
      <c r="D1065" t="inlineStr">
        <is>
          <t>183.00元</t>
        </is>
      </c>
      <c r="E1065" t="inlineStr">
        <is>
          <t>8.1折</t>
        </is>
      </c>
      <c r="F1065">
        <f>HYPERLINK("https://i0.hdslb.com/bfs/mall/mall/27/22/272223f44c27d6942e446a1909e807a0.png", "点击查看图片")</f>
        <v/>
      </c>
      <c r="G1065">
        <f>HYPERLINK("https://mall.bilibili.com/neul-next/index.html?page=magic-market_detail&amp;noTitleBar=1&amp;itemsId=109841818441&amp;from=market_index", "点击打开")</f>
        <v/>
      </c>
    </row>
    <row r="1066">
      <c r="A1066" t="inlineStr">
        <is>
          <t>GOOD SMILE COMPANY 加藤恵 手办</t>
        </is>
      </c>
      <c r="B1066" t="inlineStr">
        <is>
          <t>499.00元</t>
        </is>
      </c>
      <c r="C1066" t="inlineStr">
        <is>
          <t>749.00元</t>
        </is>
      </c>
      <c r="D1066" t="inlineStr">
        <is>
          <t>250.00元</t>
        </is>
      </c>
      <c r="E1066" t="inlineStr">
        <is>
          <t>6.7折</t>
        </is>
      </c>
      <c r="F1066">
        <f>HYPERLINK("https://i0.hdslb.com/bfs/mall/mall/d3/29/d32991e2023d912f63d94f10b1fc16c4.png", "点击查看图片")</f>
        <v/>
      </c>
      <c r="G1066">
        <f>HYPERLINK("https://mall.bilibili.com/neul-next/index.html?page=magic-market_detail&amp;noTitleBar=1&amp;itemsId=109821964511&amp;from=market_index", "点击打开")</f>
        <v/>
      </c>
    </row>
    <row r="1067">
      <c r="A1067" t="inlineStr">
        <is>
          <t>Union Creative 出包王女 梦梦·贝莉雅·戴比路克 15周年纪念ver. 手办</t>
        </is>
      </c>
      <c r="B1067" t="inlineStr">
        <is>
          <t>1011.00元</t>
        </is>
      </c>
      <c r="C1067" t="inlineStr">
        <is>
          <t>1270.00元</t>
        </is>
      </c>
      <c r="D1067" t="inlineStr">
        <is>
          <t>259.00元</t>
        </is>
      </c>
      <c r="E1067" t="inlineStr">
        <is>
          <t>8.0折</t>
        </is>
      </c>
      <c r="F1067">
        <f>HYPERLINK("https://i0.hdslb.com/bfs/mall/mall/53/9e/539e52c36a12d45dffa53a2b63c9c30a.png", "点击查看图片")</f>
        <v/>
      </c>
      <c r="G1067">
        <f>HYPERLINK("https://mall.bilibili.com/neul-next/index.html?page=magic-market_detail&amp;noTitleBar=1&amp;itemsId=106848714480&amp;from=market_index", "点击打开")</f>
        <v/>
      </c>
    </row>
    <row r="1068">
      <c r="A1068" t="inlineStr">
        <is>
          <t>GSC 五条悟 制服Ver. Q版手办</t>
        </is>
      </c>
      <c r="B1068" t="inlineStr">
        <is>
          <t>245.00元</t>
        </is>
      </c>
      <c r="C1068" t="inlineStr">
        <is>
          <t>245.00元</t>
        </is>
      </c>
      <c r="D1068" t="inlineStr">
        <is>
          <t>0.00元</t>
        </is>
      </c>
      <c r="E1068" t="inlineStr">
        <is>
          <t>10.0折</t>
        </is>
      </c>
      <c r="F1068">
        <f>HYPERLINK("https://i0.hdslb.com/bfs/mall/mall/92/b3/92b317efc15a461226a6e2cc7240a403.png", "点击查看图片")</f>
        <v/>
      </c>
      <c r="G1068">
        <f>HYPERLINK("https://mall.bilibili.com/neul-next/index.html?page=magic-market_detail&amp;noTitleBar=1&amp;itemsId=106855044715&amp;from=market_index", "点击打开")</f>
        <v/>
      </c>
    </row>
    <row r="1069">
      <c r="A1069" t="inlineStr">
        <is>
          <t>回天堂 康娜卡姆依 海边心动泳装Ver. 手办</t>
        </is>
      </c>
      <c r="B1069" t="inlineStr">
        <is>
          <t>530.00元</t>
        </is>
      </c>
      <c r="C1069" t="inlineStr">
        <is>
          <t>1050.00元</t>
        </is>
      </c>
      <c r="D1069" t="inlineStr">
        <is>
          <t>520.00元</t>
        </is>
      </c>
      <c r="E1069" t="inlineStr">
        <is>
          <t>5.0折</t>
        </is>
      </c>
      <c r="F1069">
        <f>HYPERLINK("https://i0.hdslb.com/bfs/mall/mall/00/59/00590c755333b116ace828535bb33897.png", "点击查看图片")</f>
        <v/>
      </c>
      <c r="G1069">
        <f>HYPERLINK("https://mall.bilibili.com/neul-next/index.html?page=magic-market_detail&amp;noTitleBar=1&amp;itemsId=109891058459&amp;from=market_index", "点击打开")</f>
        <v/>
      </c>
    </row>
    <row r="1070">
      <c r="A1070" t="inlineStr">
        <is>
          <t>F:NEX 摇曳露营△ 第三季 志摩凛 手办</t>
        </is>
      </c>
      <c r="B1070" t="inlineStr">
        <is>
          <t>1088.00元</t>
        </is>
      </c>
      <c r="C1070" t="inlineStr">
        <is>
          <t>1370.00元</t>
        </is>
      </c>
      <c r="D1070" t="inlineStr">
        <is>
          <t>282.00元</t>
        </is>
      </c>
      <c r="E1070" t="inlineStr">
        <is>
          <t>7.9折</t>
        </is>
      </c>
      <c r="F1070">
        <f>HYPERLINK("https://i0.hdslb.com/bfs/mall/mall/31/9f/319f5dd266c6a28b2774df88cbfba718.png", "点击查看图片")</f>
        <v/>
      </c>
      <c r="G1070">
        <f>HYPERLINK("https://mall.bilibili.com/neul-next/index.html?page=magic-market_detail&amp;noTitleBar=1&amp;itemsId=111920380274&amp;from=market_index", "点击打开")</f>
        <v/>
      </c>
    </row>
    <row r="1071">
      <c r="A1071" t="inlineStr">
        <is>
          <t xml:space="preserve"> F:NEX 初音未来 未来有你2021Ver. 手办</t>
        </is>
      </c>
      <c r="B1071" t="inlineStr">
        <is>
          <t>1888.00元</t>
        </is>
      </c>
      <c r="C1071" t="inlineStr">
        <is>
          <t>1899.00元</t>
        </is>
      </c>
      <c r="D1071" t="inlineStr">
        <is>
          <t>11.00元</t>
        </is>
      </c>
      <c r="E1071" t="inlineStr">
        <is>
          <t>9.9折</t>
        </is>
      </c>
      <c r="F1071">
        <f>HYPERLINK("https://i0.hdslb.com/bfs/mall/mall/7e/4b/7e4b0419e33e990f6e2fc02faacd9fa8.png", "点击查看图片")</f>
        <v/>
      </c>
      <c r="G1071">
        <f>HYPERLINK("https://mall.bilibili.com/neul-next/index.html?page=magic-market_detail&amp;noTitleBar=1&amp;itemsId=106889192108&amp;from=market_index", "点击打开")</f>
        <v/>
      </c>
    </row>
    <row r="1072">
      <c r="A1072" t="inlineStr">
        <is>
          <t>FuRyu 中野四叶 水手服 景品手办</t>
        </is>
      </c>
      <c r="B1072" t="inlineStr">
        <is>
          <t>68.00元</t>
        </is>
      </c>
      <c r="C1072" t="inlineStr">
        <is>
          <t>129.00元</t>
        </is>
      </c>
      <c r="D1072" t="inlineStr">
        <is>
          <t>61.00元</t>
        </is>
      </c>
      <c r="E1072" t="inlineStr">
        <is>
          <t>5.3折</t>
        </is>
      </c>
      <c r="F1072">
        <f>HYPERLINK("https://i0.hdslb.com/bfs/mall/mall/cf/9b/cf9b25afe6a400d7dcef97dfba23d090.png", "点击查看图片")</f>
        <v/>
      </c>
      <c r="G1072">
        <f>HYPERLINK("https://mall.bilibili.com/neul-next/index.html?page=magic-market_detail&amp;noTitleBar=1&amp;itemsId=106956958248&amp;from=market_index", "点击打开")</f>
        <v/>
      </c>
    </row>
    <row r="1073">
      <c r="A1073" t="inlineStr">
        <is>
          <t>GSC 绫波零 Q版手办</t>
        </is>
      </c>
      <c r="B1073" t="inlineStr">
        <is>
          <t>360.00元</t>
        </is>
      </c>
      <c r="C1073" t="inlineStr">
        <is>
          <t>405.00元</t>
        </is>
      </c>
      <c r="D1073" t="inlineStr">
        <is>
          <t>45.00元</t>
        </is>
      </c>
      <c r="E1073" t="inlineStr">
        <is>
          <t>8.9折</t>
        </is>
      </c>
      <c r="F1073">
        <f>HYPERLINK("https://i0.hdslb.com/bfs/mall/mall/e2/10/e2108aa66946a3515179de30abb24470.png", "点击查看图片")</f>
        <v/>
      </c>
      <c r="G1073">
        <f>HYPERLINK("https://mall.bilibili.com/neul-next/index.html?page=magic-market_detail&amp;noTitleBar=1&amp;itemsId=111913345349&amp;from=market_index", "点击打开")</f>
        <v/>
      </c>
    </row>
    <row r="1074">
      <c r="A1074" t="inlineStr">
        <is>
          <t>FuRyu 朝田诗乃 兔女郎珍珠白 景品手办</t>
        </is>
      </c>
      <c r="B1074" t="inlineStr">
        <is>
          <t>72.00元</t>
        </is>
      </c>
      <c r="C1074" t="inlineStr">
        <is>
          <t>129.00元</t>
        </is>
      </c>
      <c r="D1074" t="inlineStr">
        <is>
          <t>57.00元</t>
        </is>
      </c>
      <c r="E1074" t="inlineStr">
        <is>
          <t>5.6折</t>
        </is>
      </c>
      <c r="F1074">
        <f>HYPERLINK("https://i0.hdslb.com/bfs/mall/mall/6e/23/6e2398cdd20e73833e9e89dc89161e9b.png", "点击查看图片")</f>
        <v/>
      </c>
      <c r="G1074">
        <f>HYPERLINK("https://mall.bilibili.com/neul-next/index.html?page=magic-market_detail&amp;noTitleBar=1&amp;itemsId=109815132114&amp;from=market_index", "点击打开")</f>
        <v/>
      </c>
    </row>
    <row r="1075">
      <c r="A1075" t="inlineStr">
        <is>
          <t>FuRyu 雅儿贝德 迷你裙Ver. 景品手办</t>
        </is>
      </c>
      <c r="B1075" t="inlineStr">
        <is>
          <t>99.00元</t>
        </is>
      </c>
      <c r="C1075" t="inlineStr">
        <is>
          <t>129.00元</t>
        </is>
      </c>
      <c r="D1075" t="inlineStr">
        <is>
          <t>30.00元</t>
        </is>
      </c>
      <c r="E1075" t="inlineStr">
        <is>
          <t>7.7折</t>
        </is>
      </c>
      <c r="F1075">
        <f>HYPERLINK("https://i0.hdslb.com/bfs/mall/mall/fd/03/fd030116f32331b4b687845799a72a20.png", "点击查看图片")</f>
        <v/>
      </c>
      <c r="G1075">
        <f>HYPERLINK("https://mall.bilibili.com/neul-next/index.html?page=magic-market_detail&amp;noTitleBar=1&amp;itemsId=107082902949&amp;from=market_index", "点击打开")</f>
        <v/>
      </c>
    </row>
    <row r="1076">
      <c r="A1076" t="inlineStr">
        <is>
          <t>BANPRESTO 初音未来  景品手办</t>
        </is>
      </c>
      <c r="B1076" t="inlineStr">
        <is>
          <t>69.00元</t>
        </is>
      </c>
      <c r="C1076" t="inlineStr">
        <is>
          <t>129.00元</t>
        </is>
      </c>
      <c r="D1076" t="inlineStr">
        <is>
          <t>60.00元</t>
        </is>
      </c>
      <c r="E1076" t="inlineStr">
        <is>
          <t>5.3折</t>
        </is>
      </c>
      <c r="F1076">
        <f>HYPERLINK("https://i0.hdslb.com/bfs/mall/mall/35/e9/35e980b1322e7acab5340516a185b4de.png", "点击查看图片")</f>
        <v/>
      </c>
      <c r="G1076">
        <f>HYPERLINK("https://mall.bilibili.com/neul-next/index.html?page=magic-market_detail&amp;noTitleBar=1&amp;itemsId=107055732919&amp;from=market_index", "点击打开")</f>
        <v/>
      </c>
    </row>
    <row r="1077">
      <c r="A1077" t="inlineStr">
        <is>
          <t>GSC 大和·命 手办</t>
        </is>
      </c>
      <c r="B1077" t="inlineStr">
        <is>
          <t>188.00元</t>
        </is>
      </c>
      <c r="C1077" t="inlineStr">
        <is>
          <t>235.00元</t>
        </is>
      </c>
      <c r="D1077" t="inlineStr">
        <is>
          <t>47.00元</t>
        </is>
      </c>
      <c r="E1077" t="inlineStr">
        <is>
          <t>8.0折</t>
        </is>
      </c>
      <c r="F1077">
        <f>HYPERLINK("https://i0.hdslb.com/bfs/mall/mall/92/b5/92b50f7d85293c61dd9fd374e3c79a3d.png", "点击查看图片")</f>
        <v/>
      </c>
      <c r="G1077">
        <f>HYPERLINK("https://mall.bilibili.com/neul-next/index.html?page=magic-market_detail&amp;noTitleBar=1&amp;itemsId=106860143851&amp;from=market_index", "点击打开")</f>
        <v/>
      </c>
    </row>
    <row r="1078">
      <c r="A1078" t="inlineStr">
        <is>
          <t>Myethos 狗 手办</t>
        </is>
      </c>
      <c r="B1078" t="inlineStr">
        <is>
          <t>450.00元</t>
        </is>
      </c>
      <c r="C1078" t="inlineStr">
        <is>
          <t>698.00元</t>
        </is>
      </c>
      <c r="D1078" t="inlineStr">
        <is>
          <t>248.00元</t>
        </is>
      </c>
      <c r="E1078" t="inlineStr">
        <is>
          <t>6.4折</t>
        </is>
      </c>
      <c r="F1078">
        <f>HYPERLINK("https://i0.hdslb.com/bfs/mall/mall/46/e1/46e1075b706b8958d8f9e2c481cbdd7d.png", "点击查看图片")</f>
        <v/>
      </c>
      <c r="G1078">
        <f>HYPERLINK("https://mall.bilibili.com/neul-next/index.html?page=magic-market_detail&amp;noTitleBar=1&amp;itemsId=106853864077&amp;from=market_index", "点击打开")</f>
        <v/>
      </c>
    </row>
    <row r="1079">
      <c r="A1079" t="inlineStr">
        <is>
          <t>BANPRESTO 星野爱 景品手办</t>
        </is>
      </c>
      <c r="B1079" t="inlineStr">
        <is>
          <t>85.00元</t>
        </is>
      </c>
      <c r="C1079" t="inlineStr">
        <is>
          <t>129.00元</t>
        </is>
      </c>
      <c r="D1079" t="inlineStr">
        <is>
          <t>44.00元</t>
        </is>
      </c>
      <c r="E1079" t="inlineStr">
        <is>
          <t>6.6折</t>
        </is>
      </c>
      <c r="F1079">
        <f>HYPERLINK("https://i0.hdslb.com/bfs/mall/mall/e3/73/e37350ac434fd32e617463a6550edfb7.png", "点击查看图片")</f>
        <v/>
      </c>
      <c r="G1079">
        <f>HYPERLINK("https://mall.bilibili.com/neul-next/index.html?page=magic-market_detail&amp;noTitleBar=1&amp;itemsId=107103181907&amp;from=market_index", "点击打开")</f>
        <v/>
      </c>
    </row>
    <row r="1080">
      <c r="A1080" t="inlineStr">
        <is>
          <t>FREEing 逢坂大河 兔女郎Ver. 正比手办</t>
        </is>
      </c>
      <c r="B1080" t="inlineStr">
        <is>
          <t>850.00元</t>
        </is>
      </c>
      <c r="C1080" t="inlineStr">
        <is>
          <t>1375.00元</t>
        </is>
      </c>
      <c r="D1080" t="inlineStr">
        <is>
          <t>525.00元</t>
        </is>
      </c>
      <c r="E1080" t="inlineStr">
        <is>
          <t>6.2折</t>
        </is>
      </c>
      <c r="F1080">
        <f>HYPERLINK("https://i0.hdslb.com/bfs/mall/mall/ba/93/ba9308fdeb03d0c0d4300a59922e56cd.png", "点击查看图片")</f>
        <v/>
      </c>
      <c r="G1080">
        <f>HYPERLINK("https://mall.bilibili.com/neul-next/index.html?page=magic-market_detail&amp;noTitleBar=1&amp;itemsId=106869117466&amp;from=market_index", "点击打开")</f>
        <v/>
      </c>
    </row>
    <row r="1081">
      <c r="A1081" t="inlineStr">
        <is>
          <t>BANPRESTO 我的青春恋爱物语肯定有问题 由比滨结衣   景品手办</t>
        </is>
      </c>
      <c r="B1081" t="inlineStr">
        <is>
          <t>85.00元</t>
        </is>
      </c>
      <c r="C1081" t="inlineStr">
        <is>
          <t>119.00元</t>
        </is>
      </c>
      <c r="D1081" t="inlineStr">
        <is>
          <t>34.00元</t>
        </is>
      </c>
      <c r="E1081" t="inlineStr">
        <is>
          <t>7.1折</t>
        </is>
      </c>
      <c r="F1081">
        <f>HYPERLINK("https://i0.hdslb.com/bfs/mall/mall/46/7d/467d419813beddf4354cdf8ce135e561.png", "点击查看图片")</f>
        <v/>
      </c>
      <c r="G1081">
        <f>HYPERLINK("https://mall.bilibili.com/neul-next/index.html?page=magic-market_detail&amp;noTitleBar=1&amp;itemsId=107089381999&amp;from=market_index", "点击打开")</f>
        <v/>
      </c>
    </row>
    <row r="1082">
      <c r="A1082" t="inlineStr">
        <is>
          <t>TAITO 白 猫耳制服ver. 景品手办</t>
        </is>
      </c>
      <c r="B1082" t="inlineStr">
        <is>
          <t>98.85元</t>
        </is>
      </c>
      <c r="C1082" t="inlineStr">
        <is>
          <t>112.00元</t>
        </is>
      </c>
      <c r="D1082" t="inlineStr">
        <is>
          <t>13.15元</t>
        </is>
      </c>
      <c r="E1082" t="inlineStr">
        <is>
          <t>8.8折</t>
        </is>
      </c>
      <c r="F1082">
        <f>HYPERLINK("https://i0.hdslb.com/bfs/mall/mall/c6/b5/c6b52906ce5bfa5677780318e745a7d7.png", "点击查看图片")</f>
        <v/>
      </c>
      <c r="G1082">
        <f>HYPERLINK("https://mall.bilibili.com/neul-next/index.html?page=magic-market_detail&amp;noTitleBar=1&amp;itemsId=109812926970&amp;from=market_index", "点击打开")</f>
        <v/>
      </c>
    </row>
    <row r="1083">
      <c r="A1083" t="inlineStr">
        <is>
          <t>世嘉 艾莉 夏季制服 景品手办</t>
        </is>
      </c>
      <c r="B1083" t="inlineStr">
        <is>
          <t>90.00元</t>
        </is>
      </c>
      <c r="C1083" t="inlineStr">
        <is>
          <t>112.00元</t>
        </is>
      </c>
      <c r="D1083" t="inlineStr">
        <is>
          <t>22.00元</t>
        </is>
      </c>
      <c r="E1083" t="inlineStr">
        <is>
          <t>8.0折</t>
        </is>
      </c>
      <c r="F1083">
        <f>HYPERLINK("https://i0.hdslb.com/bfs/mall/mall/ac/70/ac701e3fe6cb2dfd21dabadb7d07e22d.png", "点击查看图片")</f>
        <v/>
      </c>
      <c r="G1083">
        <f>HYPERLINK("https://mall.bilibili.com/neul-next/index.html?page=magic-market_detail&amp;noTitleBar=1&amp;itemsId=109818021180&amp;from=market_index", "点击打开")</f>
        <v/>
      </c>
    </row>
    <row r="1084">
      <c r="A1084" t="inlineStr">
        <is>
          <t>FuRyu 中野四叶 兔女郎Ver. 景品手办</t>
        </is>
      </c>
      <c r="B1084" t="inlineStr">
        <is>
          <t>90.00元</t>
        </is>
      </c>
      <c r="C1084" t="inlineStr">
        <is>
          <t>119.00元</t>
        </is>
      </c>
      <c r="D1084" t="inlineStr">
        <is>
          <t>29.00元</t>
        </is>
      </c>
      <c r="E1084" t="inlineStr">
        <is>
          <t>7.6折</t>
        </is>
      </c>
      <c r="F1084">
        <f>HYPERLINK("https://i0.hdslb.com/bfs/mall/mall/1a/c7/1ac79a4d80880b19de01744c1de1978b.png", "点击查看图片")</f>
        <v/>
      </c>
      <c r="G1084">
        <f>HYPERLINK("https://mall.bilibili.com/neul-next/index.html?page=magic-market_detail&amp;noTitleBar=1&amp;itemsId=107140996262&amp;from=market_index", "点击打开")</f>
        <v/>
      </c>
    </row>
    <row r="1085">
      <c r="A1085" t="inlineStr">
        <is>
          <t>GSC 雾切响子 Q版手办</t>
        </is>
      </c>
      <c r="B1085" t="inlineStr">
        <is>
          <t>269.20元</t>
        </is>
      </c>
      <c r="C1085" t="inlineStr">
        <is>
          <t>339.00元</t>
        </is>
      </c>
      <c r="D1085" t="inlineStr">
        <is>
          <t>69.80元</t>
        </is>
      </c>
      <c r="E1085" t="inlineStr">
        <is>
          <t>7.9折</t>
        </is>
      </c>
      <c r="F1085">
        <f>HYPERLINK("https://i0.hdslb.com/bfs/mall/mall/a5/98/a598facea3aee194de8d5525698e75d9.png", "点击查看图片")</f>
        <v/>
      </c>
      <c r="G1085">
        <f>HYPERLINK("https://mall.bilibili.com/neul-next/index.html?page=magic-market_detail&amp;noTitleBar=1&amp;itemsId=106864804784&amp;from=market_index", "点击打开")</f>
        <v/>
      </c>
    </row>
    <row r="1086">
      <c r="A1086" t="inlineStr">
        <is>
          <t>FuRyu 中野五月 兔女郎异色 景品手办</t>
        </is>
      </c>
      <c r="B1086" t="inlineStr">
        <is>
          <t>85.00元</t>
        </is>
      </c>
      <c r="C1086" t="inlineStr">
        <is>
          <t>119.00元</t>
        </is>
      </c>
      <c r="D1086" t="inlineStr">
        <is>
          <t>34.00元</t>
        </is>
      </c>
      <c r="E1086" t="inlineStr">
        <is>
          <t>7.1折</t>
        </is>
      </c>
      <c r="F1086">
        <f>HYPERLINK("https://i0.hdslb.com/bfs/mall/mall/12/03/1203521d5c7774b6b440729338451811.png", "点击查看图片")</f>
        <v/>
      </c>
      <c r="G1086">
        <f>HYPERLINK("https://mall.bilibili.com/neul-next/index.html?page=magic-market_detail&amp;noTitleBar=1&amp;itemsId=107098357658&amp;from=market_index", "点击打开")</f>
        <v/>
      </c>
    </row>
    <row r="1087">
      <c r="A1087" t="inlineStr">
        <is>
          <t>宝可梦 呆呆兽 正比手办</t>
        </is>
      </c>
      <c r="B1087" t="inlineStr">
        <is>
          <t>37.50元</t>
        </is>
      </c>
      <c r="C1087" t="inlineStr">
        <is>
          <t>69.00元</t>
        </is>
      </c>
      <c r="D1087" t="inlineStr">
        <is>
          <t>31.50元</t>
        </is>
      </c>
      <c r="E1087" t="inlineStr">
        <is>
          <t>5.4折</t>
        </is>
      </c>
      <c r="F1087">
        <f>HYPERLINK("https://i0.hdslb.com/bfs/mall/mall/f8/71/f871368b38e7bd28525a6333567c0401.png", "点击查看图片")</f>
        <v/>
      </c>
      <c r="G1087">
        <f>HYPERLINK("https://mall.bilibili.com/neul-next/index.html?page=magic-market_detail&amp;noTitleBar=1&amp;itemsId=109815451650&amp;from=market_index", "点击打开")</f>
        <v/>
      </c>
    </row>
    <row r="1088">
      <c r="A1088" t="inlineStr">
        <is>
          <t>FuRyu 高木同学 正比手办</t>
        </is>
      </c>
      <c r="B1088" t="inlineStr">
        <is>
          <t>198.00元</t>
        </is>
      </c>
      <c r="C1088" t="inlineStr">
        <is>
          <t>269.00元</t>
        </is>
      </c>
      <c r="D1088" t="inlineStr">
        <is>
          <t>71.00元</t>
        </is>
      </c>
      <c r="E1088" t="inlineStr">
        <is>
          <t>7.4折</t>
        </is>
      </c>
      <c r="F1088">
        <f>HYPERLINK("https://i0.hdslb.com/bfs/mall/mall/f5/27/f527d962d59114d21646b96313b34d5e.png", "点击查看图片")</f>
        <v/>
      </c>
      <c r="G1088">
        <f>HYPERLINK("https://mall.bilibili.com/neul-next/index.html?page=magic-market_detail&amp;noTitleBar=1&amp;itemsId=109840039742&amp;from=market_index", "点击打开")</f>
        <v/>
      </c>
    </row>
    <row r="1089">
      <c r="A1089" t="inlineStr">
        <is>
          <t>宝可梦 喵喵 正比手办</t>
        </is>
      </c>
      <c r="B1089" t="inlineStr">
        <is>
          <t>199.00元</t>
        </is>
      </c>
      <c r="C1089" t="inlineStr">
        <is>
          <t>345.00元</t>
        </is>
      </c>
      <c r="D1089" t="inlineStr">
        <is>
          <t>146.00元</t>
        </is>
      </c>
      <c r="E1089" t="inlineStr">
        <is>
          <t>5.8折</t>
        </is>
      </c>
      <c r="F1089">
        <f>HYPERLINK("https://i0.hdslb.com/bfs/mall/mall/14/88/148815f048564b6cd3365eccc5b58202.png", "点击查看图片")</f>
        <v/>
      </c>
      <c r="G1089">
        <f>HYPERLINK("https://mall.bilibili.com/neul-next/index.html?page=magic-market_detail&amp;noTitleBar=1&amp;itemsId=110460603120&amp;from=market_index", "点击打开")</f>
        <v/>
      </c>
    </row>
    <row r="1090">
      <c r="A1090" t="inlineStr">
        <is>
          <t>FuRyu 莱莎琳·斯托特 景品</t>
        </is>
      </c>
      <c r="B1090" t="inlineStr">
        <is>
          <t>70.00元</t>
        </is>
      </c>
      <c r="C1090" t="inlineStr">
        <is>
          <t>115.00元</t>
        </is>
      </c>
      <c r="D1090" t="inlineStr">
        <is>
          <t>45.00元</t>
        </is>
      </c>
      <c r="E1090" t="inlineStr">
        <is>
          <t>6.1折</t>
        </is>
      </c>
      <c r="F1090">
        <f>HYPERLINK("https://i0.hdslb.com/bfs/mall/mall/17/65/17653f3d8acc198c6a0177aca0ada966.png", "点击查看图片")</f>
        <v/>
      </c>
      <c r="G1090">
        <f>HYPERLINK("https://mall.bilibili.com/neul-next/index.html?page=magic-market_detail&amp;noTitleBar=1&amp;itemsId=106872362118&amp;from=market_index", "点击打开")</f>
        <v/>
      </c>
    </row>
    <row r="1091">
      <c r="A1091" t="inlineStr">
        <is>
          <t>世嘉 广井菊里 景品手办</t>
        </is>
      </c>
      <c r="B1091" t="inlineStr">
        <is>
          <t>65.00元</t>
        </is>
      </c>
      <c r="C1091" t="inlineStr">
        <is>
          <t>105.00元</t>
        </is>
      </c>
      <c r="D1091" t="inlineStr">
        <is>
          <t>40.00元</t>
        </is>
      </c>
      <c r="E1091" t="inlineStr">
        <is>
          <t>6.2折</t>
        </is>
      </c>
      <c r="F1091">
        <f>HYPERLINK("https://i0.hdslb.com/bfs/mall/mall/af/32/af327a60ea8501ac5457e598c206bfcd.png", "点击查看图片")</f>
        <v/>
      </c>
      <c r="G1091">
        <f>HYPERLINK("https://mall.bilibili.com/neul-next/index.html?page=magic-market_detail&amp;noTitleBar=1&amp;itemsId=109814488469&amp;from=market_index", "点击打开")</f>
        <v/>
      </c>
    </row>
    <row r="1092">
      <c r="A1092" t="inlineStr">
        <is>
          <t xml:space="preserve"> F:NEX 赫斯缇雅 手办</t>
        </is>
      </c>
      <c r="B1092" t="inlineStr">
        <is>
          <t>1000.00元</t>
        </is>
      </c>
      <c r="C1092" t="inlineStr">
        <is>
          <t>1499.00元</t>
        </is>
      </c>
      <c r="D1092" t="inlineStr">
        <is>
          <t>499.00元</t>
        </is>
      </c>
      <c r="E1092" t="inlineStr">
        <is>
          <t>6.7折</t>
        </is>
      </c>
      <c r="F1092">
        <f>HYPERLINK("https://i0.hdslb.com/bfs/mall/mall/2e/b6/2eb6f53be5ecf3400f7456e7fab60831.png", "点击查看图片")</f>
        <v/>
      </c>
      <c r="G1092">
        <f>HYPERLINK("https://mall.bilibili.com/neul-next/index.html?page=magic-market_detail&amp;noTitleBar=1&amp;itemsId=106867893270&amp;from=market_index", "点击打开")</f>
        <v/>
      </c>
    </row>
    <row r="1093">
      <c r="A1093" t="inlineStr">
        <is>
          <t>FuRyu 酷拉皮卡 景品 再版</t>
        </is>
      </c>
      <c r="B1093" t="inlineStr">
        <is>
          <t>99.00元</t>
        </is>
      </c>
      <c r="C1093" t="inlineStr">
        <is>
          <t>115.00元</t>
        </is>
      </c>
      <c r="D1093" t="inlineStr">
        <is>
          <t>16.00元</t>
        </is>
      </c>
      <c r="E1093" t="inlineStr">
        <is>
          <t>8.6折</t>
        </is>
      </c>
      <c r="F1093">
        <f>HYPERLINK("https://i0.hdslb.com/bfs/mall/mall/ce/67/ce67a083b469ffcc3a43cd875947ed1d.png", "点击查看图片")</f>
        <v/>
      </c>
      <c r="G1093">
        <f>HYPERLINK("https://mall.bilibili.com/neul-next/index.html?page=magic-market_detail&amp;noTitleBar=1&amp;itemsId=109810587992&amp;from=market_index", "点击打开")</f>
        <v/>
      </c>
    </row>
    <row r="1094">
      <c r="A1094" t="inlineStr">
        <is>
          <t>APEX 斯卡蒂 Q版手办</t>
        </is>
      </c>
      <c r="B1094" t="inlineStr">
        <is>
          <t>99.99元</t>
        </is>
      </c>
      <c r="C1094" t="inlineStr">
        <is>
          <t>120.00元</t>
        </is>
      </c>
      <c r="D1094" t="inlineStr">
        <is>
          <t>20.01元</t>
        </is>
      </c>
      <c r="E1094" t="inlineStr">
        <is>
          <t>8.3折</t>
        </is>
      </c>
      <c r="F1094">
        <f>HYPERLINK("https://i0.hdslb.com/bfs/mall/mall/46/8c/468cc477cd5df19dd8a2252f5361ba4b.png", "点击查看图片")</f>
        <v/>
      </c>
      <c r="G1094">
        <f>HYPERLINK("https://mall.bilibili.com/neul-next/index.html?page=magic-market_detail&amp;noTitleBar=1&amp;itemsId=106880227592&amp;from=market_index", "点击打开")</f>
        <v/>
      </c>
    </row>
    <row r="1095">
      <c r="A1095" t="inlineStr">
        <is>
          <t>WINGSinc. RFB 手办</t>
        </is>
      </c>
      <c r="B1095" t="inlineStr">
        <is>
          <t>505.00元</t>
        </is>
      </c>
      <c r="C1095" t="inlineStr">
        <is>
          <t>899.00元</t>
        </is>
      </c>
      <c r="D1095" t="inlineStr">
        <is>
          <t>394.00元</t>
        </is>
      </c>
      <c r="E1095" t="inlineStr">
        <is>
          <t>5.6折</t>
        </is>
      </c>
      <c r="F1095">
        <f>HYPERLINK("https://i0.hdslb.com/bfs/mall/mall/c6/80/c680b43ed1ab091bbcd17b44da31d7a7.png", "点击查看图片")</f>
        <v/>
      </c>
      <c r="G1095">
        <f>HYPERLINK("https://mall.bilibili.com/neul-next/index.html?page=magic-market_detail&amp;noTitleBar=1&amp;itemsId=106914162388&amp;from=market_index", "点击打开")</f>
        <v/>
      </c>
    </row>
    <row r="1096">
      <c r="A1096" t="inlineStr">
        <is>
          <t>FuRyu 索尼子 兔女郎珍珠白 景品手办</t>
        </is>
      </c>
      <c r="B1096" t="inlineStr">
        <is>
          <t>95.00元</t>
        </is>
      </c>
      <c r="C1096" t="inlineStr">
        <is>
          <t>129.00元</t>
        </is>
      </c>
      <c r="D1096" t="inlineStr">
        <is>
          <t>34.00元</t>
        </is>
      </c>
      <c r="E1096" t="inlineStr">
        <is>
          <t>7.4折</t>
        </is>
      </c>
      <c r="F1096">
        <f>HYPERLINK("https://i0.hdslb.com/bfs/mall/mall/88/c6/88c62c0b370e0c1166db022f3a63eddc.png", "点击查看图片")</f>
        <v/>
      </c>
      <c r="G1096">
        <f>HYPERLINK("https://mall.bilibili.com/neul-next/index.html?page=magic-market_detail&amp;noTitleBar=1&amp;itemsId=107143748401&amp;from=market_index", "点击打开")</f>
        <v/>
      </c>
    </row>
    <row r="1097">
      <c r="A1097" t="inlineStr">
        <is>
          <t>TAITO 伊蕾娜 樱花和服Ver.Renewal 景品手办</t>
        </is>
      </c>
      <c r="B1097" t="inlineStr">
        <is>
          <t>92.79元</t>
        </is>
      </c>
      <c r="C1097" t="inlineStr">
        <is>
          <t>112.00元</t>
        </is>
      </c>
      <c r="D1097" t="inlineStr">
        <is>
          <t>19.21元</t>
        </is>
      </c>
      <c r="E1097" t="inlineStr">
        <is>
          <t>8.3折</t>
        </is>
      </c>
      <c r="F1097">
        <f>HYPERLINK("https://i0.hdslb.com/bfs/mall/mall/b5/ba/b5ba6c896abb9a806e5617e2ad3788e5.png", "点击查看图片")</f>
        <v/>
      </c>
      <c r="G1097">
        <f>HYPERLINK("https://mall.bilibili.com/neul-next/index.html?page=magic-market_detail&amp;noTitleBar=1&amp;itemsId=106999258918&amp;from=market_index", "点击打开")</f>
        <v/>
      </c>
    </row>
    <row r="1098">
      <c r="A1098" t="inlineStr">
        <is>
          <t>大漫匠AniMester&amp;dodowo 小彩和白菜狗 手办</t>
        </is>
      </c>
      <c r="B1098" t="inlineStr">
        <is>
          <t>219.00元</t>
        </is>
      </c>
      <c r="C1098" t="inlineStr">
        <is>
          <t>299.00元</t>
        </is>
      </c>
      <c r="D1098" t="inlineStr">
        <is>
          <t>80.00元</t>
        </is>
      </c>
      <c r="E1098" t="inlineStr">
        <is>
          <t>7.3折</t>
        </is>
      </c>
      <c r="F1098">
        <f>HYPERLINK("https://i0.hdslb.com/bfs/mall/mall/b1/33/b13300d1421d9c5a40c5ce0819901552.png", "点击查看图片")</f>
        <v/>
      </c>
      <c r="G1098">
        <f>HYPERLINK("https://mall.bilibili.com/neul-next/index.html?page=magic-market_detail&amp;noTitleBar=1&amp;itemsId=111911157415&amp;from=market_index", "点击打开")</f>
        <v/>
      </c>
    </row>
    <row r="1099">
      <c r="A1099" t="inlineStr">
        <is>
          <t>TAITO 井上泷奈 景品手办</t>
        </is>
      </c>
      <c r="B1099" t="inlineStr">
        <is>
          <t>75.00元</t>
        </is>
      </c>
      <c r="C1099" t="inlineStr">
        <is>
          <t>112.00元</t>
        </is>
      </c>
      <c r="D1099" t="inlineStr">
        <is>
          <t>37.00元</t>
        </is>
      </c>
      <c r="E1099" t="inlineStr">
        <is>
          <t>6.7折</t>
        </is>
      </c>
      <c r="F1099">
        <f>HYPERLINK("https://i0.hdslb.com/bfs/mall/mall/75/44/7544b008191fcef6b6ec13610e76d3d1.png", "点击查看图片")</f>
        <v/>
      </c>
      <c r="G1099">
        <f>HYPERLINK("https://mall.bilibili.com/neul-next/index.html?page=magic-market_detail&amp;noTitleBar=1&amp;itemsId=109818010809&amp;from=market_index", "点击打开")</f>
        <v/>
      </c>
    </row>
    <row r="1100">
      <c r="A1100" t="inlineStr">
        <is>
          <t>TAITO 初音未来 Uniform 景品手办</t>
        </is>
      </c>
      <c r="B1100" t="inlineStr">
        <is>
          <t>91.12元</t>
        </is>
      </c>
      <c r="C1100" t="inlineStr">
        <is>
          <t>112.00元</t>
        </is>
      </c>
      <c r="D1100" t="inlineStr">
        <is>
          <t>20.88元</t>
        </is>
      </c>
      <c r="E1100" t="inlineStr">
        <is>
          <t>8.1折</t>
        </is>
      </c>
      <c r="F1100">
        <f>HYPERLINK("https://i0.hdslb.com/bfs/mall/mall/18/ed/18edfbc7317a70476bf42d4fb8e9ccef.png", "点击查看图片")</f>
        <v/>
      </c>
      <c r="G1100">
        <f>HYPERLINK("https://mall.bilibili.com/neul-next/index.html?page=magic-market_detail&amp;noTitleBar=1&amp;itemsId=109812688588&amp;from=market_index", "点击打开")</f>
        <v/>
      </c>
    </row>
    <row r="1101">
      <c r="A1101" t="inlineStr">
        <is>
          <t>F:NEX 电锯人 玛奇玛&amp;帕瓦 护士服ver. 手办</t>
        </is>
      </c>
      <c r="B1101" t="inlineStr">
        <is>
          <t>1817.75元</t>
        </is>
      </c>
      <c r="C1101" t="inlineStr">
        <is>
          <t>2450.00元</t>
        </is>
      </c>
      <c r="D1101" t="inlineStr">
        <is>
          <t>632.25元</t>
        </is>
      </c>
      <c r="E1101" t="inlineStr">
        <is>
          <t>7.4折</t>
        </is>
      </c>
      <c r="F1101">
        <f>HYPERLINK("https://i0.hdslb.com/bfs/mall/mall/f4/a3/f4a3cd8faff82f74521f92e81b537208.png", "点击查看图片")</f>
        <v/>
      </c>
      <c r="G1101">
        <f>HYPERLINK("https://mall.bilibili.com/neul-next/index.html?page=magic-market_detail&amp;noTitleBar=1&amp;itemsId=109868301906&amp;from=market_index", "点击打开")</f>
        <v/>
      </c>
    </row>
    <row r="1102">
      <c r="A1102" t="inlineStr">
        <is>
          <t>Prime 1 Studio 各务原抚子&amp;志摩凛 手办</t>
        </is>
      </c>
      <c r="B1102" t="inlineStr">
        <is>
          <t>1835.00元</t>
        </is>
      </c>
      <c r="C1102" t="inlineStr">
        <is>
          <t>2325.00元</t>
        </is>
      </c>
      <c r="D1102" t="inlineStr">
        <is>
          <t>490.00元</t>
        </is>
      </c>
      <c r="E1102" t="inlineStr">
        <is>
          <t>7.9折</t>
        </is>
      </c>
      <c r="F1102">
        <f>HYPERLINK("https://i0.hdslb.com/bfs/mall/mall/50/de/50de9d90320bdb623be440ab8d051f80.png", "点击查看图片")</f>
        <v/>
      </c>
      <c r="G1102">
        <f>HYPERLINK("https://mall.bilibili.com/neul-next/index.html?page=magic-market_detail&amp;noTitleBar=1&amp;itemsId=109834983992&amp;from=market_index", "点击打开")</f>
        <v/>
      </c>
    </row>
    <row r="1103">
      <c r="A1103" t="inlineStr">
        <is>
          <t>世嘉 艾莉 景品手办</t>
        </is>
      </c>
      <c r="B1103" t="inlineStr">
        <is>
          <t>71.88元</t>
        </is>
      </c>
      <c r="C1103" t="inlineStr">
        <is>
          <t>112.00元</t>
        </is>
      </c>
      <c r="D1103" t="inlineStr">
        <is>
          <t>40.12元</t>
        </is>
      </c>
      <c r="E1103" t="inlineStr">
        <is>
          <t>6.4折</t>
        </is>
      </c>
      <c r="F1103">
        <f>HYPERLINK("https://i0.hdslb.com/bfs/mall/mall/e1/a7/e1a7b3630f27c7e2fa3acb7290417262.png", "点击查看图片")</f>
        <v/>
      </c>
      <c r="G1103">
        <f>HYPERLINK("https://mall.bilibili.com/neul-next/index.html?page=magic-market_detail&amp;noTitleBar=1&amp;itemsId=109819321387&amp;from=market_index", "点击打开")</f>
        <v/>
      </c>
    </row>
    <row r="1104">
      <c r="A1104" t="inlineStr">
        <is>
          <t>ANIPLEX+ 后藤独 可动手办</t>
        </is>
      </c>
      <c r="B1104" t="inlineStr">
        <is>
          <t>599.14元</t>
        </is>
      </c>
      <c r="C1104" t="inlineStr">
        <is>
          <t>649.00元</t>
        </is>
      </c>
      <c r="D1104" t="inlineStr">
        <is>
          <t>49.86元</t>
        </is>
      </c>
      <c r="E1104" t="inlineStr">
        <is>
          <t>9.2折</t>
        </is>
      </c>
      <c r="F1104">
        <f>HYPERLINK("https://i0.hdslb.com/bfs/mall/mall/53/16/5316a12e3876922d0fd58e9ee2703e6a.png", "点击查看图片")</f>
        <v/>
      </c>
      <c r="G1104">
        <f>HYPERLINK("https://mall.bilibili.com/neul-next/index.html?page=magic-market_detail&amp;noTitleBar=1&amp;itemsId=106879921741&amp;from=market_index", "点击打开")</f>
        <v/>
      </c>
    </row>
    <row r="1105">
      <c r="A1105" t="inlineStr">
        <is>
          <t>DMM 雅儿贝德 赫尔梅斯·特利斯·美吉斯特斯Ver.  正比手办</t>
        </is>
      </c>
      <c r="B1105" t="inlineStr">
        <is>
          <t>1287.13元</t>
        </is>
      </c>
      <c r="C1105" t="inlineStr">
        <is>
          <t>2005.00元</t>
        </is>
      </c>
      <c r="D1105" t="inlineStr">
        <is>
          <t>717.87元</t>
        </is>
      </c>
      <c r="E1105" t="inlineStr">
        <is>
          <t>6.4折</t>
        </is>
      </c>
      <c r="F1105">
        <f>HYPERLINK("https://i0.hdslb.com/bfs/mall/mall/72/f3/72f3f56f0ab7d91c46cdc66d67e8ea00.png", "点击查看图片")</f>
        <v/>
      </c>
      <c r="G1105">
        <f>HYPERLINK("https://mall.bilibili.com/neul-next/index.html?page=magic-market_detail&amp;noTitleBar=1&amp;itemsId=106969436422&amp;from=market_index", "点击打开")</f>
        <v/>
      </c>
    </row>
    <row r="1106">
      <c r="A1106" t="inlineStr">
        <is>
          <t>TAITO 喜多川海梦 景品手办</t>
        </is>
      </c>
      <c r="B1106" t="inlineStr">
        <is>
          <t>80.00元</t>
        </is>
      </c>
      <c r="C1106" t="inlineStr">
        <is>
          <t>112.00元</t>
        </is>
      </c>
      <c r="D1106" t="inlineStr">
        <is>
          <t>32.00元</t>
        </is>
      </c>
      <c r="E1106" t="inlineStr">
        <is>
          <t>7.1折</t>
        </is>
      </c>
      <c r="F1106">
        <f>HYPERLINK("https://i0.hdslb.com/bfs/mall/mall/f9/eb/f9eb228309227e3fce54819ff498ce89.png", "点击查看图片")</f>
        <v/>
      </c>
      <c r="G1106">
        <f>HYPERLINK("https://mall.bilibili.com/neul-next/index.html?page=magic-market_detail&amp;noTitleBar=1&amp;itemsId=109812598361&amp;from=market_index", "点击打开")</f>
        <v/>
      </c>
    </row>
    <row r="1107">
      <c r="A1107" t="inlineStr">
        <is>
          <t>FREEing 静山真白 泳装Ver.  正比手办</t>
        </is>
      </c>
      <c r="B1107" t="inlineStr">
        <is>
          <t>1299.13元</t>
        </is>
      </c>
      <c r="C1107" t="inlineStr">
        <is>
          <t>2355.00元</t>
        </is>
      </c>
      <c r="D1107" t="inlineStr">
        <is>
          <t>1055.87元</t>
        </is>
      </c>
      <c r="E1107" t="inlineStr">
        <is>
          <t>5.5折</t>
        </is>
      </c>
      <c r="F1107">
        <f>HYPERLINK("https://i0.hdslb.com/bfs/mall/mall/a9/cc/a9ccd12e7fc15023fe57063aa24719ca.png", "点击查看图片")</f>
        <v/>
      </c>
      <c r="G1107">
        <f>HYPERLINK("https://mall.bilibili.com/neul-next/index.html?page=magic-market_detail&amp;noTitleBar=1&amp;itemsId=106973009683&amp;from=market_index", "点击打开")</f>
        <v/>
      </c>
    </row>
    <row r="1108">
      <c r="A1108" t="inlineStr">
        <is>
          <t>FLARE 尼尔：机械纪元 9S 手办</t>
        </is>
      </c>
      <c r="B1108" t="inlineStr">
        <is>
          <t>499.00元</t>
        </is>
      </c>
      <c r="C1108" t="inlineStr">
        <is>
          <t>1289.00元</t>
        </is>
      </c>
      <c r="D1108" t="inlineStr">
        <is>
          <t>790.00元</t>
        </is>
      </c>
      <c r="E1108" t="inlineStr">
        <is>
          <t>3.9折</t>
        </is>
      </c>
      <c r="F1108">
        <f>HYPERLINK("https://i0.hdslb.com/bfs/mall/mall/fa/e6/fae69c88b2fd607da3e7548cbd48d0a0.png", "点击查看图片")</f>
        <v/>
      </c>
      <c r="G1108">
        <f>HYPERLINK("https://mall.bilibili.com/neul-next/index.html?page=magic-market_detail&amp;noTitleBar=1&amp;itemsId=106883564867&amp;from=market_index", "点击打开")</f>
        <v/>
      </c>
    </row>
    <row r="1109">
      <c r="A1109" t="inlineStr">
        <is>
          <t>FREEing 逢坂大河 裸足兔女郎Ver. 正比手办</t>
        </is>
      </c>
      <c r="B1109" t="inlineStr">
        <is>
          <t>1349.78元</t>
        </is>
      </c>
      <c r="C1109" t="inlineStr">
        <is>
          <t>2009.00元</t>
        </is>
      </c>
      <c r="D1109" t="inlineStr">
        <is>
          <t>659.22元</t>
        </is>
      </c>
      <c r="E1109" t="inlineStr">
        <is>
          <t>6.7折</t>
        </is>
      </c>
      <c r="F1109">
        <f>HYPERLINK("https://i0.hdslb.com/bfs/mall/mall/19/88/1988c955420d1a8e96e89d55ed0e4da9.png", "点击查看图片")</f>
        <v/>
      </c>
      <c r="G1109">
        <f>HYPERLINK("https://mall.bilibili.com/neul-next/index.html?page=magic-market_detail&amp;noTitleBar=1&amp;itemsId=107058407174&amp;from=market_index", "点击打开")</f>
        <v/>
      </c>
    </row>
    <row r="1110">
      <c r="A1110" t="inlineStr">
        <is>
          <t>BANPRESTO 阿尼亚Ver.A 景品手办</t>
        </is>
      </c>
      <c r="B1110" t="inlineStr">
        <is>
          <t>138.00元</t>
        </is>
      </c>
      <c r="C1110" t="inlineStr">
        <is>
          <t>267.00元</t>
        </is>
      </c>
      <c r="D1110" t="inlineStr">
        <is>
          <t>129.00元</t>
        </is>
      </c>
      <c r="E1110" t="inlineStr">
        <is>
          <t>5.2折</t>
        </is>
      </c>
      <c r="F1110">
        <f>HYPERLINK("https://i0.hdslb.com/bfs/mall/mall/9b/2b/9b2b43998ab920314db5711203729b75.png", "点击查看图片")</f>
        <v/>
      </c>
      <c r="G1110">
        <f>HYPERLINK("https://mall.bilibili.com/neul-next/index.html?page=magic-market_detail&amp;noTitleBar=1&amp;itemsId=110468257596&amp;from=market_index", "点击打开")</f>
        <v/>
      </c>
    </row>
    <row r="1111">
      <c r="A1111" t="inlineStr">
        <is>
          <t>FuRyu 中野一花 水手服 景品手办</t>
        </is>
      </c>
      <c r="B1111" t="inlineStr">
        <is>
          <t>77.78元</t>
        </is>
      </c>
      <c r="C1111" t="inlineStr">
        <is>
          <t>119.00元</t>
        </is>
      </c>
      <c r="D1111" t="inlineStr">
        <is>
          <t>41.22元</t>
        </is>
      </c>
      <c r="E1111" t="inlineStr">
        <is>
          <t>6.5折</t>
        </is>
      </c>
      <c r="F1111">
        <f>HYPERLINK("https://i0.hdslb.com/bfs/mall/mall/6f/f7/6ff7a936fc949d00259674ff89479f13.png", "点击查看图片")</f>
        <v/>
      </c>
      <c r="G1111">
        <f>HYPERLINK("https://mall.bilibili.com/neul-next/index.html?page=magic-market_detail&amp;noTitleBar=1&amp;itemsId=107064092007&amp;from=market_index", "点击打开")</f>
        <v/>
      </c>
    </row>
    <row r="1112">
      <c r="A1112" t="inlineStr">
        <is>
          <t>MIMEYOI 贝奇 手办</t>
        </is>
      </c>
      <c r="B1112" t="inlineStr">
        <is>
          <t>498.00元</t>
        </is>
      </c>
      <c r="C1112" t="inlineStr">
        <is>
          <t>719.00元</t>
        </is>
      </c>
      <c r="D1112" t="inlineStr">
        <is>
          <t>221.00元</t>
        </is>
      </c>
      <c r="E1112" t="inlineStr">
        <is>
          <t>6.9折</t>
        </is>
      </c>
      <c r="F1112">
        <f>HYPERLINK("https://i0.hdslb.com/bfs/mall/mall/14/78/14789b709c6a89fa79b975cdde8ec073.png", "点击查看图片")</f>
        <v/>
      </c>
      <c r="G1112">
        <f>HYPERLINK("https://mall.bilibili.com/neul-next/index.html?page=magic-market_detail&amp;noTitleBar=1&amp;itemsId=106883609437&amp;from=market_index", "点击打开")</f>
        <v/>
      </c>
    </row>
    <row r="1113">
      <c r="A1113" t="inlineStr">
        <is>
          <t>世嘉 三重爱 景品手办</t>
        </is>
      </c>
      <c r="B1113" t="inlineStr">
        <is>
          <t>80.00元</t>
        </is>
      </c>
      <c r="C1113" t="inlineStr">
        <is>
          <t>105.00元</t>
        </is>
      </c>
      <c r="D1113" t="inlineStr">
        <is>
          <t>25.00元</t>
        </is>
      </c>
      <c r="E1113" t="inlineStr">
        <is>
          <t>7.6折</t>
        </is>
      </c>
      <c r="F1113">
        <f>HYPERLINK("https://i0.hdslb.com/bfs/mall/mall/59/4d/594d461ca04be65530165eb5f0196cd4.png", "点击查看图片")</f>
        <v/>
      </c>
      <c r="G1113">
        <f>HYPERLINK("https://mall.bilibili.com/neul-next/index.html?page=magic-market_detail&amp;noTitleBar=1&amp;itemsId=106889183257&amp;from=market_index", "点击打开")</f>
        <v/>
      </c>
    </row>
    <row r="1114">
      <c r="A1114" t="inlineStr">
        <is>
          <t>少女航 坏女仆 正比手办</t>
        </is>
      </c>
      <c r="B1114" t="inlineStr">
        <is>
          <t>335.00元</t>
        </is>
      </c>
      <c r="C1114" t="inlineStr">
        <is>
          <t>768.00元</t>
        </is>
      </c>
      <c r="D1114" t="inlineStr">
        <is>
          <t>433.00元</t>
        </is>
      </c>
      <c r="E1114" t="inlineStr">
        <is>
          <t>4.4折</t>
        </is>
      </c>
      <c r="F1114">
        <f>HYPERLINK("https://i0.hdslb.com/bfs/mall/mall/74/9f/749f85d61a757dab249199be2932c680.png", "点击查看图片")</f>
        <v/>
      </c>
      <c r="G1114">
        <f>HYPERLINK("https://mall.bilibili.com/neul-next/index.html?page=magic-market_detail&amp;noTitleBar=1&amp;itemsId=106906790544&amp;from=market_index", "点击打开")</f>
        <v/>
      </c>
    </row>
    <row r="1115">
      <c r="A1115" t="inlineStr">
        <is>
          <t>Union Creative 北卡罗来纳 兔女郎 Ver.手办</t>
        </is>
      </c>
      <c r="B1115" t="inlineStr">
        <is>
          <t>837.92元</t>
        </is>
      </c>
      <c r="C1115" t="inlineStr">
        <is>
          <t>1569.00元</t>
        </is>
      </c>
      <c r="D1115" t="inlineStr">
        <is>
          <t>731.08元</t>
        </is>
      </c>
      <c r="E1115" t="inlineStr">
        <is>
          <t>5.3折</t>
        </is>
      </c>
      <c r="F1115">
        <f>HYPERLINK("https://i0.hdslb.com/bfs/mall/mall/c7/e2/c7e2aad789fadc5b7fb0882c289c754c.png", "点击查看图片")</f>
        <v/>
      </c>
      <c r="G1115">
        <f>HYPERLINK("https://mall.bilibili.com/neul-next/index.html?page=magic-market_detail&amp;noTitleBar=1&amp;itemsId=111907524036&amp;from=market_index", "点击打开")</f>
        <v/>
      </c>
    </row>
    <row r="1116">
      <c r="A1116" t="inlineStr">
        <is>
          <t>TAITO 锦木千束 制服ver.  景品手办</t>
        </is>
      </c>
      <c r="B1116" t="inlineStr">
        <is>
          <t>98.99元</t>
        </is>
      </c>
      <c r="C1116" t="inlineStr">
        <is>
          <t>112.00元</t>
        </is>
      </c>
      <c r="D1116" t="inlineStr">
        <is>
          <t>13.01元</t>
        </is>
      </c>
      <c r="E1116" t="inlineStr">
        <is>
          <t>8.8折</t>
        </is>
      </c>
      <c r="F1116">
        <f>HYPERLINK("https://i0.hdslb.com/bfs/mall/mall/ba/c5/bac54ae8a52430f67d60f9c0baf3ad6d.png", "点击查看图片")</f>
        <v/>
      </c>
      <c r="G1116">
        <f>HYPERLINK("https://mall.bilibili.com/neul-next/index.html?page=magic-market_detail&amp;noTitleBar=1&amp;itemsId=107094308079&amp;from=market_index", "点击打开")</f>
        <v/>
      </c>
    </row>
    <row r="1117">
      <c r="A1117" t="inlineStr">
        <is>
          <t>FuRyu 中野三玖 景品手办</t>
        </is>
      </c>
      <c r="B1117" t="inlineStr">
        <is>
          <t>95.00元</t>
        </is>
      </c>
      <c r="C1117" t="inlineStr">
        <is>
          <t>129.00元</t>
        </is>
      </c>
      <c r="D1117" t="inlineStr">
        <is>
          <t>34.00元</t>
        </is>
      </c>
      <c r="E1117" t="inlineStr">
        <is>
          <t>7.4折</t>
        </is>
      </c>
      <c r="F1117">
        <f>HYPERLINK("https://i0.hdslb.com/bfs/mall/mall/ae/16/ae16ab4ea96ff03d04f576a380349539.png", "点击查看图片")</f>
        <v/>
      </c>
      <c r="G1117">
        <f>HYPERLINK("https://mall.bilibili.com/neul-next/index.html?page=magic-market_detail&amp;noTitleBar=1&amp;itemsId=107146734312&amp;from=market_index", "点击打开")</f>
        <v/>
      </c>
    </row>
    <row r="1118">
      <c r="A1118" t="inlineStr">
        <is>
          <t>Dream figure 云悠悠 手办</t>
        </is>
      </c>
      <c r="B1118" t="inlineStr">
        <is>
          <t>448.00元</t>
        </is>
      </c>
      <c r="C1118" t="inlineStr">
        <is>
          <t>880.00元</t>
        </is>
      </c>
      <c r="D1118" t="inlineStr">
        <is>
          <t>432.00元</t>
        </is>
      </c>
      <c r="E1118" t="inlineStr">
        <is>
          <t>5.1折</t>
        </is>
      </c>
      <c r="F1118">
        <f>HYPERLINK("https://i0.hdslb.com/bfs/mall/mall/aa/1b/aa1ba0ed59e93763f51c9fe65b11918e.png", "点击查看图片")</f>
        <v/>
      </c>
      <c r="G1118">
        <f>HYPERLINK("https://mall.bilibili.com/neul-next/index.html?page=magic-market_detail&amp;noTitleBar=1&amp;itemsId=106895032174&amp;from=market_index", "点击打开")</f>
        <v/>
      </c>
    </row>
    <row r="1119">
      <c r="A1119" t="inlineStr">
        <is>
          <t>BANPRESTO 樱木真乃 景品  附特典</t>
        </is>
      </c>
      <c r="B1119" t="inlineStr">
        <is>
          <t>70.00元</t>
        </is>
      </c>
      <c r="C1119" t="inlineStr">
        <is>
          <t>119.00元</t>
        </is>
      </c>
      <c r="D1119" t="inlineStr">
        <is>
          <t>49.00元</t>
        </is>
      </c>
      <c r="E1119" t="inlineStr">
        <is>
          <t>5.9折</t>
        </is>
      </c>
      <c r="F1119">
        <f>HYPERLINK("https://i0.hdslb.com/bfs/mall/mall/f2/66/f266aae78e09a5879f16ce93ec91942a.png", "点击查看图片")</f>
        <v/>
      </c>
      <c r="G1119">
        <f>HYPERLINK("https://mall.bilibili.com/neul-next/index.html?page=magic-market_detail&amp;noTitleBar=1&amp;itemsId=106889792114&amp;from=market_index", "点击打开")</f>
        <v/>
      </c>
    </row>
    <row r="1120">
      <c r="A1120" t="inlineStr">
        <is>
          <t>角川 熊熊勇闯异世界 优奈 手办 限定版</t>
        </is>
      </c>
      <c r="B1120" t="inlineStr">
        <is>
          <t>598.00元</t>
        </is>
      </c>
      <c r="C1120" t="inlineStr">
        <is>
          <t>1157.00元</t>
        </is>
      </c>
      <c r="D1120" t="inlineStr">
        <is>
          <t>559.00元</t>
        </is>
      </c>
      <c r="E1120" t="inlineStr">
        <is>
          <t>5.2折</t>
        </is>
      </c>
      <c r="F1120">
        <f>HYPERLINK("https://i0.hdslb.com/bfs/mall/mall/a3/76/a3765231af6acbb3aba417aecc1d2f72.png", "点击查看图片")</f>
        <v/>
      </c>
      <c r="G1120">
        <f>HYPERLINK("https://mall.bilibili.com/neul-next/index.html?page=magic-market_detail&amp;noTitleBar=1&amp;itemsId=107140492595&amp;from=market_index", "点击打开")</f>
        <v/>
      </c>
    </row>
    <row r="1121">
      <c r="A1121" t="inlineStr">
        <is>
          <t>TAITO 春日野穹 平静眨眼 景品手办</t>
        </is>
      </c>
      <c r="B1121" t="inlineStr">
        <is>
          <t>90.00元</t>
        </is>
      </c>
      <c r="C1121" t="inlineStr">
        <is>
          <t>112.00元</t>
        </is>
      </c>
      <c r="D1121" t="inlineStr">
        <is>
          <t>22.00元</t>
        </is>
      </c>
      <c r="E1121" t="inlineStr">
        <is>
          <t>8.0折</t>
        </is>
      </c>
      <c r="F1121">
        <f>HYPERLINK("https://i0.hdslb.com/bfs/mall/mall/58/d1/58d1908b5cb7b9f859f4e81dfd766ebf.png", "点击查看图片")</f>
        <v/>
      </c>
      <c r="G1121">
        <f>HYPERLINK("https://mall.bilibili.com/neul-next/index.html?page=magic-market_detail&amp;noTitleBar=1&amp;itemsId=109820317267&amp;from=market_index", "点击打开")</f>
        <v/>
      </c>
    </row>
    <row r="1122">
      <c r="A1122" t="inlineStr">
        <is>
          <t>Union Creative 珈琲貴族原画 白峰莉花 手办 再版</t>
        </is>
      </c>
      <c r="B1122" t="inlineStr">
        <is>
          <t>488.00元</t>
        </is>
      </c>
      <c r="C1122" t="inlineStr">
        <is>
          <t>699.00元</t>
        </is>
      </c>
      <c r="D1122" t="inlineStr">
        <is>
          <t>211.00元</t>
        </is>
      </c>
      <c r="E1122" t="inlineStr">
        <is>
          <t>7.0折</t>
        </is>
      </c>
      <c r="F1122">
        <f>HYPERLINK("https://i0.hdslb.com/bfs/mall/mall/d2/9b/d29b36e6bfc958164d106f691a36a001.png", "点击查看图片")</f>
        <v/>
      </c>
      <c r="G1122">
        <f>HYPERLINK("https://mall.bilibili.com/neul-next/index.html?page=magic-market_detail&amp;noTitleBar=1&amp;itemsId=111909666774&amp;from=market_index", "点击打开")</f>
        <v/>
      </c>
    </row>
    <row r="1123">
      <c r="A1123" t="inlineStr">
        <is>
          <t>Ryu-NS 菈菈・萨塔琳・戴比路克 手办</t>
        </is>
      </c>
      <c r="B1123" t="inlineStr">
        <is>
          <t>650.00元</t>
        </is>
      </c>
      <c r="C1123" t="inlineStr">
        <is>
          <t>850.00元</t>
        </is>
      </c>
      <c r="D1123" t="inlineStr">
        <is>
          <t>200.00元</t>
        </is>
      </c>
      <c r="E1123" t="inlineStr">
        <is>
          <t>7.6折</t>
        </is>
      </c>
      <c r="F1123">
        <f>HYPERLINK("https://i0.hdslb.com/bfs/mall/mall/ae/6d/ae6d1a18afb1d7d9b5ff417afcb2548f.png", "点击查看图片")</f>
        <v/>
      </c>
      <c r="G1123">
        <f>HYPERLINK("https://mall.bilibili.com/neul-next/index.html?page=magic-market_detail&amp;noTitleBar=1&amp;itemsId=111910462673&amp;from=market_index", "点击打开")</f>
        <v/>
      </c>
    </row>
    <row r="1124">
      <c r="A1124" t="inlineStr">
        <is>
          <t>GSC Noir 正比手办</t>
        </is>
      </c>
      <c r="B1124" t="inlineStr">
        <is>
          <t>199.00元</t>
        </is>
      </c>
      <c r="C1124" t="inlineStr">
        <is>
          <t>229.00元</t>
        </is>
      </c>
      <c r="D1124" t="inlineStr">
        <is>
          <t>30.00元</t>
        </is>
      </c>
      <c r="E1124" t="inlineStr">
        <is>
          <t>8.7折</t>
        </is>
      </c>
      <c r="F1124">
        <f>HYPERLINK("https://i0.hdslb.com/bfs/mall/mall/5d/0f/5d0fa316864a84a0c21e1c965871773f.png", "点击查看图片")</f>
        <v/>
      </c>
      <c r="G1124">
        <f>HYPERLINK("https://mall.bilibili.com/neul-next/index.html?page=magic-market_detail&amp;noTitleBar=1&amp;itemsId=109870035752&amp;from=market_index", "点击打开")</f>
        <v/>
      </c>
    </row>
    <row r="1125">
      <c r="A1125" t="inlineStr">
        <is>
          <t>FREEing 天野绘里香 兔女郎Ver. 正比手办</t>
        </is>
      </c>
      <c r="B1125" t="inlineStr">
        <is>
          <t>1393.40元</t>
        </is>
      </c>
      <c r="C1125" t="inlineStr">
        <is>
          <t>1999.00元</t>
        </is>
      </c>
      <c r="D1125" t="inlineStr">
        <is>
          <t>605.60元</t>
        </is>
      </c>
      <c r="E1125" t="inlineStr">
        <is>
          <t>7.0折</t>
        </is>
      </c>
      <c r="F1125">
        <f>HYPERLINK("https://i0.hdslb.com/bfs/mall/mall/cb/4d/cb4d78d661fa04669b9ba8eb765f9477.png", "点击查看图片")</f>
        <v/>
      </c>
      <c r="G1125">
        <f>HYPERLINK("https://mall.bilibili.com/neul-next/index.html?page=magic-market_detail&amp;noTitleBar=1&amp;itemsId=109824580679&amp;from=market_index", "点击打开")</f>
        <v/>
      </c>
    </row>
    <row r="1126">
      <c r="A1126" t="inlineStr">
        <is>
          <t>BANPRESTO 阿古茹奥特曼A款 景品</t>
        </is>
      </c>
      <c r="B1126" t="inlineStr">
        <is>
          <t>62.00元</t>
        </is>
      </c>
      <c r="C1126" t="inlineStr">
        <is>
          <t>119.00元</t>
        </is>
      </c>
      <c r="D1126" t="inlineStr">
        <is>
          <t>57.00元</t>
        </is>
      </c>
      <c r="E1126" t="inlineStr">
        <is>
          <t>5.2折</t>
        </is>
      </c>
      <c r="F1126">
        <f>HYPERLINK("https://i0.hdslb.com/bfs/mall/mall/19/b4/19b4a73c48251bf3839c80155d054397.png", "点击查看图片")</f>
        <v/>
      </c>
      <c r="G1126">
        <f>HYPERLINK("https://mall.bilibili.com/neul-next/index.html?page=magic-market_detail&amp;noTitleBar=1&amp;itemsId=106941396713&amp;from=market_index", "点击打开")</f>
        <v/>
      </c>
    </row>
    <row r="1127">
      <c r="A1127" t="inlineStr">
        <is>
          <t>BANPRESTO 埃普西隆 景品手办</t>
        </is>
      </c>
      <c r="B1127" t="inlineStr">
        <is>
          <t>89.90元</t>
        </is>
      </c>
      <c r="C1127" t="inlineStr">
        <is>
          <t>129.00元</t>
        </is>
      </c>
      <c r="D1127" t="inlineStr">
        <is>
          <t>39.10元</t>
        </is>
      </c>
      <c r="E1127" t="inlineStr">
        <is>
          <t>7.0折</t>
        </is>
      </c>
      <c r="F1127">
        <f>HYPERLINK("https://i0.hdslb.com/bfs/mall/mall/86/d4/86d49ed7d13b54579eaf3759478d0c28.png", "点击查看图片")</f>
        <v/>
      </c>
      <c r="G1127">
        <f>HYPERLINK("https://mall.bilibili.com/neul-next/index.html?page=magic-market_detail&amp;noTitleBar=1&amp;itemsId=106897570636&amp;from=market_index", "点击打开")</f>
        <v/>
      </c>
    </row>
    <row r="1128">
      <c r="A1128" t="inlineStr">
        <is>
          <t>宝可梦 波克比 正比手办</t>
        </is>
      </c>
      <c r="B1128" t="inlineStr">
        <is>
          <t>36.50元</t>
        </is>
      </c>
      <c r="C1128" t="inlineStr">
        <is>
          <t>69.00元</t>
        </is>
      </c>
      <c r="D1128" t="inlineStr">
        <is>
          <t>32.50元</t>
        </is>
      </c>
      <c r="E1128" t="inlineStr">
        <is>
          <t>5.3折</t>
        </is>
      </c>
      <c r="F1128">
        <f>HYPERLINK("https://i0.hdslb.com/bfs/mall/mall/c6/95/c69589e551fca82d57ca3f959d47fbbe.png", "点击查看图片")</f>
        <v/>
      </c>
      <c r="G1128">
        <f>HYPERLINK("https://mall.bilibili.com/neul-next/index.html?page=magic-market_detail&amp;noTitleBar=1&amp;itemsId=109808278863&amp;from=market_index", "点击打开")</f>
        <v/>
      </c>
    </row>
    <row r="1129">
      <c r="A1129" t="inlineStr">
        <is>
          <t>宝可梦 皮卡丘 正比手办</t>
        </is>
      </c>
      <c r="B1129" t="inlineStr">
        <is>
          <t>129.00元</t>
        </is>
      </c>
      <c r="C1129" t="inlineStr">
        <is>
          <t>199.00元</t>
        </is>
      </c>
      <c r="D1129" t="inlineStr">
        <is>
          <t>70.00元</t>
        </is>
      </c>
      <c r="E1129" t="inlineStr">
        <is>
          <t>6.5折</t>
        </is>
      </c>
      <c r="F1129">
        <f>HYPERLINK("https://i0.hdslb.com/bfs/mall/mall/bf/30/bf30f4a6e3ee3cc0605f6414fdcf0f90.png", "点击查看图片")</f>
        <v/>
      </c>
      <c r="G1129">
        <f>HYPERLINK("https://mall.bilibili.com/neul-next/index.html?page=magic-market_detail&amp;noTitleBar=1&amp;itemsId=111909900371&amp;from=market_index", "点击打开")</f>
        <v/>
      </c>
    </row>
    <row r="1130">
      <c r="A1130" t="inlineStr">
        <is>
          <t>Phat! 艾姬多娜 婚纱Ver. 手办</t>
        </is>
      </c>
      <c r="B1130" t="inlineStr">
        <is>
          <t>928.00元</t>
        </is>
      </c>
      <c r="C1130" t="inlineStr">
        <is>
          <t>1105.00元</t>
        </is>
      </c>
      <c r="D1130" t="inlineStr">
        <is>
          <t>177.00元</t>
        </is>
      </c>
      <c r="E1130" t="inlineStr">
        <is>
          <t>8.4折</t>
        </is>
      </c>
      <c r="F1130">
        <f>HYPERLINK("https://i0.hdslb.com/bfs/mall/mall/74/41/7441c5fa4e497adc1621eda4204750d3.png", "点击查看图片")</f>
        <v/>
      </c>
      <c r="G1130">
        <f>HYPERLINK("https://mall.bilibili.com/neul-next/index.html?page=magic-market_detail&amp;noTitleBar=1&amp;itemsId=106917255364&amp;from=market_index", "点击打开")</f>
        <v/>
      </c>
    </row>
    <row r="1131">
      <c r="A1131" t="inlineStr">
        <is>
          <t>BANPRESTO 忍野忍 景品手办</t>
        </is>
      </c>
      <c r="B1131" t="inlineStr">
        <is>
          <t>85.00元</t>
        </is>
      </c>
      <c r="C1131" t="inlineStr">
        <is>
          <t>129.00元</t>
        </is>
      </c>
      <c r="D1131" t="inlineStr">
        <is>
          <t>44.00元</t>
        </is>
      </c>
      <c r="E1131" t="inlineStr">
        <is>
          <t>6.6折</t>
        </is>
      </c>
      <c r="F1131">
        <f>HYPERLINK("https://i0.hdslb.com/bfs/mall/mall/e7/a6/e7a6580c77354d653ff28466f301c5bc.png", "点击查看图片")</f>
        <v/>
      </c>
      <c r="G1131">
        <f>HYPERLINK("https://mall.bilibili.com/neul-next/index.html?page=magic-market_detail&amp;noTitleBar=1&amp;itemsId=109820239767&amp;from=market_index", "点击打开")</f>
        <v/>
      </c>
    </row>
    <row r="1132">
      <c r="A1132" t="inlineStr">
        <is>
          <t>FuRyu 中野五月 国风公主 景品手办</t>
        </is>
      </c>
      <c r="B1132" t="inlineStr">
        <is>
          <t>99.00元</t>
        </is>
      </c>
      <c r="C1132" t="inlineStr">
        <is>
          <t>135.00元</t>
        </is>
      </c>
      <c r="D1132" t="inlineStr">
        <is>
          <t>36.00元</t>
        </is>
      </c>
      <c r="E1132" t="inlineStr">
        <is>
          <t>7.3折</t>
        </is>
      </c>
      <c r="F1132">
        <f>HYPERLINK("https://i0.hdslb.com/bfs/mall/mall/f5/11/f511e3b0751579e56e88fa64f1af21b7.png", "点击查看图片")</f>
        <v/>
      </c>
      <c r="G1132">
        <f>HYPERLINK("https://mall.bilibili.com/neul-next/index.html?page=magic-market_detail&amp;noTitleBar=1&amp;itemsId=107083449116&amp;from=market_index", "点击打开")</f>
        <v/>
      </c>
    </row>
    <row r="1133">
      <c r="A1133" t="inlineStr">
        <is>
          <t>GSC 渚薰 Q版手办 再版</t>
        </is>
      </c>
      <c r="B1133" t="inlineStr">
        <is>
          <t>215.00元</t>
        </is>
      </c>
      <c r="C1133" t="inlineStr">
        <is>
          <t>269.00元</t>
        </is>
      </c>
      <c r="D1133" t="inlineStr">
        <is>
          <t>54.00元</t>
        </is>
      </c>
      <c r="E1133" t="inlineStr">
        <is>
          <t>8.0折</t>
        </is>
      </c>
      <c r="F1133">
        <f>HYPERLINK("https://i0.hdslb.com/bfs/mall/mall/cf/ed/cfedfe72e56114a980d5eac02b0c2920.png", "点击查看图片")</f>
        <v/>
      </c>
      <c r="G1133">
        <f>HYPERLINK("https://mall.bilibili.com/neul-next/index.html?page=magic-market_detail&amp;noTitleBar=1&amp;itemsId=106901679600&amp;from=market_index", "点击打开")</f>
        <v/>
      </c>
    </row>
    <row r="1134">
      <c r="A1134" t="inlineStr">
        <is>
          <t>世嘉 悠悠 景品手办</t>
        </is>
      </c>
      <c r="B1134" t="inlineStr">
        <is>
          <t>95.00元</t>
        </is>
      </c>
      <c r="C1134" t="inlineStr">
        <is>
          <t>125.00元</t>
        </is>
      </c>
      <c r="D1134" t="inlineStr">
        <is>
          <t>30.00元</t>
        </is>
      </c>
      <c r="E1134" t="inlineStr">
        <is>
          <t>7.6折</t>
        </is>
      </c>
      <c r="F1134">
        <f>HYPERLINK("https://i0.hdslb.com/bfs/mall/mall/72/26/722612c09cb6150fbff1c8d97365e188.png", "点击查看图片")</f>
        <v/>
      </c>
      <c r="G1134">
        <f>HYPERLINK("https://mall.bilibili.com/neul-next/index.html?page=magic-market_detail&amp;noTitleBar=1&amp;itemsId=109812754918&amp;from=market_index", "点击打开")</f>
        <v/>
      </c>
    </row>
    <row r="1135">
      <c r="A1135" t="inlineStr">
        <is>
          <t>WINGSinc. 少女前线 刘易斯 迎寒客 Ver. 手办</t>
        </is>
      </c>
      <c r="B1135" t="inlineStr">
        <is>
          <t>555.00元</t>
        </is>
      </c>
      <c r="C1135" t="inlineStr">
        <is>
          <t>998.00元</t>
        </is>
      </c>
      <c r="D1135" t="inlineStr">
        <is>
          <t>443.00元</t>
        </is>
      </c>
      <c r="E1135" t="inlineStr">
        <is>
          <t>5.6折</t>
        </is>
      </c>
      <c r="F1135">
        <f>HYPERLINK("https://i0.hdslb.com/bfs/mall/mall/1a/99/1a998f17a02fbea0a339340035c9bea7.png", "点击查看图片")</f>
        <v/>
      </c>
      <c r="G1135">
        <f>HYPERLINK("https://mall.bilibili.com/neul-next/index.html?page=magic-market_detail&amp;noTitleBar=1&amp;itemsId=111905795767&amp;from=market_index", "点击打开")</f>
        <v/>
      </c>
    </row>
    <row r="1136">
      <c r="A1136" t="inlineStr">
        <is>
          <t>BANPRESTO 如月千早 景品手办</t>
        </is>
      </c>
      <c r="B1136" t="inlineStr">
        <is>
          <t>63.00元</t>
        </is>
      </c>
      <c r="C1136" t="inlineStr">
        <is>
          <t>119.00元</t>
        </is>
      </c>
      <c r="D1136" t="inlineStr">
        <is>
          <t>56.00元</t>
        </is>
      </c>
      <c r="E1136" t="inlineStr">
        <is>
          <t>5.3折</t>
        </is>
      </c>
      <c r="F1136">
        <f>HYPERLINK("https://i0.hdslb.com/bfs/mall/mall/4c/29/4c298b724536bace9bee95e72f8b6f97.png", "点击查看图片")</f>
        <v/>
      </c>
      <c r="G1136">
        <f>HYPERLINK("https://mall.bilibili.com/neul-next/index.html?page=magic-market_detail&amp;noTitleBar=1&amp;itemsId=107150516632&amp;from=market_index", "点击打开")</f>
        <v/>
      </c>
    </row>
    <row r="1137">
      <c r="A1137" t="inlineStr">
        <is>
          <t>FuRyu 有马加奈 晚安好梦 景品手办</t>
        </is>
      </c>
      <c r="B1137" t="inlineStr">
        <is>
          <t>125.00元</t>
        </is>
      </c>
      <c r="C1137" t="inlineStr">
        <is>
          <t>230.00元</t>
        </is>
      </c>
      <c r="D1137" t="inlineStr">
        <is>
          <t>105.00元</t>
        </is>
      </c>
      <c r="E1137" t="inlineStr">
        <is>
          <t>5.4折</t>
        </is>
      </c>
      <c r="F1137">
        <f>HYPERLINK("https://i0.hdslb.com/bfs/mall/mall/6d/1a/6d1ae5148629ec3debcdfc34fcd21f37.png", "点击查看图片")</f>
        <v/>
      </c>
      <c r="G1137">
        <f>HYPERLINK("https://mall.bilibili.com/neul-next/index.html?page=magic-market_detail&amp;noTitleBar=1&amp;itemsId=109842672716&amp;from=market_index", "点击打开")</f>
        <v/>
      </c>
    </row>
    <row r="1138">
      <c r="A1138" t="inlineStr">
        <is>
          <t>TAITO 伊蕾娜 小恶魔Ver.景品</t>
        </is>
      </c>
      <c r="B1138" t="inlineStr">
        <is>
          <t>99.00元</t>
        </is>
      </c>
      <c r="C1138" t="inlineStr">
        <is>
          <t>119.00元</t>
        </is>
      </c>
      <c r="D1138" t="inlineStr">
        <is>
          <t>20.00元</t>
        </is>
      </c>
      <c r="E1138" t="inlineStr">
        <is>
          <t>8.3折</t>
        </is>
      </c>
      <c r="F1138">
        <f>HYPERLINK("https://i0.hdslb.com/bfs/mall/mall/9b/01/9b0118435acdb18ebb851d4f3502c9ee.png", "点击查看图片")</f>
        <v/>
      </c>
      <c r="G1138">
        <f>HYPERLINK("https://mall.bilibili.com/neul-next/index.html?page=magic-market_detail&amp;noTitleBar=1&amp;itemsId=107097014368&amp;from=market_index", "点击打开")</f>
        <v/>
      </c>
    </row>
    <row r="1139">
      <c r="A1139" t="inlineStr">
        <is>
          <t>世嘉 A2 景品手办</t>
        </is>
      </c>
      <c r="B1139" t="inlineStr">
        <is>
          <t>105.00元</t>
        </is>
      </c>
      <c r="C1139" t="inlineStr">
        <is>
          <t>105.00元</t>
        </is>
      </c>
      <c r="D1139" t="inlineStr">
        <is>
          <t>0.00元</t>
        </is>
      </c>
      <c r="E1139" t="inlineStr">
        <is>
          <t>10.0折</t>
        </is>
      </c>
      <c r="F1139">
        <f>HYPERLINK("https://i0.hdslb.com/bfs/mall/mall/2a/fc/2afcfccb3271c128de242bbb7db157ec.png", "点击查看图片")</f>
        <v/>
      </c>
      <c r="G1139">
        <f>HYPERLINK("https://mall.bilibili.com/neul-next/index.html?page=magic-market_detail&amp;noTitleBar=1&amp;itemsId=120682535876&amp;from=market_index", "点击打开")</f>
        <v/>
      </c>
    </row>
    <row r="1140">
      <c r="A1140" t="inlineStr">
        <is>
          <t>雕星纪 蕾丝莉雅 正比手办</t>
        </is>
      </c>
      <c r="B1140" t="inlineStr">
        <is>
          <t>189.00元</t>
        </is>
      </c>
      <c r="C1140" t="inlineStr">
        <is>
          <t>469.00元</t>
        </is>
      </c>
      <c r="D1140" t="inlineStr">
        <is>
          <t>280.00元</t>
        </is>
      </c>
      <c r="E1140" t="inlineStr">
        <is>
          <t>4.0折</t>
        </is>
      </c>
      <c r="F1140">
        <f>HYPERLINK("https://i0.hdslb.com/bfs/mall/mall/bb/35/bb355a9f70a1c4ce3efe87395f760448.png", "点击查看图片")</f>
        <v/>
      </c>
      <c r="G1140">
        <f>HYPERLINK("https://mall.bilibili.com/neul-next/index.html?page=magic-market_detail&amp;noTitleBar=1&amp;itemsId=110472070752&amp;from=market_index", "点击打开")</f>
        <v/>
      </c>
    </row>
    <row r="1141">
      <c r="A1141" t="inlineStr">
        <is>
          <t>MAGI ARTS 女仆装 小绿 正比手办</t>
        </is>
      </c>
      <c r="B1141" t="inlineStr">
        <is>
          <t>428.00元</t>
        </is>
      </c>
      <c r="C1141" t="inlineStr">
        <is>
          <t>698.00元</t>
        </is>
      </c>
      <c r="D1141" t="inlineStr">
        <is>
          <t>270.00元</t>
        </is>
      </c>
      <c r="E1141" t="inlineStr">
        <is>
          <t>6.1折</t>
        </is>
      </c>
      <c r="F1141">
        <f>HYPERLINK("https://i0.hdslb.com/bfs/mall/mall/5b/16/5b16b6857dbfe9a79615250810c81daa.png", "点击查看图片")</f>
        <v/>
      </c>
      <c r="G1141">
        <f>HYPERLINK("https://mall.bilibili.com/neul-next/index.html?page=magic-market_detail&amp;noTitleBar=1&amp;itemsId=106910296709&amp;from=market_index", "点击打开")</f>
        <v/>
      </c>
    </row>
    <row r="1142">
      <c r="A1142" t="inlineStr">
        <is>
          <t>Claynel 莱莎  夏日冒险！Ver. 手办 普通版</t>
        </is>
      </c>
      <c r="B1142" t="inlineStr">
        <is>
          <t>825.00元</t>
        </is>
      </c>
      <c r="C1142" t="inlineStr">
        <is>
          <t>1219.00元</t>
        </is>
      </c>
      <c r="D1142" t="inlineStr">
        <is>
          <t>394.00元</t>
        </is>
      </c>
      <c r="E1142" t="inlineStr">
        <is>
          <t>6.8折</t>
        </is>
      </c>
      <c r="F1142">
        <f>HYPERLINK("https://i0.hdslb.com/bfs/mall/mall/b7/5c/b75cc29f94d794e92f0a2d977bb0a71a.png", "点击查看图片")</f>
        <v/>
      </c>
      <c r="G1142">
        <f>HYPERLINK("https://mall.bilibili.com/neul-next/index.html?page=magic-market_detail&amp;noTitleBar=1&amp;itemsId=107043810836&amp;from=market_index", "点击打开")</f>
        <v/>
      </c>
    </row>
    <row r="1143">
      <c r="A1143" t="inlineStr">
        <is>
          <t>BANPRESTO  罗罗诺亚·索隆  景品</t>
        </is>
      </c>
      <c r="B1143" t="inlineStr">
        <is>
          <t>40.00元</t>
        </is>
      </c>
      <c r="C1143" t="inlineStr">
        <is>
          <t>50.00元</t>
        </is>
      </c>
      <c r="D1143" t="inlineStr">
        <is>
          <t>10.00元</t>
        </is>
      </c>
      <c r="E1143" t="inlineStr">
        <is>
          <t>8.0折</t>
        </is>
      </c>
      <c r="F1143">
        <f>HYPERLINK("https://i0.hdslb.com/bfs/mall/mall/ef/b1/efb1cb13732b615aee8f71650e4a783e.png", "点击查看图片")</f>
        <v/>
      </c>
      <c r="G1143">
        <f>HYPERLINK("https://mall.bilibili.com/neul-next/index.html?page=magic-market_detail&amp;noTitleBar=1&amp;itemsId=107103013530&amp;from=market_index", "点击打开")</f>
        <v/>
      </c>
    </row>
    <row r="1144">
      <c r="A1144" t="inlineStr">
        <is>
          <t>TAITO 雅儿贝德 景品手办</t>
        </is>
      </c>
      <c r="B1144" t="inlineStr">
        <is>
          <t>80.00元</t>
        </is>
      </c>
      <c r="C1144" t="inlineStr">
        <is>
          <t>119.00元</t>
        </is>
      </c>
      <c r="D1144" t="inlineStr">
        <is>
          <t>39.00元</t>
        </is>
      </c>
      <c r="E1144" t="inlineStr">
        <is>
          <t>6.7折</t>
        </is>
      </c>
      <c r="F1144">
        <f>HYPERLINK("https://i0.hdslb.com/bfs/mall/mall/97/23/97232cb8e8990a0a30bf26095da09427.png", "点击查看图片")</f>
        <v/>
      </c>
      <c r="G1144">
        <f>HYPERLINK("https://mall.bilibili.com/neul-next/index.html?page=magic-market_detail&amp;noTitleBar=1&amp;itemsId=107063842391&amp;from=market_index", "点击打开")</f>
        <v/>
      </c>
    </row>
    <row r="1145">
      <c r="A1145" t="inlineStr">
        <is>
          <t>世嘉 中野三玖 景品手办</t>
        </is>
      </c>
      <c r="B1145" t="inlineStr">
        <is>
          <t>99.00元</t>
        </is>
      </c>
      <c r="C1145" t="inlineStr">
        <is>
          <t>112.00元</t>
        </is>
      </c>
      <c r="D1145" t="inlineStr">
        <is>
          <t>13.00元</t>
        </is>
      </c>
      <c r="E1145" t="inlineStr">
        <is>
          <t>8.8折</t>
        </is>
      </c>
      <c r="F1145">
        <f>HYPERLINK("https://i0.hdslb.com/bfs/mall/mall/bd/61/bd61082efff2e6db7cc2b742d2dbaa3e.png", "点击查看图片")</f>
        <v/>
      </c>
      <c r="G1145">
        <f>HYPERLINK("https://mall.bilibili.com/neul-next/index.html?page=magic-market_detail&amp;noTitleBar=1&amp;itemsId=109809671511&amp;from=market_index", "点击打开")</f>
        <v/>
      </c>
    </row>
    <row r="1146">
      <c r="A1146" t="inlineStr">
        <is>
          <t>角川 ARMS NOTE 强化装备兔女郎 手办</t>
        </is>
      </c>
      <c r="B1146" t="inlineStr">
        <is>
          <t>898.00元</t>
        </is>
      </c>
      <c r="C1146" t="inlineStr">
        <is>
          <t>1474.00元</t>
        </is>
      </c>
      <c r="D1146" t="inlineStr">
        <is>
          <t>576.00元</t>
        </is>
      </c>
      <c r="E1146" t="inlineStr">
        <is>
          <t>6.1折</t>
        </is>
      </c>
      <c r="F1146">
        <f>HYPERLINK("https://i0.hdslb.com/bfs/mall/mall/3b/b9/3bb979b04cc6bf093c8d88053a7e45a7.png", "点击查看图片")</f>
        <v/>
      </c>
      <c r="G1146">
        <f>HYPERLINK("https://mall.bilibili.com/neul-next/index.html?page=magic-market_detail&amp;noTitleBar=1&amp;itemsId=111915763617&amp;from=market_index", "点击打开")</f>
        <v/>
      </c>
    </row>
    <row r="1147">
      <c r="A1147" t="inlineStr">
        <is>
          <t>Max Factory 玛露希尔 可动手办</t>
        </is>
      </c>
      <c r="B1147" t="inlineStr">
        <is>
          <t>454.57元</t>
        </is>
      </c>
      <c r="C1147" t="inlineStr">
        <is>
          <t>555.00元</t>
        </is>
      </c>
      <c r="D1147" t="inlineStr">
        <is>
          <t>100.43元</t>
        </is>
      </c>
      <c r="E1147" t="inlineStr">
        <is>
          <t>8.2折</t>
        </is>
      </c>
      <c r="F1147">
        <f>HYPERLINK("https://i0.hdslb.com/bfs/mall/mall/bb/d8/bbd88f2677292e4c57120a8ffef05c97.png", "点击查看图片")</f>
        <v/>
      </c>
      <c r="G1147">
        <f>HYPERLINK("https://mall.bilibili.com/neul-next/index.html?page=magic-market_detail&amp;noTitleBar=1&amp;itemsId=109881134312&amp;from=market_index", "点击打开")</f>
        <v/>
      </c>
    </row>
    <row r="1148">
      <c r="A1148" t="inlineStr">
        <is>
          <t>FREEing 泷本日富美  兔女郎Ver. 手办</t>
        </is>
      </c>
      <c r="B1148" t="inlineStr">
        <is>
          <t>1300.00元</t>
        </is>
      </c>
      <c r="C1148" t="inlineStr">
        <is>
          <t>2069.00元</t>
        </is>
      </c>
      <c r="D1148" t="inlineStr">
        <is>
          <t>769.00元</t>
        </is>
      </c>
      <c r="E1148" t="inlineStr">
        <is>
          <t>6.3折</t>
        </is>
      </c>
      <c r="F1148">
        <f>HYPERLINK("https://i0.hdslb.com/bfs/mall/mall/23/b0/23b0a7526f49bb542b846ac21d151518.png", "点击查看图片")</f>
        <v/>
      </c>
      <c r="G1148">
        <f>HYPERLINK("https://mall.bilibili.com/neul-next/index.html?page=magic-market_detail&amp;noTitleBar=1&amp;itemsId=106915570168&amp;from=market_index", "点击打开")</f>
        <v/>
      </c>
    </row>
    <row r="1149">
      <c r="A1149" t="inlineStr">
        <is>
          <t>GOLDEN HEAD 罗恩 μ兵装 手办</t>
        </is>
      </c>
      <c r="B1149" t="inlineStr">
        <is>
          <t>950.00元</t>
        </is>
      </c>
      <c r="C1149" t="inlineStr">
        <is>
          <t>1259.00元</t>
        </is>
      </c>
      <c r="D1149" t="inlineStr">
        <is>
          <t>309.00元</t>
        </is>
      </c>
      <c r="E1149" t="inlineStr">
        <is>
          <t>7.5折</t>
        </is>
      </c>
      <c r="F1149">
        <f>HYPERLINK("https://i0.hdslb.com/bfs/mall/mall/6b/ed/6bed8df59771811fb1c2a1582688b40d.png", "点击查看图片")</f>
        <v/>
      </c>
      <c r="G1149">
        <f>HYPERLINK("https://mall.bilibili.com/neul-next/index.html?page=magic-market_detail&amp;noTitleBar=1&amp;itemsId=110467160925&amp;from=market_index", "点击打开")</f>
        <v/>
      </c>
    </row>
    <row r="1150">
      <c r="A1150" t="inlineStr">
        <is>
          <t>GSC 小栗帽 〜奇迹的白星〜 手办</t>
        </is>
      </c>
      <c r="B1150" t="inlineStr">
        <is>
          <t>999.00元</t>
        </is>
      </c>
      <c r="C1150" t="inlineStr">
        <is>
          <t>1285.00元</t>
        </is>
      </c>
      <c r="D1150" t="inlineStr">
        <is>
          <t>286.00元</t>
        </is>
      </c>
      <c r="E1150" t="inlineStr">
        <is>
          <t>7.8折</t>
        </is>
      </c>
      <c r="F1150">
        <f>HYPERLINK("https://i0.hdslb.com/bfs/mall/mall/61/b9/61b9bf9ab2100df275c9529852ab2e54.png", "点击查看图片")</f>
        <v/>
      </c>
      <c r="G1150">
        <f>HYPERLINK("https://mall.bilibili.com/neul-next/index.html?page=magic-market_detail&amp;noTitleBar=1&amp;itemsId=106919259232&amp;from=market_index", "点击打开")</f>
        <v/>
      </c>
    </row>
    <row r="1151">
      <c r="A1151" t="inlineStr">
        <is>
          <t>Phat! 克莱门汀 手办</t>
        </is>
      </c>
      <c r="B1151" t="inlineStr">
        <is>
          <t>1011.00元</t>
        </is>
      </c>
      <c r="C1151" t="inlineStr">
        <is>
          <t>1439.00元</t>
        </is>
      </c>
      <c r="D1151" t="inlineStr">
        <is>
          <t>428.00元</t>
        </is>
      </c>
      <c r="E1151" t="inlineStr">
        <is>
          <t>7.0折</t>
        </is>
      </c>
      <c r="F1151">
        <f>HYPERLINK("https://i0.hdslb.com/bfs/mall/mall/31/02/31029fc800baa2d494d1f2ab07d69bab.png", "点击查看图片")</f>
        <v/>
      </c>
      <c r="G1151">
        <f>HYPERLINK("https://mall.bilibili.com/neul-next/index.html?page=magic-market_detail&amp;noTitleBar=1&amp;itemsId=106913908453&amp;from=market_index", "点击打开")</f>
        <v/>
      </c>
    </row>
    <row r="1152">
      <c r="A1152" t="inlineStr">
        <is>
          <t>FuRyu 中野二乃 水手服 景品手办</t>
        </is>
      </c>
      <c r="B1152" t="inlineStr">
        <is>
          <t>74.90元</t>
        </is>
      </c>
      <c r="C1152" t="inlineStr">
        <is>
          <t>119.00元</t>
        </is>
      </c>
      <c r="D1152" t="inlineStr">
        <is>
          <t>44.10元</t>
        </is>
      </c>
      <c r="E1152" t="inlineStr">
        <is>
          <t>6.3折</t>
        </is>
      </c>
      <c r="F1152">
        <f>HYPERLINK("https://i0.hdslb.com/bfs/mall/mall/1e/86/1e86dd76f838ccdca61d9b599c9f8dc8.png", "点击查看图片")</f>
        <v/>
      </c>
      <c r="G1152">
        <f>HYPERLINK("https://mall.bilibili.com/neul-next/index.html?page=magic-market_detail&amp;noTitleBar=1&amp;itemsId=106912901733&amp;from=market_index", "点击打开")</f>
        <v/>
      </c>
    </row>
    <row r="1153">
      <c r="A1153" t="inlineStr">
        <is>
          <t>GSC 音速的索尼克 正比手办</t>
        </is>
      </c>
      <c r="B1153" t="inlineStr">
        <is>
          <t>145.00元</t>
        </is>
      </c>
      <c r="C1153" t="inlineStr">
        <is>
          <t>215.00元</t>
        </is>
      </c>
      <c r="D1153" t="inlineStr">
        <is>
          <t>70.00元</t>
        </is>
      </c>
      <c r="E1153" t="inlineStr">
        <is>
          <t>6.7折</t>
        </is>
      </c>
      <c r="F1153">
        <f>HYPERLINK("https://i0.hdslb.com/bfs/mall/mall/4f/16/4f168fb1fc52e68aee80b1cd0f1b862e.png", "点击查看图片")</f>
        <v/>
      </c>
      <c r="G1153">
        <f>HYPERLINK("https://mall.bilibili.com/neul-next/index.html?page=magic-market_detail&amp;noTitleBar=1&amp;itemsId=106921067412&amp;from=market_index", "点击打开")</f>
        <v/>
      </c>
    </row>
    <row r="1154">
      <c r="A1154" t="inlineStr">
        <is>
          <t>玩乐主义Funism  皮卡丘&amp;伊布  星云款 正比手办</t>
        </is>
      </c>
      <c r="B1154" t="inlineStr">
        <is>
          <t>168.00元</t>
        </is>
      </c>
      <c r="C1154" t="inlineStr">
        <is>
          <t>269.00元</t>
        </is>
      </c>
      <c r="D1154" t="inlineStr">
        <is>
          <t>101.00元</t>
        </is>
      </c>
      <c r="E1154" t="inlineStr">
        <is>
          <t>6.2折</t>
        </is>
      </c>
      <c r="F1154">
        <f>HYPERLINK("https://i0.hdslb.com/bfs/mall/mall/57/85/5785df0b5ec78961308f1083adc34940.png", "点击查看图片")</f>
        <v/>
      </c>
      <c r="G1154">
        <f>HYPERLINK("https://mall.bilibili.com/neul-next/index.html?page=magic-market_detail&amp;noTitleBar=1&amp;itemsId=111909977643&amp;from=market_index", "点击打开")</f>
        <v/>
      </c>
    </row>
    <row r="1155">
      <c r="A1155" t="inlineStr">
        <is>
          <t>TAITO 轻井泽惠 制服ver. 景品手办</t>
        </is>
      </c>
      <c r="B1155" t="inlineStr">
        <is>
          <t>95.00元</t>
        </is>
      </c>
      <c r="C1155" t="inlineStr">
        <is>
          <t>119.00元</t>
        </is>
      </c>
      <c r="D1155" t="inlineStr">
        <is>
          <t>24.00元</t>
        </is>
      </c>
      <c r="E1155" t="inlineStr">
        <is>
          <t>8.0折</t>
        </is>
      </c>
      <c r="F1155">
        <f>HYPERLINK("https://i0.hdslb.com/bfs/mall/mall/24/9d/249dbfc0dc43fede5681e2201d83d946.png", "点击查看图片")</f>
        <v/>
      </c>
      <c r="G1155">
        <f>HYPERLINK("https://mall.bilibili.com/neul-next/index.html?page=magic-market_detail&amp;noTitleBar=1&amp;itemsId=109812481573&amp;from=market_index", "点击打开")</f>
        <v/>
      </c>
    </row>
    <row r="1156">
      <c r="A1156" t="inlineStr">
        <is>
          <t>世嘉 阿尼亚·福杰 景品手办</t>
        </is>
      </c>
      <c r="B1156" t="inlineStr">
        <is>
          <t>85.00元</t>
        </is>
      </c>
      <c r="C1156" t="inlineStr">
        <is>
          <t>115.00元</t>
        </is>
      </c>
      <c r="D1156" t="inlineStr">
        <is>
          <t>30.00元</t>
        </is>
      </c>
      <c r="E1156" t="inlineStr">
        <is>
          <t>7.4折</t>
        </is>
      </c>
      <c r="F1156">
        <f>HYPERLINK("https://i0.hdslb.com/bfs/mall/mall/42/af/42af818004db4951c28e81773d6b6c39.png", "点击查看图片")</f>
        <v/>
      </c>
      <c r="G1156">
        <f>HYPERLINK("https://mall.bilibili.com/neul-next/index.html?page=magic-market_detail&amp;noTitleBar=1&amp;itemsId=106958113602&amp;from=market_index", "点击打开")</f>
        <v/>
      </c>
    </row>
    <row r="1157">
      <c r="A1157" t="inlineStr">
        <is>
          <t xml:space="preserve">Knead 碧蓝航线 企业 誓约的星光Ver. 手办 </t>
        </is>
      </c>
      <c r="B1157" t="inlineStr">
        <is>
          <t>999.00元</t>
        </is>
      </c>
      <c r="C1157" t="inlineStr">
        <is>
          <t>1499.00元</t>
        </is>
      </c>
      <c r="D1157" t="inlineStr">
        <is>
          <t>500.00元</t>
        </is>
      </c>
      <c r="E1157" t="inlineStr">
        <is>
          <t>6.7折</t>
        </is>
      </c>
      <c r="F1157">
        <f>HYPERLINK("https://i0.hdslb.com/bfs/mall/mall/90/4e/904efdb7e5ef01badcfddae46c69d27c.png", "点击查看图片")</f>
        <v/>
      </c>
      <c r="G1157">
        <f>HYPERLINK("https://mall.bilibili.com/neul-next/index.html?page=magic-market_detail&amp;noTitleBar=1&amp;itemsId=111908858190&amp;from=market_index", "点击打开")</f>
        <v/>
      </c>
    </row>
    <row r="1158">
      <c r="A1158" t="inlineStr">
        <is>
          <t>ANIPLEX+ 千子村正 手办</t>
        </is>
      </c>
      <c r="B1158" t="inlineStr">
        <is>
          <t>318.00元</t>
        </is>
      </c>
      <c r="C1158" t="inlineStr">
        <is>
          <t>465.00元</t>
        </is>
      </c>
      <c r="D1158" t="inlineStr">
        <is>
          <t>147.00元</t>
        </is>
      </c>
      <c r="E1158" t="inlineStr">
        <is>
          <t>6.8折</t>
        </is>
      </c>
      <c r="F1158">
        <f>HYPERLINK("https://i0.hdslb.com/bfs/mall/mall/50/ac/50acac6349f81128471121e3a885161e.png", "点击查看图片")</f>
        <v/>
      </c>
      <c r="G1158">
        <f>HYPERLINK("https://mall.bilibili.com/neul-next/index.html?page=magic-market_detail&amp;noTitleBar=1&amp;itemsId=111908869968&amp;from=market_index", "点击打开")</f>
        <v/>
      </c>
    </row>
    <row r="1159">
      <c r="A1159" t="inlineStr">
        <is>
          <t>角川 轻井泽惠 手办</t>
        </is>
      </c>
      <c r="B1159" t="inlineStr">
        <is>
          <t>718.00元</t>
        </is>
      </c>
      <c r="C1159" t="inlineStr">
        <is>
          <t>1217.00元</t>
        </is>
      </c>
      <c r="D1159" t="inlineStr">
        <is>
          <t>499.00元</t>
        </is>
      </c>
      <c r="E1159" t="inlineStr">
        <is>
          <t>5.9折</t>
        </is>
      </c>
      <c r="F1159">
        <f>HYPERLINK("https://i0.hdslb.com/bfs/mall/mall/8c/3c/8c3c7f59b18b75201e99709165ef94eb.png", "点击查看图片")</f>
        <v/>
      </c>
      <c r="G1159">
        <f>HYPERLINK("https://mall.bilibili.com/neul-next/index.html?page=magic-market_detail&amp;noTitleBar=1&amp;itemsId=110467210286&amp;from=market_index", "点击打开")</f>
        <v/>
      </c>
    </row>
    <row r="1160">
      <c r="A1160" t="inlineStr">
        <is>
          <t>世嘉 怪盗基德 椅子Ver. 景品手办 再版</t>
        </is>
      </c>
      <c r="B1160" t="inlineStr">
        <is>
          <t>94.10元</t>
        </is>
      </c>
      <c r="C1160" t="inlineStr">
        <is>
          <t>105.00元</t>
        </is>
      </c>
      <c r="D1160" t="inlineStr">
        <is>
          <t>10.90元</t>
        </is>
      </c>
      <c r="E1160" t="inlineStr">
        <is>
          <t>9.0折</t>
        </is>
      </c>
      <c r="F1160">
        <f>HYPERLINK("https://i0.hdslb.com/bfs/mall/mall/66/ea/66ea007e5dfba2ed15eb29b34270e024.png", "点击查看图片")</f>
        <v/>
      </c>
      <c r="G1160">
        <f>HYPERLINK("https://mall.bilibili.com/neul-next/index.html?page=magic-market_detail&amp;noTitleBar=1&amp;itemsId=106920572550&amp;from=market_index", "点击打开")</f>
        <v/>
      </c>
    </row>
    <row r="1161">
      <c r="A1161" t="inlineStr">
        <is>
          <t>RIBOSE 刻俄柏 睡衣派对VER. 手办</t>
        </is>
      </c>
      <c r="B1161" t="inlineStr">
        <is>
          <t>195.80元</t>
        </is>
      </c>
      <c r="C1161" t="inlineStr">
        <is>
          <t>199.00元</t>
        </is>
      </c>
      <c r="D1161" t="inlineStr">
        <is>
          <t>3.20元</t>
        </is>
      </c>
      <c r="E1161" t="inlineStr">
        <is>
          <t>9.8折</t>
        </is>
      </c>
      <c r="F1161">
        <f>HYPERLINK("https://i0.hdslb.com/bfs/mall/mall/56/5c/565c6beb2a898fc8720200399e9ae68f.png", "点击查看图片")</f>
        <v/>
      </c>
      <c r="G1161">
        <f>HYPERLINK("https://mall.bilibili.com/neul-next/index.html?page=magic-market_detail&amp;noTitleBar=1&amp;itemsId=110475851405&amp;from=market_index", "点击打开")</f>
        <v/>
      </c>
    </row>
    <row r="1162">
      <c r="A1162" t="inlineStr">
        <is>
          <t>TAITO 娜娜奇 景品手办</t>
        </is>
      </c>
      <c r="B1162" t="inlineStr">
        <is>
          <t>80.94元</t>
        </is>
      </c>
      <c r="C1162" t="inlineStr">
        <is>
          <t>112.00元</t>
        </is>
      </c>
      <c r="D1162" t="inlineStr">
        <is>
          <t>31.06元</t>
        </is>
      </c>
      <c r="E1162" t="inlineStr">
        <is>
          <t>7.2折</t>
        </is>
      </c>
      <c r="F1162">
        <f>HYPERLINK("https://i0.hdslb.com/bfs/mall/mall/09/64/09648605662dcc5f33c95f1cf7956c91.png", "点击查看图片")</f>
        <v/>
      </c>
      <c r="G1162">
        <f>HYPERLINK("https://mall.bilibili.com/neul-next/index.html?page=magic-market_detail&amp;noTitleBar=1&amp;itemsId=106925500232&amp;from=market_index", "点击打开")</f>
        <v/>
      </c>
    </row>
    <row r="1163">
      <c r="A1163" t="inlineStr">
        <is>
          <t>BANPRESTO 荣进闪耀 景品手办</t>
        </is>
      </c>
      <c r="B1163" t="inlineStr">
        <is>
          <t>102.00元</t>
        </is>
      </c>
      <c r="C1163" t="inlineStr">
        <is>
          <t>129.00元</t>
        </is>
      </c>
      <c r="D1163" t="inlineStr">
        <is>
          <t>27.00元</t>
        </is>
      </c>
      <c r="E1163" t="inlineStr">
        <is>
          <t>7.9折</t>
        </is>
      </c>
      <c r="F1163">
        <f>HYPERLINK("https://i0.hdslb.com/bfs/mall/mall/f6/ab/f6abdd668292b87aeb130215bae06df6.png", "点击查看图片")</f>
        <v/>
      </c>
      <c r="G1163">
        <f>HYPERLINK("https://mall.bilibili.com/neul-next/index.html?page=magic-market_detail&amp;noTitleBar=1&amp;itemsId=106922673240&amp;from=market_index", "点击打开")</f>
        <v/>
      </c>
    </row>
    <row r="1164">
      <c r="A1164" t="inlineStr">
        <is>
          <t>SHIBUYA SCRAMBLE FIGURE 结城明日奈 手办</t>
        </is>
      </c>
      <c r="B1164" t="inlineStr">
        <is>
          <t>1519.30元</t>
        </is>
      </c>
      <c r="C1164" t="inlineStr">
        <is>
          <t>1859.00元</t>
        </is>
      </c>
      <c r="D1164" t="inlineStr">
        <is>
          <t>339.70元</t>
        </is>
      </c>
      <c r="E1164" t="inlineStr">
        <is>
          <t>8.2折</t>
        </is>
      </c>
      <c r="F1164">
        <f>HYPERLINK("https://i0.hdslb.com/bfs/mall/mall/d9/4b/d94bb34eefc2cb4222c9d7d7c469248c.png", "点击查看图片")</f>
        <v/>
      </c>
      <c r="G1164">
        <f>HYPERLINK("https://mall.bilibili.com/neul-next/index.html?page=magic-market_detail&amp;noTitleBar=1&amp;itemsId=111909980107&amp;from=market_index", "点击打开")</f>
        <v/>
      </c>
    </row>
    <row r="1165">
      <c r="A1165" t="inlineStr">
        <is>
          <t>宝可梦 布拨 小尺寸手办</t>
        </is>
      </c>
      <c r="B1165" t="inlineStr">
        <is>
          <t>38.00元</t>
        </is>
      </c>
      <c r="C1165" t="inlineStr">
        <is>
          <t>69.00元</t>
        </is>
      </c>
      <c r="D1165" t="inlineStr">
        <is>
          <t>31.00元</t>
        </is>
      </c>
      <c r="E1165" t="inlineStr">
        <is>
          <t>5.5折</t>
        </is>
      </c>
      <c r="F1165">
        <f>HYPERLINK("https://i0.hdslb.com/bfs/mall/mall/5c/78/5c780f10c4dc481aa8928fdc8cb97399.png", "点击查看图片")</f>
        <v/>
      </c>
      <c r="G1165">
        <f>HYPERLINK("https://mall.bilibili.com/neul-next/index.html?page=magic-market_detail&amp;noTitleBar=1&amp;itemsId=107003179553&amp;from=market_index", "点击打开")</f>
        <v/>
      </c>
    </row>
    <row r="1166">
      <c r="A1166" t="inlineStr">
        <is>
          <t>Model Way Ouko-欧蔻 正比手办</t>
        </is>
      </c>
      <c r="B1166" t="inlineStr">
        <is>
          <t>208.00元</t>
        </is>
      </c>
      <c r="C1166" t="inlineStr">
        <is>
          <t>269.00元</t>
        </is>
      </c>
      <c r="D1166" t="inlineStr">
        <is>
          <t>61.00元</t>
        </is>
      </c>
      <c r="E1166" t="inlineStr">
        <is>
          <t>7.7折</t>
        </is>
      </c>
      <c r="F1166">
        <f>HYPERLINK("https://i0.hdslb.com/bfs/mall/mall/6b/16/6b16a3b134c59fbccf1c2dae28d59d17.png", "点击查看图片")</f>
        <v/>
      </c>
      <c r="G1166">
        <f>HYPERLINK("https://mall.bilibili.com/neul-next/index.html?page=magic-market_detail&amp;noTitleBar=1&amp;itemsId=109859755598&amp;from=market_index", "点击打开")</f>
        <v/>
      </c>
    </row>
    <row r="1167">
      <c r="A1167" t="inlineStr">
        <is>
          <t>Hobbymax 绫波零  Radio Eva Ver. 手办 再版</t>
        </is>
      </c>
      <c r="B1167" t="inlineStr">
        <is>
          <t>525.00元</t>
        </is>
      </c>
      <c r="C1167" t="inlineStr">
        <is>
          <t>758.00元</t>
        </is>
      </c>
      <c r="D1167" t="inlineStr">
        <is>
          <t>233.00元</t>
        </is>
      </c>
      <c r="E1167" t="inlineStr">
        <is>
          <t>6.9折</t>
        </is>
      </c>
      <c r="F1167">
        <f>HYPERLINK("https://i0.hdslb.com/bfs/mall/mall/ba/25/ba252934a86770732d365973f92f6eb4.png", "点击查看图片")</f>
        <v/>
      </c>
      <c r="G1167">
        <f>HYPERLINK("https://mall.bilibili.com/neul-next/index.html?page=magic-market_detail&amp;noTitleBar=1&amp;itemsId=109860948900&amp;from=market_index", "点击打开")</f>
        <v/>
      </c>
    </row>
    <row r="1168">
      <c r="A1168" t="inlineStr">
        <is>
          <t>Prime 1 Studio 少女前线 HK416 千宵草味的锡纸糖ver. 手办</t>
        </is>
      </c>
      <c r="B1168" t="inlineStr">
        <is>
          <t>1110.00元</t>
        </is>
      </c>
      <c r="C1168" t="inlineStr">
        <is>
          <t>1943.00元</t>
        </is>
      </c>
      <c r="D1168" t="inlineStr">
        <is>
          <t>833.00元</t>
        </is>
      </c>
      <c r="E1168" t="inlineStr">
        <is>
          <t>5.7折</t>
        </is>
      </c>
      <c r="F1168">
        <f>HYPERLINK("https://i0.hdslb.com/bfs/mall/mall/2b/ad/2bad159ca32d564b485184f9bee72085.png", "点击查看图片")</f>
        <v/>
      </c>
      <c r="G1168">
        <f>HYPERLINK("https://mall.bilibili.com/neul-next/index.html?page=magic-market_detail&amp;noTitleBar=1&amp;itemsId=106980506487&amp;from=market_index", "点击打开")</f>
        <v/>
      </c>
    </row>
    <row r="1169">
      <c r="A1169" t="inlineStr">
        <is>
          <t>FEELALL 异想少女 明信片组 万圣+七夕款</t>
        </is>
      </c>
      <c r="B1169" t="inlineStr">
        <is>
          <t>480.00元</t>
        </is>
      </c>
      <c r="C1169" t="inlineStr">
        <is>
          <t>1079.00元</t>
        </is>
      </c>
      <c r="D1169" t="inlineStr">
        <is>
          <t>599.00元</t>
        </is>
      </c>
      <c r="E1169" t="inlineStr">
        <is>
          <t>4.4折</t>
        </is>
      </c>
      <c r="F1169">
        <f>HYPERLINK("https://i0.hdslb.com/bfs/mall/mall/87/8c/878c6a4fcd816f47c7d847821139408b.png", "点击查看图片")</f>
        <v/>
      </c>
      <c r="G1169">
        <f>HYPERLINK("https://mall.bilibili.com/neul-next/index.html?page=magic-market_detail&amp;noTitleBar=1&amp;itemsId=109819430506&amp;from=market_index", "点击打开")</f>
        <v/>
      </c>
    </row>
    <row r="1170">
      <c r="A1170" t="inlineStr">
        <is>
          <t>Alice Glint 四季夏目 限定版 手办</t>
        </is>
      </c>
      <c r="B1170" t="inlineStr">
        <is>
          <t>1088.00元</t>
        </is>
      </c>
      <c r="C1170" t="inlineStr">
        <is>
          <t>1325.00元</t>
        </is>
      </c>
      <c r="D1170" t="inlineStr">
        <is>
          <t>237.00元</t>
        </is>
      </c>
      <c r="E1170" t="inlineStr">
        <is>
          <t>8.2折</t>
        </is>
      </c>
      <c r="F1170">
        <f>HYPERLINK("https://i0.hdslb.com/bfs/mall/mall/f9/61/f961ad828f134cbae229ff6ccc849aa8.png", "点击查看图片")</f>
        <v/>
      </c>
      <c r="G1170">
        <f>HYPERLINK("https://mall.bilibili.com/neul-next/index.html?page=magic-market_detail&amp;noTitleBar=1&amp;itemsId=109821252974&amp;from=market_index", "点击打开")</f>
        <v/>
      </c>
    </row>
    <row r="1171">
      <c r="A1171" t="inlineStr">
        <is>
          <t>FuRyu 星宫六喰 兔女郎 景品手办</t>
        </is>
      </c>
      <c r="B1171" t="inlineStr">
        <is>
          <t>92.00元</t>
        </is>
      </c>
      <c r="C1171" t="inlineStr">
        <is>
          <t>129.00元</t>
        </is>
      </c>
      <c r="D1171" t="inlineStr">
        <is>
          <t>37.00元</t>
        </is>
      </c>
      <c r="E1171" t="inlineStr">
        <is>
          <t>7.1折</t>
        </is>
      </c>
      <c r="F1171">
        <f>HYPERLINK("https://i0.hdslb.com/bfs/mall/mall/e9/7b/e97b853db63ca862219af6e8c0acab32.png", "点击查看图片")</f>
        <v/>
      </c>
      <c r="G1171">
        <f>HYPERLINK("https://mall.bilibili.com/neul-next/index.html?page=magic-market_detail&amp;noTitleBar=1&amp;itemsId=109813835374&amp;from=market_index", "点击打开")</f>
        <v/>
      </c>
    </row>
    <row r="1172">
      <c r="A1172" t="inlineStr">
        <is>
          <t>ALTER Fate/stay night 间桐樱 玛奇里之杯ver, 手办</t>
        </is>
      </c>
      <c r="B1172" t="inlineStr">
        <is>
          <t>1235.00元</t>
        </is>
      </c>
      <c r="C1172" t="inlineStr">
        <is>
          <t>1750.00元</t>
        </is>
      </c>
      <c r="D1172" t="inlineStr">
        <is>
          <t>515.00元</t>
        </is>
      </c>
      <c r="E1172" t="inlineStr">
        <is>
          <t>7.1折</t>
        </is>
      </c>
      <c r="F1172">
        <f>HYPERLINK("https://i0.hdslb.com/bfs/mall/mall/55/6f/556fc195d53e861eb4ded2d77362157a.png", "点击查看图片")</f>
        <v/>
      </c>
      <c r="G1172">
        <f>HYPERLINK("https://mall.bilibili.com/neul-next/index.html?page=magic-market_detail&amp;noTitleBar=1&amp;itemsId=106944340622&amp;from=market_index", "点击打开")</f>
        <v/>
      </c>
    </row>
    <row r="1173">
      <c r="A1173" t="inlineStr">
        <is>
          <t>AniMester大漫匠 芙洛伦 手办</t>
        </is>
      </c>
      <c r="B1173" t="inlineStr">
        <is>
          <t>289.99元</t>
        </is>
      </c>
      <c r="C1173" t="inlineStr">
        <is>
          <t>299.00元</t>
        </is>
      </c>
      <c r="D1173" t="inlineStr">
        <is>
          <t>9.01元</t>
        </is>
      </c>
      <c r="E1173" t="inlineStr">
        <is>
          <t>9.7折</t>
        </is>
      </c>
      <c r="F1173">
        <f>HYPERLINK("https://i0.hdslb.com/bfs/mall/mall/bb/7b/bb7bf46acbdbf7039f01182ec25c87ba.png", "点击查看图片")</f>
        <v/>
      </c>
      <c r="G1173">
        <f>HYPERLINK("https://mall.bilibili.com/neul-next/index.html?page=magic-market_detail&amp;noTitleBar=1&amp;itemsId=111910997014&amp;from=market_index", "点击打开")</f>
        <v/>
      </c>
    </row>
    <row r="1174">
      <c r="A1174" t="inlineStr">
        <is>
          <t>箱娘 租借女友 水原千鹤 睡衣ver. 天使白 手办</t>
        </is>
      </c>
      <c r="B1174" t="inlineStr">
        <is>
          <t>1050.00元</t>
        </is>
      </c>
      <c r="C1174" t="inlineStr">
        <is>
          <t>1125.00元</t>
        </is>
      </c>
      <c r="D1174" t="inlineStr">
        <is>
          <t>75.00元</t>
        </is>
      </c>
      <c r="E1174" t="inlineStr">
        <is>
          <t>9.3折</t>
        </is>
      </c>
      <c r="F1174">
        <f>HYPERLINK("https://i0.hdslb.com/bfs/mall/mall/e0/eb/e0eb2ab481eb98293e8177371feac96c.png", "点击查看图片")</f>
        <v/>
      </c>
      <c r="G1174">
        <f>HYPERLINK("https://mall.bilibili.com/neul-next/index.html?page=magic-market_detail&amp;noTitleBar=1&amp;itemsId=106947005072&amp;from=market_index", "点击打开")</f>
        <v/>
      </c>
    </row>
    <row r="1175">
      <c r="A1175" t="inlineStr">
        <is>
          <t>ANIPLEX ONLINE 喜多川海梦 睡衣ver. 手办</t>
        </is>
      </c>
      <c r="B1175" t="inlineStr">
        <is>
          <t>869.00元</t>
        </is>
      </c>
      <c r="C1175" t="inlineStr">
        <is>
          <t>1175.00元</t>
        </is>
      </c>
      <c r="D1175" t="inlineStr">
        <is>
          <t>306.00元</t>
        </is>
      </c>
      <c r="E1175" t="inlineStr">
        <is>
          <t>7.4折</t>
        </is>
      </c>
      <c r="F1175">
        <f>HYPERLINK("https://i0.hdslb.com/bfs/mall/mall/56/43/5643f272c59b299fefdbe073195593cf.png", "点击查看图片")</f>
        <v/>
      </c>
      <c r="G1175">
        <f>HYPERLINK("https://mall.bilibili.com/neul-next/index.html?page=magic-market_detail&amp;noTitleBar=1&amp;itemsId=111912750555&amp;from=market_index", "点击打开")</f>
        <v/>
      </c>
    </row>
    <row r="1176">
      <c r="A1176" t="inlineStr">
        <is>
          <t>GSC 槙岛圣护 正比手办</t>
        </is>
      </c>
      <c r="B1176" t="inlineStr">
        <is>
          <t>185.00元</t>
        </is>
      </c>
      <c r="C1176" t="inlineStr">
        <is>
          <t>385.00元</t>
        </is>
      </c>
      <c r="D1176" t="inlineStr">
        <is>
          <t>200.00元</t>
        </is>
      </c>
      <c r="E1176" t="inlineStr">
        <is>
          <t>4.8折</t>
        </is>
      </c>
      <c r="F1176">
        <f>HYPERLINK("https://i0.hdslb.com/bfs/mall/mall/e7/41/e74162d453f92d039baec684fa72217f.png", "点击查看图片")</f>
        <v/>
      </c>
      <c r="G1176">
        <f>HYPERLINK("https://mall.bilibili.com/neul-next/index.html?page=magic-market_detail&amp;noTitleBar=1&amp;itemsId=111922014824&amp;from=market_index", "点击打开")</f>
        <v/>
      </c>
    </row>
    <row r="1177">
      <c r="A1177" t="inlineStr">
        <is>
          <t>FEELALL 黎明手记 马克杯 海蒂</t>
        </is>
      </c>
      <c r="B1177" t="inlineStr">
        <is>
          <t>129.00元</t>
        </is>
      </c>
      <c r="C1177" t="inlineStr">
        <is>
          <t>159.00元</t>
        </is>
      </c>
      <c r="D1177" t="inlineStr">
        <is>
          <t>30.00元</t>
        </is>
      </c>
      <c r="E1177" t="inlineStr">
        <is>
          <t>8.1折</t>
        </is>
      </c>
      <c r="F1177">
        <f>HYPERLINK("https://i0.hdslb.com/bfs/mall/mall/32/e6/32e6e4444baf2ec08c7cbf23a0794659.png", "点击查看图片")</f>
        <v/>
      </c>
      <c r="G1177">
        <f>HYPERLINK("https://mall.bilibili.com/neul-next/index.html?page=magic-market_detail&amp;noTitleBar=1&amp;itemsId=106942857091&amp;from=market_index", "点击打开")</f>
        <v/>
      </c>
    </row>
    <row r="1178">
      <c r="A1178" t="inlineStr">
        <is>
          <t>Union Creative 少女前线 StG-940 手办</t>
        </is>
      </c>
      <c r="B1178" t="inlineStr">
        <is>
          <t>510.00元</t>
        </is>
      </c>
      <c r="C1178" t="inlineStr">
        <is>
          <t>1099.00元</t>
        </is>
      </c>
      <c r="D1178" t="inlineStr">
        <is>
          <t>589.00元</t>
        </is>
      </c>
      <c r="E1178" t="inlineStr">
        <is>
          <t>4.6折</t>
        </is>
      </c>
      <c r="F1178">
        <f>HYPERLINK("https://i0.hdslb.com/bfs/mall/mall/54/a1/54a138c0a955fae3c3a1540b3fef1184.png", "点击查看图片")</f>
        <v/>
      </c>
      <c r="G1178">
        <f>HYPERLINK("https://mall.bilibili.com/neul-next/index.html?page=magic-market_detail&amp;noTitleBar=1&amp;itemsId=106948377061&amp;from=market_index", "点击打开")</f>
        <v/>
      </c>
    </row>
    <row r="1179">
      <c r="A1179" t="inlineStr">
        <is>
          <t>FuRyu 结城明日奈 珍珠白兔女郎 景品手办</t>
        </is>
      </c>
      <c r="B1179" t="inlineStr">
        <is>
          <t>92.20元</t>
        </is>
      </c>
      <c r="C1179" t="inlineStr">
        <is>
          <t>129.00元</t>
        </is>
      </c>
      <c r="D1179" t="inlineStr">
        <is>
          <t>36.80元</t>
        </is>
      </c>
      <c r="E1179" t="inlineStr">
        <is>
          <t>7.1折</t>
        </is>
      </c>
      <c r="F1179">
        <f>HYPERLINK("https://i0.hdslb.com/bfs/mall/mall/a4/79/a4799d8874e6c378c5fa03fb4762bee7.png", "点击查看图片")</f>
        <v/>
      </c>
      <c r="G1179">
        <f>HYPERLINK("https://mall.bilibili.com/neul-next/index.html?page=magic-market_detail&amp;noTitleBar=1&amp;itemsId=106987182381&amp;from=market_index", "点击打开")</f>
        <v/>
      </c>
    </row>
    <row r="1180">
      <c r="A1180" t="inlineStr">
        <is>
          <t>世嘉 拉姆  Nyatsu Day 景品手办</t>
        </is>
      </c>
      <c r="B1180" t="inlineStr">
        <is>
          <t>75.00元</t>
        </is>
      </c>
      <c r="C1180" t="inlineStr">
        <is>
          <t>115.00元</t>
        </is>
      </c>
      <c r="D1180" t="inlineStr">
        <is>
          <t>40.00元</t>
        </is>
      </c>
      <c r="E1180" t="inlineStr">
        <is>
          <t>6.5折</t>
        </is>
      </c>
      <c r="F1180">
        <f>HYPERLINK("https://i0.hdslb.com/bfs/mall/mall/0c/cd/0ccd85a5fb8709374d7bd250ae6b7cd7.png", "点击查看图片")</f>
        <v/>
      </c>
      <c r="G1180">
        <f>HYPERLINK("https://mall.bilibili.com/neul-next/index.html?page=magic-market_detail&amp;noTitleBar=1&amp;itemsId=106958296090&amp;from=market_index", "点击打开")</f>
        <v/>
      </c>
    </row>
    <row r="1181">
      <c r="A1181" t="inlineStr">
        <is>
          <t>万代 阿尼亚福杰 可动手办</t>
        </is>
      </c>
      <c r="B1181" t="inlineStr">
        <is>
          <t>199.00元</t>
        </is>
      </c>
      <c r="C1181" t="inlineStr">
        <is>
          <t>309.00元</t>
        </is>
      </c>
      <c r="D1181" t="inlineStr">
        <is>
          <t>110.00元</t>
        </is>
      </c>
      <c r="E1181" t="inlineStr">
        <is>
          <t>6.4折</t>
        </is>
      </c>
      <c r="F1181">
        <f>HYPERLINK("https://i0.hdslb.com/bfs/mall/mall/dd/ff/ddff6853c959a71b8acc4cb97962b376.png", "点击查看图片")</f>
        <v/>
      </c>
      <c r="G1181">
        <f>HYPERLINK("https://mall.bilibili.com/neul-next/index.html?page=magic-market_detail&amp;noTitleBar=1&amp;itemsId=106954702912&amp;from=market_index", "点击打开")</f>
        <v/>
      </c>
    </row>
    <row r="1182">
      <c r="A1182" t="inlineStr">
        <is>
          <t>Plum 害羞的她 天笠缀 Bunny Style 圣诞兔女郎配色 手办</t>
        </is>
      </c>
      <c r="B1182" t="inlineStr">
        <is>
          <t>788.00元</t>
        </is>
      </c>
      <c r="C1182" t="inlineStr">
        <is>
          <t>1083.00元</t>
        </is>
      </c>
      <c r="D1182" t="inlineStr">
        <is>
          <t>295.00元</t>
        </is>
      </c>
      <c r="E1182" t="inlineStr">
        <is>
          <t>7.3折</t>
        </is>
      </c>
      <c r="F1182">
        <f>HYPERLINK("https://i0.hdslb.com/bfs/mall/mall/a3/96/a396d022b21afa10867d047e59d9b1e9.png", "点击查看图片")</f>
        <v/>
      </c>
      <c r="G1182">
        <f>HYPERLINK("https://mall.bilibili.com/neul-next/index.html?page=magic-market_detail&amp;noTitleBar=1&amp;itemsId=109880623404&amp;from=market_index", "点击打开")</f>
        <v/>
      </c>
    </row>
    <row r="1183">
      <c r="A1183" t="inlineStr">
        <is>
          <t>角川 为美好的世界献上祝福！ 惠惠 原作版 10周年纪念ver. 手办 通常版</t>
        </is>
      </c>
      <c r="B1183" t="inlineStr">
        <is>
          <t>389.00元</t>
        </is>
      </c>
      <c r="C1183" t="inlineStr">
        <is>
          <t>474.00元</t>
        </is>
      </c>
      <c r="D1183" t="inlineStr">
        <is>
          <t>85.00元</t>
        </is>
      </c>
      <c r="E1183" t="inlineStr">
        <is>
          <t>8.2折</t>
        </is>
      </c>
      <c r="F1183">
        <f>HYPERLINK("https://i0.hdslb.com/bfs/mall/mall/6c/7a/6c7a883536b71bbd4679b2d2ab58717b.png", "点击查看图片")</f>
        <v/>
      </c>
      <c r="G1183">
        <f>HYPERLINK("https://mall.bilibili.com/neul-next/index.html?page=magic-market_detail&amp;noTitleBar=1&amp;itemsId=111910647389&amp;from=market_index", "点击打开")</f>
        <v/>
      </c>
    </row>
    <row r="1184">
      <c r="A1184" t="inlineStr">
        <is>
          <t>GSC Veibae 手办</t>
        </is>
      </c>
      <c r="B1184" t="inlineStr">
        <is>
          <t>199.00元</t>
        </is>
      </c>
      <c r="C1184" t="inlineStr">
        <is>
          <t>269.00元</t>
        </is>
      </c>
      <c r="D1184" t="inlineStr">
        <is>
          <t>70.00元</t>
        </is>
      </c>
      <c r="E1184" t="inlineStr">
        <is>
          <t>7.4折</t>
        </is>
      </c>
      <c r="F1184">
        <f>HYPERLINK("https://i0.hdslb.com/bfs/mall/mall/f8/b9/f8b933641b826f2cbc5b11e103e1a7a9.png", "点击查看图片")</f>
        <v/>
      </c>
      <c r="G1184">
        <f>HYPERLINK("https://mall.bilibili.com/neul-next/index.html?page=magic-market_detail&amp;noTitleBar=1&amp;itemsId=106957567603&amp;from=market_index", "点击打开")</f>
        <v/>
      </c>
    </row>
    <row r="1185">
      <c r="A1185" t="inlineStr">
        <is>
          <t>BellFine 原创 momoko原画 R酱 哥特萝莉ver. 手办</t>
        </is>
      </c>
      <c r="B1185" t="inlineStr">
        <is>
          <t>950.00元</t>
        </is>
      </c>
      <c r="C1185" t="inlineStr">
        <is>
          <t>1099.00元</t>
        </is>
      </c>
      <c r="D1185" t="inlineStr">
        <is>
          <t>149.00元</t>
        </is>
      </c>
      <c r="E1185" t="inlineStr">
        <is>
          <t>8.6折</t>
        </is>
      </c>
      <c r="F1185">
        <f>HYPERLINK("https://i0.hdslb.com/bfs/mall/mall/de/68/de687bfbbc329f0d5d593070d4f28ef7.png", "点击查看图片")</f>
        <v/>
      </c>
      <c r="G1185">
        <f>HYPERLINK("https://mall.bilibili.com/neul-next/index.html?page=magic-market_detail&amp;noTitleBar=1&amp;itemsId=109853229298&amp;from=market_index", "点击打开")</f>
        <v/>
      </c>
    </row>
    <row r="1186">
      <c r="A1186" t="inlineStr">
        <is>
          <t>Max Factory 初音未来 矢吹健太朗×osoba Ver. 手办</t>
        </is>
      </c>
      <c r="B1186" t="inlineStr">
        <is>
          <t>758.00元</t>
        </is>
      </c>
      <c r="C1186" t="inlineStr">
        <is>
          <t>1109.00元</t>
        </is>
      </c>
      <c r="D1186" t="inlineStr">
        <is>
          <t>351.00元</t>
        </is>
      </c>
      <c r="E1186" t="inlineStr">
        <is>
          <t>6.8折</t>
        </is>
      </c>
      <c r="F1186">
        <f>HYPERLINK("https://i0.hdslb.com/bfs/mall/mall/7b/68/7b6869ceaf8ce713a539be2669489734.png", "点击查看图片")</f>
        <v/>
      </c>
      <c r="G1186">
        <f>HYPERLINK("https://mall.bilibili.com/neul-next/index.html?page=magic-market_detail&amp;noTitleBar=1&amp;itemsId=106965121935&amp;from=market_index", "点击打开")</f>
        <v/>
      </c>
    </row>
    <row r="1187">
      <c r="A1187" t="inlineStr">
        <is>
          <t>FuRyu 玛奇 景品手办</t>
        </is>
      </c>
      <c r="B1187" t="inlineStr">
        <is>
          <t>80.00元</t>
        </is>
      </c>
      <c r="C1187" t="inlineStr">
        <is>
          <t>115.00元</t>
        </is>
      </c>
      <c r="D1187" t="inlineStr">
        <is>
          <t>35.00元</t>
        </is>
      </c>
      <c r="E1187" t="inlineStr">
        <is>
          <t>7.0折</t>
        </is>
      </c>
      <c r="F1187">
        <f>HYPERLINK("https://i0.hdslb.com/bfs/mall/mall/21/84/2184019db601009e950afef060519498.png", "点击查看图片")</f>
        <v/>
      </c>
      <c r="G1187">
        <f>HYPERLINK("https://mall.bilibili.com/neul-next/index.html?page=magic-market_detail&amp;noTitleBar=1&amp;itemsId=107061086244&amp;from=market_index", "点击打开")</f>
        <v/>
      </c>
    </row>
    <row r="1188">
      <c r="A1188" t="inlineStr">
        <is>
          <t>Ensoutoys 米娜 泳装版 手办</t>
        </is>
      </c>
      <c r="B1188" t="inlineStr">
        <is>
          <t>618.00元</t>
        </is>
      </c>
      <c r="C1188" t="inlineStr">
        <is>
          <t>798.00元</t>
        </is>
      </c>
      <c r="D1188" t="inlineStr">
        <is>
          <t>180.00元</t>
        </is>
      </c>
      <c r="E1188" t="inlineStr">
        <is>
          <t>7.7折</t>
        </is>
      </c>
      <c r="F1188">
        <f>HYPERLINK("https://i0.hdslb.com/bfs/mall/mall/3b/d5/3bd5555cc3543f2b390ae130a90ae83f.png", "点击查看图片")</f>
        <v/>
      </c>
      <c r="G1188">
        <f>HYPERLINK("https://mall.bilibili.com/neul-next/index.html?page=magic-market_detail&amp;noTitleBar=1&amp;itemsId=109871272042&amp;from=market_index", "点击打开")</f>
        <v/>
      </c>
    </row>
    <row r="1189">
      <c r="A1189" t="inlineStr">
        <is>
          <t>GSAS 洛天依  万物有灵ver. 手办</t>
        </is>
      </c>
      <c r="B1189" t="inlineStr">
        <is>
          <t>1095.00元</t>
        </is>
      </c>
      <c r="C1189" t="inlineStr">
        <is>
          <t>1355.00元</t>
        </is>
      </c>
      <c r="D1189" t="inlineStr">
        <is>
          <t>260.00元</t>
        </is>
      </c>
      <c r="E1189" t="inlineStr">
        <is>
          <t>8.1折</t>
        </is>
      </c>
      <c r="F1189">
        <f>HYPERLINK("https://i0.hdslb.com/bfs/mall/mall/e6/ab/e6ab1378d2147046bb2647561cb252c5.png", "点击查看图片")</f>
        <v/>
      </c>
      <c r="G1189">
        <f>HYPERLINK("https://mall.bilibili.com/neul-next/index.html?page=magic-market_detail&amp;noTitleBar=1&amp;itemsId=110468233671&amp;from=market_index", "点击打开")</f>
        <v/>
      </c>
    </row>
    <row r="1190">
      <c r="A1190" t="inlineStr">
        <is>
          <t>世嘉  艾莉 体操服 景品手办</t>
        </is>
      </c>
      <c r="B1190" t="inlineStr">
        <is>
          <t>68.88元</t>
        </is>
      </c>
      <c r="C1190" t="inlineStr">
        <is>
          <t>112.00元</t>
        </is>
      </c>
      <c r="D1190" t="inlineStr">
        <is>
          <t>43.12元</t>
        </is>
      </c>
      <c r="E1190" t="inlineStr">
        <is>
          <t>6.2折</t>
        </is>
      </c>
      <c r="F1190">
        <f>HYPERLINK("https://i0.hdslb.com/bfs/mall/mall/a3/ad/a3ade687d41645702a24dccc3f8b4021.png", "点击查看图片")</f>
        <v/>
      </c>
      <c r="G1190">
        <f>HYPERLINK("https://mall.bilibili.com/neul-next/index.html?page=magic-market_detail&amp;noTitleBar=1&amp;itemsId=106961634551&amp;from=market_index", "点击打开")</f>
        <v/>
      </c>
    </row>
    <row r="1191">
      <c r="A1191" t="inlineStr">
        <is>
          <t>AmiAmixAMAKUNI 电锯人 帕瓦 手办</t>
        </is>
      </c>
      <c r="B1191" t="inlineStr">
        <is>
          <t>1247.92元</t>
        </is>
      </c>
      <c r="C1191" t="inlineStr">
        <is>
          <t>1450.00元</t>
        </is>
      </c>
      <c r="D1191" t="inlineStr">
        <is>
          <t>202.08元</t>
        </is>
      </c>
      <c r="E1191" t="inlineStr">
        <is>
          <t>8.6折</t>
        </is>
      </c>
      <c r="F1191">
        <f>HYPERLINK("https://i0.hdslb.com/bfs/mall/mall/ca/3c/ca3c7fc460f17f73fdee0c4bf843e53c.png", "点击查看图片")</f>
        <v/>
      </c>
      <c r="G1191">
        <f>HYPERLINK("https://mall.bilibili.com/neul-next/index.html?page=magic-market_detail&amp;noTitleBar=1&amp;itemsId=111905503562&amp;from=market_index", "点击打开")</f>
        <v/>
      </c>
    </row>
    <row r="1192">
      <c r="A1192" t="inlineStr">
        <is>
          <t>Reverse Studio 芹泽朝日 正比手办</t>
        </is>
      </c>
      <c r="B1192" t="inlineStr">
        <is>
          <t>504.92元</t>
        </is>
      </c>
      <c r="C1192" t="inlineStr">
        <is>
          <t>699.00元</t>
        </is>
      </c>
      <c r="D1192" t="inlineStr">
        <is>
          <t>194.08元</t>
        </is>
      </c>
      <c r="E1192" t="inlineStr">
        <is>
          <t>7.2折</t>
        </is>
      </c>
      <c r="F1192">
        <f>HYPERLINK("https://i0.hdslb.com/bfs/mall/mall/3e/da/3eda7847fa0fe0cf17364925efc92532.png", "点击查看图片")</f>
        <v/>
      </c>
      <c r="G1192">
        <f>HYPERLINK("https://mall.bilibili.com/neul-next/index.html?page=magic-market_detail&amp;noTitleBar=1&amp;itemsId=111908405124&amp;from=market_index", "点击打开")</f>
        <v/>
      </c>
    </row>
    <row r="1193">
      <c r="A1193" t="inlineStr">
        <is>
          <t>TAITO 樱岛麻衣 兔女郎ver.  景品手办 再版</t>
        </is>
      </c>
      <c r="B1193" t="inlineStr">
        <is>
          <t>150.00元</t>
        </is>
      </c>
      <c r="C1193" t="inlineStr">
        <is>
          <t>231.00元</t>
        </is>
      </c>
      <c r="D1193" t="inlineStr">
        <is>
          <t>81.00元</t>
        </is>
      </c>
      <c r="E1193" t="inlineStr">
        <is>
          <t>6.5折</t>
        </is>
      </c>
      <c r="F1193">
        <f>HYPERLINK("https://i0.hdslb.com/bfs/mall/mall/95/27/95272738591a53db3859ae63cb0765f0.png", "点击查看图片")</f>
        <v/>
      </c>
      <c r="G1193">
        <f>HYPERLINK("https://mall.bilibili.com/neul-next/index.html?page=magic-market_detail&amp;noTitleBar=1&amp;itemsId=111915542734&amp;from=market_index", "点击打开")</f>
        <v/>
      </c>
    </row>
    <row r="1194">
      <c r="A1194" t="inlineStr">
        <is>
          <t>BANPRESTO 梅里号 景品</t>
        </is>
      </c>
      <c r="B1194" t="inlineStr">
        <is>
          <t>39.80元</t>
        </is>
      </c>
      <c r="C1194" t="inlineStr">
        <is>
          <t>50.00元</t>
        </is>
      </c>
      <c r="D1194" t="inlineStr">
        <is>
          <t>10.20元</t>
        </is>
      </c>
      <c r="E1194" t="inlineStr">
        <is>
          <t>8.0折</t>
        </is>
      </c>
      <c r="F1194">
        <f>HYPERLINK("https://i0.hdslb.com/bfs/mall/mall/3d/6c/3d6c46d3dedd524b04d740602460a6dd.png", "点击查看图片")</f>
        <v/>
      </c>
      <c r="G1194">
        <f>HYPERLINK("https://mall.bilibili.com/neul-next/index.html?page=magic-market_detail&amp;noTitleBar=1&amp;itemsId=106961803914&amp;from=market_index", "点击打开")</f>
        <v/>
      </c>
    </row>
    <row r="1195">
      <c r="A1195" t="inlineStr">
        <is>
          <t>角川 KDColleLIGHT系列 魔女之旅 伊蕾娜 手办</t>
        </is>
      </c>
      <c r="B1195" t="inlineStr">
        <is>
          <t>215.00元</t>
        </is>
      </c>
      <c r="C1195" t="inlineStr">
        <is>
          <t>279.00元</t>
        </is>
      </c>
      <c r="D1195" t="inlineStr">
        <is>
          <t>64.00元</t>
        </is>
      </c>
      <c r="E1195" t="inlineStr">
        <is>
          <t>7.7折</t>
        </is>
      </c>
      <c r="F1195">
        <f>HYPERLINK("https://i0.hdslb.com/bfs/mall/mall/69/e6/69e6ecee09ad0c66152cf81e4611ddfc.png", "点击查看图片")</f>
        <v/>
      </c>
      <c r="G1195">
        <f>HYPERLINK("https://mall.bilibili.com/neul-next/index.html?page=magic-market_detail&amp;noTitleBar=1&amp;itemsId=111921343454&amp;from=market_index", "点击打开")</f>
        <v/>
      </c>
    </row>
    <row r="1196">
      <c r="A1196" t="inlineStr">
        <is>
          <t>BANPRESTO 娜娜·阿斯塔·戴比路克 景品手办</t>
        </is>
      </c>
      <c r="B1196" t="inlineStr">
        <is>
          <t>92.00元</t>
        </is>
      </c>
      <c r="C1196" t="inlineStr">
        <is>
          <t>129.00元</t>
        </is>
      </c>
      <c r="D1196" t="inlineStr">
        <is>
          <t>37.00元</t>
        </is>
      </c>
      <c r="E1196" t="inlineStr">
        <is>
          <t>7.1折</t>
        </is>
      </c>
      <c r="F1196">
        <f>HYPERLINK("https://i0.hdslb.com/bfs/mall/mall/88/41/88416da8efef25319ca56b003fef7f96.png", "点击查看图片")</f>
        <v/>
      </c>
      <c r="G1196">
        <f>HYPERLINK("https://mall.bilibili.com/neul-next/index.html?page=magic-market_detail&amp;noTitleBar=1&amp;itemsId=106972061799&amp;from=market_index", "点击打开")</f>
        <v/>
      </c>
    </row>
    <row r="1197">
      <c r="A1197" t="inlineStr">
        <is>
          <t>GSC 沙花叉克萝伊 正比手办</t>
        </is>
      </c>
      <c r="B1197" t="inlineStr">
        <is>
          <t>1287.68元</t>
        </is>
      </c>
      <c r="C1197" t="inlineStr">
        <is>
          <t>1509.00元</t>
        </is>
      </c>
      <c r="D1197" t="inlineStr">
        <is>
          <t>221.32元</t>
        </is>
      </c>
      <c r="E1197" t="inlineStr">
        <is>
          <t>8.5折</t>
        </is>
      </c>
      <c r="F1197">
        <f>HYPERLINK("https://i0.hdslb.com/bfs/mall/mall/28/27/282754726e79d3bfc985486a1b45eeff.png", "点击查看图片")</f>
        <v/>
      </c>
      <c r="G1197">
        <f>HYPERLINK("https://mall.bilibili.com/neul-next/index.html?page=magic-market_detail&amp;noTitleBar=1&amp;itemsId=106975011864&amp;from=market_index", "点击打开")</f>
        <v/>
      </c>
    </row>
    <row r="1198">
      <c r="A1198" t="inlineStr">
        <is>
          <t>F:NEX 摇曳露营△ 第三季 各务原抚子 手办</t>
        </is>
      </c>
      <c r="B1198" t="inlineStr">
        <is>
          <t>887.49元</t>
        </is>
      </c>
      <c r="C1198" t="inlineStr">
        <is>
          <t>1230.00元</t>
        </is>
      </c>
      <c r="D1198" t="inlineStr">
        <is>
          <t>342.51元</t>
        </is>
      </c>
      <c r="E1198" t="inlineStr">
        <is>
          <t>7.2折</t>
        </is>
      </c>
      <c r="F1198">
        <f>HYPERLINK("https://i0.hdslb.com/bfs/mall/mall/63/ff/63ff7bf1aac739bdff1a227e0151bfcd.png", "点击查看图片")</f>
        <v/>
      </c>
      <c r="G1198">
        <f>HYPERLINK("https://mall.bilibili.com/neul-next/index.html?page=magic-market_detail&amp;noTitleBar=1&amp;itemsId=106970292380&amp;from=market_index", "点击打开")</f>
        <v/>
      </c>
    </row>
    <row r="1199">
      <c r="A1199" t="inlineStr">
        <is>
          <t>SSF 少女前线：云图计划 薇 手办</t>
        </is>
      </c>
      <c r="B1199" t="inlineStr">
        <is>
          <t>749.80元</t>
        </is>
      </c>
      <c r="C1199" t="inlineStr">
        <is>
          <t>1450.00元</t>
        </is>
      </c>
      <c r="D1199" t="inlineStr">
        <is>
          <t>700.20元</t>
        </is>
      </c>
      <c r="E1199" t="inlineStr">
        <is>
          <t>5.2折</t>
        </is>
      </c>
      <c r="F1199">
        <f>HYPERLINK("https://i0.hdslb.com/bfs/mall/mall/5c/b9/5cb97b149678760803897ded1cc7f01c.png", "点击查看图片")</f>
        <v/>
      </c>
      <c r="G1199">
        <f>HYPERLINK("https://mall.bilibili.com/neul-next/index.html?page=magic-market_detail&amp;noTitleBar=1&amp;itemsId=106972457117&amp;from=market_index", "点击打开")</f>
        <v/>
      </c>
    </row>
    <row r="1200">
      <c r="A1200" t="inlineStr">
        <is>
          <t>Union Creative 原创 水手服的正中 手办 再版</t>
        </is>
      </c>
      <c r="B1200" t="inlineStr">
        <is>
          <t>666.00元</t>
        </is>
      </c>
      <c r="C1200" t="inlineStr">
        <is>
          <t>889.00元</t>
        </is>
      </c>
      <c r="D1200" t="inlineStr">
        <is>
          <t>223.00元</t>
        </is>
      </c>
      <c r="E1200" t="inlineStr">
        <is>
          <t>7.5折</t>
        </is>
      </c>
      <c r="F1200">
        <f>HYPERLINK("https://i0.hdslb.com/bfs/mall/mall/50/ce/50ce626ebad1952fd2da34cb0c0eaf8e.png", "点击查看图片")</f>
        <v/>
      </c>
      <c r="G1200">
        <f>HYPERLINK("https://mall.bilibili.com/neul-next/index.html?page=magic-market_detail&amp;noTitleBar=1&amp;itemsId=106971769808&amp;from=market_index", "点击打开")</f>
        <v/>
      </c>
    </row>
    <row r="1201">
      <c r="A1201" t="inlineStr">
        <is>
          <t>GSC Lancer/凯尼丝 手办</t>
        </is>
      </c>
      <c r="B1201" t="inlineStr">
        <is>
          <t>973.10元</t>
        </is>
      </c>
      <c r="C1201" t="inlineStr">
        <is>
          <t>1269.00元</t>
        </is>
      </c>
      <c r="D1201" t="inlineStr">
        <is>
          <t>295.90元</t>
        </is>
      </c>
      <c r="E1201" t="inlineStr">
        <is>
          <t>7.7折</t>
        </is>
      </c>
      <c r="F1201">
        <f>HYPERLINK("https://i0.hdslb.com/bfs/mall/mall/04/1e/041ef9dc0d0b7ac8a00349f50208d815.png", "点击查看图片")</f>
        <v/>
      </c>
      <c r="G1201">
        <f>HYPERLINK("https://mall.bilibili.com/neul-next/index.html?page=magic-market_detail&amp;noTitleBar=1&amp;itemsId=109831699743&amp;from=market_index", "点击打开")</f>
        <v/>
      </c>
    </row>
    <row r="1202">
      <c r="A1202" t="inlineStr">
        <is>
          <t>PROOF 五等分的新娘 中野二乃 天使ver. 手办</t>
        </is>
      </c>
      <c r="B1202" t="inlineStr">
        <is>
          <t>850.00元</t>
        </is>
      </c>
      <c r="C1202" t="inlineStr">
        <is>
          <t>1250.00元</t>
        </is>
      </c>
      <c r="D1202" t="inlineStr">
        <is>
          <t>400.00元</t>
        </is>
      </c>
      <c r="E1202" t="inlineStr">
        <is>
          <t>6.8折</t>
        </is>
      </c>
      <c r="F1202">
        <f>HYPERLINK("https://i0.hdslb.com/bfs/mall/mall/c8/5b/c85bc0168bea514a34eec5666ecf2c9f.png", "点击查看图片")</f>
        <v/>
      </c>
      <c r="G1202">
        <f>HYPERLINK("https://mall.bilibili.com/neul-next/index.html?page=magic-market_detail&amp;noTitleBar=1&amp;itemsId=106975741969&amp;from=market_index", "点击打开")</f>
        <v/>
      </c>
    </row>
    <row r="1203">
      <c r="A1203" t="inlineStr">
        <is>
          <t>世嘉 阿尼亚·福杰 暑假 景品手办</t>
        </is>
      </c>
      <c r="B1203" t="inlineStr">
        <is>
          <t>70.00元</t>
        </is>
      </c>
      <c r="C1203" t="inlineStr">
        <is>
          <t>105.00元</t>
        </is>
      </c>
      <c r="D1203" t="inlineStr">
        <is>
          <t>35.00元</t>
        </is>
      </c>
      <c r="E1203" t="inlineStr">
        <is>
          <t>6.7折</t>
        </is>
      </c>
      <c r="F1203">
        <f>HYPERLINK("https://i0.hdslb.com/bfs/mall/mall/8d/7b/8d7be2df83a2fd86d18200da5749cd2a.png", "点击查看图片")</f>
        <v/>
      </c>
      <c r="G1203">
        <f>HYPERLINK("https://mall.bilibili.com/neul-next/index.html?page=magic-market_detail&amp;noTitleBar=1&amp;itemsId=106972910696&amp;from=market_index", "点击打开")</f>
        <v/>
      </c>
    </row>
    <row r="1204">
      <c r="A1204" t="inlineStr">
        <is>
          <t>BANPRESTO 藤田琴音 景品手办</t>
        </is>
      </c>
      <c r="B1204" t="inlineStr">
        <is>
          <t>80.00元</t>
        </is>
      </c>
      <c r="C1204" t="inlineStr">
        <is>
          <t>129.00元</t>
        </is>
      </c>
      <c r="D1204" t="inlineStr">
        <is>
          <t>49.00元</t>
        </is>
      </c>
      <c r="E1204" t="inlineStr">
        <is>
          <t>6.2折</t>
        </is>
      </c>
      <c r="F1204">
        <f>HYPERLINK("https://i0.hdslb.com/bfs/mall/mall/23/8b/238be09b2e07a824d1236c059ea9b9f2.png", "点击查看图片")</f>
        <v/>
      </c>
      <c r="G1204">
        <f>HYPERLINK("https://mall.bilibili.com/neul-next/index.html?page=magic-market_detail&amp;noTitleBar=1&amp;itemsId=109813186701&amp;from=market_index", "点击打开")</f>
        <v/>
      </c>
    </row>
    <row r="1205">
      <c r="A1205" t="inlineStr">
        <is>
          <t>宝可梦 暴鲤龙 正比手办</t>
        </is>
      </c>
      <c r="B1205" t="inlineStr">
        <is>
          <t>36.00元</t>
        </is>
      </c>
      <c r="C1205" t="inlineStr">
        <is>
          <t>69.00元</t>
        </is>
      </c>
      <c r="D1205" t="inlineStr">
        <is>
          <t>33.00元</t>
        </is>
      </c>
      <c r="E1205" t="inlineStr">
        <is>
          <t>5.2折</t>
        </is>
      </c>
      <c r="F1205">
        <f>HYPERLINK("https://i0.hdslb.com/bfs/mall/mall/2c/e9/2ce968927ec606db89b9c62b88a9b2a1.png", "点击查看图片")</f>
        <v/>
      </c>
      <c r="G1205">
        <f>HYPERLINK("https://mall.bilibili.com/neul-next/index.html?page=magic-market_detail&amp;noTitleBar=1&amp;itemsId=106991076234&amp;from=market_index", "点击打开")</f>
        <v/>
      </c>
    </row>
    <row r="1206">
      <c r="A1206" t="inlineStr">
        <is>
          <t>FuRyu 阿尼亚·福杰 睡衣 景品手办</t>
        </is>
      </c>
      <c r="B1206" t="inlineStr">
        <is>
          <t>88.00元</t>
        </is>
      </c>
      <c r="C1206" t="inlineStr">
        <is>
          <t>129.00元</t>
        </is>
      </c>
      <c r="D1206" t="inlineStr">
        <is>
          <t>41.00元</t>
        </is>
      </c>
      <c r="E1206" t="inlineStr">
        <is>
          <t>6.8折</t>
        </is>
      </c>
      <c r="F1206">
        <f>HYPERLINK("https://i0.hdslb.com/bfs/mall/mall/1e/54/1e54f1972ad9b2ba584827d0833e27d2.png", "点击查看图片")</f>
        <v/>
      </c>
      <c r="G1206">
        <f>HYPERLINK("https://mall.bilibili.com/neul-next/index.html?page=magic-market_detail&amp;noTitleBar=1&amp;itemsId=106976718700&amp;from=market_index", "点击打开")</f>
        <v/>
      </c>
    </row>
    <row r="1207">
      <c r="A1207" t="inlineStr">
        <is>
          <t>TAITO 雷姆 外套兔女郎 景品手办</t>
        </is>
      </c>
      <c r="B1207" t="inlineStr">
        <is>
          <t>90.99元</t>
        </is>
      </c>
      <c r="C1207" t="inlineStr">
        <is>
          <t>119.00元</t>
        </is>
      </c>
      <c r="D1207" t="inlineStr">
        <is>
          <t>28.01元</t>
        </is>
      </c>
      <c r="E1207" t="inlineStr">
        <is>
          <t>7.6折</t>
        </is>
      </c>
      <c r="F1207">
        <f>HYPERLINK("https://i0.hdslb.com/bfs/mall/mall/7d/82/7d82833979fd2089c444fb40793c9312.png", "点击查看图片")</f>
        <v/>
      </c>
      <c r="G1207">
        <f>HYPERLINK("https://mall.bilibili.com/neul-next/index.html?page=magic-market_detail&amp;noTitleBar=1&amp;itemsId=107140722272&amp;from=market_index", "点击打开")</f>
        <v/>
      </c>
    </row>
    <row r="1208">
      <c r="A1208" t="inlineStr">
        <is>
          <t>GSC 莉莉艾露 3rd队服Ver. L size 正比手办</t>
        </is>
      </c>
      <c r="B1208" t="inlineStr">
        <is>
          <t>350.00元</t>
        </is>
      </c>
      <c r="C1208" t="inlineStr">
        <is>
          <t>415.00元</t>
        </is>
      </c>
      <c r="D1208" t="inlineStr">
        <is>
          <t>65.00元</t>
        </is>
      </c>
      <c r="E1208" t="inlineStr">
        <is>
          <t>8.4折</t>
        </is>
      </c>
      <c r="F1208">
        <f>HYPERLINK("https://i0.hdslb.com/bfs/mall/mall/0e/9e/0e9ef21db35ab54a341189b67663e952.png", "点击查看图片")</f>
        <v/>
      </c>
      <c r="G1208">
        <f>HYPERLINK("https://mall.bilibili.com/neul-next/index.html?page=magic-market_detail&amp;noTitleBar=1&amp;itemsId=111912642047&amp;from=market_index", "点击打开")</f>
        <v/>
      </c>
    </row>
    <row r="1209">
      <c r="A1209" t="inlineStr">
        <is>
          <t>世嘉 埃列什基伽勒 景品手办</t>
        </is>
      </c>
      <c r="B1209" t="inlineStr">
        <is>
          <t>80.99元</t>
        </is>
      </c>
      <c r="C1209" t="inlineStr">
        <is>
          <t>115.00元</t>
        </is>
      </c>
      <c r="D1209" t="inlineStr">
        <is>
          <t>34.01元</t>
        </is>
      </c>
      <c r="E1209" t="inlineStr">
        <is>
          <t>7.0折</t>
        </is>
      </c>
      <c r="F1209">
        <f>HYPERLINK("https://i0.hdslb.com/bfs/mall/mall/3f/9f/3f9f777caebf11065fbcbe0d11b4a796.png", "点击查看图片")</f>
        <v/>
      </c>
      <c r="G1209">
        <f>HYPERLINK("https://mall.bilibili.com/neul-next/index.html?page=magic-market_detail&amp;noTitleBar=1&amp;itemsId=107087546610&amp;from=market_index", "点击打开")</f>
        <v/>
      </c>
    </row>
    <row r="1210">
      <c r="A1210" t="inlineStr">
        <is>
          <t>FuRyu 拉姆 黑色兔女郎ver. 景品手办</t>
        </is>
      </c>
      <c r="B1210" t="inlineStr">
        <is>
          <t>90.98元</t>
        </is>
      </c>
      <c r="C1210" t="inlineStr">
        <is>
          <t>109.00元</t>
        </is>
      </c>
      <c r="D1210" t="inlineStr">
        <is>
          <t>18.02元</t>
        </is>
      </c>
      <c r="E1210" t="inlineStr">
        <is>
          <t>8.3折</t>
        </is>
      </c>
      <c r="F1210">
        <f>HYPERLINK("https://i0.hdslb.com/bfs/mall/mall/85/39/853958263852af1c95df47b701da0f5c.png", "点击查看图片")</f>
        <v/>
      </c>
      <c r="G1210">
        <f>HYPERLINK("https://mall.bilibili.com/neul-next/index.html?page=magic-market_detail&amp;noTitleBar=1&amp;itemsId=106981415686&amp;from=market_index", "点击打开")</f>
        <v/>
      </c>
    </row>
    <row r="1211">
      <c r="A1211" t="inlineStr">
        <is>
          <t>TAITO 初音未来 Birthday 2023 ver. 景品手办</t>
        </is>
      </c>
      <c r="B1211" t="inlineStr">
        <is>
          <t>120.40元</t>
        </is>
      </c>
      <c r="C1211" t="inlineStr">
        <is>
          <t>122.00元</t>
        </is>
      </c>
      <c r="D1211" t="inlineStr">
        <is>
          <t>1.60元</t>
        </is>
      </c>
      <c r="E1211" t="inlineStr">
        <is>
          <t>9.9折</t>
        </is>
      </c>
      <c r="F1211">
        <f>HYPERLINK("https://i0.hdslb.com/bfs/mall/mall/d9/f2/d9f2db93077f9b9d426f5066308fdba2.png", "点击查看图片")</f>
        <v/>
      </c>
      <c r="G1211">
        <f>HYPERLINK("https://mall.bilibili.com/neul-next/index.html?page=magic-market_detail&amp;noTitleBar=1&amp;itemsId=111916347930&amp;from=market_index", "点击打开")</f>
        <v/>
      </c>
    </row>
    <row r="1212">
      <c r="A1212" t="inlineStr">
        <is>
          <t>世嘉 初音未来  景品手办</t>
        </is>
      </c>
      <c r="B1212" t="inlineStr">
        <is>
          <t>58.99元</t>
        </is>
      </c>
      <c r="C1212" t="inlineStr">
        <is>
          <t>79.00元</t>
        </is>
      </c>
      <c r="D1212" t="inlineStr">
        <is>
          <t>20.01元</t>
        </is>
      </c>
      <c r="E1212" t="inlineStr">
        <is>
          <t>7.5折</t>
        </is>
      </c>
      <c r="F1212">
        <f>HYPERLINK("https://i0.hdslb.com/bfs/mall/mall/d6/54/d6541ee52727fca8972c3c32bc03e5e2.png", "点击查看图片")</f>
        <v/>
      </c>
      <c r="G1212">
        <f>HYPERLINK("https://mall.bilibili.com/neul-next/index.html?page=magic-market_detail&amp;noTitleBar=1&amp;itemsId=106986065584&amp;from=market_index", "点击打开")</f>
        <v/>
      </c>
    </row>
    <row r="1213">
      <c r="A1213" t="inlineStr">
        <is>
          <t>Step Dream Asaki  手办</t>
        </is>
      </c>
      <c r="B1213" t="inlineStr">
        <is>
          <t>268.00元</t>
        </is>
      </c>
      <c r="C1213" t="inlineStr">
        <is>
          <t>268.00元</t>
        </is>
      </c>
      <c r="D1213" t="inlineStr">
        <is>
          <t>0.00元</t>
        </is>
      </c>
      <c r="E1213" t="inlineStr">
        <is>
          <t>10.0折</t>
        </is>
      </c>
      <c r="F1213">
        <f>HYPERLINK("https://i0.hdslb.com/bfs/mall/mall/b4/02/b4026c636e9e3a9a4feeb5bd1daa0c40.png", "点击查看图片")</f>
        <v/>
      </c>
      <c r="G1213">
        <f>HYPERLINK("https://mall.bilibili.com/neul-next/index.html?page=magic-market_detail&amp;noTitleBar=1&amp;itemsId=111906932338&amp;from=market_index", "点击打开")</f>
        <v/>
      </c>
    </row>
    <row r="1214">
      <c r="A1214" t="inlineStr">
        <is>
          <t>MegaHouse  阿尼亚·福杰 特典版 手办</t>
        </is>
      </c>
      <c r="B1214" t="inlineStr">
        <is>
          <t>299.00元</t>
        </is>
      </c>
      <c r="C1214" t="inlineStr">
        <is>
          <t>406.00元</t>
        </is>
      </c>
      <c r="D1214" t="inlineStr">
        <is>
          <t>107.00元</t>
        </is>
      </c>
      <c r="E1214" t="inlineStr">
        <is>
          <t>7.4折</t>
        </is>
      </c>
      <c r="F1214">
        <f>HYPERLINK("https://i0.hdslb.com/bfs/mall/mall/9a/8a/9a8a737ade72ad36543bcc47bba739aa.png", "点击查看图片")</f>
        <v/>
      </c>
      <c r="G1214">
        <f>HYPERLINK("https://mall.bilibili.com/neul-next/index.html?page=magic-market_detail&amp;noTitleBar=1&amp;itemsId=110468125238&amp;from=market_index", "点击打开")</f>
        <v/>
      </c>
    </row>
    <row r="1215">
      <c r="A1215" t="inlineStr">
        <is>
          <t>FuRyu 初音未来 奶油汽水 景品手办</t>
        </is>
      </c>
      <c r="B1215" t="inlineStr">
        <is>
          <t>100.99元</t>
        </is>
      </c>
      <c r="C1215" t="inlineStr">
        <is>
          <t>135.00元</t>
        </is>
      </c>
      <c r="D1215" t="inlineStr">
        <is>
          <t>34.01元</t>
        </is>
      </c>
      <c r="E1215" t="inlineStr">
        <is>
          <t>7.5折</t>
        </is>
      </c>
      <c r="F1215">
        <f>HYPERLINK("https://i0.hdslb.com/bfs/mall/mall/5c/69/5c698a29e088c80330c30507931da0dc.png", "点击查看图片")</f>
        <v/>
      </c>
      <c r="G1215">
        <f>HYPERLINK("https://mall.bilibili.com/neul-next/index.html?page=magic-market_detail&amp;noTitleBar=1&amp;itemsId=110474970922&amp;from=market_index", "点击打开")</f>
        <v/>
      </c>
    </row>
    <row r="1216">
      <c r="A1216" t="inlineStr">
        <is>
          <t>Union Creative 华盛顿 兔女郎 Ver.手办</t>
        </is>
      </c>
      <c r="B1216" t="inlineStr">
        <is>
          <t>999.00元</t>
        </is>
      </c>
      <c r="C1216" t="inlineStr">
        <is>
          <t>1379.00元</t>
        </is>
      </c>
      <c r="D1216" t="inlineStr">
        <is>
          <t>380.00元</t>
        </is>
      </c>
      <c r="E1216" t="inlineStr">
        <is>
          <t>7.2折</t>
        </is>
      </c>
      <c r="F1216">
        <f>HYPERLINK("https://i0.hdslb.com/bfs/mall/mall/bc/9f/bc9fd1400473f5489801d99ea196d319.png", "点击查看图片")</f>
        <v/>
      </c>
      <c r="G1216">
        <f>HYPERLINK("https://mall.bilibili.com/neul-next/index.html?page=magic-market_detail&amp;noTitleBar=1&amp;itemsId=106982553489&amp;from=market_index", "点击打开")</f>
        <v/>
      </c>
    </row>
    <row r="1217">
      <c r="A1217" t="inlineStr">
        <is>
          <t xml:space="preserve"> 粘土人Doll 叶泓 进阶大礼包</t>
        </is>
      </c>
      <c r="B1217" t="inlineStr">
        <is>
          <t>338.99元</t>
        </is>
      </c>
      <c r="C1217" t="inlineStr">
        <is>
          <t>579.00元</t>
        </is>
      </c>
      <c r="D1217" t="inlineStr">
        <is>
          <t>240.01元</t>
        </is>
      </c>
      <c r="E1217" t="inlineStr">
        <is>
          <t>5.9折</t>
        </is>
      </c>
      <c r="F1217">
        <f>HYPERLINK("https://i0.hdslb.com/bfs/mall/mall/ed/99/ed99180c0ee2c8c5cdc5ade900f59a53.png", "点击查看图片")</f>
        <v/>
      </c>
      <c r="G1217">
        <f>HYPERLINK("https://mall.bilibili.com/neul-next/index.html?page=magic-market_detail&amp;noTitleBar=1&amp;itemsId=111916108296&amp;from=market_index", "点击打开")</f>
        <v/>
      </c>
    </row>
    <row r="1218">
      <c r="A1218" t="inlineStr">
        <is>
          <t>世嘉 初音未来  Omutatsu Ver.  景品</t>
        </is>
      </c>
      <c r="B1218" t="inlineStr">
        <is>
          <t>102.99元</t>
        </is>
      </c>
      <c r="C1218" t="inlineStr">
        <is>
          <t>109.00元</t>
        </is>
      </c>
      <c r="D1218" t="inlineStr">
        <is>
          <t>6.01元</t>
        </is>
      </c>
      <c r="E1218" t="inlineStr">
        <is>
          <t>9.4折</t>
        </is>
      </c>
      <c r="F1218">
        <f>HYPERLINK("https://i0.hdslb.com/bfs/mall/mall/12/7e/127ea50c87ea07681a2185e03d9d0497.png", "点击查看图片")</f>
        <v/>
      </c>
      <c r="G1218">
        <f>HYPERLINK("https://mall.bilibili.com/neul-next/index.html?page=magic-market_detail&amp;noTitleBar=1&amp;itemsId=109889258275&amp;from=market_index", "点击打开")</f>
        <v/>
      </c>
    </row>
    <row r="1219">
      <c r="A1219" t="inlineStr">
        <is>
          <t>ALTER 莱莎琳·斯托特 手办</t>
        </is>
      </c>
      <c r="B1219" t="inlineStr">
        <is>
          <t>949.20元</t>
        </is>
      </c>
      <c r="C1219" t="inlineStr">
        <is>
          <t>1250.00元</t>
        </is>
      </c>
      <c r="D1219" t="inlineStr">
        <is>
          <t>300.80元</t>
        </is>
      </c>
      <c r="E1219" t="inlineStr">
        <is>
          <t>7.6折</t>
        </is>
      </c>
      <c r="F1219">
        <f>HYPERLINK("https://i0.hdslb.com/bfs/mall/mall/94/37/943782b2b0de7bca7a039751d83281a3.png", "点击查看图片")</f>
        <v/>
      </c>
      <c r="G1219">
        <f>HYPERLINK("https://mall.bilibili.com/neul-next/index.html?page=magic-market_detail&amp;noTitleBar=1&amp;itemsId=109857630496&amp;from=market_index", "点击打开")</f>
        <v/>
      </c>
    </row>
    <row r="1220">
      <c r="A1220" t="inlineStr">
        <is>
          <t>世嘉 2B 景品手办</t>
        </is>
      </c>
      <c r="B1220" t="inlineStr">
        <is>
          <t>99.00元</t>
        </is>
      </c>
      <c r="C1220" t="inlineStr">
        <is>
          <t>105.00元</t>
        </is>
      </c>
      <c r="D1220" t="inlineStr">
        <is>
          <t>6.00元</t>
        </is>
      </c>
      <c r="E1220" t="inlineStr">
        <is>
          <t>9.4折</t>
        </is>
      </c>
      <c r="F1220">
        <f>HYPERLINK("https://i0.hdslb.com/bfs/mall/mall/4e/5a/4e5aa2c1d11a501280fc2ad44b8c6424.png", "点击查看图片")</f>
        <v/>
      </c>
      <c r="G1220">
        <f>HYPERLINK("https://mall.bilibili.com/neul-next/index.html?page=magic-market_detail&amp;noTitleBar=1&amp;itemsId=106983559346&amp;from=market_index", "点击打开")</f>
        <v/>
      </c>
    </row>
    <row r="1221">
      <c r="A1221" t="inlineStr">
        <is>
          <t>世嘉 芙莉莲 毛绒玩偶</t>
        </is>
      </c>
      <c r="B1221" t="inlineStr">
        <is>
          <t>187.00元</t>
        </is>
      </c>
      <c r="C1221" t="inlineStr">
        <is>
          <t>377.00元</t>
        </is>
      </c>
      <c r="D1221" t="inlineStr">
        <is>
          <t>190.00元</t>
        </is>
      </c>
      <c r="E1221" t="inlineStr">
        <is>
          <t>5.0折</t>
        </is>
      </c>
      <c r="F1221">
        <f>HYPERLINK("https://i0.hdslb.com/bfs/mall/mall/fd/1f/fd1f9203408b50966f3feb94a2c7f3dc.png", "点击查看图片")</f>
        <v/>
      </c>
      <c r="G1221">
        <f>HYPERLINK("https://mall.bilibili.com/neul-next/index.html?page=magic-market_detail&amp;noTitleBar=1&amp;itemsId=106982623637&amp;from=market_index", "点击打开")</f>
        <v/>
      </c>
    </row>
    <row r="1222">
      <c r="A1222" t="inlineStr">
        <is>
          <t>F:NEX 名侦探柯南 服部平次&amp;远山和叶 手办</t>
        </is>
      </c>
      <c r="B1222" t="inlineStr">
        <is>
          <t>888.00元</t>
        </is>
      </c>
      <c r="C1222" t="inlineStr">
        <is>
          <t>900.00元</t>
        </is>
      </c>
      <c r="D1222" t="inlineStr">
        <is>
          <t>12.00元</t>
        </is>
      </c>
      <c r="E1222" t="inlineStr">
        <is>
          <t>9.9折</t>
        </is>
      </c>
      <c r="F1222">
        <f>HYPERLINK("https://i0.hdslb.com/bfs/mall/mall/88/6e/886e65f4ee41037efdd75de1002811c2.png", "点击查看图片")</f>
        <v/>
      </c>
      <c r="G1222">
        <f>HYPERLINK("https://mall.bilibili.com/neul-next/index.html?page=magic-market_detail&amp;noTitleBar=1&amp;itemsId=106985562494&amp;from=market_index", "点击打开")</f>
        <v/>
      </c>
    </row>
    <row r="1223">
      <c r="A1223" t="inlineStr">
        <is>
          <t>BANPRESTO 曼城茶座 景品手办</t>
        </is>
      </c>
      <c r="B1223" t="inlineStr">
        <is>
          <t>95.00元</t>
        </is>
      </c>
      <c r="C1223" t="inlineStr">
        <is>
          <t>129.00元</t>
        </is>
      </c>
      <c r="D1223" t="inlineStr">
        <is>
          <t>34.00元</t>
        </is>
      </c>
      <c r="E1223" t="inlineStr">
        <is>
          <t>7.4折</t>
        </is>
      </c>
      <c r="F1223">
        <f>HYPERLINK("https://i0.hdslb.com/bfs/mall/mall/62/cd/62cdcb7b7821a417007b3bd72583a19e.png", "点击查看图片")</f>
        <v/>
      </c>
      <c r="G1223">
        <f>HYPERLINK("https://mall.bilibili.com/neul-next/index.html?page=magic-market_detail&amp;noTitleBar=1&amp;itemsId=106989454023&amp;from=market_index", "点击打开")</f>
        <v/>
      </c>
    </row>
    <row r="1224">
      <c r="A1224" t="inlineStr">
        <is>
          <t>SSR FIGURE  柳柒 正比手办</t>
        </is>
      </c>
      <c r="B1224" t="inlineStr">
        <is>
          <t>645.16元</t>
        </is>
      </c>
      <c r="C1224" t="inlineStr">
        <is>
          <t>866.00元</t>
        </is>
      </c>
      <c r="D1224" t="inlineStr">
        <is>
          <t>220.84元</t>
        </is>
      </c>
      <c r="E1224" t="inlineStr">
        <is>
          <t>7.4折</t>
        </is>
      </c>
      <c r="F1224">
        <f>HYPERLINK("https://i0.hdslb.com/bfs/mall/mall/02/2a/022abe9cdb67c10966c88cf9a80fea3b.png", "点击查看图片")</f>
        <v/>
      </c>
      <c r="G1224">
        <f>HYPERLINK("https://mall.bilibili.com/neul-next/index.html?page=magic-market_detail&amp;noTitleBar=1&amp;itemsId=110456980829&amp;from=market_index", "点击打开")</f>
        <v/>
      </c>
    </row>
    <row r="1225">
      <c r="A1225" t="inlineStr">
        <is>
          <t>世嘉 五条悟 景品手办</t>
        </is>
      </c>
      <c r="B1225" t="inlineStr">
        <is>
          <t>559.00元</t>
        </is>
      </c>
      <c r="C1225" t="inlineStr">
        <is>
          <t>964.00元</t>
        </is>
      </c>
      <c r="D1225" t="inlineStr">
        <is>
          <t>405.00元</t>
        </is>
      </c>
      <c r="E1225" t="inlineStr">
        <is>
          <t>5.8折</t>
        </is>
      </c>
      <c r="F1225">
        <f>HYPERLINK("https://i0.hdslb.com/bfs/mall/mall/ed/97/ed977c32edcc9215b09ea9428b572e70.png", "点击查看图片")</f>
        <v/>
      </c>
      <c r="G1225">
        <f>HYPERLINK("https://mall.bilibili.com/neul-next/index.html?page=magic-market_detail&amp;noTitleBar=1&amp;itemsId=111914941817&amp;from=market_index", "点击打开")</f>
        <v/>
      </c>
    </row>
    <row r="1226">
      <c r="A1226" t="inlineStr">
        <is>
          <t>宝可梦 耿鬼和迷拟人丘 正比手办</t>
        </is>
      </c>
      <c r="B1226" t="inlineStr">
        <is>
          <t>160.00元</t>
        </is>
      </c>
      <c r="C1226" t="inlineStr">
        <is>
          <t>269.00元</t>
        </is>
      </c>
      <c r="D1226" t="inlineStr">
        <is>
          <t>109.00元</t>
        </is>
      </c>
      <c r="E1226" t="inlineStr">
        <is>
          <t>5.9折</t>
        </is>
      </c>
      <c r="F1226">
        <f>HYPERLINK("https://i0.hdslb.com/bfs/mall/mall/2b/7e/2b7ee3efc6f265e7be1242902e10f0f4.png", "点击查看图片")</f>
        <v/>
      </c>
      <c r="G1226">
        <f>HYPERLINK("https://mall.bilibili.com/neul-next/index.html?page=magic-market_detail&amp;noTitleBar=1&amp;itemsId=106993352760&amp;from=market_index", "点击打开")</f>
        <v/>
      </c>
    </row>
    <row r="1227">
      <c r="A1227" t="inlineStr">
        <is>
          <t>GSAS 贝拉 Q版手办</t>
        </is>
      </c>
      <c r="B1227" t="inlineStr">
        <is>
          <t>268.00元</t>
        </is>
      </c>
      <c r="C1227" t="inlineStr">
        <is>
          <t>325.00元</t>
        </is>
      </c>
      <c r="D1227" t="inlineStr">
        <is>
          <t>57.00元</t>
        </is>
      </c>
      <c r="E1227" t="inlineStr">
        <is>
          <t>8.2折</t>
        </is>
      </c>
      <c r="F1227">
        <f>HYPERLINK("https://i0.hdslb.com/bfs/mall/mall/ad/d0/add0149273f8cc2fb638e5516c6a7f5d.png", "点击查看图片")</f>
        <v/>
      </c>
      <c r="G1227">
        <f>HYPERLINK("https://mall.bilibili.com/neul-next/index.html?page=magic-market_detail&amp;noTitleBar=1&amp;itemsId=109870160718&amp;from=market_index", "点击打开")</f>
        <v/>
      </c>
    </row>
    <row r="1228">
      <c r="A1228" t="inlineStr">
        <is>
          <t>F:NEX 虚拟主播-彩虹社 天宫心 手办</t>
        </is>
      </c>
      <c r="B1228" t="inlineStr">
        <is>
          <t>774.00元</t>
        </is>
      </c>
      <c r="C1228" t="inlineStr">
        <is>
          <t>1074.00元</t>
        </is>
      </c>
      <c r="D1228" t="inlineStr">
        <is>
          <t>300.00元</t>
        </is>
      </c>
      <c r="E1228" t="inlineStr">
        <is>
          <t>7.2折</t>
        </is>
      </c>
      <c r="F1228">
        <f>HYPERLINK("https://i0.hdslb.com/bfs/mall/mall/08/95/0895808f1ca9483794744a3b9417a833.png", "点击查看图片")</f>
        <v/>
      </c>
      <c r="G1228">
        <f>HYPERLINK("https://mall.bilibili.com/neul-next/index.html?page=magic-market_detail&amp;noTitleBar=1&amp;itemsId=110465858405&amp;from=market_index", "点击打开")</f>
        <v/>
      </c>
    </row>
    <row r="1229">
      <c r="A1229" t="inlineStr">
        <is>
          <t>GSC 乔瑟夫・乔斯达 正比手办</t>
        </is>
      </c>
      <c r="B1229" t="inlineStr">
        <is>
          <t>188.00元</t>
        </is>
      </c>
      <c r="C1229" t="inlineStr">
        <is>
          <t>215.00元</t>
        </is>
      </c>
      <c r="D1229" t="inlineStr">
        <is>
          <t>27.00元</t>
        </is>
      </c>
      <c r="E1229" t="inlineStr">
        <is>
          <t>8.7折</t>
        </is>
      </c>
      <c r="F1229">
        <f>HYPERLINK("https://i0.hdslb.com/bfs/mall/mall/04/94/04945d035fbf361719e3d1a23837e400.png", "点击查看图片")</f>
        <v/>
      </c>
      <c r="G1229">
        <f>HYPERLINK("https://mall.bilibili.com/neul-next/index.html?page=magic-market_detail&amp;noTitleBar=1&amp;itemsId=106990637337&amp;from=market_index", "点击打开")</f>
        <v/>
      </c>
    </row>
    <row r="1230">
      <c r="A1230" t="inlineStr">
        <is>
          <t>GSAS 宝多六花 GRID TECTOR Ver. 可动手办</t>
        </is>
      </c>
      <c r="B1230" t="inlineStr">
        <is>
          <t>360.00元</t>
        </is>
      </c>
      <c r="C1230" t="inlineStr">
        <is>
          <t>475.00元</t>
        </is>
      </c>
      <c r="D1230" t="inlineStr">
        <is>
          <t>115.00元</t>
        </is>
      </c>
      <c r="E1230" t="inlineStr">
        <is>
          <t>7.6折</t>
        </is>
      </c>
      <c r="F1230">
        <f>HYPERLINK("https://i0.hdslb.com/bfs/mall/mall/c2/78/c278e6ead682600fbb187a4cb45c7038.png", "点击查看图片")</f>
        <v/>
      </c>
      <c r="G1230">
        <f>HYPERLINK("https://mall.bilibili.com/neul-next/index.html?page=magic-market_detail&amp;noTitleBar=1&amp;itemsId=109869608439&amp;from=market_index", "点击打开")</f>
        <v/>
      </c>
    </row>
    <row r="1231">
      <c r="A1231" t="inlineStr">
        <is>
          <t>BANPRESTO B款 景品</t>
        </is>
      </c>
      <c r="B1231" t="inlineStr">
        <is>
          <t>45.00元</t>
        </is>
      </c>
      <c r="C1231" t="inlineStr">
        <is>
          <t>55.00元</t>
        </is>
      </c>
      <c r="D1231" t="inlineStr">
        <is>
          <t>10.00元</t>
        </is>
      </c>
      <c r="E1231" t="inlineStr">
        <is>
          <t>8.2折</t>
        </is>
      </c>
      <c r="F1231">
        <f>HYPERLINK("https://i0.hdslb.com/bfs/mall/mall/57/62/57621f5ee001fa72d72ce323eac9793f.jpg", "点击查看图片")</f>
        <v/>
      </c>
      <c r="G1231">
        <f>HYPERLINK("https://mall.bilibili.com/neul-next/index.html?page=magic-market_detail&amp;noTitleBar=1&amp;itemsId=106994622267&amp;from=market_index", "点击打开")</f>
        <v/>
      </c>
    </row>
    <row r="1232">
      <c r="A1232" t="inlineStr">
        <is>
          <t>BANPRESTO 妮可.罗宾 景品</t>
        </is>
      </c>
      <c r="B1232" t="inlineStr">
        <is>
          <t>35.00元</t>
        </is>
      </c>
      <c r="C1232" t="inlineStr">
        <is>
          <t>65.00元</t>
        </is>
      </c>
      <c r="D1232" t="inlineStr">
        <is>
          <t>30.00元</t>
        </is>
      </c>
      <c r="E1232" t="inlineStr">
        <is>
          <t>5.4折</t>
        </is>
      </c>
      <c r="F1232">
        <f>HYPERLINK("https://i0.hdslb.com/bfs/mall/mall/b7/a0/b7a05d5de4280d0e64ee47bc5f4e63de.png", "点击查看图片")</f>
        <v/>
      </c>
      <c r="G1232">
        <f>HYPERLINK("https://mall.bilibili.com/neul-next/index.html?page=magic-market_detail&amp;noTitleBar=1&amp;itemsId=107082848081&amp;from=market_index", "点击打开")</f>
        <v/>
      </c>
    </row>
    <row r="1233">
      <c r="A1233" t="inlineStr">
        <is>
          <t>BANPRESTO 我妻善逸  A款 景品</t>
        </is>
      </c>
      <c r="B1233" t="inlineStr">
        <is>
          <t>44.99元</t>
        </is>
      </c>
      <c r="C1233" t="inlineStr">
        <is>
          <t>50.00元</t>
        </is>
      </c>
      <c r="D1233" t="inlineStr">
        <is>
          <t>5.01元</t>
        </is>
      </c>
      <c r="E1233" t="inlineStr">
        <is>
          <t>9.0折</t>
        </is>
      </c>
      <c r="F1233">
        <f>HYPERLINK("https://i0.hdslb.com/bfs/mall/mall/53/de/53defb8ee52cf870c2d8a8e9e65a44e1.png", "点击查看图片")</f>
        <v/>
      </c>
      <c r="G1233">
        <f>HYPERLINK("https://mall.bilibili.com/neul-next/index.html?page=magic-market_detail&amp;noTitleBar=1&amp;itemsId=107088003555&amp;from=market_index", "点击打开")</f>
        <v/>
      </c>
    </row>
    <row r="1234">
      <c r="A1234" t="inlineStr">
        <is>
          <t>BANPRESTO 初音未来 景品手办</t>
        </is>
      </c>
      <c r="B1234" t="inlineStr">
        <is>
          <t>70.00元</t>
        </is>
      </c>
      <c r="C1234" t="inlineStr">
        <is>
          <t>129.00元</t>
        </is>
      </c>
      <c r="D1234" t="inlineStr">
        <is>
          <t>59.00元</t>
        </is>
      </c>
      <c r="E1234" t="inlineStr">
        <is>
          <t>5.4折</t>
        </is>
      </c>
      <c r="F1234">
        <f>HYPERLINK("https://i0.hdslb.com/bfs/mall/mall/18/99/1899ec0fd33008020e735390ea8c213b.png", "点击查看图片")</f>
        <v/>
      </c>
      <c r="G1234">
        <f>HYPERLINK("https://mall.bilibili.com/neul-next/index.html?page=magic-market_detail&amp;noTitleBar=1&amp;itemsId=106993742928&amp;from=market_index", "点击打开")</f>
        <v/>
      </c>
    </row>
    <row r="1235">
      <c r="A1235" t="inlineStr">
        <is>
          <t>角川 黑川赤音 正比手办</t>
        </is>
      </c>
      <c r="B1235" t="inlineStr">
        <is>
          <t>749.90元</t>
        </is>
      </c>
      <c r="C1235" t="inlineStr">
        <is>
          <t>999.00元</t>
        </is>
      </c>
      <c r="D1235" t="inlineStr">
        <is>
          <t>249.10元</t>
        </is>
      </c>
      <c r="E1235" t="inlineStr">
        <is>
          <t>7.5折</t>
        </is>
      </c>
      <c r="F1235">
        <f>HYPERLINK("https://i0.hdslb.com/bfs/mall/mall/5b/84/5b84efd2f08cff8d1c93912c3a23bddf.png", "点击查看图片")</f>
        <v/>
      </c>
      <c r="G1235">
        <f>HYPERLINK("https://mall.bilibili.com/neul-next/index.html?page=magic-market_detail&amp;noTitleBar=1&amp;itemsId=109885079485&amp;from=market_index", "点击打开")</f>
        <v/>
      </c>
    </row>
    <row r="1236">
      <c r="A1236" t="inlineStr">
        <is>
          <t>世嘉 9S 景品手办</t>
        </is>
      </c>
      <c r="B1236" t="inlineStr">
        <is>
          <t>69.00元</t>
        </is>
      </c>
      <c r="C1236" t="inlineStr">
        <is>
          <t>79.00元</t>
        </is>
      </c>
      <c r="D1236" t="inlineStr">
        <is>
          <t>10.00元</t>
        </is>
      </c>
      <c r="E1236" t="inlineStr">
        <is>
          <t>8.7折</t>
        </is>
      </c>
      <c r="F1236">
        <f>HYPERLINK("https://i0.hdslb.com/bfs/mall/mall/07/93/079384b6b13994856bcef39a188b17f6.png", "点击查看图片")</f>
        <v/>
      </c>
      <c r="G1236">
        <f>HYPERLINK("https://mall.bilibili.com/neul-next/index.html?page=magic-market_detail&amp;noTitleBar=1&amp;itemsId=107108079400&amp;from=market_index", "点击打开")</f>
        <v/>
      </c>
    </row>
    <row r="1237">
      <c r="A1237" t="inlineStr">
        <is>
          <t>世嘉 中野五月 景品手办</t>
        </is>
      </c>
      <c r="B1237" t="inlineStr">
        <is>
          <t>72.00元</t>
        </is>
      </c>
      <c r="C1237" t="inlineStr">
        <is>
          <t>109.00元</t>
        </is>
      </c>
      <c r="D1237" t="inlineStr">
        <is>
          <t>37.00元</t>
        </is>
      </c>
      <c r="E1237" t="inlineStr">
        <is>
          <t>6.6折</t>
        </is>
      </c>
      <c r="F1237">
        <f>HYPERLINK("https://i0.hdslb.com/bfs/mall/mall/a9/75/a975c1acb9f3f42c1e87179d662a9806.png", "点击查看图片")</f>
        <v/>
      </c>
      <c r="G1237">
        <f>HYPERLINK("https://mall.bilibili.com/neul-next/index.html?page=magic-market_detail&amp;noTitleBar=1&amp;itemsId=109817039841&amp;from=market_index", "点击打开")</f>
        <v/>
      </c>
    </row>
    <row r="1238">
      <c r="A1238" t="inlineStr">
        <is>
          <t>FuRyu 月岛流星 景品手办</t>
        </is>
      </c>
      <c r="B1238" t="inlineStr">
        <is>
          <t>75.00元</t>
        </is>
      </c>
      <c r="C1238" t="inlineStr">
        <is>
          <t>115.00元</t>
        </is>
      </c>
      <c r="D1238" t="inlineStr">
        <is>
          <t>40.00元</t>
        </is>
      </c>
      <c r="E1238" t="inlineStr">
        <is>
          <t>6.5折</t>
        </is>
      </c>
      <c r="F1238">
        <f>HYPERLINK("https://i0.hdslb.com/bfs/mall/mall/cc/8b/cc8b71c5ab05251b1d0914c4d38db216.png", "点击查看图片")</f>
        <v/>
      </c>
      <c r="G1238">
        <f>HYPERLINK("https://mall.bilibili.com/neul-next/index.html?page=magic-market_detail&amp;noTitleBar=1&amp;itemsId=107000280298&amp;from=market_index", "点击打开")</f>
        <v/>
      </c>
    </row>
    <row r="1239">
      <c r="A1239" t="inlineStr">
        <is>
          <t>GSC 初音未来 雪未来 Q版手办</t>
        </is>
      </c>
      <c r="B1239" t="inlineStr">
        <is>
          <t>600.00元</t>
        </is>
      </c>
      <c r="C1239" t="inlineStr">
        <is>
          <t>890.00元</t>
        </is>
      </c>
      <c r="D1239" t="inlineStr">
        <is>
          <t>290.00元</t>
        </is>
      </c>
      <c r="E1239" t="inlineStr">
        <is>
          <t>6.7折</t>
        </is>
      </c>
      <c r="F1239">
        <f>HYPERLINK("https://i0.hdslb.com/bfs/mall/mall/42/b9/42b99dbfcb054cd8f709b18cd943e280.png", "点击查看图片")</f>
        <v/>
      </c>
      <c r="G1239">
        <f>HYPERLINK("https://mall.bilibili.com/neul-next/index.html?page=magic-market_detail&amp;noTitleBar=1&amp;itemsId=111917761509&amp;from=market_index", "点击打开")</f>
        <v/>
      </c>
    </row>
    <row r="1240">
      <c r="A1240" t="inlineStr">
        <is>
          <t>BANPRESTO 有马加奈 私服Ver. 景品手办</t>
        </is>
      </c>
      <c r="B1240" t="inlineStr">
        <is>
          <t>59.02元</t>
        </is>
      </c>
      <c r="C1240" t="inlineStr">
        <is>
          <t>129.00元</t>
        </is>
      </c>
      <c r="D1240" t="inlineStr">
        <is>
          <t>69.98元</t>
        </is>
      </c>
      <c r="E1240" t="inlineStr">
        <is>
          <t>4.6折</t>
        </is>
      </c>
      <c r="F1240">
        <f>HYPERLINK("https://i0.hdslb.com/bfs/mall/mall/01/5c/015ce105182023ec6e8a396bf391de54.png", "点击查看图片")</f>
        <v/>
      </c>
      <c r="G1240">
        <f>HYPERLINK("https://mall.bilibili.com/neul-next/index.html?page=magic-market_detail&amp;noTitleBar=1&amp;itemsId=107057330258&amp;from=market_index", "点击打开")</f>
        <v/>
      </c>
    </row>
    <row r="1241">
      <c r="A1241" t="inlineStr">
        <is>
          <t>FuRyu 星野爱 景品手办</t>
        </is>
      </c>
      <c r="B1241" t="inlineStr">
        <is>
          <t>88.00元</t>
        </is>
      </c>
      <c r="C1241" t="inlineStr">
        <is>
          <t>125.00元</t>
        </is>
      </c>
      <c r="D1241" t="inlineStr">
        <is>
          <t>37.00元</t>
        </is>
      </c>
      <c r="E1241" t="inlineStr">
        <is>
          <t>7.0折</t>
        </is>
      </c>
      <c r="F1241">
        <f>HYPERLINK("https://i0.hdslb.com/bfs/mall/mall/96/1f/961f8d14b503fc0ddafdf1109501dc69.png", "点击查看图片")</f>
        <v/>
      </c>
      <c r="G1241">
        <f>HYPERLINK("https://mall.bilibili.com/neul-next/index.html?page=magic-market_detail&amp;noTitleBar=1&amp;itemsId=107050249548&amp;from=market_index", "点击打开")</f>
        <v/>
      </c>
    </row>
    <row r="1242">
      <c r="A1242" t="inlineStr">
        <is>
          <t>BANPRESTO 鬼舞辻 无惨 景品</t>
        </is>
      </c>
      <c r="B1242" t="inlineStr">
        <is>
          <t>38.90元</t>
        </is>
      </c>
      <c r="C1242" t="inlineStr">
        <is>
          <t>49.00元</t>
        </is>
      </c>
      <c r="D1242" t="inlineStr">
        <is>
          <t>10.10元</t>
        </is>
      </c>
      <c r="E1242" t="inlineStr">
        <is>
          <t>7.9折</t>
        </is>
      </c>
      <c r="F1242">
        <f>HYPERLINK("https://i0.hdslb.com/bfs/mall/mall/7b/23/7b23941bd22a23d6137dafc4b8f05bab.png", "点击查看图片")</f>
        <v/>
      </c>
      <c r="G1242">
        <f>HYPERLINK("https://mall.bilibili.com/neul-next/index.html?page=magic-market_detail&amp;noTitleBar=1&amp;itemsId=107046611254&amp;from=market_index", "点击打开")</f>
        <v/>
      </c>
    </row>
    <row r="1243">
      <c r="A1243" t="inlineStr">
        <is>
          <t>F:NEX Tony原画 CCG EXPO 茈綾 2020ver. 手办</t>
        </is>
      </c>
      <c r="B1243" t="inlineStr">
        <is>
          <t>840.00元</t>
        </is>
      </c>
      <c r="C1243" t="inlineStr">
        <is>
          <t>1350.00元</t>
        </is>
      </c>
      <c r="D1243" t="inlineStr">
        <is>
          <t>510.00元</t>
        </is>
      </c>
      <c r="E1243" t="inlineStr">
        <is>
          <t>6.2折</t>
        </is>
      </c>
      <c r="F1243">
        <f>HYPERLINK("https://i0.hdslb.com/bfs/mall/mall/6b/41/6b4193e214e346c2244dbf13c155ce55.png", "点击查看图片")</f>
        <v/>
      </c>
      <c r="G1243">
        <f>HYPERLINK("https://mall.bilibili.com/neul-next/index.html?page=magic-market_detail&amp;noTitleBar=1&amp;itemsId=107046822599&amp;from=market_index", "点击打开")</f>
        <v/>
      </c>
    </row>
    <row r="1244">
      <c r="A1244" t="inlineStr">
        <is>
          <t>世嘉 初音未来 景品手办 再版</t>
        </is>
      </c>
      <c r="B1244" t="inlineStr">
        <is>
          <t>84.99元</t>
        </is>
      </c>
      <c r="C1244" t="inlineStr">
        <is>
          <t>109.00元</t>
        </is>
      </c>
      <c r="D1244" t="inlineStr">
        <is>
          <t>24.01元</t>
        </is>
      </c>
      <c r="E1244" t="inlineStr">
        <is>
          <t>7.8折</t>
        </is>
      </c>
      <c r="F1244">
        <f>HYPERLINK("https://i0.hdslb.com/bfs/mall/mall/d4/70/d47090830d37d0e08874714c37bcb166.png", "点击查看图片")</f>
        <v/>
      </c>
      <c r="G1244">
        <f>HYPERLINK("https://mall.bilibili.com/neul-next/index.html?page=magic-market_detail&amp;noTitleBar=1&amp;itemsId=107104328517&amp;from=market_index", "点击打开")</f>
        <v/>
      </c>
    </row>
    <row r="1245">
      <c r="A1245" t="inlineStr">
        <is>
          <t>maxcute  避暑的体操服 jk 少女 手办</t>
        </is>
      </c>
      <c r="B1245" t="inlineStr">
        <is>
          <t>698.99元</t>
        </is>
      </c>
      <c r="C1245" t="inlineStr">
        <is>
          <t>799.00元</t>
        </is>
      </c>
      <c r="D1245" t="inlineStr">
        <is>
          <t>100.01元</t>
        </is>
      </c>
      <c r="E1245" t="inlineStr">
        <is>
          <t>8.7折</t>
        </is>
      </c>
      <c r="F1245">
        <f>HYPERLINK("https://i0.hdslb.com/bfs/mall/mall/4a/87/4a87bbce060e5337ac7b69bc2c4c4124.png", "点击查看图片")</f>
        <v/>
      </c>
      <c r="G1245">
        <f>HYPERLINK("https://mall.bilibili.com/neul-next/index.html?page=magic-market_detail&amp;noTitleBar=1&amp;itemsId=111914083245&amp;from=market_index", "点击打开")</f>
        <v/>
      </c>
    </row>
    <row r="1246">
      <c r="A1246" t="inlineStr">
        <is>
          <t>世嘉 初音未来 趴趴Q 景品</t>
        </is>
      </c>
      <c r="B1246" t="inlineStr">
        <is>
          <t>60.00元</t>
        </is>
      </c>
      <c r="C1246" t="inlineStr">
        <is>
          <t>89.00元</t>
        </is>
      </c>
      <c r="D1246" t="inlineStr">
        <is>
          <t>29.00元</t>
        </is>
      </c>
      <c r="E1246" t="inlineStr">
        <is>
          <t>6.7折</t>
        </is>
      </c>
      <c r="F1246">
        <f>HYPERLINK("https://i0.hdslb.com/bfs/mall/mall/b5/36/b5360b0d4f7651988a9e646f3410a8f7.png", "点击查看图片")</f>
        <v/>
      </c>
      <c r="G1246">
        <f>HYPERLINK("https://mall.bilibili.com/neul-next/index.html?page=magic-market_detail&amp;noTitleBar=1&amp;itemsId=107060125803&amp;from=market_index", "点击打开")</f>
        <v/>
      </c>
    </row>
    <row r="1247">
      <c r="A1247" t="inlineStr">
        <is>
          <t>FuRyu 喜多郁代 夏日回忆 景品手办</t>
        </is>
      </c>
      <c r="B1247" t="inlineStr">
        <is>
          <t>77.00元</t>
        </is>
      </c>
      <c r="C1247" t="inlineStr">
        <is>
          <t>129.00元</t>
        </is>
      </c>
      <c r="D1247" t="inlineStr">
        <is>
          <t>52.00元</t>
        </is>
      </c>
      <c r="E1247" t="inlineStr">
        <is>
          <t>6.0折</t>
        </is>
      </c>
      <c r="F1247">
        <f>HYPERLINK("https://i0.hdslb.com/bfs/mall/mall/bf/5e/bf5e132e815302a145048137c821a447.png", "点击查看图片")</f>
        <v/>
      </c>
      <c r="G1247">
        <f>HYPERLINK("https://mall.bilibili.com/neul-next/index.html?page=magic-market_detail&amp;noTitleBar=1&amp;itemsId=109822082251&amp;from=market_index", "点击打开")</f>
        <v/>
      </c>
    </row>
    <row r="1248">
      <c r="A1248" t="inlineStr">
        <is>
          <t>吉徳×F:NEX 剧场版 魔法少女小圆［新篇］叛逆的物语 鹿目圆 -日本人形- 1/4手办</t>
        </is>
      </c>
      <c r="B1248" t="inlineStr">
        <is>
          <t>6986.38元</t>
        </is>
      </c>
      <c r="C1248" t="inlineStr">
        <is>
          <t>8781.00元</t>
        </is>
      </c>
      <c r="D1248" t="inlineStr">
        <is>
          <t>1794.62元</t>
        </is>
      </c>
      <c r="E1248" t="inlineStr">
        <is>
          <t>8.0折</t>
        </is>
      </c>
      <c r="F1248">
        <f>HYPERLINK("https://i0.hdslb.com/bfs/mall/mall/b1/0f/b10fb472dc9a91bf7c8123127aaed568.png", "点击查看图片")</f>
        <v/>
      </c>
      <c r="G1248">
        <f>HYPERLINK("https://mall.bilibili.com/neul-next/index.html?page=magic-market_detail&amp;noTitleBar=1&amp;itemsId=109859218846&amp;from=market_index", "点击打开")</f>
        <v/>
      </c>
    </row>
    <row r="1249">
      <c r="A1249" t="inlineStr">
        <is>
          <t>Union Creative 原创 nana原画 一之濑莉莉丝 手办</t>
        </is>
      </c>
      <c r="B1249" t="inlineStr">
        <is>
          <t>641.30元</t>
        </is>
      </c>
      <c r="C1249" t="inlineStr">
        <is>
          <t>1190.00元</t>
        </is>
      </c>
      <c r="D1249" t="inlineStr">
        <is>
          <t>548.70元</t>
        </is>
      </c>
      <c r="E1249" t="inlineStr">
        <is>
          <t>5.4折</t>
        </is>
      </c>
      <c r="F1249">
        <f>HYPERLINK("https://i0.hdslb.com/bfs/mall/mall/3e/04/3e04929c981fa1b5ff555ca5815c1a70.png", "点击查看图片")</f>
        <v/>
      </c>
      <c r="G1249">
        <f>HYPERLINK("https://mall.bilibili.com/neul-next/index.html?page=magic-market_detail&amp;noTitleBar=1&amp;itemsId=109864829012&amp;from=market_index", "点击打开")</f>
        <v/>
      </c>
    </row>
    <row r="1250">
      <c r="A1250" t="inlineStr">
        <is>
          <t>GSC 后藤独 Q版手办</t>
        </is>
      </c>
      <c r="B1250" t="inlineStr">
        <is>
          <t>388.00元</t>
        </is>
      </c>
      <c r="C1250" t="inlineStr">
        <is>
          <t>405.00元</t>
        </is>
      </c>
      <c r="D1250" t="inlineStr">
        <is>
          <t>17.00元</t>
        </is>
      </c>
      <c r="E1250" t="inlineStr">
        <is>
          <t>9.6折</t>
        </is>
      </c>
      <c r="F1250">
        <f>HYPERLINK("https://i0.hdslb.com/bfs/mall/mall/16/16/1616b138e4ed9794458e9c98d9c0fa2d.png", "点击查看图片")</f>
        <v/>
      </c>
      <c r="G1250">
        <f>HYPERLINK("https://mall.bilibili.com/neul-next/index.html?page=magic-market_detail&amp;noTitleBar=1&amp;itemsId=107066083961&amp;from=market_index", "点击打开")</f>
        <v/>
      </c>
    </row>
    <row r="1251">
      <c r="A1251" t="inlineStr">
        <is>
          <t>FuRyu 拉姆 红色兔女郎ver.  景品手办</t>
        </is>
      </c>
      <c r="B1251" t="inlineStr">
        <is>
          <t>89.99元</t>
        </is>
      </c>
      <c r="C1251" t="inlineStr">
        <is>
          <t>129.00元</t>
        </is>
      </c>
      <c r="D1251" t="inlineStr">
        <is>
          <t>39.01元</t>
        </is>
      </c>
      <c r="E1251" t="inlineStr">
        <is>
          <t>7.0折</t>
        </is>
      </c>
      <c r="F1251">
        <f>HYPERLINK("https://i0.hdslb.com/bfs/mall/mall/4f/3d/4f3d16eb6daf9fb5ff0d16575e084747.png", "点击查看图片")</f>
        <v/>
      </c>
      <c r="G1251">
        <f>HYPERLINK("https://mall.bilibili.com/neul-next/index.html?page=magic-market_detail&amp;noTitleBar=1&amp;itemsId=107069293867&amp;from=market_index", "点击打开")</f>
        <v/>
      </c>
    </row>
    <row r="1252">
      <c r="A1252" t="inlineStr">
        <is>
          <t>Union Creative 出包王女 西连寺春菜 Darkness ver. 1/6手办 普通版</t>
        </is>
      </c>
      <c r="B1252" t="inlineStr">
        <is>
          <t>415.00元</t>
        </is>
      </c>
      <c r="C1252" t="inlineStr">
        <is>
          <t>750.00元</t>
        </is>
      </c>
      <c r="D1252" t="inlineStr">
        <is>
          <t>335.00元</t>
        </is>
      </c>
      <c r="E1252" t="inlineStr">
        <is>
          <t>5.5折</t>
        </is>
      </c>
      <c r="F1252">
        <f>HYPERLINK("https://i0.hdslb.com/bfs/mall/mall/c1/75/c1752fa13f511eefc1ec9542aa4774f1.png", "点击查看图片")</f>
        <v/>
      </c>
      <c r="G1252">
        <f>HYPERLINK("https://mall.bilibili.com/neul-next/index.html?page=magic-market_detail&amp;noTitleBar=1&amp;itemsId=107068556338&amp;from=market_index", "点击打开")</f>
        <v/>
      </c>
    </row>
    <row r="1253">
      <c r="A1253" t="inlineStr">
        <is>
          <t>TAITO VOCALOID 初音未来 小红帽Ver. 景品手办</t>
        </is>
      </c>
      <c r="B1253" t="inlineStr">
        <is>
          <t>99.99元</t>
        </is>
      </c>
      <c r="C1253" t="inlineStr">
        <is>
          <t>109.00元</t>
        </is>
      </c>
      <c r="D1253" t="inlineStr">
        <is>
          <t>9.01元</t>
        </is>
      </c>
      <c r="E1253" t="inlineStr">
        <is>
          <t>9.2折</t>
        </is>
      </c>
      <c r="F1253">
        <f>HYPERLINK("https://i0.hdslb.com/bfs/mall/mall/fa/50/fa5097ce304badd00cd55cd3d56efa42.png", "点击查看图片")</f>
        <v/>
      </c>
      <c r="G1253">
        <f>HYPERLINK("https://mall.bilibili.com/neul-next/index.html?page=magic-market_detail&amp;noTitleBar=1&amp;itemsId=107068620157&amp;from=market_index", "点击打开")</f>
        <v/>
      </c>
    </row>
    <row r="1254">
      <c r="A1254" t="inlineStr">
        <is>
          <t>世嘉 中野四叶 景品手办</t>
        </is>
      </c>
      <c r="B1254" t="inlineStr">
        <is>
          <t>59.00元</t>
        </is>
      </c>
      <c r="C1254" t="inlineStr">
        <is>
          <t>115.00元</t>
        </is>
      </c>
      <c r="D1254" t="inlineStr">
        <is>
          <t>56.00元</t>
        </is>
      </c>
      <c r="E1254" t="inlineStr">
        <is>
          <t>5.1折</t>
        </is>
      </c>
      <c r="F1254">
        <f>HYPERLINK("https://i0.hdslb.com/bfs/mall/mall/4c/cf/4ccf698026ccae7af1dab2a22e20f0cf.png", "点击查看图片")</f>
        <v/>
      </c>
      <c r="G1254">
        <f>HYPERLINK("https://mall.bilibili.com/neul-next/index.html?page=magic-market_detail&amp;noTitleBar=1&amp;itemsId=107090818333&amp;from=market_index", "点击打开")</f>
        <v/>
      </c>
    </row>
    <row r="1255">
      <c r="A1255" t="inlineStr">
        <is>
          <t>39NASU 原创 芹香 泳装兔女郎Ver. 手办 通常版</t>
        </is>
      </c>
      <c r="B1255" t="inlineStr">
        <is>
          <t>800.00元</t>
        </is>
      </c>
      <c r="C1255" t="inlineStr">
        <is>
          <t>999.00元</t>
        </is>
      </c>
      <c r="D1255" t="inlineStr">
        <is>
          <t>199.00元</t>
        </is>
      </c>
      <c r="E1255" t="inlineStr">
        <is>
          <t>8.0折</t>
        </is>
      </c>
      <c r="F1255">
        <f>HYPERLINK("https://i0.hdslb.com/bfs/mall/mall/89/d7/89d743b82a6b8fa2e947f7b83e30195f.png", "点击查看图片")</f>
        <v/>
      </c>
      <c r="G1255">
        <f>HYPERLINK("https://mall.bilibili.com/neul-next/index.html?page=magic-market_detail&amp;noTitleBar=1&amp;itemsId=107072980976&amp;from=market_index", "点击打开")</f>
        <v/>
      </c>
    </row>
    <row r="1256">
      <c r="A1256" t="inlineStr">
        <is>
          <t>SSF 少女前线 UKM-2000 急速风流 重创Ver. 手办</t>
        </is>
      </c>
      <c r="B1256" t="inlineStr">
        <is>
          <t>718.00元</t>
        </is>
      </c>
      <c r="C1256" t="inlineStr">
        <is>
          <t>1349.00元</t>
        </is>
      </c>
      <c r="D1256" t="inlineStr">
        <is>
          <t>631.00元</t>
        </is>
      </c>
      <c r="E1256" t="inlineStr">
        <is>
          <t>5.3折</t>
        </is>
      </c>
      <c r="F1256">
        <f>HYPERLINK("https://i0.hdslb.com/bfs/mall/mall/92/a1/92a1fc48d088dc2cf8569f70d0da0edb.png", "点击查看图片")</f>
        <v/>
      </c>
      <c r="G1256">
        <f>HYPERLINK("https://mall.bilibili.com/neul-next/index.html?page=magic-market_detail&amp;noTitleBar=1&amp;itemsId=111915101488&amp;from=market_index", "点击打开")</f>
        <v/>
      </c>
    </row>
    <row r="1257">
      <c r="A1257" t="inlineStr">
        <is>
          <t>GSC 后藤独 Q版手办</t>
        </is>
      </c>
      <c r="B1257" t="inlineStr">
        <is>
          <t>75.00元</t>
        </is>
      </c>
      <c r="C1257" t="inlineStr">
        <is>
          <t>85.00元</t>
        </is>
      </c>
      <c r="D1257" t="inlineStr">
        <is>
          <t>10.00元</t>
        </is>
      </c>
      <c r="E1257" t="inlineStr">
        <is>
          <t>8.8折</t>
        </is>
      </c>
      <c r="F1257">
        <f>HYPERLINK("https://i0.hdslb.com/bfs/mall/mall/e6/75/e675999958f015db913321b7bffbef26.png", "点击查看图片")</f>
        <v/>
      </c>
      <c r="G1257">
        <f>HYPERLINK("https://mall.bilibili.com/neul-next/index.html?page=magic-market_detail&amp;noTitleBar=1&amp;itemsId=107080705864&amp;from=market_index", "点击打开")</f>
        <v/>
      </c>
    </row>
    <row r="1258">
      <c r="A1258" t="inlineStr">
        <is>
          <t>GSC 绫波零 Q版手办</t>
        </is>
      </c>
      <c r="B1258" t="inlineStr">
        <is>
          <t>88.99元</t>
        </is>
      </c>
      <c r="C1258" t="inlineStr">
        <is>
          <t>89.00元</t>
        </is>
      </c>
      <c r="D1258" t="inlineStr">
        <is>
          <t>0.01元</t>
        </is>
      </c>
      <c r="E1258" t="inlineStr">
        <is>
          <t>10.0折</t>
        </is>
      </c>
      <c r="F1258">
        <f>HYPERLINK("https://i0.hdslb.com/bfs/mall/mall/ca/4a/ca4a934a031d38ea24b601e66df1f1a8.png", "点击查看图片")</f>
        <v/>
      </c>
      <c r="G1258">
        <f>HYPERLINK("https://mall.bilibili.com/neul-next/index.html?page=magic-market_detail&amp;noTitleBar=1&amp;itemsId=107152276712&amp;from=market_index", "点击打开")</f>
        <v/>
      </c>
    </row>
    <row r="1259">
      <c r="A1259" t="inlineStr">
        <is>
          <t>AniGift 阿克拉西娅 手办</t>
        </is>
      </c>
      <c r="B1259" t="inlineStr">
        <is>
          <t>960.00元</t>
        </is>
      </c>
      <c r="C1259" t="inlineStr">
        <is>
          <t>1099.00元</t>
        </is>
      </c>
      <c r="D1259" t="inlineStr">
        <is>
          <t>139.00元</t>
        </is>
      </c>
      <c r="E1259" t="inlineStr">
        <is>
          <t>8.7折</t>
        </is>
      </c>
      <c r="F1259">
        <f>HYPERLINK("https://i0.hdslb.com/bfs/mall/mall/e1/f4/e1f4d27bce088d03b13a9a8b137bd224.png", "点击查看图片")</f>
        <v/>
      </c>
      <c r="G1259">
        <f>HYPERLINK("https://mall.bilibili.com/neul-next/index.html?page=magic-market_detail&amp;noTitleBar=1&amp;itemsId=109855226978&amp;from=market_index", "点击打开")</f>
        <v/>
      </c>
    </row>
    <row r="1260">
      <c r="A1260" t="inlineStr">
        <is>
          <t>GSAS Ib&amp;Garry Q版手办</t>
        </is>
      </c>
      <c r="B1260" t="inlineStr">
        <is>
          <t>378.00元</t>
        </is>
      </c>
      <c r="C1260" t="inlineStr">
        <is>
          <t>445.00元</t>
        </is>
      </c>
      <c r="D1260" t="inlineStr">
        <is>
          <t>67.00元</t>
        </is>
      </c>
      <c r="E1260" t="inlineStr">
        <is>
          <t>8.5折</t>
        </is>
      </c>
      <c r="F1260">
        <f>HYPERLINK("https://i0.hdslb.com/bfs/mall/mall/54/90/5490e8fa2fb445e364f05ac63cbb0196.png", "点击查看图片")</f>
        <v/>
      </c>
      <c r="G1260">
        <f>HYPERLINK("https://mall.bilibili.com/neul-next/index.html?page=magic-market_detail&amp;noTitleBar=1&amp;itemsId=107089520952&amp;from=market_index", "点击打开")</f>
        <v/>
      </c>
    </row>
    <row r="1261">
      <c r="A1261" t="inlineStr">
        <is>
          <t>FuRyu 朝田诗乃 景品手办</t>
        </is>
      </c>
      <c r="B1261" t="inlineStr">
        <is>
          <t>101.80元</t>
        </is>
      </c>
      <c r="C1261" t="inlineStr">
        <is>
          <t>135.00元</t>
        </is>
      </c>
      <c r="D1261" t="inlineStr">
        <is>
          <t>33.20元</t>
        </is>
      </c>
      <c r="E1261" t="inlineStr">
        <is>
          <t>7.5折</t>
        </is>
      </c>
      <c r="F1261">
        <f>HYPERLINK("https://i0.hdslb.com/bfs/mall/mall/6a/dc/6adc4d8bafad997de0137ffdcf57d356.png", "点击查看图片")</f>
        <v/>
      </c>
      <c r="G1261">
        <f>HYPERLINK("https://mall.bilibili.com/neul-next/index.html?page=magic-market_detail&amp;noTitleBar=1&amp;itemsId=109838076520&amp;from=market_index", "点击打开")</f>
        <v/>
      </c>
    </row>
    <row r="1262">
      <c r="A1262" t="inlineStr">
        <is>
          <t>Hobbymax AK-12 无冬咏叹调 Ver. 手办</t>
        </is>
      </c>
      <c r="B1262" t="inlineStr">
        <is>
          <t>514.50元</t>
        </is>
      </c>
      <c r="C1262" t="inlineStr">
        <is>
          <t>810.00元</t>
        </is>
      </c>
      <c r="D1262" t="inlineStr">
        <is>
          <t>295.50元</t>
        </is>
      </c>
      <c r="E1262" t="inlineStr">
        <is>
          <t>6.4折</t>
        </is>
      </c>
      <c r="F1262">
        <f>HYPERLINK("https://i0.hdslb.com/bfs/mall/mall/c7/bb/c7bb75fa031c9816c48390790ac90ccb.png", "点击查看图片")</f>
        <v/>
      </c>
      <c r="G1262">
        <f>HYPERLINK("https://mall.bilibili.com/neul-next/index.html?page=magic-market_detail&amp;noTitleBar=1&amp;itemsId=109819738391&amp;from=market_index", "点击打开")</f>
        <v/>
      </c>
    </row>
    <row r="1263">
      <c r="A1263" t="inlineStr">
        <is>
          <t>FREEing 阿尔托莉雅・潘德拉贡 手办</t>
        </is>
      </c>
      <c r="B1263" t="inlineStr">
        <is>
          <t>3529.00元</t>
        </is>
      </c>
      <c r="C1263" t="inlineStr">
        <is>
          <t>3529.00元</t>
        </is>
      </c>
      <c r="D1263" t="inlineStr">
        <is>
          <t>0.00元</t>
        </is>
      </c>
      <c r="E1263" t="inlineStr">
        <is>
          <t>10.0折</t>
        </is>
      </c>
      <c r="F1263">
        <f>HYPERLINK("https://i0.hdslb.com/bfs/mall/mall/c4/f6/c4f604a5f012490928de247072399c98.png", "点击查看图片")</f>
        <v/>
      </c>
      <c r="G1263">
        <f>HYPERLINK("https://mall.bilibili.com/neul-next/index.html?page=magic-market_detail&amp;noTitleBar=1&amp;itemsId=109837768088&amp;from=market_index", "点击打开")</f>
        <v/>
      </c>
    </row>
    <row r="1264">
      <c r="A1264" t="inlineStr">
        <is>
          <t>明日方舟 懒洋洋系列 投影灯 进阶大礼包</t>
        </is>
      </c>
      <c r="B1264" t="inlineStr">
        <is>
          <t>128.00元</t>
        </is>
      </c>
      <c r="C1264" t="inlineStr">
        <is>
          <t>398.00元</t>
        </is>
      </c>
      <c r="D1264" t="inlineStr">
        <is>
          <t>270.00元</t>
        </is>
      </c>
      <c r="E1264" t="inlineStr">
        <is>
          <t>3.2折</t>
        </is>
      </c>
      <c r="F1264">
        <f>HYPERLINK("https://i0.hdslb.com/bfs/mall/mall/58/cb/58cb6693e2a1b064c7a58a0a1fd83ecc.png", "点击查看图片")</f>
        <v/>
      </c>
      <c r="G1264">
        <f>HYPERLINK("https://mall.bilibili.com/neul-next/index.html?page=magic-market_detail&amp;noTitleBar=1&amp;itemsId=107104051123&amp;from=market_index", "点击打开")</f>
        <v/>
      </c>
    </row>
    <row r="1265">
      <c r="A1265" t="inlineStr">
        <is>
          <t>FuRyu 明内幽 景品手办</t>
        </is>
      </c>
      <c r="B1265" t="inlineStr">
        <is>
          <t>73.63元</t>
        </is>
      </c>
      <c r="C1265" t="inlineStr">
        <is>
          <t>119.00元</t>
        </is>
      </c>
      <c r="D1265" t="inlineStr">
        <is>
          <t>45.37元</t>
        </is>
      </c>
      <c r="E1265" t="inlineStr">
        <is>
          <t>6.2折</t>
        </is>
      </c>
      <c r="F1265">
        <f>HYPERLINK("https://i0.hdslb.com/bfs/mall/mall/0f/ea/0feada9cac8779b7a92b678e442d184f.png", "点击查看图片")</f>
        <v/>
      </c>
      <c r="G1265">
        <f>HYPERLINK("https://mall.bilibili.com/neul-next/index.html?page=magic-market_detail&amp;noTitleBar=1&amp;itemsId=107103484250&amp;from=market_index", "点击打开")</f>
        <v/>
      </c>
    </row>
    <row r="1266">
      <c r="A1266" t="inlineStr">
        <is>
          <t>FREEing 五更琉璃 兔女郎Ver. 手办</t>
        </is>
      </c>
      <c r="B1266" t="inlineStr">
        <is>
          <t>1635.00元</t>
        </is>
      </c>
      <c r="C1266" t="inlineStr">
        <is>
          <t>2379.00元</t>
        </is>
      </c>
      <c r="D1266" t="inlineStr">
        <is>
          <t>744.00元</t>
        </is>
      </c>
      <c r="E1266" t="inlineStr">
        <is>
          <t>6.9折</t>
        </is>
      </c>
      <c r="F1266">
        <f>HYPERLINK("https://i0.hdslb.com/bfs/mall/mall/f9/05/f905780fd629104d5f3e7523f49e81c3.png", "点击查看图片")</f>
        <v/>
      </c>
      <c r="G1266">
        <f>HYPERLINK("https://mall.bilibili.com/neul-next/index.html?page=magic-market_detail&amp;noTitleBar=1&amp;itemsId=107105669907&amp;from=market_index", "点击打开")</f>
        <v/>
      </c>
    </row>
    <row r="1267">
      <c r="A1267" t="inlineStr">
        <is>
          <t>GSC 食蜂操祈 Q版手办</t>
        </is>
      </c>
      <c r="B1267" t="inlineStr">
        <is>
          <t>240.00元</t>
        </is>
      </c>
      <c r="C1267" t="inlineStr">
        <is>
          <t>285.00元</t>
        </is>
      </c>
      <c r="D1267" t="inlineStr">
        <is>
          <t>45.00元</t>
        </is>
      </c>
      <c r="E1267" t="inlineStr">
        <is>
          <t>8.4折</t>
        </is>
      </c>
      <c r="F1267">
        <f>HYPERLINK("https://i0.hdslb.com/bfs/mall/mall/3a/d5/3ad56f1773f00c3af34740884cd9b3f1.png", "点击查看图片")</f>
        <v/>
      </c>
      <c r="G1267">
        <f>HYPERLINK("https://mall.bilibili.com/neul-next/index.html?page=magic-market_detail&amp;noTitleBar=1&amp;itemsId=111910401588&amp;from=market_index", "点击打开")</f>
        <v/>
      </c>
    </row>
    <row r="1268">
      <c r="A1268" t="inlineStr">
        <is>
          <t>Reverse Studio OTS-14 紫雨心Ver. 正比手办</t>
        </is>
      </c>
      <c r="B1268" t="inlineStr">
        <is>
          <t>450.00元</t>
        </is>
      </c>
      <c r="C1268" t="inlineStr">
        <is>
          <t>848.00元</t>
        </is>
      </c>
      <c r="D1268" t="inlineStr">
        <is>
          <t>398.00元</t>
        </is>
      </c>
      <c r="E1268" t="inlineStr">
        <is>
          <t>5.3折</t>
        </is>
      </c>
      <c r="F1268">
        <f>HYPERLINK("https://i0.hdslb.com/bfs/mall/mall/da/4c/da4c0bb5f3c467a85e50171f8f3b35e0.png", "点击查看图片")</f>
        <v/>
      </c>
      <c r="G1268">
        <f>HYPERLINK("https://mall.bilibili.com/neul-next/index.html?page=magic-market_detail&amp;noTitleBar=1&amp;itemsId=111909995687&amp;from=market_index", "点击打开")</f>
        <v/>
      </c>
    </row>
    <row r="1269">
      <c r="A1269" t="inlineStr">
        <is>
          <t>Phat! 藤原千花 正比手办</t>
        </is>
      </c>
      <c r="B1269" t="inlineStr">
        <is>
          <t>555.00元</t>
        </is>
      </c>
      <c r="C1269" t="inlineStr">
        <is>
          <t>955.00元</t>
        </is>
      </c>
      <c r="D1269" t="inlineStr">
        <is>
          <t>400.00元</t>
        </is>
      </c>
      <c r="E1269" t="inlineStr">
        <is>
          <t>5.8折</t>
        </is>
      </c>
      <c r="F1269">
        <f>HYPERLINK("https://i0.hdslb.com/bfs/mall/mall/a0/b0/a0b0ac600b7129109760bef2c94af6a7.png", "点击查看图片")</f>
        <v/>
      </c>
      <c r="G1269">
        <f>HYPERLINK("https://mall.bilibili.com/neul-next/index.html?page=magic-market_detail&amp;noTitleBar=1&amp;itemsId=109809212501&amp;from=market_index", "点击打开")</f>
        <v/>
      </c>
    </row>
    <row r="1270">
      <c r="A1270" t="inlineStr">
        <is>
          <t>Union Creative 狂赌之渊 蛇喰夢子 手办</t>
        </is>
      </c>
      <c r="B1270" t="inlineStr">
        <is>
          <t>900.00元</t>
        </is>
      </c>
      <c r="C1270" t="inlineStr">
        <is>
          <t>1025.00元</t>
        </is>
      </c>
      <c r="D1270" t="inlineStr">
        <is>
          <t>125.00元</t>
        </is>
      </c>
      <c r="E1270" t="inlineStr">
        <is>
          <t>8.8折</t>
        </is>
      </c>
      <c r="F1270">
        <f>HYPERLINK("https://i0.hdslb.com/bfs/mall/mall/52/fc/52fc4567db2e80cf04979bdd6f3b3758.png", "点击查看图片")</f>
        <v/>
      </c>
      <c r="G1270">
        <f>HYPERLINK("https://mall.bilibili.com/neul-next/index.html?page=magic-market_detail&amp;noTitleBar=1&amp;itemsId=109808264183&amp;from=market_index", "点击打开")</f>
        <v/>
      </c>
    </row>
    <row r="1271">
      <c r="A1271" t="inlineStr">
        <is>
          <t>PalVerse 伊地知虹夏 Q版手办</t>
        </is>
      </c>
      <c r="B1271" t="inlineStr">
        <is>
          <t>100.00元</t>
        </is>
      </c>
      <c r="C1271" t="inlineStr">
        <is>
          <t>160.00元</t>
        </is>
      </c>
      <c r="D1271" t="inlineStr">
        <is>
          <t>60.00元</t>
        </is>
      </c>
      <c r="E1271" t="inlineStr">
        <is>
          <t>6.2折</t>
        </is>
      </c>
      <c r="F1271">
        <f>HYPERLINK("https://i0.hdslb.com/bfs/mall/mall/9d/81/9d816f2b0bf2a870063a98ad3ae1ded9.png", "点击查看图片")</f>
        <v/>
      </c>
      <c r="G1271">
        <f>HYPERLINK("https://mall.bilibili.com/neul-next/index.html?page=magic-market_detail&amp;noTitleBar=1&amp;itemsId=109880635286&amp;from=market_index", "点击打开")</f>
        <v/>
      </c>
    </row>
    <row r="1272">
      <c r="A1272" t="inlineStr">
        <is>
          <t>Myethos 西施 手办</t>
        </is>
      </c>
      <c r="B1272" t="inlineStr">
        <is>
          <t>159.30元</t>
        </is>
      </c>
      <c r="C1272" t="inlineStr">
        <is>
          <t>199.00元</t>
        </is>
      </c>
      <c r="D1272" t="inlineStr">
        <is>
          <t>39.70元</t>
        </is>
      </c>
      <c r="E1272" t="inlineStr">
        <is>
          <t>8.0折</t>
        </is>
      </c>
      <c r="F1272">
        <f>HYPERLINK("https://i0.hdslb.com/bfs/mall/mall/6f/ab/6fab28716e3ca420c83b5853749e185d.png", "点击查看图片")</f>
        <v/>
      </c>
      <c r="G1272">
        <f>HYPERLINK("https://mall.bilibili.com/neul-next/index.html?page=magic-market_detail&amp;noTitleBar=1&amp;itemsId=109867760720&amp;from=market_index", "点击打开")</f>
        <v/>
      </c>
    </row>
    <row r="1273">
      <c r="A1273" t="inlineStr">
        <is>
          <t>FuRyu 2B 景品手办</t>
        </is>
      </c>
      <c r="B1273" t="inlineStr">
        <is>
          <t>82.00元</t>
        </is>
      </c>
      <c r="C1273" t="inlineStr">
        <is>
          <t>115.00元</t>
        </is>
      </c>
      <c r="D1273" t="inlineStr">
        <is>
          <t>33.00元</t>
        </is>
      </c>
      <c r="E1273" t="inlineStr">
        <is>
          <t>7.1折</t>
        </is>
      </c>
      <c r="F1273">
        <f>HYPERLINK("https://i0.hdslb.com/bfs/mall/mall/69/d9/69d9e609f442b18a82620fa4869f80d8.png", "点击查看图片")</f>
        <v/>
      </c>
      <c r="G1273">
        <f>HYPERLINK("https://mall.bilibili.com/neul-next/index.html?page=magic-market_detail&amp;noTitleBar=1&amp;itemsId=109817287638&amp;from=market_index", "点击打开")</f>
        <v/>
      </c>
    </row>
    <row r="1274">
      <c r="A1274" t="inlineStr">
        <is>
          <t>ALTER 偶像大师 灰姑娘女孩 砂冢明 Layered My Edge Ver. 1/7手办</t>
        </is>
      </c>
      <c r="B1274" t="inlineStr">
        <is>
          <t>888.00元</t>
        </is>
      </c>
      <c r="C1274" t="inlineStr">
        <is>
          <t>1199.00元</t>
        </is>
      </c>
      <c r="D1274" t="inlineStr">
        <is>
          <t>311.00元</t>
        </is>
      </c>
      <c r="E1274" t="inlineStr">
        <is>
          <t>7.4折</t>
        </is>
      </c>
      <c r="F1274">
        <f>HYPERLINK("https://i0.hdslb.com/bfs/mall/mall/7d/d3/7dd390283df48dec62c8522da706660a.png", "点击查看图片")</f>
        <v/>
      </c>
      <c r="G1274">
        <f>HYPERLINK("https://mall.bilibili.com/neul-next/index.html?page=magic-market_detail&amp;noTitleBar=1&amp;itemsId=110469562966&amp;from=market_index", "点击打开")</f>
        <v/>
      </c>
    </row>
    <row r="1275">
      <c r="A1275" t="inlineStr">
        <is>
          <t>世嘉 爱丽丝 毛绒玩偶</t>
        </is>
      </c>
      <c r="B1275" t="inlineStr">
        <is>
          <t>81.00元</t>
        </is>
      </c>
      <c r="C1275" t="inlineStr">
        <is>
          <t>221.00元</t>
        </is>
      </c>
      <c r="D1275" t="inlineStr">
        <is>
          <t>140.00元</t>
        </is>
      </c>
      <c r="E1275" t="inlineStr">
        <is>
          <t>3.7折</t>
        </is>
      </c>
      <c r="F1275">
        <f>HYPERLINK("https://i0.hdslb.com/bfs/mall/mall/32/59/3259dcee14b4ae5a5a7325c1e94be0ad.png", "点击查看图片")</f>
        <v/>
      </c>
      <c r="G1275">
        <f>HYPERLINK("https://mall.bilibili.com/neul-next/index.html?page=magic-market_detail&amp;noTitleBar=1&amp;itemsId=109812423409&amp;from=market_index", "点击打开")</f>
        <v/>
      </c>
    </row>
    <row r="1276">
      <c r="A1276" t="inlineStr">
        <is>
          <t>宝可梦 烈咬陆鲨 正比手办</t>
        </is>
      </c>
      <c r="B1276" t="inlineStr">
        <is>
          <t>38.00元</t>
        </is>
      </c>
      <c r="C1276" t="inlineStr">
        <is>
          <t>69.00元</t>
        </is>
      </c>
      <c r="D1276" t="inlineStr">
        <is>
          <t>31.00元</t>
        </is>
      </c>
      <c r="E1276" t="inlineStr">
        <is>
          <t>5.5折</t>
        </is>
      </c>
      <c r="F1276">
        <f>HYPERLINK("https://i0.hdslb.com/bfs/mall/mall/80/d0/80d07c73669ee8b9bb80c5775c003fac.png", "点击查看图片")</f>
        <v/>
      </c>
      <c r="G1276">
        <f>HYPERLINK("https://mall.bilibili.com/neul-next/index.html?page=magic-market_detail&amp;noTitleBar=1&amp;itemsId=109813098091&amp;from=market_index", "点击打开")</f>
        <v/>
      </c>
    </row>
    <row r="1277">
      <c r="A1277" t="inlineStr">
        <is>
          <t>BANPRESTO CP0 和之国 鬼岛篇 7 景品</t>
        </is>
      </c>
      <c r="B1277" t="inlineStr">
        <is>
          <t>37.51元</t>
        </is>
      </c>
      <c r="C1277" t="inlineStr">
        <is>
          <t>59.00元</t>
        </is>
      </c>
      <c r="D1277" t="inlineStr">
        <is>
          <t>21.49元</t>
        </is>
      </c>
      <c r="E1277" t="inlineStr">
        <is>
          <t>6.4折</t>
        </is>
      </c>
      <c r="F1277">
        <f>HYPERLINK("https://i0.hdslb.com/bfs/mall/mall/7f/e5/7fe5fe89c96005270975eb7794e6de31.png", "点击查看图片")</f>
        <v/>
      </c>
      <c r="G1277">
        <f>HYPERLINK("https://mall.bilibili.com/neul-next/index.html?page=magic-market_detail&amp;noTitleBar=1&amp;itemsId=109806580860&amp;from=market_index", "点击打开")</f>
        <v/>
      </c>
    </row>
    <row r="1278">
      <c r="A1278" t="inlineStr">
        <is>
          <t>世嘉 胀相 景品手办 再版</t>
        </is>
      </c>
      <c r="B1278" t="inlineStr">
        <is>
          <t>85.00元</t>
        </is>
      </c>
      <c r="C1278" t="inlineStr">
        <is>
          <t>112.00元</t>
        </is>
      </c>
      <c r="D1278" t="inlineStr">
        <is>
          <t>27.00元</t>
        </is>
      </c>
      <c r="E1278" t="inlineStr">
        <is>
          <t>7.6折</t>
        </is>
      </c>
      <c r="F1278">
        <f>HYPERLINK("https://i0.hdslb.com/bfs/mall/mall/7a/39/7a392f1374515d7e816a547a41cff628.png", "点击查看图片")</f>
        <v/>
      </c>
      <c r="G1278">
        <f>HYPERLINK("https://mall.bilibili.com/neul-next/index.html?page=magic-market_detail&amp;noTitleBar=1&amp;itemsId=109820278571&amp;from=market_index", "点击打开")</f>
        <v/>
      </c>
    </row>
    <row r="1279">
      <c r="A1279" t="inlineStr">
        <is>
          <t>TAITO 山田凉 居家服 景品手办</t>
        </is>
      </c>
      <c r="B1279" t="inlineStr">
        <is>
          <t>120.74元</t>
        </is>
      </c>
      <c r="C1279" t="inlineStr">
        <is>
          <t>122.00元</t>
        </is>
      </c>
      <c r="D1279" t="inlineStr">
        <is>
          <t>1.26元</t>
        </is>
      </c>
      <c r="E1279" t="inlineStr">
        <is>
          <t>9.9折</t>
        </is>
      </c>
      <c r="F1279">
        <f>HYPERLINK("https://i0.hdslb.com/bfs/mall/mall/ea/ff/eaff23301056c7c44c52860c881d9fea.png", "点击查看图片")</f>
        <v/>
      </c>
      <c r="G1279">
        <f>HYPERLINK("https://mall.bilibili.com/neul-next/index.html?page=magic-market_detail&amp;noTitleBar=1&amp;itemsId=111914062022&amp;from=market_index", "点击打开")</f>
        <v/>
      </c>
    </row>
    <row r="1280">
      <c r="A1280" t="inlineStr">
        <is>
          <t>AniGift 雀翎 裸足Ver. 正比手办 通常版</t>
        </is>
      </c>
      <c r="B1280" t="inlineStr">
        <is>
          <t>760.00元</t>
        </is>
      </c>
      <c r="C1280" t="inlineStr">
        <is>
          <t>999.00元</t>
        </is>
      </c>
      <c r="D1280" t="inlineStr">
        <is>
          <t>239.00元</t>
        </is>
      </c>
      <c r="E1280" t="inlineStr">
        <is>
          <t>7.6折</t>
        </is>
      </c>
      <c r="F1280">
        <f>HYPERLINK("https://i0.hdslb.com/bfs/mall/mall/e0/37/e037e65ea54f2e86646aa051c00d924f.png", "点击查看图片")</f>
        <v/>
      </c>
      <c r="G1280">
        <f>HYPERLINK("https://mall.bilibili.com/neul-next/index.html?page=magic-market_detail&amp;noTitleBar=1&amp;itemsId=111911786553&amp;from=market_index", "点击打开")</f>
        <v/>
      </c>
    </row>
    <row r="1281">
      <c r="A1281" t="inlineStr">
        <is>
          <t>TAITO 阿米娅 泳装Ver. 景品手办</t>
        </is>
      </c>
      <c r="B1281" t="inlineStr">
        <is>
          <t>80.00元</t>
        </is>
      </c>
      <c r="C1281" t="inlineStr">
        <is>
          <t>109.00元</t>
        </is>
      </c>
      <c r="D1281" t="inlineStr">
        <is>
          <t>29.00元</t>
        </is>
      </c>
      <c r="E1281" t="inlineStr">
        <is>
          <t>7.3折</t>
        </is>
      </c>
      <c r="F1281">
        <f>HYPERLINK("https://i0.hdslb.com/bfs/mall/mall/0b/8f/0b8fcf6a6ec0f45339dbd219c537523e.png", "点击查看图片")</f>
        <v/>
      </c>
      <c r="G1281">
        <f>HYPERLINK("https://mall.bilibili.com/neul-next/index.html?page=magic-market_detail&amp;noTitleBar=1&amp;itemsId=109814214359&amp;from=market_index", "点击打开")</f>
        <v/>
      </c>
    </row>
    <row r="1282">
      <c r="A1282" t="inlineStr">
        <is>
          <t>FuRyu 夏提雅·布拉德弗伦 正比手办</t>
        </is>
      </c>
      <c r="B1282" t="inlineStr">
        <is>
          <t>249.00元</t>
        </is>
      </c>
      <c r="C1282" t="inlineStr">
        <is>
          <t>439.00元</t>
        </is>
      </c>
      <c r="D1282" t="inlineStr">
        <is>
          <t>190.00元</t>
        </is>
      </c>
      <c r="E1282" t="inlineStr">
        <is>
          <t>5.7折</t>
        </is>
      </c>
      <c r="F1282">
        <f>HYPERLINK("https://i0.hdslb.com/bfs/mall/mall/9f/a3/9fa36352bb90d4a828c7f83603a3df3a.png", "点击查看图片")</f>
        <v/>
      </c>
      <c r="G1282">
        <f>HYPERLINK("https://mall.bilibili.com/neul-next/index.html?page=magic-market_detail&amp;noTitleBar=1&amp;itemsId=109807617600&amp;from=market_index", "点击打开")</f>
        <v/>
      </c>
    </row>
    <row r="1283">
      <c r="A1283" t="inlineStr">
        <is>
          <t>MIMEYOI 巧克力 手办</t>
        </is>
      </c>
      <c r="B1283" t="inlineStr">
        <is>
          <t>728.00元</t>
        </is>
      </c>
      <c r="C1283" t="inlineStr">
        <is>
          <t>959.00元</t>
        </is>
      </c>
      <c r="D1283" t="inlineStr">
        <is>
          <t>231.00元</t>
        </is>
      </c>
      <c r="E1283" t="inlineStr">
        <is>
          <t>7.6折</t>
        </is>
      </c>
      <c r="F1283">
        <f>HYPERLINK("https://i0.hdslb.com/bfs/mall/mall/95/4c/954cb9b9862d439de15c0c0ac85eb183.png", "点击查看图片")</f>
        <v/>
      </c>
      <c r="G1283">
        <f>HYPERLINK("https://mall.bilibili.com/neul-next/index.html?page=magic-market_detail&amp;noTitleBar=1&amp;itemsId=109846435836&amp;from=market_index", "点击打开")</f>
        <v/>
      </c>
    </row>
    <row r="1284">
      <c r="A1284" t="inlineStr">
        <is>
          <t>TOMYTEC 武装JK Little Armory C款 可动手办</t>
        </is>
      </c>
      <c r="B1284" t="inlineStr">
        <is>
          <t>300.00元</t>
        </is>
      </c>
      <c r="C1284" t="inlineStr">
        <is>
          <t>405.00元</t>
        </is>
      </c>
      <c r="D1284" t="inlineStr">
        <is>
          <t>105.00元</t>
        </is>
      </c>
      <c r="E1284" t="inlineStr">
        <is>
          <t>7.4折</t>
        </is>
      </c>
      <c r="F1284">
        <f>HYPERLINK("https://i0.hdslb.com/bfs/mall/mall/3c/dc/3cdcd5a6d671408e221e7c1f5e986dc5.png", "点击查看图片")</f>
        <v/>
      </c>
      <c r="G1284">
        <f>HYPERLINK("https://mall.bilibili.com/neul-next/index.html?page=magic-market_detail&amp;noTitleBar=1&amp;itemsId=109811842252&amp;from=market_index", "点击打开")</f>
        <v/>
      </c>
    </row>
    <row r="1285">
      <c r="A1285" t="inlineStr">
        <is>
          <t>GSC 狐坂若藻 泳装 正比手办</t>
        </is>
      </c>
      <c r="B1285" t="inlineStr">
        <is>
          <t>1223.00元</t>
        </is>
      </c>
      <c r="C1285" t="inlineStr">
        <is>
          <t>1359.00元</t>
        </is>
      </c>
      <c r="D1285" t="inlineStr">
        <is>
          <t>136.00元</t>
        </is>
      </c>
      <c r="E1285" t="inlineStr">
        <is>
          <t>9.0折</t>
        </is>
      </c>
      <c r="F1285">
        <f>HYPERLINK("https://i0.hdslb.com/bfs/mall/mall/4e/ee/4eeee7afbc2f8d5f1d8b4ac5ba2abf2d.png", "点击查看图片")</f>
        <v/>
      </c>
      <c r="G1285">
        <f>HYPERLINK("https://mall.bilibili.com/neul-next/index.html?page=magic-market_detail&amp;noTitleBar=1&amp;itemsId=111905840329&amp;from=market_index", "点击打开")</f>
        <v/>
      </c>
    </row>
    <row r="1286">
      <c r="A1286" t="inlineStr">
        <is>
          <t>ANIPLEX ONLINE 八奈见杏菜 正比手办</t>
        </is>
      </c>
      <c r="B1286" t="inlineStr">
        <is>
          <t>192.60元</t>
        </is>
      </c>
      <c r="C1286" t="inlineStr">
        <is>
          <t>249.00元</t>
        </is>
      </c>
      <c r="D1286" t="inlineStr">
        <is>
          <t>56.40元</t>
        </is>
      </c>
      <c r="E1286" t="inlineStr">
        <is>
          <t>7.7折</t>
        </is>
      </c>
      <c r="F1286">
        <f>HYPERLINK("https://i0.hdslb.com/bfs/mall/mall/57/50/5750f8c6f0f3e56b165abc3458674ab7.png", "点击查看图片")</f>
        <v/>
      </c>
      <c r="G1286">
        <f>HYPERLINK("https://mall.bilibili.com/neul-next/index.html?page=magic-market_detail&amp;noTitleBar=1&amp;itemsId=111922280917&amp;from=market_index", "点击打开")</f>
        <v/>
      </c>
    </row>
    <row r="1287">
      <c r="A1287" t="inlineStr">
        <is>
          <t>宝可梦 皮卡丘 正比手办</t>
        </is>
      </c>
      <c r="B1287" t="inlineStr">
        <is>
          <t>108.40元</t>
        </is>
      </c>
      <c r="C1287" t="inlineStr">
        <is>
          <t>199.00元</t>
        </is>
      </c>
      <c r="D1287" t="inlineStr">
        <is>
          <t>90.60元</t>
        </is>
      </c>
      <c r="E1287" t="inlineStr">
        <is>
          <t>5.4折</t>
        </is>
      </c>
      <c r="F1287">
        <f>HYPERLINK("https://i0.hdslb.com/bfs/mall/mall/20/0f/200f753af64db41a65f9390959d99202.png", "点击查看图片")</f>
        <v/>
      </c>
      <c r="G1287">
        <f>HYPERLINK("https://mall.bilibili.com/neul-next/index.html?page=magic-market_detail&amp;noTitleBar=1&amp;itemsId=111906615349&amp;from=market_index", "点击打开")</f>
        <v/>
      </c>
    </row>
    <row r="1288">
      <c r="A1288" t="inlineStr">
        <is>
          <t>世嘉 初音未来 现场应援ver. 景品</t>
        </is>
      </c>
      <c r="B1288" t="inlineStr">
        <is>
          <t>77.70元</t>
        </is>
      </c>
      <c r="C1288" t="inlineStr">
        <is>
          <t>119.00元</t>
        </is>
      </c>
      <c r="D1288" t="inlineStr">
        <is>
          <t>41.30元</t>
        </is>
      </c>
      <c r="E1288" t="inlineStr">
        <is>
          <t>6.5折</t>
        </is>
      </c>
      <c r="F1288">
        <f>HYPERLINK("https://i0.hdslb.com/bfs/mall/mall/17/d4/17d4900ff6e47a2291f7109c0fc9e1c1.png", "点击查看图片")</f>
        <v/>
      </c>
      <c r="G1288">
        <f>HYPERLINK("https://mall.bilibili.com/neul-next/index.html?page=magic-market_detail&amp;noTitleBar=1&amp;itemsId=109820105146&amp;from=market_index", "点击打开")</f>
        <v/>
      </c>
    </row>
    <row r="1289">
      <c r="A1289" t="inlineStr">
        <is>
          <t>宝可梦 仙子伊布 手办</t>
        </is>
      </c>
      <c r="B1289" t="inlineStr">
        <is>
          <t>152.00元</t>
        </is>
      </c>
      <c r="C1289" t="inlineStr">
        <is>
          <t>269.00元</t>
        </is>
      </c>
      <c r="D1289" t="inlineStr">
        <is>
          <t>117.00元</t>
        </is>
      </c>
      <c r="E1289" t="inlineStr">
        <is>
          <t>5.7折</t>
        </is>
      </c>
      <c r="F1289">
        <f>HYPERLINK("https://i0.hdslb.com/bfs/mall/mall/07/96/0796154af108a3037c4558a94c1298fd.png", "点击查看图片")</f>
        <v/>
      </c>
      <c r="G1289">
        <f>HYPERLINK("https://mall.bilibili.com/neul-next/index.html?page=magic-market_detail&amp;noTitleBar=1&amp;itemsId=111912867442&amp;from=market_index", "点击打开")</f>
        <v/>
      </c>
    </row>
    <row r="1290">
      <c r="A1290" t="inlineStr">
        <is>
          <t>【魔力赏】《大道朝天 1临江仙》平装版 武侠玄幻小说 猫腻著 | 大道朝天.一,临江仙</t>
        </is>
      </c>
      <c r="B1290" t="inlineStr">
        <is>
          <t>280.00元</t>
        </is>
      </c>
      <c r="C1290" t="inlineStr">
        <is>
          <t>280.00元</t>
        </is>
      </c>
      <c r="D1290" t="inlineStr">
        <is>
          <t>0.00元</t>
        </is>
      </c>
      <c r="E1290" t="inlineStr">
        <is>
          <t>10.0折</t>
        </is>
      </c>
      <c r="F1290">
        <f>HYPERLINK("https://i0.hdslb.com/bfs/mall/vendor/fc/6c/fc6ca5308b09dc364b14aaaa6306db0a.png", "点击查看图片")</f>
        <v/>
      </c>
      <c r="G1290">
        <f>HYPERLINK("https://mall.bilibili.com/neul-next/index.html?page=magic-market_detail&amp;noTitleBar=1&amp;itemsId=109822330523&amp;from=market_index", "点击打开")</f>
        <v/>
      </c>
    </row>
    <row r="1291">
      <c r="A1291" t="inlineStr">
        <is>
          <t>Union Creative 原创 加瀬大輝原画 眼镜JK小姐 手办</t>
        </is>
      </c>
      <c r="B1291" t="inlineStr">
        <is>
          <t>540.00元</t>
        </is>
      </c>
      <c r="C1291" t="inlineStr">
        <is>
          <t>765.00元</t>
        </is>
      </c>
      <c r="D1291" t="inlineStr">
        <is>
          <t>225.00元</t>
        </is>
      </c>
      <c r="E1291" t="inlineStr">
        <is>
          <t>7.1折</t>
        </is>
      </c>
      <c r="F1291">
        <f>HYPERLINK("https://i0.hdslb.com/bfs/mall/mall/39/42/39423e515c0c03b2ce463e814fd58a4c.png", "点击查看图片")</f>
        <v/>
      </c>
      <c r="G1291">
        <f>HYPERLINK("https://mall.bilibili.com/neul-next/index.html?page=magic-market_detail&amp;noTitleBar=1&amp;itemsId=110459476876&amp;from=market_index", "点击打开")</f>
        <v/>
      </c>
    </row>
    <row r="1292">
      <c r="A1292" t="inlineStr">
        <is>
          <t>Plum 偶像大师 灰姑娘女孩 依田芳乃 逢春花开Ver. 手办 再版</t>
        </is>
      </c>
      <c r="B1292" t="inlineStr">
        <is>
          <t>470.00元</t>
        </is>
      </c>
      <c r="C1292" t="inlineStr">
        <is>
          <t>799.00元</t>
        </is>
      </c>
      <c r="D1292" t="inlineStr">
        <is>
          <t>329.00元</t>
        </is>
      </c>
      <c r="E1292" t="inlineStr">
        <is>
          <t>5.9折</t>
        </is>
      </c>
      <c r="F1292">
        <f>HYPERLINK("https://i0.hdslb.com/bfs/mall/mall/3c/f5/3cf524109eea49fc7bf9373127842383.png", "点击查看图片")</f>
        <v/>
      </c>
      <c r="G1292">
        <f>HYPERLINK("https://mall.bilibili.com/neul-next/index.html?page=magic-market_detail&amp;noTitleBar=1&amp;itemsId=109818751184&amp;from=market_index", "点击打开")</f>
        <v/>
      </c>
    </row>
    <row r="1293">
      <c r="A1293" t="inlineStr">
        <is>
          <t>RIBOSE 温蒂 庆典时光 VER. 手办</t>
        </is>
      </c>
      <c r="B1293" t="inlineStr">
        <is>
          <t>190.50元</t>
        </is>
      </c>
      <c r="C1293" t="inlineStr">
        <is>
          <t>209.00元</t>
        </is>
      </c>
      <c r="D1293" t="inlineStr">
        <is>
          <t>18.50元</t>
        </is>
      </c>
      <c r="E1293" t="inlineStr">
        <is>
          <t>9.1折</t>
        </is>
      </c>
      <c r="F1293">
        <f>HYPERLINK("https://i0.hdslb.com/bfs/mall/mall/ec/03/ec03ef4b8bc45503252b2e14e7e4bcbf.png", "点击查看图片")</f>
        <v/>
      </c>
      <c r="G1293">
        <f>HYPERLINK("https://mall.bilibili.com/neul-next/index.html?page=magic-market_detail&amp;noTitleBar=1&amp;itemsId=109864901388&amp;from=market_index", "点击打开")</f>
        <v/>
      </c>
    </row>
    <row r="1294">
      <c r="A1294" t="inlineStr">
        <is>
          <t>Union Creative SSSS.GRIDMAN 新条茜 新秩序Ver. 手办</t>
        </is>
      </c>
      <c r="B1294" t="inlineStr">
        <is>
          <t>751.32元</t>
        </is>
      </c>
      <c r="C1294" t="inlineStr">
        <is>
          <t>1085.00元</t>
        </is>
      </c>
      <c r="D1294" t="inlineStr">
        <is>
          <t>333.68元</t>
        </is>
      </c>
      <c r="E1294" t="inlineStr">
        <is>
          <t>6.9折</t>
        </is>
      </c>
      <c r="F1294">
        <f>HYPERLINK("https://i0.hdslb.com/bfs/mall/mall/b0/fb/b0fbde7709dec1bd0c2ab1f59560a3c6.png", "点击查看图片")</f>
        <v/>
      </c>
      <c r="G1294">
        <f>HYPERLINK("https://mall.bilibili.com/neul-next/index.html?page=magic-market_detail&amp;noTitleBar=1&amp;itemsId=120675442084&amp;from=market_index", "点击打开")</f>
        <v/>
      </c>
    </row>
    <row r="1295">
      <c r="A1295" t="inlineStr">
        <is>
          <t>玩乐主义Funism 呆呆兽&amp;可达鸭  正比手办</t>
        </is>
      </c>
      <c r="B1295" t="inlineStr">
        <is>
          <t>199.00元</t>
        </is>
      </c>
      <c r="C1295" t="inlineStr">
        <is>
          <t>269.00元</t>
        </is>
      </c>
      <c r="D1295" t="inlineStr">
        <is>
          <t>70.00元</t>
        </is>
      </c>
      <c r="E1295" t="inlineStr">
        <is>
          <t>7.4折</t>
        </is>
      </c>
      <c r="F1295">
        <f>HYPERLINK("https://i0.hdslb.com/bfs/mall/mall/97/ca/97ca036aecbcc4e75e5212a100b1c23a.png", "点击查看图片")</f>
        <v/>
      </c>
      <c r="G1295">
        <f>HYPERLINK("https://mall.bilibili.com/neul-next/index.html?page=magic-market_detail&amp;noTitleBar=1&amp;itemsId=111910800009&amp;from=market_index", "点击打开")</f>
        <v/>
      </c>
    </row>
    <row r="1296">
      <c r="A1296" t="inlineStr">
        <is>
          <t>AniMester大漫匠 JK兔女郎·卯之樱 手办</t>
        </is>
      </c>
      <c r="B1296" t="inlineStr">
        <is>
          <t>235.80元</t>
        </is>
      </c>
      <c r="C1296" t="inlineStr">
        <is>
          <t>248.00元</t>
        </is>
      </c>
      <c r="D1296" t="inlineStr">
        <is>
          <t>12.20元</t>
        </is>
      </c>
      <c r="E1296" t="inlineStr">
        <is>
          <t>9.5折</t>
        </is>
      </c>
      <c r="F1296">
        <f>HYPERLINK("https://i0.hdslb.com/bfs/mall/mall/82/33/823341ca095a28b6b0749997c17fa260.png", "点击查看图片")</f>
        <v/>
      </c>
      <c r="G1296">
        <f>HYPERLINK("https://mall.bilibili.com/neul-next/index.html?page=magic-market_detail&amp;noTitleBar=1&amp;itemsId=109826252749&amp;from=market_index", "点击打开")</f>
        <v/>
      </c>
    </row>
    <row r="1297">
      <c r="A1297" t="inlineStr">
        <is>
          <t>EMONTOYS 圣传 RG VEDA 孔雀 手办</t>
        </is>
      </c>
      <c r="B1297" t="inlineStr">
        <is>
          <t>889.00元</t>
        </is>
      </c>
      <c r="C1297" t="inlineStr">
        <is>
          <t>1258.00元</t>
        </is>
      </c>
      <c r="D1297" t="inlineStr">
        <is>
          <t>369.00元</t>
        </is>
      </c>
      <c r="E1297" t="inlineStr">
        <is>
          <t>7.1折</t>
        </is>
      </c>
      <c r="F1297">
        <f>HYPERLINK("https://i0.hdslb.com/bfs/mall/mall/01/67/0167a9c5bde7edd6de26ec4c04eb2c18.png", "点击查看图片")</f>
        <v/>
      </c>
      <c r="G1297">
        <f>HYPERLINK("https://mall.bilibili.com/neul-next/index.html?page=magic-market_detail&amp;noTitleBar=1&amp;itemsId=111914213131&amp;from=market_index", "点击打开")</f>
        <v/>
      </c>
    </row>
    <row r="1298">
      <c r="A1298" t="inlineStr">
        <is>
          <t>ALTER OVERLORD 雅儿贝德 纯白圣诞ver. 手办</t>
        </is>
      </c>
      <c r="B1298" t="inlineStr">
        <is>
          <t>1399.32元</t>
        </is>
      </c>
      <c r="C1298" t="inlineStr">
        <is>
          <t>1760.00元</t>
        </is>
      </c>
      <c r="D1298" t="inlineStr">
        <is>
          <t>360.68元</t>
        </is>
      </c>
      <c r="E1298" t="inlineStr">
        <is>
          <t>8.0折</t>
        </is>
      </c>
      <c r="F1298">
        <f>HYPERLINK("https://i0.hdslb.com/bfs/mall/mall/ad/c5/adc545c3e67b895bbf1abc182ae18863.png", "点击查看图片")</f>
        <v/>
      </c>
      <c r="G1298">
        <f>HYPERLINK("https://mall.bilibili.com/neul-next/index.html?page=magic-market_detail&amp;noTitleBar=1&amp;itemsId=109863659317&amp;from=market_index", "点击打开")</f>
        <v/>
      </c>
    </row>
    <row r="1299">
      <c r="A1299" t="inlineStr">
        <is>
          <t>擎苍 晴雅 正比手办</t>
        </is>
      </c>
      <c r="B1299" t="inlineStr">
        <is>
          <t>134.05元</t>
        </is>
      </c>
      <c r="C1299" t="inlineStr">
        <is>
          <t>399.00元</t>
        </is>
      </c>
      <c r="D1299" t="inlineStr">
        <is>
          <t>264.95元</t>
        </is>
      </c>
      <c r="E1299" t="inlineStr">
        <is>
          <t>3.4折</t>
        </is>
      </c>
      <c r="F1299">
        <f>HYPERLINK("https://i0.hdslb.com/bfs/mall/mall/92/13/92136928f5aeb630b8df6aa460e0500a.png", "点击查看图片")</f>
        <v/>
      </c>
      <c r="G1299">
        <f>HYPERLINK("https://mall.bilibili.com/neul-next/index.html?page=magic-market_detail&amp;noTitleBar=1&amp;itemsId=111911192544&amp;from=market_index", "点击打开")</f>
        <v/>
      </c>
    </row>
    <row r="1300">
      <c r="A1300" t="inlineStr">
        <is>
          <t>角川 我推的孩子 有马加奈 「Full moon…!」 ver. 手办</t>
        </is>
      </c>
      <c r="B1300" t="inlineStr">
        <is>
          <t>145.00元</t>
        </is>
      </c>
      <c r="C1300" t="inlineStr">
        <is>
          <t>390.00元</t>
        </is>
      </c>
      <c r="D1300" t="inlineStr">
        <is>
          <t>245.00元</t>
        </is>
      </c>
      <c r="E1300" t="inlineStr">
        <is>
          <t>3.7折</t>
        </is>
      </c>
      <c r="F1300">
        <f>HYPERLINK("https://i0.hdslb.com/bfs/mall/mall/16/a4/16a42e6a38283b8e82480a24a577c80b.png", "点击查看图片")</f>
        <v/>
      </c>
      <c r="G1300">
        <f>HYPERLINK("https://mall.bilibili.com/neul-next/index.html?page=magic-market_detail&amp;noTitleBar=1&amp;itemsId=110458591042&amp;from=market_index", "点击打开")</f>
        <v/>
      </c>
    </row>
    <row r="1301">
      <c r="A1301" t="inlineStr">
        <is>
          <t>GSC 雪音克莉丝 迷人♥毛衣style[AQ] 手办</t>
        </is>
      </c>
      <c r="B1301" t="inlineStr">
        <is>
          <t>538.00元</t>
        </is>
      </c>
      <c r="C1301" t="inlineStr">
        <is>
          <t>959.00元</t>
        </is>
      </c>
      <c r="D1301" t="inlineStr">
        <is>
          <t>421.00元</t>
        </is>
      </c>
      <c r="E1301" t="inlineStr">
        <is>
          <t>5.6折</t>
        </is>
      </c>
      <c r="F1301">
        <f>HYPERLINK("https://i0.hdslb.com/bfs/mall/mall/aa/d8/aad8b53da780ae25a7173ab6064eef5a.png", "点击查看图片")</f>
        <v/>
      </c>
      <c r="G1301">
        <f>HYPERLINK("https://mall.bilibili.com/neul-next/index.html?page=magic-market_detail&amp;noTitleBar=1&amp;itemsId=120676082539&amp;from=market_index", "点击打开")</f>
        <v/>
      </c>
    </row>
    <row r="1302">
      <c r="A1302" t="inlineStr">
        <is>
          <t>Vsinger 洛天依 BLUE&amp;天空雪鸮系列 双闪徽章套组</t>
        </is>
      </c>
      <c r="B1302" t="inlineStr">
        <is>
          <t>750.00元</t>
        </is>
      </c>
      <c r="C1302" t="inlineStr">
        <is>
          <t>1459.00元</t>
        </is>
      </c>
      <c r="D1302" t="inlineStr">
        <is>
          <t>709.00元</t>
        </is>
      </c>
      <c r="E1302" t="inlineStr">
        <is>
          <t>5.1折</t>
        </is>
      </c>
      <c r="F1302">
        <f>HYPERLINK("https://i0.hdslb.com/bfs/mall/vendor/92/2f/922f6d754f5f92f9147081606708b603.png", "点击查看图片")</f>
        <v/>
      </c>
      <c r="G1302">
        <f>HYPERLINK("https://mall.bilibili.com/neul-next/index.html?page=magic-market_detail&amp;noTitleBar=1&amp;itemsId=109856385360&amp;from=market_index", "点击打开")</f>
        <v/>
      </c>
    </row>
    <row r="1303">
      <c r="A1303" t="inlineStr">
        <is>
          <t>GSC 镜音铃 劣等上等Ver. L size 正比手办</t>
        </is>
      </c>
      <c r="B1303" t="inlineStr">
        <is>
          <t>330.00元</t>
        </is>
      </c>
      <c r="C1303" t="inlineStr">
        <is>
          <t>405.00元</t>
        </is>
      </c>
      <c r="D1303" t="inlineStr">
        <is>
          <t>75.00元</t>
        </is>
      </c>
      <c r="E1303" t="inlineStr">
        <is>
          <t>8.1折</t>
        </is>
      </c>
      <c r="F1303">
        <f>HYPERLINK("https://i0.hdslb.com/bfs/mall/mall/4d/ee/4dee62ced90a44bbff266091802539ca.png", "点击查看图片")</f>
        <v/>
      </c>
      <c r="G1303">
        <f>HYPERLINK("https://mall.bilibili.com/neul-next/index.html?page=magic-market_detail&amp;noTitleBar=1&amp;itemsId=111914628355&amp;from=market_index", "点击打开")</f>
        <v/>
      </c>
    </row>
    <row r="1304">
      <c r="A1304" t="inlineStr">
        <is>
          <t>吉徳×F:NEX 剧场版 魔法少女小圆［新篇］叛逆的物语 晓美焰 -日本人形- 1/4手办</t>
        </is>
      </c>
      <c r="B1304" t="inlineStr">
        <is>
          <t>5288.00元</t>
        </is>
      </c>
      <c r="C1304" t="inlineStr">
        <is>
          <t>8781.00元</t>
        </is>
      </c>
      <c r="D1304" t="inlineStr">
        <is>
          <t>3493.00元</t>
        </is>
      </c>
      <c r="E1304" t="inlineStr">
        <is>
          <t>6.0折</t>
        </is>
      </c>
      <c r="F1304">
        <f>HYPERLINK("https://i0.hdslb.com/bfs/mall/mall/3d/2d/3d2dd1dec75835e8973d78ebe0804df2.png", "点击查看图片")</f>
        <v/>
      </c>
      <c r="G1304">
        <f>HYPERLINK("https://mall.bilibili.com/neul-next/index.html?page=magic-market_detail&amp;noTitleBar=1&amp;itemsId=109835309346&amp;from=market_index", "点击打开")</f>
        <v/>
      </c>
    </row>
    <row r="1305">
      <c r="A1305" t="inlineStr">
        <is>
          <t>FreeWillStudio  阿努比斯的小憩  手办</t>
        </is>
      </c>
      <c r="B1305" t="inlineStr">
        <is>
          <t>620.00元</t>
        </is>
      </c>
      <c r="C1305" t="inlineStr">
        <is>
          <t>899.00元</t>
        </is>
      </c>
      <c r="D1305" t="inlineStr">
        <is>
          <t>279.00元</t>
        </is>
      </c>
      <c r="E1305" t="inlineStr">
        <is>
          <t>6.9折</t>
        </is>
      </c>
      <c r="F1305">
        <f>HYPERLINK("https://i0.hdslb.com/bfs/mall/mall/80/29/8029ef55c624dc9e5123079d3349401e.png", "点击查看图片")</f>
        <v/>
      </c>
      <c r="G1305">
        <f>HYPERLINK("https://mall.bilibili.com/neul-next/index.html?page=magic-market_detail&amp;noTitleBar=1&amp;itemsId=109836077889&amp;from=market_index", "点击打开")</f>
        <v/>
      </c>
    </row>
    <row r="1306">
      <c r="A1306" t="inlineStr">
        <is>
          <t>GSC 艾克佐迪亚 正比手办</t>
        </is>
      </c>
      <c r="B1306" t="inlineStr">
        <is>
          <t>555.00元</t>
        </is>
      </c>
      <c r="C1306" t="inlineStr">
        <is>
          <t>719.00元</t>
        </is>
      </c>
      <c r="D1306" t="inlineStr">
        <is>
          <t>164.00元</t>
        </is>
      </c>
      <c r="E1306" t="inlineStr">
        <is>
          <t>7.7折</t>
        </is>
      </c>
      <c r="F1306">
        <f>HYPERLINK("https://i0.hdslb.com/bfs/mall/mall/54/45/5445201eeae84e99a5e070edf3fce820.png", "点击查看图片")</f>
        <v/>
      </c>
      <c r="G1306">
        <f>HYPERLINK("https://mall.bilibili.com/neul-next/index.html?page=magic-market_detail&amp;noTitleBar=1&amp;itemsId=110466495194&amp;from=market_index", "点击打开")</f>
        <v/>
      </c>
    </row>
    <row r="1307">
      <c r="A1307" t="inlineStr">
        <is>
          <t>Union Creative 妮雅 泳装ver. 手办</t>
        </is>
      </c>
      <c r="B1307" t="inlineStr">
        <is>
          <t>599.00元</t>
        </is>
      </c>
      <c r="C1307" t="inlineStr">
        <is>
          <t>759.00元</t>
        </is>
      </c>
      <c r="D1307" t="inlineStr">
        <is>
          <t>160.00元</t>
        </is>
      </c>
      <c r="E1307" t="inlineStr">
        <is>
          <t>7.9折</t>
        </is>
      </c>
      <c r="F1307">
        <f>HYPERLINK("https://i0.hdslb.com/bfs/mall/mall/d6/36/d63621a805db692f1084a783ab8329e0.png", "点击查看图片")</f>
        <v/>
      </c>
      <c r="G1307">
        <f>HYPERLINK("https://mall.bilibili.com/neul-next/index.html?page=magic-market_detail&amp;noTitleBar=1&amp;itemsId=111903853884&amp;from=market_index", "点击打开")</f>
        <v/>
      </c>
    </row>
    <row r="1308">
      <c r="A1308" t="inlineStr">
        <is>
          <t>RIBOSE ·奶牛猫 正比手办</t>
        </is>
      </c>
      <c r="B1308" t="inlineStr">
        <is>
          <t>289.00元</t>
        </is>
      </c>
      <c r="C1308" t="inlineStr">
        <is>
          <t>349.00元</t>
        </is>
      </c>
      <c r="D1308" t="inlineStr">
        <is>
          <t>60.00元</t>
        </is>
      </c>
      <c r="E1308" t="inlineStr">
        <is>
          <t>8.3折</t>
        </is>
      </c>
      <c r="F1308">
        <f>HYPERLINK("https://i0.hdslb.com/bfs/mall/mall/f6/82/f6824d69cf5fe36cc4fb3b83d293de1c.png", "点击查看图片")</f>
        <v/>
      </c>
      <c r="G1308">
        <f>HYPERLINK("https://mall.bilibili.com/neul-next/index.html?page=magic-market_detail&amp;noTitleBar=1&amp;itemsId=111915432060&amp;from=market_index", "点击打开")</f>
        <v/>
      </c>
    </row>
    <row r="1309">
      <c r="A1309" t="inlineStr">
        <is>
          <t>科大讯飞 黑 鼠标</t>
        </is>
      </c>
      <c r="B1309" t="inlineStr">
        <is>
          <t>1010.00元</t>
        </is>
      </c>
      <c r="C1309" t="inlineStr">
        <is>
          <t>1668.00元</t>
        </is>
      </c>
      <c r="D1309" t="inlineStr">
        <is>
          <t>658.00元</t>
        </is>
      </c>
      <c r="E1309" t="inlineStr">
        <is>
          <t>6.1折</t>
        </is>
      </c>
      <c r="F1309">
        <f>HYPERLINK("https://i0.hdslb.com/bfs/mall/vendor/72/0d/720d8f011693f530ab03b2a1cd01277c.png", "点击查看图片")</f>
        <v/>
      </c>
      <c r="G1309">
        <f>HYPERLINK("https://mall.bilibili.com/neul-next/index.html?page=magic-market_detail&amp;noTitleBar=1&amp;itemsId=109842587849&amp;from=market_index", "点击打开")</f>
        <v/>
      </c>
    </row>
    <row r="1310">
      <c r="A1310" t="inlineStr">
        <is>
          <t>Orange Rouge 太宰治 Q版手办</t>
        </is>
      </c>
      <c r="B1310" t="inlineStr">
        <is>
          <t>388.99元</t>
        </is>
      </c>
      <c r="C1310" t="inlineStr">
        <is>
          <t>405.00元</t>
        </is>
      </c>
      <c r="D1310" t="inlineStr">
        <is>
          <t>16.01元</t>
        </is>
      </c>
      <c r="E1310" t="inlineStr">
        <is>
          <t>9.6折</t>
        </is>
      </c>
      <c r="F1310">
        <f>HYPERLINK("https://i0.hdslb.com/bfs/mall/mall/67/56/675668d9faede1fad0a5200b134a1f1e.png", "点击查看图片")</f>
        <v/>
      </c>
      <c r="G1310">
        <f>HYPERLINK("https://mall.bilibili.com/neul-next/index.html?page=magic-market_detail&amp;noTitleBar=1&amp;itemsId=110478445948&amp;from=market_index", "点击打开")</f>
        <v/>
      </c>
    </row>
    <row r="1311">
      <c r="A1311" t="inlineStr">
        <is>
          <t>ALTER 碧蓝航线 英仙座 生疏的执勤时间ver. 手办</t>
        </is>
      </c>
      <c r="B1311" t="inlineStr">
        <is>
          <t>1500.00元</t>
        </is>
      </c>
      <c r="C1311" t="inlineStr">
        <is>
          <t>1550.00元</t>
        </is>
      </c>
      <c r="D1311" t="inlineStr">
        <is>
          <t>50.00元</t>
        </is>
      </c>
      <c r="E1311" t="inlineStr">
        <is>
          <t>9.7折</t>
        </is>
      </c>
      <c r="F1311">
        <f>HYPERLINK("https://i0.hdslb.com/bfs/mall/mall/de/c5/dec5041859d2231ae000ceef8fd0214d.png", "点击查看图片")</f>
        <v/>
      </c>
      <c r="G1311">
        <f>HYPERLINK("https://mall.bilibili.com/neul-next/index.html?page=magic-market_detail&amp;noTitleBar=1&amp;itemsId=109843436460&amp;from=market_index", "点击打开")</f>
        <v/>
      </c>
    </row>
    <row r="1312">
      <c r="A1312" t="inlineStr">
        <is>
          <t>Plum 香草 Q版手办</t>
        </is>
      </c>
      <c r="B1312" t="inlineStr">
        <is>
          <t>169.83元</t>
        </is>
      </c>
      <c r="C1312" t="inlineStr">
        <is>
          <t>284.00元</t>
        </is>
      </c>
      <c r="D1312" t="inlineStr">
        <is>
          <t>114.17元</t>
        </is>
      </c>
      <c r="E1312" t="inlineStr">
        <is>
          <t>6.0折</t>
        </is>
      </c>
      <c r="F1312">
        <f>HYPERLINK("https://i0.hdslb.com/bfs/mall/mall/e0/98/e098a590388c912b5ccb5f1c24567449.png", "点击查看图片")</f>
        <v/>
      </c>
      <c r="G1312">
        <f>HYPERLINK("https://mall.bilibili.com/neul-next/index.html?page=magic-market_detail&amp;noTitleBar=1&amp;itemsId=109879668353&amp;from=market_index", "点击打开")</f>
        <v/>
      </c>
    </row>
    <row r="1313">
      <c r="A1313" t="inlineStr">
        <is>
          <t>GSAS 浅仓透 Q版手办</t>
        </is>
      </c>
      <c r="B1313" t="inlineStr">
        <is>
          <t>265.00元</t>
        </is>
      </c>
      <c r="C1313" t="inlineStr">
        <is>
          <t>315.00元</t>
        </is>
      </c>
      <c r="D1313" t="inlineStr">
        <is>
          <t>50.00元</t>
        </is>
      </c>
      <c r="E1313" t="inlineStr">
        <is>
          <t>8.4折</t>
        </is>
      </c>
      <c r="F1313">
        <f>HYPERLINK("https://i0.hdslb.com/bfs/mall/mall/30/5c/305cea1e58503d91ff183de962dfa56d.png", "点击查看图片")</f>
        <v/>
      </c>
      <c r="G1313">
        <f>HYPERLINK("https://mall.bilibili.com/neul-next/index.html?page=magic-market_detail&amp;noTitleBar=1&amp;itemsId=109851171355&amp;from=market_index", "点击打开")</f>
        <v/>
      </c>
    </row>
    <row r="1314">
      <c r="A1314" t="inlineStr">
        <is>
          <t>RIBOSE 崇音 手办</t>
        </is>
      </c>
      <c r="B1314" t="inlineStr">
        <is>
          <t>588.00元</t>
        </is>
      </c>
      <c r="C1314" t="inlineStr">
        <is>
          <t>888.00元</t>
        </is>
      </c>
      <c r="D1314" t="inlineStr">
        <is>
          <t>300.00元</t>
        </is>
      </c>
      <c r="E1314" t="inlineStr">
        <is>
          <t>6.6折</t>
        </is>
      </c>
      <c r="F1314">
        <f>HYPERLINK("https://i0.hdslb.com/bfs/mall/mall/21/cf/21cfe0f3b6a6cae128976a766e106aa1.png", "点击查看图片")</f>
        <v/>
      </c>
      <c r="G1314">
        <f>HYPERLINK("https://mall.bilibili.com/neul-next/index.html?page=magic-market_detail&amp;noTitleBar=1&amp;itemsId=109852363892&amp;from=market_index", "点击打开")</f>
        <v/>
      </c>
    </row>
    <row r="1315">
      <c r="A1315" t="inlineStr">
        <is>
          <t>Ensoutoys 桐人&amp;亚丝娜 手办</t>
        </is>
      </c>
      <c r="B1315" t="inlineStr">
        <is>
          <t>980.00元</t>
        </is>
      </c>
      <c r="C1315" t="inlineStr">
        <is>
          <t>1758.00元</t>
        </is>
      </c>
      <c r="D1315" t="inlineStr">
        <is>
          <t>778.00元</t>
        </is>
      </c>
      <c r="E1315" t="inlineStr">
        <is>
          <t>5.6折</t>
        </is>
      </c>
      <c r="F1315">
        <f>HYPERLINK("https://i0.hdslb.com/bfs/mall/mall/18/70/18704558b0752f52b406bc53ac35ccb9.png", "点击查看图片")</f>
        <v/>
      </c>
      <c r="G1315">
        <f>HYPERLINK("https://mall.bilibili.com/neul-next/index.html?page=magic-market_detail&amp;noTitleBar=1&amp;itemsId=109845976735&amp;from=market_index", "点击打开")</f>
        <v/>
      </c>
    </row>
    <row r="1316">
      <c r="A1316" t="inlineStr">
        <is>
          <t>FREEing 97式 魔女格莱特 手办</t>
        </is>
      </c>
      <c r="B1316" t="inlineStr">
        <is>
          <t>1949.20元</t>
        </is>
      </c>
      <c r="C1316" t="inlineStr">
        <is>
          <t>3529.00元</t>
        </is>
      </c>
      <c r="D1316" t="inlineStr">
        <is>
          <t>1579.80元</t>
        </is>
      </c>
      <c r="E1316" t="inlineStr">
        <is>
          <t>5.5折</t>
        </is>
      </c>
      <c r="F1316">
        <f>HYPERLINK("https://i0.hdslb.com/bfs/mall/mall/4a/ad/4aade78c40d464b18fbe62df28632839.png", "点击查看图片")</f>
        <v/>
      </c>
      <c r="G1316">
        <f>HYPERLINK("https://mall.bilibili.com/neul-next/index.html?page=magic-market_detail&amp;noTitleBar=1&amp;itemsId=109851555792&amp;from=market_index", "点击打开")</f>
        <v/>
      </c>
    </row>
    <row r="1317">
      <c r="A1317" t="inlineStr">
        <is>
          <t xml:space="preserve"> F:NEX 御坂美琴 1/1胸像 手办</t>
        </is>
      </c>
      <c r="B1317" t="inlineStr">
        <is>
          <t>6988.00元</t>
        </is>
      </c>
      <c r="C1317" t="inlineStr">
        <is>
          <t>16599.00元</t>
        </is>
      </c>
      <c r="D1317" t="inlineStr">
        <is>
          <t>9611.00元</t>
        </is>
      </c>
      <c r="E1317" t="inlineStr">
        <is>
          <t>4.2折</t>
        </is>
      </c>
      <c r="F1317">
        <f>HYPERLINK("https://i0.hdslb.com/bfs/mall/mall/0e/5d/0e5db8f5d041552a2f4568cad4c45e79.png", "点击查看图片")</f>
        <v/>
      </c>
      <c r="G1317">
        <f>HYPERLINK("https://mall.bilibili.com/neul-next/index.html?page=magic-market_detail&amp;noTitleBar=1&amp;itemsId=109851752865&amp;from=market_index", "点击打开")</f>
        <v/>
      </c>
    </row>
    <row r="1318">
      <c r="A1318" t="inlineStr">
        <is>
          <t>ANIPLEX+ 尼禄·克劳狄乌斯 正比手办</t>
        </is>
      </c>
      <c r="B1318" t="inlineStr">
        <is>
          <t>1498.00元</t>
        </is>
      </c>
      <c r="C1318" t="inlineStr">
        <is>
          <t>1790.00元</t>
        </is>
      </c>
      <c r="D1318" t="inlineStr">
        <is>
          <t>292.00元</t>
        </is>
      </c>
      <c r="E1318" t="inlineStr">
        <is>
          <t>8.4折</t>
        </is>
      </c>
      <c r="F1318">
        <f>HYPERLINK("https://i0.hdslb.com/bfs/mall/mall/fd/b3/fdb3d1ca29f425380ed7c8afd5e57ff3.png", "点击查看图片")</f>
        <v/>
      </c>
      <c r="G1318">
        <f>HYPERLINK("https://mall.bilibili.com/neul-next/index.html?page=magic-market_detail&amp;noTitleBar=1&amp;itemsId=109887166416&amp;from=market_index", "点击打开")</f>
        <v/>
      </c>
    </row>
    <row r="1319">
      <c r="A1319" t="inlineStr">
        <is>
          <t>GSC 尤贝尔 Q版手办</t>
        </is>
      </c>
      <c r="B1319" t="inlineStr">
        <is>
          <t>260.00元</t>
        </is>
      </c>
      <c r="C1319" t="inlineStr">
        <is>
          <t>285.00元</t>
        </is>
      </c>
      <c r="D1319" t="inlineStr">
        <is>
          <t>25.00元</t>
        </is>
      </c>
      <c r="E1319" t="inlineStr">
        <is>
          <t>9.1折</t>
        </is>
      </c>
      <c r="F1319">
        <f>HYPERLINK("https://i0.hdslb.com/bfs/mall/mall/2f/4f/2f4f83bfb0edd70ffa0ed661c81ee601.png", "点击查看图片")</f>
        <v/>
      </c>
      <c r="G1319">
        <f>HYPERLINK("https://mall.bilibili.com/neul-next/index.html?page=magic-market_detail&amp;noTitleBar=1&amp;itemsId=109858903758&amp;from=market_index", "点击打开")</f>
        <v/>
      </c>
    </row>
    <row r="1320">
      <c r="A1320" t="inlineStr">
        <is>
          <t>Myethos Girls From Hell Viola 手办</t>
        </is>
      </c>
      <c r="B1320" t="inlineStr">
        <is>
          <t>698.00元</t>
        </is>
      </c>
      <c r="C1320" t="inlineStr">
        <is>
          <t>999.00元</t>
        </is>
      </c>
      <c r="D1320" t="inlineStr">
        <is>
          <t>301.00元</t>
        </is>
      </c>
      <c r="E1320" t="inlineStr">
        <is>
          <t>7.0折</t>
        </is>
      </c>
      <c r="F1320">
        <f>HYPERLINK("https://i0.hdslb.com/bfs/mall/mall/26/48/2648646465557ac8a19ca4c0831e479b.png", "点击查看图片")</f>
        <v/>
      </c>
      <c r="G1320">
        <f>HYPERLINK("https://mall.bilibili.com/neul-next/index.html?page=magic-market_detail&amp;noTitleBar=1&amp;itemsId=109864602771&amp;from=market_index", "点击打开")</f>
        <v/>
      </c>
    </row>
    <row r="1321">
      <c r="A1321" t="inlineStr">
        <is>
          <t>Myethos 明日方舟 史尔特尔 缤纷奇境 CW03 VER. 手办</t>
        </is>
      </c>
      <c r="B1321" t="inlineStr">
        <is>
          <t>939.99元</t>
        </is>
      </c>
      <c r="C1321" t="inlineStr">
        <is>
          <t>949.00元</t>
        </is>
      </c>
      <c r="D1321" t="inlineStr">
        <is>
          <t>9.01元</t>
        </is>
      </c>
      <c r="E1321" t="inlineStr">
        <is>
          <t>9.9折</t>
        </is>
      </c>
      <c r="F1321">
        <f>HYPERLINK("https://i0.hdslb.com/bfs/mall/mall/b9/05/b905424ade7b6c1f1eb933e7b706d491.png", "点击查看图片")</f>
        <v/>
      </c>
      <c r="G1321">
        <f>HYPERLINK("https://mall.bilibili.com/neul-next/index.html?page=magic-market_detail&amp;noTitleBar=1&amp;itemsId=111913227660&amp;from=market_index", "点击打开")</f>
        <v/>
      </c>
    </row>
    <row r="1322">
      <c r="A1322" t="inlineStr">
        <is>
          <t>GSAS 市川雏菜 Q版手办</t>
        </is>
      </c>
      <c r="B1322" t="inlineStr">
        <is>
          <t>245.97元</t>
        </is>
      </c>
      <c r="C1322" t="inlineStr">
        <is>
          <t>315.00元</t>
        </is>
      </c>
      <c r="D1322" t="inlineStr">
        <is>
          <t>69.03元</t>
        </is>
      </c>
      <c r="E1322" t="inlineStr">
        <is>
          <t>7.8折</t>
        </is>
      </c>
      <c r="F1322">
        <f>HYPERLINK("https://i0.hdslb.com/bfs/mall/mall/bb/9c/bb9cd6655920894c065f34de1a45298c.png", "点击查看图片")</f>
        <v/>
      </c>
      <c r="G1322">
        <f>HYPERLINK("https://mall.bilibili.com/neul-next/index.html?page=magic-market_detail&amp;noTitleBar=1&amp;itemsId=109872095175&amp;from=market_index", "点击打开")</f>
        <v/>
      </c>
    </row>
    <row r="1323">
      <c r="A1323" t="inlineStr">
        <is>
          <t>Phat! 优秀素质 手办</t>
        </is>
      </c>
      <c r="B1323" t="inlineStr">
        <is>
          <t>1025.40元</t>
        </is>
      </c>
      <c r="C1323" t="inlineStr">
        <is>
          <t>1319.00元</t>
        </is>
      </c>
      <c r="D1323" t="inlineStr">
        <is>
          <t>293.60元</t>
        </is>
      </c>
      <c r="E1323" t="inlineStr">
        <is>
          <t>7.8折</t>
        </is>
      </c>
      <c r="F1323">
        <f>HYPERLINK("https://i0.hdslb.com/bfs/mall/mall/8e/23/8e230518a6d82a4e09698597667466cc.png", "点击查看图片")</f>
        <v/>
      </c>
      <c r="G1323">
        <f>HYPERLINK("https://mall.bilibili.com/neul-next/index.html?page=magic-market_detail&amp;noTitleBar=1&amp;itemsId=110470256463&amp;from=market_index", "点击打开")</f>
        <v/>
      </c>
    </row>
    <row r="1324">
      <c r="A1324" t="inlineStr">
        <is>
          <t>F:NEX 明日方舟 泥岩 静谧午夜 DN06 VER. 手办</t>
        </is>
      </c>
      <c r="B1324" t="inlineStr">
        <is>
          <t>1160.00元</t>
        </is>
      </c>
      <c r="C1324" t="inlineStr">
        <is>
          <t>1260.00元</t>
        </is>
      </c>
      <c r="D1324" t="inlineStr">
        <is>
          <t>100.00元</t>
        </is>
      </c>
      <c r="E1324" t="inlineStr">
        <is>
          <t>9.2折</t>
        </is>
      </c>
      <c r="F1324">
        <f>HYPERLINK("https://i0.hdslb.com/bfs/mall/mall/aa/ba/aabaa5f7b62546e92fdd800ae498dde2.png", "点击查看图片")</f>
        <v/>
      </c>
      <c r="G1324">
        <f>HYPERLINK("https://mall.bilibili.com/neul-next/index.html?page=magic-market_detail&amp;noTitleBar=1&amp;itemsId=111915083524&amp;from=market_index", "点击打开")</f>
        <v/>
      </c>
    </row>
    <row r="1325">
      <c r="A1325" t="inlineStr">
        <is>
          <t>GSC 加藤惠 Q版手办</t>
        </is>
      </c>
      <c r="B1325" t="inlineStr">
        <is>
          <t>399.00元</t>
        </is>
      </c>
      <c r="C1325" t="inlineStr">
        <is>
          <t>465.00元</t>
        </is>
      </c>
      <c r="D1325" t="inlineStr">
        <is>
          <t>66.00元</t>
        </is>
      </c>
      <c r="E1325" t="inlineStr">
        <is>
          <t>8.6折</t>
        </is>
      </c>
      <c r="F1325">
        <f>HYPERLINK("https://i0.hdslb.com/bfs/mall/mall/96/76/9676c3bf8a05e8bffceac59dc36dc086.png", "点击查看图片")</f>
        <v/>
      </c>
      <c r="G1325">
        <f>HYPERLINK("https://mall.bilibili.com/neul-next/index.html?page=magic-market_detail&amp;noTitleBar=1&amp;itemsId=109878645634&amp;from=market_index", "点击打开")</f>
        <v/>
      </c>
    </row>
    <row r="1326">
      <c r="A1326" t="inlineStr">
        <is>
          <t>大气工业 碧蓝航线 半人马 沙滨的水之精灵Ver. 手办</t>
        </is>
      </c>
      <c r="B1326" t="inlineStr">
        <is>
          <t>944.30元</t>
        </is>
      </c>
      <c r="C1326" t="inlineStr">
        <is>
          <t>1699.00元</t>
        </is>
      </c>
      <c r="D1326" t="inlineStr">
        <is>
          <t>754.70元</t>
        </is>
      </c>
      <c r="E1326" t="inlineStr">
        <is>
          <t>5.6折</t>
        </is>
      </c>
      <c r="F1326">
        <f>HYPERLINK("https://i0.hdslb.com/bfs/mall/mall/fe/3a/fe3a32bfaa9f9a5b8eb8b5ceea6e52bb.png", "点击查看图片")</f>
        <v/>
      </c>
      <c r="G1326">
        <f>HYPERLINK("https://mall.bilibili.com/neul-next/index.html?page=magic-market_detail&amp;noTitleBar=1&amp;itemsId=111913274124&amp;from=market_index", "点击打开")</f>
        <v/>
      </c>
    </row>
    <row r="1327">
      <c r="A1327" t="inlineStr">
        <is>
          <t>omamori 白色 IP鼠标</t>
        </is>
      </c>
      <c r="B1327" t="inlineStr">
        <is>
          <t>450.00元</t>
        </is>
      </c>
      <c r="C1327" t="inlineStr">
        <is>
          <t>757.00元</t>
        </is>
      </c>
      <c r="D1327" t="inlineStr">
        <is>
          <t>307.00元</t>
        </is>
      </c>
      <c r="E1327" t="inlineStr">
        <is>
          <t>5.9折</t>
        </is>
      </c>
      <c r="F1327">
        <f>HYPERLINK("https://i0.hdslb.com/bfs/mall/vendor/7c/08/7c08273e49841092c5eeb1ff09f6f759.png", "点击查看图片")</f>
        <v/>
      </c>
      <c r="G1327">
        <f>HYPERLINK("https://mall.bilibili.com/neul-next/index.html?page=magic-market_detail&amp;noTitleBar=1&amp;itemsId=109892084604&amp;from=market_index", "点击打开")</f>
        <v/>
      </c>
    </row>
    <row r="1328">
      <c r="A1328" t="inlineStr">
        <is>
          <t>APEX 幽灵鲨 Q版手办</t>
        </is>
      </c>
      <c r="B1328" t="inlineStr">
        <is>
          <t>108.00元</t>
        </is>
      </c>
      <c r="C1328" t="inlineStr">
        <is>
          <t>120.00元</t>
        </is>
      </c>
      <c r="D1328" t="inlineStr">
        <is>
          <t>12.00元</t>
        </is>
      </c>
      <c r="E1328" t="inlineStr">
        <is>
          <t>9.0折</t>
        </is>
      </c>
      <c r="F1328">
        <f>HYPERLINK("https://i0.hdslb.com/bfs/mall/mall/dc/6d/dc6d642ffec47684f6c6ce3aee7042ed.png", "点击查看图片")</f>
        <v/>
      </c>
      <c r="G1328">
        <f>HYPERLINK("https://mall.bilibili.com/neul-next/index.html?page=magic-market_detail&amp;noTitleBar=1&amp;itemsId=109884852872&amp;from=market_index", "点击打开")</f>
        <v/>
      </c>
    </row>
    <row r="1329">
      <c r="A1329" t="inlineStr">
        <is>
          <t>KT model+ 优米雅·利斯菲尔德 手办</t>
        </is>
      </c>
      <c r="B1329" t="inlineStr">
        <is>
          <t>997.69元</t>
        </is>
      </c>
      <c r="C1329" t="inlineStr">
        <is>
          <t>1375.00元</t>
        </is>
      </c>
      <c r="D1329" t="inlineStr">
        <is>
          <t>377.31元</t>
        </is>
      </c>
      <c r="E1329" t="inlineStr">
        <is>
          <t>7.3折</t>
        </is>
      </c>
      <c r="F1329">
        <f>HYPERLINK("https://i0.hdslb.com/bfs/mall/mall/ea/21/ea2167ae40d2371e0550654a5e51b83b.png", "点击查看图片")</f>
        <v/>
      </c>
      <c r="G1329">
        <f>HYPERLINK("https://mall.bilibili.com/neul-next/index.html?page=magic-market_detail&amp;noTitleBar=1&amp;itemsId=110454988150&amp;from=market_index", "点击打开")</f>
        <v/>
      </c>
    </row>
    <row r="1330">
      <c r="A1330" t="inlineStr">
        <is>
          <t>寿屋 命运-冠位指定 阿尔托莉雅[Alter] 便服ver. 手办 再版</t>
        </is>
      </c>
      <c r="B1330" t="inlineStr">
        <is>
          <t>468.00元</t>
        </is>
      </c>
      <c r="C1330" t="inlineStr">
        <is>
          <t>672.00元</t>
        </is>
      </c>
      <c r="D1330" t="inlineStr">
        <is>
          <t>204.00元</t>
        </is>
      </c>
      <c r="E1330" t="inlineStr">
        <is>
          <t>7.0折</t>
        </is>
      </c>
      <c r="F1330">
        <f>HYPERLINK("https://i0.hdslb.com/bfs/mall/mall/64/54/6454673c4b653f5718eb533fb044e105.png", "点击查看图片")</f>
        <v/>
      </c>
      <c r="G1330">
        <f>HYPERLINK("https://mall.bilibili.com/neul-next/index.html?page=magic-market_detail&amp;noTitleBar=1&amp;itemsId=110461490931&amp;from=market_index", "点击打开")</f>
        <v/>
      </c>
    </row>
    <row r="1331">
      <c r="A1331" t="inlineStr">
        <is>
          <t>FREEing  莱薇 裸足兔女郎Ver.手办</t>
        </is>
      </c>
      <c r="B1331" t="inlineStr">
        <is>
          <t>1095.00元</t>
        </is>
      </c>
      <c r="C1331" t="inlineStr">
        <is>
          <t>1525.00元</t>
        </is>
      </c>
      <c r="D1331" t="inlineStr">
        <is>
          <t>430.00元</t>
        </is>
      </c>
      <c r="E1331" t="inlineStr">
        <is>
          <t>7.2折</t>
        </is>
      </c>
      <c r="F1331">
        <f>HYPERLINK("https://i0.hdslb.com/bfs/mall/mall/b4/9c/b49cf014a1f10e2fe2bbacc9d88ee622.png", "点击查看图片")</f>
        <v/>
      </c>
      <c r="G1331">
        <f>HYPERLINK("https://mall.bilibili.com/neul-next/index.html?page=magic-market_detail&amp;noTitleBar=1&amp;itemsId=110465572600&amp;from=market_index", "点击打开")</f>
        <v/>
      </c>
    </row>
    <row r="1332">
      <c r="A1332" t="inlineStr">
        <is>
          <t>FREEing 初音未来 V3 手办 二次再版</t>
        </is>
      </c>
      <c r="B1332" t="inlineStr">
        <is>
          <t>1499.00元</t>
        </is>
      </c>
      <c r="C1332" t="inlineStr">
        <is>
          <t>2009.00元</t>
        </is>
      </c>
      <c r="D1332" t="inlineStr">
        <is>
          <t>510.00元</t>
        </is>
      </c>
      <c r="E1332" t="inlineStr">
        <is>
          <t>7.5折</t>
        </is>
      </c>
      <c r="F1332">
        <f>HYPERLINK("https://i0.hdslb.com/bfs/mall/mall/7f/cb/7fcb22bbfba0922eb4d8fd33c9d13bf2.png", "点击查看图片")</f>
        <v/>
      </c>
      <c r="G1332">
        <f>HYPERLINK("https://mall.bilibili.com/neul-next/index.html?page=magic-market_detail&amp;noTitleBar=1&amp;itemsId=110467594167&amp;from=market_index", "点击打开")</f>
        <v/>
      </c>
    </row>
    <row r="1333">
      <c r="A1333" t="inlineStr">
        <is>
          <t>GSC 井上泷奈 正比手办</t>
        </is>
      </c>
      <c r="B1333" t="inlineStr">
        <is>
          <t>960.00元</t>
        </is>
      </c>
      <c r="C1333" t="inlineStr">
        <is>
          <t>1099.00元</t>
        </is>
      </c>
      <c r="D1333" t="inlineStr">
        <is>
          <t>139.00元</t>
        </is>
      </c>
      <c r="E1333" t="inlineStr">
        <is>
          <t>8.7折</t>
        </is>
      </c>
      <c r="F1333">
        <f>HYPERLINK("https://i0.hdslb.com/bfs/mall/mall/03/68/0368ae2d9152472ac0901d5ac47252fc.png", "点击查看图片")</f>
        <v/>
      </c>
      <c r="G1333">
        <f>HYPERLINK("https://mall.bilibili.com/neul-next/index.html?page=magic-market_detail&amp;noTitleBar=1&amp;itemsId=110471499165&amp;from=market_index", "点击打开")</f>
        <v/>
      </c>
    </row>
    <row r="1334">
      <c r="A1334" t="inlineStr">
        <is>
          <t>FREEing 井上泷奈 兔女郎Ver. 正比手办</t>
        </is>
      </c>
      <c r="B1334" t="inlineStr">
        <is>
          <t>1800.00元</t>
        </is>
      </c>
      <c r="C1334" t="inlineStr">
        <is>
          <t>2519.00元</t>
        </is>
      </c>
      <c r="D1334" t="inlineStr">
        <is>
          <t>719.00元</t>
        </is>
      </c>
      <c r="E1334" t="inlineStr">
        <is>
          <t>7.1折</t>
        </is>
      </c>
      <c r="F1334">
        <f>HYPERLINK("https://i0.hdslb.com/bfs/mall/mall/f1/6d/f16d4abd554ab7dd628a3ed43a6bb1fa.png", "点击查看图片")</f>
        <v/>
      </c>
      <c r="G1334">
        <f>HYPERLINK("https://mall.bilibili.com/neul-next/index.html?page=magic-market_detail&amp;noTitleBar=1&amp;itemsId=110469549432&amp;from=market_index", "点击打开")</f>
        <v/>
      </c>
    </row>
    <row r="1335">
      <c r="A1335" t="inlineStr">
        <is>
          <t>GSC 有马加奈 Date Style Ver. 正比手办</t>
        </is>
      </c>
      <c r="B1335" t="inlineStr">
        <is>
          <t>688.00元</t>
        </is>
      </c>
      <c r="C1335" t="inlineStr">
        <is>
          <t>829.00元</t>
        </is>
      </c>
      <c r="D1335" t="inlineStr">
        <is>
          <t>141.00元</t>
        </is>
      </c>
      <c r="E1335" t="inlineStr">
        <is>
          <t>8.3折</t>
        </is>
      </c>
      <c r="F1335">
        <f>HYPERLINK("https://i0.hdslb.com/bfs/mall/mall/b7/74/b774f15beee38ca1da0ba64c684ade17.png", "点击查看图片")</f>
        <v/>
      </c>
      <c r="G1335">
        <f>HYPERLINK("https://mall.bilibili.com/neul-next/index.html?page=magic-market_detail&amp;noTitleBar=1&amp;itemsId=110482325180&amp;from=market_index", "点击打开")</f>
        <v/>
      </c>
    </row>
    <row r="1336">
      <c r="A1336" t="inlineStr">
        <is>
          <t>恋恋koikoi hinata 羞羞兔兔Ver.  正比手办</t>
        </is>
      </c>
      <c r="B1336" t="inlineStr">
        <is>
          <t>225.00元</t>
        </is>
      </c>
      <c r="C1336" t="inlineStr">
        <is>
          <t>249.00元</t>
        </is>
      </c>
      <c r="D1336" t="inlineStr">
        <is>
          <t>24.00元</t>
        </is>
      </c>
      <c r="E1336" t="inlineStr">
        <is>
          <t>9.0折</t>
        </is>
      </c>
      <c r="F1336">
        <f>HYPERLINK("https://i0.hdslb.com/bfs/mall/mall/c6/84/c684fe39af955537a1cf15e7cc052542.png", "点击查看图片")</f>
        <v/>
      </c>
      <c r="G1336">
        <f>HYPERLINK("https://mall.bilibili.com/neul-next/index.html?page=magic-market_detail&amp;noTitleBar=1&amp;itemsId=111904693687&amp;from=market_index", "点击打开")</f>
        <v/>
      </c>
    </row>
    <row r="1337">
      <c r="A1337" t="inlineStr">
        <is>
          <t>FREEing 金色之暗 泳装 with 运动服Ver. 正比手办</t>
        </is>
      </c>
      <c r="B1337" t="inlineStr">
        <is>
          <t>1600.00元</t>
        </is>
      </c>
      <c r="C1337" t="inlineStr">
        <is>
          <t>2609.00元</t>
        </is>
      </c>
      <c r="D1337" t="inlineStr">
        <is>
          <t>1009.00元</t>
        </is>
      </c>
      <c r="E1337" t="inlineStr">
        <is>
          <t>6.1折</t>
        </is>
      </c>
      <c r="F1337">
        <f>HYPERLINK("https://i0.hdslb.com/bfs/mall/mall/6b/9b/6b9be355dfce8b593d59986475327ec8.png", "点击查看图片")</f>
        <v/>
      </c>
      <c r="G1337">
        <f>HYPERLINK("https://mall.bilibili.com/neul-next/index.html?page=magic-market_detail&amp;noTitleBar=1&amp;itemsId=111910291205&amp;from=market_index", "点击打开")</f>
        <v/>
      </c>
    </row>
    <row r="1338">
      <c r="A1338" t="inlineStr">
        <is>
          <t>角川 约会大作战 时崎狂三 Date A Bullet ver. 手办</t>
        </is>
      </c>
      <c r="B1338" t="inlineStr">
        <is>
          <t>699.00元</t>
        </is>
      </c>
      <c r="C1338" t="inlineStr">
        <is>
          <t>899.00元</t>
        </is>
      </c>
      <c r="D1338" t="inlineStr">
        <is>
          <t>200.00元</t>
        </is>
      </c>
      <c r="E1338" t="inlineStr">
        <is>
          <t>7.8折</t>
        </is>
      </c>
      <c r="F1338">
        <f>HYPERLINK("https://i0.hdslb.com/bfs/mall/mall/5f/8e/5f8e4da45fe9be9133ed3c186415ee6d.png", "点击查看图片")</f>
        <v/>
      </c>
      <c r="G1338">
        <f>HYPERLINK("https://mall.bilibili.com/neul-next/index.html?page=magic-market_detail&amp;noTitleBar=1&amp;itemsId=111907623457&amp;from=market_index", "点击打开")</f>
        <v/>
      </c>
    </row>
    <row r="1339">
      <c r="A1339" t="inlineStr">
        <is>
          <t>GSC 初音未来 V3 Q版手办</t>
        </is>
      </c>
      <c r="B1339" t="inlineStr">
        <is>
          <t>291.00元</t>
        </is>
      </c>
      <c r="C1339" t="inlineStr">
        <is>
          <t>359.00元</t>
        </is>
      </c>
      <c r="D1339" t="inlineStr">
        <is>
          <t>68.00元</t>
        </is>
      </c>
      <c r="E1339" t="inlineStr">
        <is>
          <t>8.1折</t>
        </is>
      </c>
      <c r="F1339">
        <f>HYPERLINK("https://i0.hdslb.com/bfs/mall/mall/12/07/1207bf14e0850e4cac3505ccc93ac0eb.png", "点击查看图片")</f>
        <v/>
      </c>
      <c r="G1339">
        <f>HYPERLINK("https://mall.bilibili.com/neul-next/index.html?page=magic-market_detail&amp;noTitleBar=1&amp;itemsId=111912043999&amp;from=market_index", "点击打开")</f>
        <v/>
      </c>
    </row>
    <row r="1340">
      <c r="A1340" t="inlineStr">
        <is>
          <t>Phalaeno 少女前线 Five-seven 泳装重伤ver. 手办</t>
        </is>
      </c>
      <c r="B1340" t="inlineStr">
        <is>
          <t>758.00元</t>
        </is>
      </c>
      <c r="C1340" t="inlineStr">
        <is>
          <t>1019.00元</t>
        </is>
      </c>
      <c r="D1340" t="inlineStr">
        <is>
          <t>261.00元</t>
        </is>
      </c>
      <c r="E1340" t="inlineStr">
        <is>
          <t>7.4折</t>
        </is>
      </c>
      <c r="F1340">
        <f>HYPERLINK("https://i0.hdslb.com/bfs/mall/mall/d6/74/d674e7dadcc245e4674171f60dbc236b.png", "点击查看图片")</f>
        <v/>
      </c>
      <c r="G1340">
        <f>HYPERLINK("https://mall.bilibili.com/neul-next/index.html?page=magic-market_detail&amp;noTitleBar=1&amp;itemsId=111910377199&amp;from=market_index", "点击打开")</f>
        <v/>
      </c>
    </row>
    <row r="1341">
      <c r="A1341" t="inlineStr">
        <is>
          <t>GSC 咻瓦 L size 正比手办</t>
        </is>
      </c>
      <c r="B1341" t="inlineStr">
        <is>
          <t>239.00元</t>
        </is>
      </c>
      <c r="C1341" t="inlineStr">
        <is>
          <t>415.00元</t>
        </is>
      </c>
      <c r="D1341" t="inlineStr">
        <is>
          <t>176.00元</t>
        </is>
      </c>
      <c r="E1341" t="inlineStr">
        <is>
          <t>5.8折</t>
        </is>
      </c>
      <c r="F1341">
        <f>HYPERLINK("https://i0.hdslb.com/bfs/mall/mall/7b/d0/7bd05d3c4f5bb90cdcb731fcac4f1092.png", "点击查看图片")</f>
        <v/>
      </c>
      <c r="G1341">
        <f>HYPERLINK("https://mall.bilibili.com/neul-next/index.html?page=magic-market_detail&amp;noTitleBar=1&amp;itemsId=111918640543&amp;from=market_index", "点击打开")</f>
        <v/>
      </c>
    </row>
    <row r="1342">
      <c r="A1342" t="inlineStr">
        <is>
          <t>Union Creative 出包王女 露恩·艾尔西·裘利亚 Darkness Ver. 手办</t>
        </is>
      </c>
      <c r="B1342" t="inlineStr">
        <is>
          <t>529.92元</t>
        </is>
      </c>
      <c r="C1342" t="inlineStr">
        <is>
          <t>799.00元</t>
        </is>
      </c>
      <c r="D1342" t="inlineStr">
        <is>
          <t>269.08元</t>
        </is>
      </c>
      <c r="E1342" t="inlineStr">
        <is>
          <t>6.6折</t>
        </is>
      </c>
      <c r="F1342">
        <f>HYPERLINK("https://i0.hdslb.com/bfs/mall/mall/98/a5/98a504beb9cf902b0fc6bc50b5fd2a71.png", "点击查看图片")</f>
        <v/>
      </c>
      <c r="G1342">
        <f>HYPERLINK("https://mall.bilibili.com/neul-next/index.html?page=magic-market_detail&amp;noTitleBar=1&amp;itemsId=111904986191&amp;from=market_index", "点击打开")</f>
        <v/>
      </c>
    </row>
    <row r="1343">
      <c r="A1343" t="inlineStr">
        <is>
          <t>BEMOE 妹子太多 只好飞升了 AR收藏卡 SSR云悠悠A款</t>
        </is>
      </c>
      <c r="B1343" t="inlineStr">
        <is>
          <t>152.00元</t>
        </is>
      </c>
      <c r="C1343" t="inlineStr">
        <is>
          <t>188.00元</t>
        </is>
      </c>
      <c r="D1343" t="inlineStr">
        <is>
          <t>36.00元</t>
        </is>
      </c>
      <c r="E1343" t="inlineStr">
        <is>
          <t>8.1折</t>
        </is>
      </c>
      <c r="F1343">
        <f>HYPERLINK("https://i0.hdslb.com/bfs/mall/mall/0f/d2/0fd25c8ee172583cd9191f38dfcf0a3a.png", "点击查看图片")</f>
        <v/>
      </c>
      <c r="G1343">
        <f>HYPERLINK("https://mall.bilibili.com/neul-next/index.html?page=magic-market_detail&amp;noTitleBar=1&amp;itemsId=111908732784&amp;from=market_index", "点击打开")</f>
        <v/>
      </c>
    </row>
    <row r="1344">
      <c r="A1344" t="inlineStr">
        <is>
          <t>GSAS 卡律布狄斯 治愈的红闺 手办</t>
        </is>
      </c>
      <c r="B1344" t="inlineStr">
        <is>
          <t>829.00元</t>
        </is>
      </c>
      <c r="C1344" t="inlineStr">
        <is>
          <t>849.00元</t>
        </is>
      </c>
      <c r="D1344" t="inlineStr">
        <is>
          <t>20.00元</t>
        </is>
      </c>
      <c r="E1344" t="inlineStr">
        <is>
          <t>9.8折</t>
        </is>
      </c>
      <c r="F1344">
        <f>HYPERLINK("https://i0.hdslb.com/bfs/mall/mall/51/8e/518ee7d78f222cb8ceb2238441dc3200.png", "点击查看图片")</f>
        <v/>
      </c>
      <c r="G1344">
        <f>HYPERLINK("https://mall.bilibili.com/neul-next/index.html?page=magic-market_detail&amp;noTitleBar=1&amp;itemsId=111908736213&amp;from=market_index", "点击打开")</f>
        <v/>
      </c>
    </row>
    <row r="1345">
      <c r="A1345" t="inlineStr">
        <is>
          <t>ALTER ALTAiR 命运-冠位指定 Pretender/奥伯龙·伏提庚 手办</t>
        </is>
      </c>
      <c r="B1345" t="inlineStr">
        <is>
          <t>2270.00元</t>
        </is>
      </c>
      <c r="C1345" t="inlineStr">
        <is>
          <t>2270.00元</t>
        </is>
      </c>
      <c r="D1345" t="inlineStr">
        <is>
          <t>0.00元</t>
        </is>
      </c>
      <c r="E1345" t="inlineStr">
        <is>
          <t>10.0折</t>
        </is>
      </c>
      <c r="F1345">
        <f>HYPERLINK("https://i0.hdslb.com/bfs/mall/mall/15/9e/159ee49732ee64910cc9486376d138eb.png", "点击查看图片")</f>
        <v/>
      </c>
      <c r="G1345">
        <f>HYPERLINK("https://mall.bilibili.com/neul-next/index.html?page=magic-market_detail&amp;noTitleBar=1&amp;itemsId=111906883618&amp;from=market_index", "点击打开")</f>
        <v/>
      </c>
    </row>
    <row r="1346">
      <c r="A1346" t="inlineStr">
        <is>
          <t>GSC 赫萝 正比手办</t>
        </is>
      </c>
      <c r="B1346" t="inlineStr">
        <is>
          <t>210.00元</t>
        </is>
      </c>
      <c r="C1346" t="inlineStr">
        <is>
          <t>225.00元</t>
        </is>
      </c>
      <c r="D1346" t="inlineStr">
        <is>
          <t>15.00元</t>
        </is>
      </c>
      <c r="E1346" t="inlineStr">
        <is>
          <t>9.3折</t>
        </is>
      </c>
      <c r="F1346">
        <f>HYPERLINK("https://i0.hdslb.com/bfs/mall/mall/91/82/91823d24a9b4d94548e719e13728cf16.png", "点击查看图片")</f>
        <v/>
      </c>
      <c r="G1346">
        <f>HYPERLINK("https://mall.bilibili.com/neul-next/index.html?page=magic-market_detail&amp;noTitleBar=1&amp;itemsId=111910645755&amp;from=market_index", "点击打开")</f>
        <v/>
      </c>
    </row>
    <row r="1347">
      <c r="A1347" t="inlineStr">
        <is>
          <t>GSAS 柴郡 Dating Summer！ 正比手办</t>
        </is>
      </c>
      <c r="B1347" t="inlineStr">
        <is>
          <t>759.00元</t>
        </is>
      </c>
      <c r="C1347" t="inlineStr">
        <is>
          <t>949.00元</t>
        </is>
      </c>
      <c r="D1347" t="inlineStr">
        <is>
          <t>190.00元</t>
        </is>
      </c>
      <c r="E1347" t="inlineStr">
        <is>
          <t>8.0折</t>
        </is>
      </c>
      <c r="F1347">
        <f>HYPERLINK("https://i0.hdslb.com/bfs/mall/mall/d6/87/d68748bd5151704542a77ac76f2c6e42.png", "点击查看图片")</f>
        <v/>
      </c>
      <c r="G1347">
        <f>HYPERLINK("https://mall.bilibili.com/neul-next/index.html?page=magic-market_detail&amp;noTitleBar=1&amp;itemsId=111914147866&amp;from=market_index", "点击打开")</f>
        <v/>
      </c>
    </row>
    <row r="1348">
      <c r="A1348" t="inlineStr">
        <is>
          <t>SSF 约会大作战 夜刀神十香 Princess Amethyst Dress Ver. 1/7手办</t>
        </is>
      </c>
      <c r="B1348" t="inlineStr">
        <is>
          <t>1650.00元</t>
        </is>
      </c>
      <c r="C1348" t="inlineStr">
        <is>
          <t>1899.00元</t>
        </is>
      </c>
      <c r="D1348" t="inlineStr">
        <is>
          <t>249.00元</t>
        </is>
      </c>
      <c r="E1348" t="inlineStr">
        <is>
          <t>8.7折</t>
        </is>
      </c>
      <c r="F1348">
        <f>HYPERLINK("https://i0.hdslb.com/bfs/mall/mall/65/b0/65b0f1d5c23937d57a328d108b929bfa.png", "点击查看图片")</f>
        <v/>
      </c>
      <c r="G1348">
        <f>HYPERLINK("https://mall.bilibili.com/neul-next/index.html?page=magic-market_detail&amp;noTitleBar=1&amp;itemsId=111915013395&amp;from=market_index", "点击打开")</f>
        <v/>
      </c>
    </row>
    <row r="1349">
      <c r="A1349" t="inlineStr">
        <is>
          <t>FuRyu 时透无一郎 景品手办</t>
        </is>
      </c>
      <c r="B1349" t="inlineStr">
        <is>
          <t>279.99元</t>
        </is>
      </c>
      <c r="C1349" t="inlineStr">
        <is>
          <t>280.00元</t>
        </is>
      </c>
      <c r="D1349" t="inlineStr">
        <is>
          <t>0.01元</t>
        </is>
      </c>
      <c r="E1349" t="inlineStr">
        <is>
          <t>10.0折</t>
        </is>
      </c>
      <c r="F1349">
        <f>HYPERLINK("https://i0.hdslb.com/bfs/mall/mall/82/9b/829b00f4ecf401b90ebb59f9e29877e9.png", "点击查看图片")</f>
        <v/>
      </c>
      <c r="G1349">
        <f>HYPERLINK("https://mall.bilibili.com/neul-next/index.html?page=magic-market_detail&amp;noTitleBar=1&amp;itemsId=111914178191&amp;from=market_index", "点击打开")</f>
        <v/>
      </c>
    </row>
    <row r="1350">
      <c r="A1350" t="inlineStr">
        <is>
          <t>FuRyu 赫萝 正比手办</t>
        </is>
      </c>
      <c r="B1350" t="inlineStr">
        <is>
          <t>214.68元</t>
        </is>
      </c>
      <c r="C1350" t="inlineStr">
        <is>
          <t>279.00元</t>
        </is>
      </c>
      <c r="D1350" t="inlineStr">
        <is>
          <t>64.32元</t>
        </is>
      </c>
      <c r="E1350" t="inlineStr">
        <is>
          <t>7.7折</t>
        </is>
      </c>
      <c r="F1350">
        <f>HYPERLINK("https://i0.hdslb.com/bfs/mall/mall/9b/b4/9bb4ae14f33847b9f8a1753e15d9d276.png", "点击查看图片")</f>
        <v/>
      </c>
      <c r="G1350">
        <f>HYPERLINK("https://mall.bilibili.com/neul-next/index.html?page=magic-market_detail&amp;noTitleBar=1&amp;itemsId=111918530114&amp;from=market_index", "点击打开")</f>
        <v/>
      </c>
    </row>
    <row r="1351">
      <c r="A1351" t="inlineStr">
        <is>
          <t>世嘉 保登心爱 制服 景品手办 再版</t>
        </is>
      </c>
      <c r="B1351" t="inlineStr">
        <is>
          <t>169.99元</t>
        </is>
      </c>
      <c r="C1351" t="inlineStr">
        <is>
          <t>210.00元</t>
        </is>
      </c>
      <c r="D1351" t="inlineStr">
        <is>
          <t>40.01元</t>
        </is>
      </c>
      <c r="E1351" t="inlineStr">
        <is>
          <t>8.1折</t>
        </is>
      </c>
      <c r="F1351">
        <f>HYPERLINK("https://i0.hdslb.com/bfs/mall/mall/c9/f7/c9f7ec2da4b7ea305efd9b9da1fba185.png", "点击查看图片")</f>
        <v/>
      </c>
      <c r="G1351">
        <f>HYPERLINK("https://mall.bilibili.com/neul-next/index.html?page=magic-market_detail&amp;noTitleBar=1&amp;itemsId=111910814913&amp;from=market_index", "点击打开")</f>
        <v/>
      </c>
    </row>
    <row r="1352">
      <c r="A1352" t="inlineStr">
        <is>
          <t>Vsinger 洛天依秘境花庭 礼服Ver. 手办</t>
        </is>
      </c>
      <c r="B1352" t="inlineStr">
        <is>
          <t>400.00元</t>
        </is>
      </c>
      <c r="C1352" t="inlineStr">
        <is>
          <t>899.00元</t>
        </is>
      </c>
      <c r="D1352" t="inlineStr">
        <is>
          <t>499.00元</t>
        </is>
      </c>
      <c r="E1352" t="inlineStr">
        <is>
          <t>4.4折</t>
        </is>
      </c>
      <c r="F1352">
        <f>HYPERLINK("https://i0.hdslb.com/bfs/mall/mall/9d/c9/9dc9e57515bd35a9d3424ae84766e948.png", "点击查看图片")</f>
        <v/>
      </c>
      <c r="G1352">
        <f>HYPERLINK("https://mall.bilibili.com/neul-next/index.html?page=magic-market_detail&amp;noTitleBar=1&amp;itemsId=111919110276&amp;from=market_index", "点击打开")</f>
        <v/>
      </c>
    </row>
    <row r="1353">
      <c r="A1353" t="inlineStr">
        <is>
          <t>KT model+ Fate/Samurai Remnant 宫本武藏 Berserker 手办</t>
        </is>
      </c>
      <c r="B1353" t="inlineStr">
        <is>
          <t>1350.00元</t>
        </is>
      </c>
      <c r="C1353" t="inlineStr">
        <is>
          <t>1399.00元</t>
        </is>
      </c>
      <c r="D1353" t="inlineStr">
        <is>
          <t>49.00元</t>
        </is>
      </c>
      <c r="E1353" t="inlineStr">
        <is>
          <t>9.6折</t>
        </is>
      </c>
      <c r="F1353">
        <f>HYPERLINK("https://i0.hdslb.com/bfs/mall/mall/96/53/9653246ba0120d6b6e16ad752b5c332d.png", "点击查看图片")</f>
        <v/>
      </c>
      <c r="G1353">
        <f>HYPERLINK("https://mall.bilibili.com/neul-next/index.html?page=magic-market_detail&amp;noTitleBar=1&amp;itemsId=111914522171&amp;from=market_index", "点击打开")</f>
        <v/>
      </c>
    </row>
    <row r="1354">
      <c r="A1354" t="inlineStr">
        <is>
          <t>BANPRESTO 阿罗娜 景品手办</t>
        </is>
      </c>
      <c r="B1354" t="inlineStr">
        <is>
          <t>199.00元</t>
        </is>
      </c>
      <c r="C1354" t="inlineStr">
        <is>
          <t>258.00元</t>
        </is>
      </c>
      <c r="D1354" t="inlineStr">
        <is>
          <t>59.00元</t>
        </is>
      </c>
      <c r="E1354" t="inlineStr">
        <is>
          <t>7.7折</t>
        </is>
      </c>
      <c r="F1354">
        <f>HYPERLINK("https://i0.hdslb.com/bfs/mall/mall/9f/55/9f556ae1979286b2ef97c6aa1c5e84bd.png", "点击查看图片")</f>
        <v/>
      </c>
      <c r="G1354">
        <f>HYPERLINK("https://mall.bilibili.com/neul-next/index.html?page=magic-market_detail&amp;noTitleBar=1&amp;itemsId=111917351556&amp;from=market_index", "点击打开")</f>
        <v/>
      </c>
    </row>
    <row r="1355">
      <c r="A1355" t="inlineStr">
        <is>
          <t>FREEing B-style 碧蓝航线 德雷克 黄金鹿的闲暇时光ver. 手办</t>
        </is>
      </c>
      <c r="B1355" t="inlineStr">
        <is>
          <t>954.80元</t>
        </is>
      </c>
      <c r="C1355" t="inlineStr">
        <is>
          <t>1530.00元</t>
        </is>
      </c>
      <c r="D1355" t="inlineStr">
        <is>
          <t>575.20元</t>
        </is>
      </c>
      <c r="E1355" t="inlineStr">
        <is>
          <t>6.2折</t>
        </is>
      </c>
      <c r="F1355">
        <f>HYPERLINK("https://i0.hdslb.com/bfs/mall/mall/69/73/6973ad8411fdc1d95cd1baf3f77bca16.png", "点击查看图片")</f>
        <v/>
      </c>
      <c r="G1355">
        <f>HYPERLINK("https://mall.bilibili.com/neul-next/index.html?page=magic-market_detail&amp;noTitleBar=1&amp;itemsId=111921261404&amp;from=market_index", "点击打开")</f>
        <v/>
      </c>
    </row>
    <row r="1356">
      <c r="A1356" t="inlineStr">
        <is>
          <t>BANPRESTO  真机伶  景品手办</t>
        </is>
      </c>
      <c r="B1356" t="inlineStr">
        <is>
          <t>107.10元</t>
        </is>
      </c>
      <c r="C1356" t="inlineStr">
        <is>
          <t>135.00元</t>
        </is>
      </c>
      <c r="D1356" t="inlineStr">
        <is>
          <t>27.90元</t>
        </is>
      </c>
      <c r="E1356" t="inlineStr">
        <is>
          <t>7.9折</t>
        </is>
      </c>
      <c r="F1356">
        <f>HYPERLINK("https://i0.hdslb.com/bfs/mall/mall/71/47/71473cdcc813038e1ccd04988a2c3206.png", "点击查看图片")</f>
        <v/>
      </c>
      <c r="G1356">
        <f>HYPERLINK("https://mall.bilibili.com/neul-next/index.html?page=magic-market_detail&amp;noTitleBar=1&amp;itemsId=111920519660&amp;from=market_index", "点击打开")</f>
        <v/>
      </c>
    </row>
    <row r="1357">
      <c r="A1357" t="inlineStr">
        <is>
          <t>Claynel 井上泷奈 正比手办</t>
        </is>
      </c>
      <c r="B1357" t="inlineStr">
        <is>
          <t>679.40元</t>
        </is>
      </c>
      <c r="C1357" t="inlineStr">
        <is>
          <t>988.00元</t>
        </is>
      </c>
      <c r="D1357" t="inlineStr">
        <is>
          <t>308.60元</t>
        </is>
      </c>
      <c r="E1357" t="inlineStr">
        <is>
          <t>6.9折</t>
        </is>
      </c>
      <c r="F1357">
        <f>HYPERLINK("https://i0.hdslb.com/bfs/mall/mall/fe/8a/fe8aa61c62dbf08927cc707dcb33b518.png", "点击查看图片")</f>
        <v/>
      </c>
      <c r="G1357">
        <f>HYPERLINK("https://mall.bilibili.com/neul-next/index.html?page=magic-market_detail&amp;noTitleBar=1&amp;itemsId=111923120653&amp;from=market_index", "点击打开")</f>
        <v/>
      </c>
    </row>
    <row r="1358">
      <c r="A1358" t="inlineStr">
        <is>
          <t>世嘉 白石杏 景品手办</t>
        </is>
      </c>
      <c r="B1358" t="inlineStr">
        <is>
          <t>158.50元</t>
        </is>
      </c>
      <c r="C1358" t="inlineStr">
        <is>
          <t>315.00元</t>
        </is>
      </c>
      <c r="D1358" t="inlineStr">
        <is>
          <t>156.50元</t>
        </is>
      </c>
      <c r="E1358" t="inlineStr">
        <is>
          <t>5.0折</t>
        </is>
      </c>
      <c r="F1358">
        <f>HYPERLINK("https://i0.hdslb.com/bfs/mall/mall/fd/19/fd19b1b5437968a20712121a68f4755d.png", "点击查看图片")</f>
        <v/>
      </c>
      <c r="G1358">
        <f>HYPERLINK("https://mall.bilibili.com/neul-next/index.html?page=magic-market_detail&amp;noTitleBar=1&amp;itemsId=120676081085&amp;from=market_index", "点击打开")</f>
        <v/>
      </c>
    </row>
    <row r="1359">
      <c r="A1359" t="inlineStr">
        <is>
          <t>角川 为美好的世界献上祝福！ 惠惠 原作版 偶像Ver. 手办 通常版</t>
        </is>
      </c>
      <c r="B1359" t="inlineStr">
        <is>
          <t>455.04元</t>
        </is>
      </c>
      <c r="C1359" t="inlineStr">
        <is>
          <t>527.00元</t>
        </is>
      </c>
      <c r="D1359" t="inlineStr">
        <is>
          <t>71.96元</t>
        </is>
      </c>
      <c r="E1359" t="inlineStr">
        <is>
          <t>8.6折</t>
        </is>
      </c>
      <c r="F1359">
        <f>HYPERLINK("https://i0.hdslb.com/bfs/mall/mall/25/f9/25f939562026381c7efc359387fcd17a.png", "点击查看图片")</f>
        <v/>
      </c>
      <c r="G1359">
        <f>HYPERLINK("https://mall.bilibili.com/neul-next/index.html?page=magic-market_detail&amp;noTitleBar=1&amp;itemsId=120669647157&amp;from=market_index", "点击打开")</f>
        <v/>
      </c>
    </row>
    <row r="1360">
      <c r="A1360" t="inlineStr">
        <is>
          <t>GSAS 亚托莉 Q版手办</t>
        </is>
      </c>
      <c r="B1360" t="inlineStr">
        <is>
          <t>249.83元</t>
        </is>
      </c>
      <c r="C1360" t="inlineStr">
        <is>
          <t>312.00元</t>
        </is>
      </c>
      <c r="D1360" t="inlineStr">
        <is>
          <t>62.17元</t>
        </is>
      </c>
      <c r="E1360" t="inlineStr">
        <is>
          <t>8.0折</t>
        </is>
      </c>
      <c r="F1360">
        <f>HYPERLINK("https://i0.hdslb.com/bfs/mall/mall/f0/a0/f0a087b664ed17da219df4ad944c8c63.png", "点击查看图片")</f>
        <v/>
      </c>
      <c r="G1360">
        <f>HYPERLINK("https://mall.bilibili.com/neul-next/index.html?page=magic-market_detail&amp;noTitleBar=1&amp;itemsId=120673431335&amp;from=market_index", "点击打开")</f>
        <v/>
      </c>
    </row>
    <row r="1361">
      <c r="A1361" t="inlineStr">
        <is>
          <t>GSC 宵崎奏 正比手办</t>
        </is>
      </c>
      <c r="B1361" t="inlineStr">
        <is>
          <t>163.23元</t>
        </is>
      </c>
      <c r="C1361" t="inlineStr">
        <is>
          <t>219.00元</t>
        </is>
      </c>
      <c r="D1361" t="inlineStr">
        <is>
          <t>55.77元</t>
        </is>
      </c>
      <c r="E1361" t="inlineStr">
        <is>
          <t>7.5折</t>
        </is>
      </c>
      <c r="F1361">
        <f>HYPERLINK("https://i0.hdslb.com/bfs/mall/mall/c5/0c/c50c22e159ff4a1c7239bbd270573b53.png", "点击查看图片")</f>
        <v/>
      </c>
      <c r="G1361">
        <f>HYPERLINK("https://mall.bilibili.com/neul-next/index.html?page=magic-market_detail&amp;noTitleBar=1&amp;itemsId=120667845235&amp;from=market_index", "点击打开")</f>
        <v/>
      </c>
    </row>
    <row r="1362">
      <c r="A1362" t="inlineStr">
        <is>
          <t>GSC 碇真嗣 Q版手办 再版</t>
        </is>
      </c>
      <c r="B1362" t="inlineStr">
        <is>
          <t>219.95元</t>
        </is>
      </c>
      <c r="C1362" t="inlineStr">
        <is>
          <t>269.00元</t>
        </is>
      </c>
      <c r="D1362" t="inlineStr">
        <is>
          <t>49.05元</t>
        </is>
      </c>
      <c r="E1362" t="inlineStr">
        <is>
          <t>8.2折</t>
        </is>
      </c>
      <c r="F1362">
        <f>HYPERLINK("https://i0.hdslb.com/bfs/mall/mall/ec/f8/ecf8a12df5d7a221ce9d15939d55b445.png", "点击查看图片")</f>
        <v/>
      </c>
      <c r="G1362">
        <f>HYPERLINK("https://mall.bilibili.com/neul-next/index.html?page=magic-market_detail&amp;noTitleBar=1&amp;itemsId=120667920287&amp;from=market_index", "点击打开")</f>
        <v/>
      </c>
    </row>
    <row r="1363">
      <c r="A1363" t="inlineStr">
        <is>
          <t>GSAS 萧逸 Q版手办</t>
        </is>
      </c>
      <c r="B1363" t="inlineStr">
        <is>
          <t>164.68元</t>
        </is>
      </c>
      <c r="C1363" t="inlineStr">
        <is>
          <t>199.00元</t>
        </is>
      </c>
      <c r="D1363" t="inlineStr">
        <is>
          <t>34.32元</t>
        </is>
      </c>
      <c r="E1363" t="inlineStr">
        <is>
          <t>8.3折</t>
        </is>
      </c>
      <c r="F1363">
        <f>HYPERLINK("https://i0.hdslb.com/bfs/mall/mall/f5/8c/f58c5d0d4c9b5bfdcb6cfe52ca95a586.png", "点击查看图片")</f>
        <v/>
      </c>
      <c r="G1363">
        <f>HYPERLINK("https://mall.bilibili.com/neul-next/index.html?page=magic-market_detail&amp;noTitleBar=1&amp;itemsId=120677395766&amp;from=market_index", "点击打开")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2024-11-11T06:22:54Z</dcterms:created>
  <dcterms:modified xmlns:dcterms="http://purl.org/dc/terms/" xmlns:xsi="http://www.w3.org/2001/XMLSchema-instance" xsi:type="dcterms:W3CDTF">2024-11-11T06:22:54Z</dcterms:modified>
</cp:coreProperties>
</file>