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Young\Cooperators\CNH\CNH Data Share\"/>
    </mc:Choice>
  </mc:AlternateContent>
  <xr:revisionPtr revIDLastSave="0" documentId="13_ncr:1_{A3D84CAA-17A5-4963-ABF8-C845C89CA61B}" xr6:coauthVersionLast="47" xr6:coauthVersionMax="47" xr10:uidLastSave="{00000000-0000-0000-0000-000000000000}"/>
  <bookViews>
    <workbookView xWindow="-120" yWindow="-120" windowWidth="29040" windowHeight="15840" activeTab="1" xr2:uid="{E1566B03-10BE-4316-BEB2-9F6077E971A7}"/>
  </bookViews>
  <sheets>
    <sheet name="Weed Counts" sheetId="1" r:id="rId1"/>
    <sheet name="Total Weed Density by Specie" sheetId="3" r:id="rId2"/>
    <sheet name="Interpreting the Headings" sheetId="2" r:id="rId3"/>
  </sheets>
  <definedNames>
    <definedName name="_xlnm._FilterDatabase" localSheetId="1" hidden="1">'Total Weed Density by Specie'!$A$1:$Y$73</definedName>
    <definedName name="_xlnm._FilterDatabase" localSheetId="0" hidden="1">'Weed Counts'!$A$1:$BE$73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9" i="3" l="1"/>
  <c r="W79" i="3"/>
  <c r="Y80" i="3"/>
  <c r="N74" i="3"/>
  <c r="O74" i="3"/>
  <c r="P74" i="3"/>
  <c r="Q74" i="3"/>
  <c r="R74" i="3"/>
  <c r="S74" i="3"/>
  <c r="T74" i="3"/>
  <c r="U74" i="3"/>
  <c r="V74" i="3"/>
  <c r="W74" i="3"/>
  <c r="X74" i="3"/>
  <c r="N75" i="3"/>
  <c r="O75" i="3"/>
  <c r="P75" i="3"/>
  <c r="Q75" i="3"/>
  <c r="R75" i="3"/>
  <c r="S75" i="3"/>
  <c r="T75" i="3"/>
  <c r="U75" i="3"/>
  <c r="V75" i="3"/>
  <c r="W75" i="3"/>
  <c r="X75" i="3"/>
  <c r="N76" i="3"/>
  <c r="O76" i="3"/>
  <c r="P76" i="3"/>
  <c r="Q76" i="3"/>
  <c r="R76" i="3"/>
  <c r="S76" i="3"/>
  <c r="T76" i="3"/>
  <c r="U76" i="3"/>
  <c r="V76" i="3"/>
  <c r="W76" i="3"/>
  <c r="X76" i="3"/>
  <c r="N77" i="3"/>
  <c r="O77" i="3"/>
  <c r="P77" i="3"/>
  <c r="Q77" i="3"/>
  <c r="R77" i="3"/>
  <c r="S77" i="3"/>
  <c r="T77" i="3"/>
  <c r="U77" i="3"/>
  <c r="V77" i="3"/>
  <c r="W77" i="3"/>
  <c r="X77" i="3"/>
  <c r="N78" i="3"/>
  <c r="O78" i="3"/>
  <c r="P78" i="3"/>
  <c r="Q78" i="3"/>
  <c r="R78" i="3"/>
  <c r="S78" i="3"/>
  <c r="T78" i="3"/>
  <c r="U78" i="3"/>
  <c r="V78" i="3"/>
  <c r="W78" i="3"/>
  <c r="X78" i="3"/>
  <c r="N79" i="3"/>
  <c r="O79" i="3"/>
  <c r="Q79" i="3"/>
  <c r="R79" i="3"/>
  <c r="S79" i="3"/>
  <c r="T79" i="3"/>
  <c r="U79" i="3"/>
  <c r="V79" i="3"/>
  <c r="X79" i="3"/>
  <c r="N80" i="3"/>
  <c r="O80" i="3"/>
  <c r="P80" i="3"/>
  <c r="Q80" i="3"/>
  <c r="R80" i="3"/>
  <c r="S80" i="3"/>
  <c r="T80" i="3"/>
  <c r="U80" i="3"/>
  <c r="V80" i="3"/>
  <c r="W80" i="3"/>
  <c r="X80" i="3"/>
  <c r="N81" i="3"/>
  <c r="O81" i="3"/>
  <c r="P81" i="3"/>
  <c r="Q81" i="3"/>
  <c r="R81" i="3"/>
  <c r="S81" i="3"/>
  <c r="T81" i="3"/>
  <c r="U81" i="3"/>
  <c r="V81" i="3"/>
  <c r="W81" i="3"/>
  <c r="X81" i="3"/>
  <c r="N82" i="3"/>
  <c r="O82" i="3"/>
  <c r="P82" i="3"/>
  <c r="Q82" i="3"/>
  <c r="R82" i="3"/>
  <c r="S82" i="3"/>
  <c r="T82" i="3"/>
  <c r="U82" i="3"/>
  <c r="V82" i="3"/>
  <c r="W82" i="3"/>
  <c r="X82" i="3"/>
  <c r="N83" i="3"/>
  <c r="O83" i="3"/>
  <c r="P83" i="3"/>
  <c r="Q83" i="3"/>
  <c r="R83" i="3"/>
  <c r="S83" i="3"/>
  <c r="T83" i="3"/>
  <c r="U83" i="3"/>
  <c r="V83" i="3"/>
  <c r="W83" i="3"/>
  <c r="X83" i="3"/>
  <c r="N84" i="3"/>
  <c r="O84" i="3"/>
  <c r="P84" i="3"/>
  <c r="Q84" i="3"/>
  <c r="R84" i="3"/>
  <c r="S84" i="3"/>
  <c r="T84" i="3"/>
  <c r="U84" i="3"/>
  <c r="V84" i="3"/>
  <c r="W84" i="3"/>
  <c r="X84" i="3"/>
  <c r="N85" i="3"/>
  <c r="O85" i="3"/>
  <c r="P85" i="3"/>
  <c r="Q85" i="3"/>
  <c r="R85" i="3"/>
  <c r="S85" i="3"/>
  <c r="T85" i="3"/>
  <c r="U85" i="3"/>
  <c r="V85" i="3"/>
  <c r="W85" i="3"/>
  <c r="X85" i="3"/>
  <c r="N86" i="3"/>
  <c r="O86" i="3"/>
  <c r="P86" i="3"/>
  <c r="Q86" i="3"/>
  <c r="R86" i="3"/>
  <c r="S86" i="3"/>
  <c r="T86" i="3"/>
  <c r="U86" i="3"/>
  <c r="V86" i="3"/>
  <c r="W86" i="3"/>
  <c r="X86" i="3"/>
  <c r="N87" i="3"/>
  <c r="O87" i="3"/>
  <c r="P87" i="3"/>
  <c r="Q87" i="3"/>
  <c r="R87" i="3"/>
  <c r="S87" i="3"/>
  <c r="T87" i="3"/>
  <c r="U87" i="3"/>
  <c r="V87" i="3"/>
  <c r="W87" i="3"/>
  <c r="X87" i="3"/>
  <c r="N88" i="3"/>
  <c r="O88" i="3"/>
  <c r="P88" i="3"/>
  <c r="Q88" i="3"/>
  <c r="R88" i="3"/>
  <c r="S88" i="3"/>
  <c r="T88" i="3"/>
  <c r="U88" i="3"/>
  <c r="V88" i="3"/>
  <c r="W88" i="3"/>
  <c r="X88" i="3"/>
  <c r="N89" i="3"/>
  <c r="O89" i="3"/>
  <c r="P89" i="3"/>
  <c r="Q89" i="3"/>
  <c r="R89" i="3"/>
  <c r="S89" i="3"/>
  <c r="T89" i="3"/>
  <c r="U89" i="3"/>
  <c r="V89" i="3"/>
  <c r="W89" i="3"/>
  <c r="X89" i="3"/>
  <c r="N90" i="3"/>
  <c r="O90" i="3"/>
  <c r="P90" i="3"/>
  <c r="Q90" i="3"/>
  <c r="R90" i="3"/>
  <c r="S90" i="3"/>
  <c r="T90" i="3"/>
  <c r="U90" i="3"/>
  <c r="V90" i="3"/>
  <c r="W90" i="3"/>
  <c r="X90" i="3"/>
  <c r="N91" i="3"/>
  <c r="O91" i="3"/>
  <c r="P91" i="3"/>
  <c r="Q91" i="3"/>
  <c r="R91" i="3"/>
  <c r="S91" i="3"/>
  <c r="T91" i="3"/>
  <c r="U91" i="3"/>
  <c r="V91" i="3"/>
  <c r="W91" i="3"/>
  <c r="X91" i="3"/>
  <c r="N92" i="3"/>
  <c r="O92" i="3"/>
  <c r="P92" i="3"/>
  <c r="Q92" i="3"/>
  <c r="R92" i="3"/>
  <c r="S92" i="3"/>
  <c r="T92" i="3"/>
  <c r="U92" i="3"/>
  <c r="V92" i="3"/>
  <c r="W92" i="3"/>
  <c r="X92" i="3"/>
  <c r="N93" i="3"/>
  <c r="O93" i="3"/>
  <c r="P93" i="3"/>
  <c r="Q93" i="3"/>
  <c r="R93" i="3"/>
  <c r="S93" i="3"/>
  <c r="T93" i="3"/>
  <c r="U93" i="3"/>
  <c r="V93" i="3"/>
  <c r="W93" i="3"/>
  <c r="X93" i="3"/>
  <c r="N94" i="3"/>
  <c r="O94" i="3"/>
  <c r="P94" i="3"/>
  <c r="Q94" i="3"/>
  <c r="R94" i="3"/>
  <c r="S94" i="3"/>
  <c r="T94" i="3"/>
  <c r="U94" i="3"/>
  <c r="V94" i="3"/>
  <c r="W94" i="3"/>
  <c r="X94" i="3"/>
  <c r="N95" i="3"/>
  <c r="O95" i="3"/>
  <c r="P95" i="3"/>
  <c r="Q95" i="3"/>
  <c r="R95" i="3"/>
  <c r="S95" i="3"/>
  <c r="T95" i="3"/>
  <c r="U95" i="3"/>
  <c r="V95" i="3"/>
  <c r="W95" i="3"/>
  <c r="X95" i="3"/>
  <c r="N96" i="3"/>
  <c r="O96" i="3"/>
  <c r="P96" i="3"/>
  <c r="Q96" i="3"/>
  <c r="R96" i="3"/>
  <c r="S96" i="3"/>
  <c r="T96" i="3"/>
  <c r="U96" i="3"/>
  <c r="V96" i="3"/>
  <c r="W96" i="3"/>
  <c r="X96" i="3"/>
  <c r="N97" i="3"/>
  <c r="O97" i="3"/>
  <c r="P97" i="3"/>
  <c r="Q97" i="3"/>
  <c r="R97" i="3"/>
  <c r="S97" i="3"/>
  <c r="T97" i="3"/>
  <c r="U97" i="3"/>
  <c r="V97" i="3"/>
  <c r="W97" i="3"/>
  <c r="X97" i="3"/>
  <c r="N98" i="3"/>
  <c r="O98" i="3"/>
  <c r="P98" i="3"/>
  <c r="Q98" i="3"/>
  <c r="R98" i="3"/>
  <c r="S98" i="3"/>
  <c r="T98" i="3"/>
  <c r="U98" i="3"/>
  <c r="V98" i="3"/>
  <c r="W98" i="3"/>
  <c r="X98" i="3"/>
  <c r="N99" i="3"/>
  <c r="O99" i="3"/>
  <c r="P99" i="3"/>
  <c r="Q99" i="3"/>
  <c r="R99" i="3"/>
  <c r="S99" i="3"/>
  <c r="T99" i="3"/>
  <c r="U99" i="3"/>
  <c r="V99" i="3"/>
  <c r="W99" i="3"/>
  <c r="X99" i="3"/>
  <c r="N100" i="3"/>
  <c r="O100" i="3"/>
  <c r="P100" i="3"/>
  <c r="Q100" i="3"/>
  <c r="R100" i="3"/>
  <c r="S100" i="3"/>
  <c r="T100" i="3"/>
  <c r="U100" i="3"/>
  <c r="V100" i="3"/>
  <c r="W100" i="3"/>
  <c r="X100" i="3"/>
  <c r="N101" i="3"/>
  <c r="O101" i="3"/>
  <c r="P101" i="3"/>
  <c r="Q101" i="3"/>
  <c r="R101" i="3"/>
  <c r="S101" i="3"/>
  <c r="T101" i="3"/>
  <c r="U101" i="3"/>
  <c r="V101" i="3"/>
  <c r="W101" i="3"/>
  <c r="X101" i="3"/>
  <c r="N102" i="3"/>
  <c r="O102" i="3"/>
  <c r="P102" i="3"/>
  <c r="Q102" i="3"/>
  <c r="R102" i="3"/>
  <c r="S102" i="3"/>
  <c r="T102" i="3"/>
  <c r="U102" i="3"/>
  <c r="V102" i="3"/>
  <c r="W102" i="3"/>
  <c r="X102" i="3"/>
  <c r="N103" i="3"/>
  <c r="O103" i="3"/>
  <c r="P103" i="3"/>
  <c r="Q103" i="3"/>
  <c r="R103" i="3"/>
  <c r="S103" i="3"/>
  <c r="T103" i="3"/>
  <c r="U103" i="3"/>
  <c r="V103" i="3"/>
  <c r="W103" i="3"/>
  <c r="X103" i="3"/>
  <c r="N104" i="3"/>
  <c r="O104" i="3"/>
  <c r="P104" i="3"/>
  <c r="Q104" i="3"/>
  <c r="R104" i="3"/>
  <c r="S104" i="3"/>
  <c r="T104" i="3"/>
  <c r="U104" i="3"/>
  <c r="V104" i="3"/>
  <c r="W104" i="3"/>
  <c r="X104" i="3"/>
  <c r="N105" i="3"/>
  <c r="O105" i="3"/>
  <c r="P105" i="3"/>
  <c r="Q105" i="3"/>
  <c r="R105" i="3"/>
  <c r="S105" i="3"/>
  <c r="T105" i="3"/>
  <c r="U105" i="3"/>
  <c r="V105" i="3"/>
  <c r="W105" i="3"/>
  <c r="X105" i="3"/>
  <c r="N106" i="3"/>
  <c r="O106" i="3"/>
  <c r="P106" i="3"/>
  <c r="Q106" i="3"/>
  <c r="R106" i="3"/>
  <c r="S106" i="3"/>
  <c r="T106" i="3"/>
  <c r="U106" i="3"/>
  <c r="V106" i="3"/>
  <c r="W106" i="3"/>
  <c r="X106" i="3"/>
  <c r="N107" i="3"/>
  <c r="O107" i="3"/>
  <c r="P107" i="3"/>
  <c r="Q107" i="3"/>
  <c r="R107" i="3"/>
  <c r="S107" i="3"/>
  <c r="T107" i="3"/>
  <c r="U107" i="3"/>
  <c r="V107" i="3"/>
  <c r="W107" i="3"/>
  <c r="X107" i="3"/>
  <c r="N108" i="3"/>
  <c r="O108" i="3"/>
  <c r="P108" i="3"/>
  <c r="Q108" i="3"/>
  <c r="R108" i="3"/>
  <c r="S108" i="3"/>
  <c r="T108" i="3"/>
  <c r="U108" i="3"/>
  <c r="V108" i="3"/>
  <c r="W108" i="3"/>
  <c r="X108" i="3"/>
  <c r="N109" i="3"/>
  <c r="O109" i="3"/>
  <c r="P109" i="3"/>
  <c r="Q109" i="3"/>
  <c r="R109" i="3"/>
  <c r="S109" i="3"/>
  <c r="T109" i="3"/>
  <c r="U109" i="3"/>
  <c r="V109" i="3"/>
  <c r="W109" i="3"/>
  <c r="X109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74" i="3"/>
  <c r="X5" i="3"/>
  <c r="X8" i="3"/>
  <c r="X11" i="3"/>
  <c r="X3" i="3"/>
  <c r="X6" i="3"/>
  <c r="X12" i="3"/>
  <c r="X9" i="3"/>
  <c r="X13" i="3"/>
  <c r="X10" i="3"/>
  <c r="X4" i="3"/>
  <c r="X7" i="3"/>
  <c r="X38" i="3"/>
  <c r="X41" i="3"/>
  <c r="X44" i="3"/>
  <c r="X47" i="3"/>
  <c r="X39" i="3"/>
  <c r="X42" i="3"/>
  <c r="X48" i="3"/>
  <c r="X45" i="3"/>
  <c r="X49" i="3"/>
  <c r="X46" i="3"/>
  <c r="X40" i="3"/>
  <c r="X43" i="3"/>
  <c r="X14" i="3"/>
  <c r="X17" i="3"/>
  <c r="X20" i="3"/>
  <c r="X23" i="3"/>
  <c r="X26" i="3"/>
  <c r="X29" i="3"/>
  <c r="X32" i="3"/>
  <c r="X35" i="3"/>
  <c r="X30" i="3"/>
  <c r="X21" i="3"/>
  <c r="X18" i="3"/>
  <c r="X36" i="3"/>
  <c r="X24" i="3"/>
  <c r="X27" i="3"/>
  <c r="X15" i="3"/>
  <c r="X33" i="3"/>
  <c r="X31" i="3"/>
  <c r="X37" i="3"/>
  <c r="X34" i="3"/>
  <c r="X25" i="3"/>
  <c r="X16" i="3"/>
  <c r="X19" i="3"/>
  <c r="X28" i="3"/>
  <c r="X22" i="3"/>
  <c r="X50" i="3"/>
  <c r="X53" i="3"/>
  <c r="X56" i="3"/>
  <c r="X59" i="3"/>
  <c r="X62" i="3"/>
  <c r="X65" i="3"/>
  <c r="X68" i="3"/>
  <c r="X71" i="3"/>
  <c r="X66" i="3"/>
  <c r="X57" i="3"/>
  <c r="X54" i="3"/>
  <c r="X72" i="3"/>
  <c r="X60" i="3"/>
  <c r="X63" i="3"/>
  <c r="X51" i="3"/>
  <c r="X69" i="3"/>
  <c r="X67" i="3"/>
  <c r="X73" i="3"/>
  <c r="X70" i="3"/>
  <c r="X61" i="3"/>
  <c r="X52" i="3"/>
  <c r="X55" i="3"/>
  <c r="X64" i="3"/>
  <c r="X58" i="3"/>
  <c r="X2" i="3"/>
  <c r="R68" i="3"/>
  <c r="S15" i="3"/>
  <c r="R15" i="3"/>
  <c r="Q15" i="3"/>
  <c r="Y44" i="3"/>
  <c r="Q4" i="3"/>
  <c r="AR58" i="1"/>
  <c r="AG58" i="1"/>
  <c r="M52" i="1"/>
  <c r="N70" i="1"/>
  <c r="M70" i="1"/>
  <c r="O50" i="1"/>
  <c r="N50" i="1"/>
  <c r="AT40" i="1"/>
  <c r="AJ40" i="1"/>
  <c r="AI40" i="1"/>
  <c r="AH40" i="1"/>
  <c r="O44" i="1"/>
  <c r="N44" i="1"/>
  <c r="M44" i="1"/>
  <c r="N40" i="1"/>
  <c r="M40" i="1"/>
  <c r="O58" i="1"/>
  <c r="N58" i="1"/>
  <c r="M58" i="1"/>
  <c r="S67" i="1"/>
  <c r="AT23" i="1" l="1"/>
  <c r="AY23" i="1" s="1"/>
  <c r="AP23" i="1"/>
  <c r="BD7" i="1"/>
  <c r="BD9" i="1"/>
  <c r="BD11" i="1"/>
  <c r="BD13" i="1"/>
  <c r="BD15" i="1"/>
  <c r="BD17" i="1"/>
  <c r="BD19" i="1"/>
  <c r="BD21" i="1"/>
  <c r="BD22" i="1"/>
  <c r="BD24" i="1"/>
  <c r="BD25" i="1"/>
  <c r="BD27" i="1"/>
  <c r="BD31" i="1"/>
  <c r="BD33" i="1"/>
  <c r="BD37" i="1"/>
  <c r="BD39" i="1"/>
  <c r="BD40" i="1"/>
  <c r="BD41" i="1"/>
  <c r="BD43" i="1"/>
  <c r="BD44" i="1"/>
  <c r="BD45" i="1"/>
  <c r="BD49" i="1"/>
  <c r="BD50" i="1"/>
  <c r="BD51" i="1"/>
  <c r="BD52" i="1"/>
  <c r="BD53" i="1"/>
  <c r="BD55" i="1"/>
  <c r="BD57" i="1"/>
  <c r="BD58" i="1"/>
  <c r="BD59" i="1"/>
  <c r="BD65" i="1"/>
  <c r="BD67" i="1"/>
  <c r="BD69" i="1"/>
  <c r="BD70" i="1"/>
  <c r="BD71" i="1"/>
  <c r="BD73" i="1"/>
  <c r="S70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4" i="1"/>
  <c r="AY25" i="1"/>
  <c r="AY26" i="1"/>
  <c r="AY27" i="1"/>
  <c r="AY28" i="1"/>
  <c r="AY29" i="1"/>
  <c r="AY30" i="1"/>
  <c r="AY31" i="1"/>
  <c r="AY33" i="1"/>
  <c r="AY35" i="1"/>
  <c r="AY37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9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N3" i="1"/>
  <c r="AN7" i="1"/>
  <c r="AN9" i="1"/>
  <c r="AN10" i="1"/>
  <c r="AN11" i="1"/>
  <c r="AN12" i="1"/>
  <c r="AN13" i="1"/>
  <c r="AN15" i="1"/>
  <c r="AN16" i="1"/>
  <c r="AN17" i="1"/>
  <c r="AN19" i="1"/>
  <c r="AN21" i="1"/>
  <c r="AN22" i="1"/>
  <c r="AN23" i="1"/>
  <c r="AN24" i="1"/>
  <c r="AN25" i="1"/>
  <c r="AN26" i="1"/>
  <c r="AN27" i="1"/>
  <c r="AN30" i="1"/>
  <c r="AN31" i="1"/>
  <c r="AN33" i="1"/>
  <c r="AN36" i="1"/>
  <c r="AN37" i="1"/>
  <c r="AN39" i="1"/>
  <c r="AN40" i="1"/>
  <c r="AN41" i="1"/>
  <c r="AN43" i="1"/>
  <c r="AN44" i="1"/>
  <c r="AN45" i="1"/>
  <c r="AN47" i="1"/>
  <c r="AN49" i="1"/>
  <c r="AN50" i="1"/>
  <c r="AN51" i="1"/>
  <c r="AN52" i="1"/>
  <c r="AN53" i="1"/>
  <c r="AN55" i="1"/>
  <c r="AN57" i="1"/>
  <c r="AN58" i="1"/>
  <c r="AN59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2" i="1"/>
  <c r="S5" i="1"/>
  <c r="S7" i="1"/>
  <c r="S9" i="1"/>
  <c r="S11" i="1"/>
  <c r="S13" i="1"/>
  <c r="S15" i="1"/>
  <c r="S17" i="1"/>
  <c r="S18" i="1"/>
  <c r="S19" i="1"/>
  <c r="S21" i="1"/>
  <c r="S22" i="1"/>
  <c r="S23" i="1"/>
  <c r="S24" i="1"/>
  <c r="S25" i="1"/>
  <c r="S27" i="1"/>
  <c r="S31" i="1"/>
  <c r="S33" i="1"/>
  <c r="S37" i="1"/>
  <c r="S39" i="1"/>
  <c r="S40" i="1"/>
  <c r="S41" i="1"/>
  <c r="S43" i="1"/>
  <c r="S44" i="1"/>
  <c r="S45" i="1"/>
  <c r="S49" i="1"/>
  <c r="S50" i="1"/>
  <c r="S51" i="1"/>
  <c r="S52" i="1"/>
  <c r="S53" i="1"/>
  <c r="S55" i="1"/>
  <c r="S57" i="1"/>
  <c r="S58" i="1"/>
  <c r="S59" i="1"/>
  <c r="S65" i="1"/>
  <c r="S69" i="1"/>
  <c r="S71" i="1"/>
  <c r="S73" i="1"/>
  <c r="N72" i="1"/>
  <c r="M72" i="1"/>
  <c r="O68" i="1"/>
  <c r="N68" i="1"/>
  <c r="M68" i="1"/>
  <c r="O66" i="1"/>
  <c r="N66" i="1"/>
  <c r="M66" i="1"/>
  <c r="O64" i="1"/>
  <c r="N64" i="1"/>
  <c r="M64" i="1"/>
  <c r="AQ42" i="1"/>
  <c r="AP42" i="1"/>
  <c r="AO42" i="1"/>
  <c r="AJ42" i="1"/>
  <c r="AI42" i="1"/>
  <c r="O42" i="1"/>
  <c r="N42" i="1"/>
  <c r="M42" i="1"/>
  <c r="AU38" i="1"/>
  <c r="AT38" i="1"/>
  <c r="AS38" i="1"/>
  <c r="AI38" i="1"/>
  <c r="AH38" i="1"/>
  <c r="O38" i="1"/>
  <c r="N38" i="1"/>
  <c r="M38" i="1"/>
  <c r="AU36" i="1"/>
  <c r="AT36" i="1"/>
  <c r="AS36" i="1"/>
  <c r="O36" i="1"/>
  <c r="N36" i="1"/>
  <c r="M36" i="1"/>
  <c r="O26" i="1"/>
  <c r="N26" i="1"/>
  <c r="M26" i="1"/>
  <c r="AI20" i="1"/>
  <c r="AN20" i="1" s="1"/>
  <c r="N20" i="1"/>
  <c r="M20" i="1"/>
  <c r="AH18" i="1"/>
  <c r="BD18" i="1" s="1"/>
  <c r="AT32" i="1"/>
  <c r="AS32" i="1"/>
  <c r="AI32" i="1"/>
  <c r="AN32" i="1" s="1"/>
  <c r="N32" i="1"/>
  <c r="S32" i="1" s="1"/>
  <c r="O30" i="1"/>
  <c r="N30" i="1"/>
  <c r="M30" i="1"/>
  <c r="N16" i="1"/>
  <c r="M16" i="1"/>
  <c r="AJ14" i="1"/>
  <c r="AI14" i="1"/>
  <c r="N14" i="1"/>
  <c r="M14" i="1"/>
  <c r="N12" i="1"/>
  <c r="M12" i="1"/>
  <c r="N10" i="1"/>
  <c r="M10" i="1"/>
  <c r="AI63" i="1"/>
  <c r="AH63" i="1"/>
  <c r="N63" i="1"/>
  <c r="S63" i="1" s="1"/>
  <c r="M63" i="1"/>
  <c r="N61" i="1"/>
  <c r="M61" i="1"/>
  <c r="M47" i="1"/>
  <c r="BD47" i="1" s="1"/>
  <c r="AH35" i="1"/>
  <c r="AI35" i="1"/>
  <c r="N35" i="1"/>
  <c r="M35" i="1"/>
  <c r="AH29" i="1"/>
  <c r="AN29" i="1" s="1"/>
  <c r="N29" i="1"/>
  <c r="M29" i="1"/>
  <c r="AI5" i="1"/>
  <c r="AH5" i="1"/>
  <c r="BE7" i="1"/>
  <c r="N3" i="1"/>
  <c r="M3" i="1"/>
  <c r="AO60" i="1"/>
  <c r="AR60" i="1" s="1"/>
  <c r="AI60" i="1"/>
  <c r="AH60" i="1"/>
  <c r="AI56" i="1"/>
  <c r="AH56" i="1"/>
  <c r="M62" i="1"/>
  <c r="S62" i="1" s="1"/>
  <c r="M60" i="1"/>
  <c r="N56" i="1"/>
  <c r="M56" i="1"/>
  <c r="BC2" i="1"/>
  <c r="AS34" i="1"/>
  <c r="AY34" i="1" s="1"/>
  <c r="AR2" i="1"/>
  <c r="AH54" i="1"/>
  <c r="AN54" i="1" s="1"/>
  <c r="AH48" i="1"/>
  <c r="AN48" i="1" s="1"/>
  <c r="AI46" i="1"/>
  <c r="AH46" i="1"/>
  <c r="AH34" i="1"/>
  <c r="AI34" i="1"/>
  <c r="AI28" i="1"/>
  <c r="AH28" i="1"/>
  <c r="AI8" i="1"/>
  <c r="AH8" i="1"/>
  <c r="AJ6" i="1"/>
  <c r="AI6" i="1"/>
  <c r="AH6" i="1"/>
  <c r="AI4" i="1"/>
  <c r="AH4" i="1"/>
  <c r="AI2" i="1"/>
  <c r="AH2" i="1"/>
  <c r="M34" i="1"/>
  <c r="M28" i="1"/>
  <c r="N54" i="1"/>
  <c r="M54" i="1"/>
  <c r="O48" i="1"/>
  <c r="N48" i="1"/>
  <c r="M48" i="1"/>
  <c r="O46" i="1"/>
  <c r="N46" i="1"/>
  <c r="M46" i="1"/>
  <c r="N34" i="1"/>
  <c r="O28" i="1"/>
  <c r="N28" i="1"/>
  <c r="O8" i="1"/>
  <c r="N8" i="1"/>
  <c r="M8" i="1"/>
  <c r="N6" i="1"/>
  <c r="M6" i="1"/>
  <c r="M4" i="1"/>
  <c r="BD4" i="1" s="1"/>
  <c r="M2" i="1"/>
  <c r="S2" i="1" s="1"/>
  <c r="BD60" i="1" l="1"/>
  <c r="AN35" i="1"/>
  <c r="BD66" i="1"/>
  <c r="BD48" i="1"/>
  <c r="AN4" i="1"/>
  <c r="AN60" i="1"/>
  <c r="BD54" i="1"/>
  <c r="S3" i="1"/>
  <c r="BD14" i="1"/>
  <c r="S28" i="1"/>
  <c r="BD6" i="1"/>
  <c r="BD46" i="1"/>
  <c r="AN63" i="1"/>
  <c r="AN14" i="1"/>
  <c r="S38" i="1"/>
  <c r="S42" i="1"/>
  <c r="BD23" i="1"/>
  <c r="S72" i="1"/>
  <c r="AN2" i="1"/>
  <c r="AN56" i="1"/>
  <c r="BD5" i="1"/>
  <c r="BD10" i="1"/>
  <c r="BD16" i="1"/>
  <c r="BD36" i="1"/>
  <c r="S47" i="1"/>
  <c r="BD29" i="1"/>
  <c r="BD61" i="1"/>
  <c r="S12" i="1"/>
  <c r="BD30" i="1"/>
  <c r="BD20" i="1"/>
  <c r="BD38" i="1"/>
  <c r="AN5" i="1"/>
  <c r="BD56" i="1"/>
  <c r="BD63" i="1"/>
  <c r="BD62" i="1"/>
  <c r="AN46" i="1"/>
  <c r="S35" i="1"/>
  <c r="S26" i="1"/>
  <c r="AY36" i="1"/>
  <c r="BD28" i="1"/>
  <c r="S64" i="1"/>
  <c r="BD34" i="1"/>
  <c r="BD72" i="1"/>
  <c r="S16" i="1"/>
  <c r="BD2" i="1"/>
  <c r="BD42" i="1"/>
  <c r="BD26" i="1"/>
  <c r="S6" i="1"/>
  <c r="S46" i="1"/>
  <c r="S34" i="1"/>
  <c r="AN8" i="1"/>
  <c r="AY32" i="1"/>
  <c r="S4" i="1"/>
  <c r="S8" i="1"/>
  <c r="S61" i="1"/>
  <c r="BD64" i="1"/>
  <c r="BD32" i="1"/>
  <c r="BD8" i="1"/>
  <c r="S48" i="1"/>
  <c r="AN28" i="1"/>
  <c r="S10" i="1"/>
  <c r="AN38" i="1"/>
  <c r="AN42" i="1"/>
  <c r="S66" i="1"/>
  <c r="S60" i="1"/>
  <c r="S29" i="1"/>
  <c r="AY38" i="1"/>
  <c r="S20" i="1"/>
  <c r="AR42" i="1"/>
  <c r="S54" i="1"/>
  <c r="AN6" i="1"/>
  <c r="AN34" i="1"/>
  <c r="S56" i="1"/>
  <c r="S14" i="1"/>
  <c r="S68" i="1"/>
  <c r="BD68" i="1"/>
  <c r="BD12" i="1"/>
  <c r="BD35" i="1"/>
  <c r="BD3" i="1"/>
  <c r="S36" i="1"/>
  <c r="AN18" i="1"/>
  <c r="S30" i="1"/>
</calcChain>
</file>

<file path=xl/sharedStrings.xml><?xml version="1.0" encoding="utf-8"?>
<sst xmlns="http://schemas.openxmlformats.org/spreadsheetml/2006/main" count="678" uniqueCount="85">
  <si>
    <t>Plot</t>
  </si>
  <si>
    <t>Date</t>
  </si>
  <si>
    <r>
      <t>IPOSS (</t>
    </r>
    <r>
      <rPr>
        <i/>
        <sz val="11"/>
        <color theme="1"/>
        <rFont val="Calibri"/>
        <family val="2"/>
        <scheme val="minor"/>
      </rPr>
      <t>Ipomoea spp.</t>
    </r>
    <r>
      <rPr>
        <sz val="11"/>
        <color theme="1"/>
        <rFont val="Calibri"/>
        <family val="2"/>
        <scheme val="minor"/>
      </rPr>
      <t xml:space="preserve">) = morningglory spp. </t>
    </r>
  </si>
  <si>
    <r>
      <t>CHEAL (</t>
    </r>
    <r>
      <rPr>
        <i/>
        <sz val="11"/>
        <color theme="1"/>
        <rFont val="Calibri"/>
        <family val="2"/>
        <scheme val="minor"/>
      </rPr>
      <t>Chenopodium album</t>
    </r>
    <r>
      <rPr>
        <sz val="11"/>
        <color theme="1"/>
        <rFont val="Calibri"/>
        <family val="2"/>
        <scheme val="minor"/>
      </rPr>
      <t>) = common lambsquarters</t>
    </r>
  </si>
  <si>
    <r>
      <t>SIDSP (</t>
    </r>
    <r>
      <rPr>
        <i/>
        <sz val="11"/>
        <color theme="1"/>
        <rFont val="Calibri"/>
        <family val="2"/>
        <scheme val="minor"/>
      </rPr>
      <t>Sida spinosa</t>
    </r>
    <r>
      <rPr>
        <sz val="11"/>
        <color theme="1"/>
        <rFont val="Calibri"/>
        <family val="2"/>
        <scheme val="minor"/>
      </rPr>
      <t>) = prickly sida</t>
    </r>
  </si>
  <si>
    <r>
      <t>ABUTH (</t>
    </r>
    <r>
      <rPr>
        <i/>
        <sz val="11"/>
        <color theme="1"/>
        <rFont val="Calibri"/>
        <family val="2"/>
        <scheme val="minor"/>
      </rPr>
      <t>Abutilion theophrasti)</t>
    </r>
    <r>
      <rPr>
        <sz val="11"/>
        <color theme="1"/>
        <rFont val="Calibri"/>
        <family val="2"/>
        <scheme val="minor"/>
      </rPr>
      <t xml:space="preserve"> = velvetleaf</t>
    </r>
  </si>
  <si>
    <t>ABUTH_TOTAL</t>
  </si>
  <si>
    <t>SIDSP_TOTAL</t>
  </si>
  <si>
    <t>CHEAL_TOTAL</t>
  </si>
  <si>
    <t>IPOSS_TOTAL</t>
  </si>
  <si>
    <t>Sprayer System</t>
  </si>
  <si>
    <t>Red</t>
  </si>
  <si>
    <t>Blue</t>
  </si>
  <si>
    <t>Scanned Area</t>
  </si>
  <si>
    <t>Sprayed Area</t>
  </si>
  <si>
    <t>Gain (%)</t>
  </si>
  <si>
    <t>Size</t>
  </si>
  <si>
    <t>Speed</t>
  </si>
  <si>
    <t>POROL_1in</t>
  </si>
  <si>
    <t>POROL_2in</t>
  </si>
  <si>
    <t>POROL_3in</t>
  </si>
  <si>
    <t>POROL_TOTAL</t>
  </si>
  <si>
    <t>SETFA_TOTAL</t>
  </si>
  <si>
    <t>OTHER_1in</t>
  </si>
  <si>
    <t>OTHER_2in</t>
  </si>
  <si>
    <t>OTHER_3in</t>
  </si>
  <si>
    <t>OTHER_TOTAL</t>
  </si>
  <si>
    <t>DAA</t>
  </si>
  <si>
    <t>TOTAL</t>
  </si>
  <si>
    <t>ABUTH_1in_C</t>
  </si>
  <si>
    <t>ABUTH_2in_C</t>
  </si>
  <si>
    <t>ABUTH_3in_C</t>
  </si>
  <si>
    <t>Location of weeds</t>
  </si>
  <si>
    <t>SIDSP_1in_C</t>
  </si>
  <si>
    <t>SIDSP_2in_C</t>
  </si>
  <si>
    <t>SIDSP_3in_C</t>
  </si>
  <si>
    <t>CHEAL_1in_C</t>
  </si>
  <si>
    <t>CHEAL_2in_C</t>
  </si>
  <si>
    <t>CHEAL_3in_C</t>
  </si>
  <si>
    <t>IPOSS_1in_C</t>
  </si>
  <si>
    <t>IPOSS_2in_C</t>
  </si>
  <si>
    <t>IPOSS_3in_C</t>
  </si>
  <si>
    <t>FALSE_POSTITIVES</t>
  </si>
  <si>
    <t>SETFA_1in_C</t>
  </si>
  <si>
    <t>SETFA_2in_C</t>
  </si>
  <si>
    <t>SETFA_3in_C</t>
  </si>
  <si>
    <t>Spray Direction</t>
  </si>
  <si>
    <t>south</t>
  </si>
  <si>
    <t>north</t>
  </si>
  <si>
    <t>M=Middle (area between the crop rows</t>
  </si>
  <si>
    <t>C= Crop  (within crop rows)</t>
  </si>
  <si>
    <t>ABUTH_1in_M</t>
  </si>
  <si>
    <t>ABUTH_3in_M</t>
  </si>
  <si>
    <t>ABUTH_2in_M</t>
  </si>
  <si>
    <t>SIDSP_1in_M</t>
  </si>
  <si>
    <t>SIDSP_2in_M</t>
  </si>
  <si>
    <t>SIDSP_3in_M</t>
  </si>
  <si>
    <t>CHEAL_1in_M</t>
  </si>
  <si>
    <t>CHEAL_2in_M</t>
  </si>
  <si>
    <t>CHEAL_3in_M</t>
  </si>
  <si>
    <t>IPOSS_1in_M</t>
  </si>
  <si>
    <t>IPOSS_2in_M</t>
  </si>
  <si>
    <t>IPOSS_3in_M</t>
  </si>
  <si>
    <t>SETFA_1in_M</t>
  </si>
  <si>
    <t>SETFA_2in_M</t>
  </si>
  <si>
    <t>SETFA_3in_M</t>
  </si>
  <si>
    <t>Treatmetn</t>
  </si>
  <si>
    <t>Interpreting the CODING</t>
  </si>
  <si>
    <r>
      <rPr>
        <sz val="18"/>
        <color rgb="FFFF0000"/>
        <rFont val="Calibri"/>
        <family val="2"/>
        <scheme val="minor"/>
      </rPr>
      <t>ABUTH</t>
    </r>
    <r>
      <rPr>
        <sz val="18"/>
        <color theme="1"/>
        <rFont val="Calibri"/>
        <family val="2"/>
        <scheme val="minor"/>
      </rPr>
      <t>_1in_</t>
    </r>
    <r>
      <rPr>
        <sz val="18"/>
        <color theme="4"/>
        <rFont val="Calibri"/>
        <family val="2"/>
        <scheme val="minor"/>
      </rPr>
      <t>M</t>
    </r>
  </si>
  <si>
    <t>Weed Species</t>
  </si>
  <si>
    <t>Size of Weeds</t>
  </si>
  <si>
    <t xml:space="preserve">*the first three letters are the genius; two letters are the specie </t>
  </si>
  <si>
    <t>Weeds were approximately</t>
  </si>
  <si>
    <t xml:space="preserve">Example: </t>
  </si>
  <si>
    <t>1in = 1-inch</t>
  </si>
  <si>
    <t>2in = 2-inches</t>
  </si>
  <si>
    <t>SETFA (Setaria faberi) = gaint foxtail</t>
  </si>
  <si>
    <t>DAA = Days after application</t>
  </si>
  <si>
    <t>3in = 3-inches or greater</t>
  </si>
  <si>
    <t>Soybean Stage</t>
  </si>
  <si>
    <t>VC</t>
  </si>
  <si>
    <t>V2</t>
  </si>
  <si>
    <t>TOTAL w/o POROL</t>
  </si>
  <si>
    <t>Treatment</t>
  </si>
  <si>
    <t>%Red 0 to 5DAA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</si>
</sst>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4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6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2" fontId="0" fillId="0" borderId="0" xfId="0" applyNumberFormat="1"/>
    <xf numFmtId="9" fontId="0" fillId="0" borderId="1" xfId="0" applyNumberFormat="1" applyBorder="1"/>
    <xf numFmtId="9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0" xfId="0" applyFill="1" applyBorder="1"/>
    <xf numFmtId="0" fontId="1" fillId="0" borderId="0" xfId="0" applyFont="1" applyFill="1" applyBorder="1"/>
    <xf numFmtId="164" fontId="0" fillId="0" borderId="1" xfId="0" applyNumberFormat="1" applyBorder="1"/>
    <xf numFmtId="164" fontId="0" fillId="0" borderId="0" xfId="0" applyNumberFormat="1"/>
    <xf numFmtId="0" fontId="0" fillId="0" borderId="0" xfId="0" applyBorder="1"/>
    <xf numFmtId="14" fontId="0" fillId="0" borderId="0" xfId="0" applyNumberFormat="1" applyBorder="1"/>
    <xf numFmtId="164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Border="1"/>
    <xf numFmtId="9" fontId="0" fillId="0" borderId="0" xfId="0" applyNumberFormat="1" applyBorder="1"/>
    <xf numFmtId="0" fontId="1" fillId="0" borderId="0" xfId="0" applyFont="1" applyBorder="1"/>
    <xf numFmtId="0" fontId="0" fillId="0" borderId="1" xfId="0" applyFill="1" applyBorder="1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 applyBorder="1"/>
    <xf numFmtId="0" fontId="1" fillId="2" borderId="0" xfId="0" applyFont="1" applyFill="1" applyBorder="1"/>
    <xf numFmtId="0" fontId="0" fillId="0" borderId="0" xfId="0" applyFont="1"/>
    <xf numFmtId="14" fontId="0" fillId="0" borderId="0" xfId="0" applyNumberFormat="1" applyFont="1"/>
    <xf numFmtId="164" fontId="0" fillId="0" borderId="0" xfId="0" applyNumberFormat="1" applyFont="1"/>
    <xf numFmtId="1" fontId="0" fillId="0" borderId="0" xfId="0" applyNumberFormat="1" applyFont="1"/>
    <xf numFmtId="2" fontId="0" fillId="0" borderId="0" xfId="0" applyNumberFormat="1" applyFont="1"/>
    <xf numFmtId="9" fontId="0" fillId="0" borderId="0" xfId="0" applyNumberFormat="1" applyFont="1"/>
    <xf numFmtId="0" fontId="0" fillId="0" borderId="0" xfId="0" applyFont="1" applyBorder="1"/>
    <xf numFmtId="14" fontId="0" fillId="0" borderId="0" xfId="0" applyNumberFormat="1" applyFont="1" applyBorder="1"/>
    <xf numFmtId="164" fontId="0" fillId="0" borderId="0" xfId="0" applyNumberFormat="1" applyFont="1" applyBorder="1"/>
    <xf numFmtId="1" fontId="0" fillId="0" borderId="0" xfId="0" applyNumberFormat="1" applyFont="1" applyBorder="1"/>
    <xf numFmtId="2" fontId="0" fillId="0" borderId="0" xfId="0" applyNumberFormat="1" applyFont="1" applyBorder="1"/>
    <xf numFmtId="9" fontId="0" fillId="0" borderId="0" xfId="0" applyNumberFormat="1" applyFont="1" applyBorder="1"/>
    <xf numFmtId="0" fontId="0" fillId="0" borderId="0" xfId="0" applyFont="1" applyFill="1" applyBorder="1"/>
    <xf numFmtId="0" fontId="0" fillId="0" borderId="1" xfId="0" applyFont="1" applyBorder="1"/>
    <xf numFmtId="14" fontId="0" fillId="0" borderId="1" xfId="0" applyNumberFormat="1" applyFont="1" applyBorder="1"/>
    <xf numFmtId="164" fontId="0" fillId="0" borderId="1" xfId="0" applyNumberFormat="1" applyFont="1" applyBorder="1"/>
    <xf numFmtId="1" fontId="0" fillId="0" borderId="1" xfId="0" applyNumberFormat="1" applyFont="1" applyBorder="1"/>
    <xf numFmtId="2" fontId="0" fillId="0" borderId="1" xfId="0" applyNumberFormat="1" applyFont="1" applyBorder="1"/>
    <xf numFmtId="9" fontId="0" fillId="0" borderId="1" xfId="0" applyNumberFormat="1" applyFont="1" applyBorder="1"/>
    <xf numFmtId="0" fontId="1" fillId="3" borderId="0" xfId="0" applyFont="1" applyFill="1"/>
    <xf numFmtId="14" fontId="1" fillId="3" borderId="0" xfId="0" applyNumberFormat="1" applyFont="1" applyFill="1"/>
    <xf numFmtId="164" fontId="1" fillId="3" borderId="0" xfId="0" applyNumberFormat="1" applyFont="1" applyFill="1"/>
    <xf numFmtId="1" fontId="1" fillId="3" borderId="0" xfId="0" applyNumberFormat="1" applyFont="1" applyFill="1"/>
    <xf numFmtId="2" fontId="1" fillId="3" borderId="0" xfId="0" applyNumberFormat="1" applyFont="1" applyFill="1"/>
    <xf numFmtId="9" fontId="1" fillId="3" borderId="0" xfId="0" applyNumberFormat="1" applyFont="1" applyFill="1"/>
    <xf numFmtId="9" fontId="1" fillId="3" borderId="0" xfId="1" applyFont="1" applyFill="1"/>
    <xf numFmtId="0" fontId="1" fillId="3" borderId="0" xfId="0" applyFont="1" applyFill="1" applyBorder="1"/>
    <xf numFmtId="14" fontId="1" fillId="3" borderId="0" xfId="0" applyNumberFormat="1" applyFont="1" applyFill="1" applyBorder="1"/>
    <xf numFmtId="164" fontId="1" fillId="3" borderId="0" xfId="0" applyNumberFormat="1" applyFont="1" applyFill="1" applyBorder="1"/>
    <xf numFmtId="1" fontId="1" fillId="3" borderId="0" xfId="0" applyNumberFormat="1" applyFont="1" applyFill="1" applyBorder="1"/>
    <xf numFmtId="2" fontId="1" fillId="3" borderId="0" xfId="0" applyNumberFormat="1" applyFont="1" applyFill="1" applyBorder="1"/>
    <xf numFmtId="9" fontId="1" fillId="3" borderId="0" xfId="0" applyNumberFormat="1" applyFont="1" applyFill="1" applyBorder="1"/>
    <xf numFmtId="0" fontId="1" fillId="3" borderId="1" xfId="0" applyFont="1" applyFill="1" applyBorder="1"/>
    <xf numFmtId="14" fontId="1" fillId="3" borderId="1" xfId="0" applyNumberFormat="1" applyFont="1" applyFill="1" applyBorder="1"/>
    <xf numFmtId="164" fontId="1" fillId="3" borderId="1" xfId="0" applyNumberFormat="1" applyFont="1" applyFill="1" applyBorder="1"/>
    <xf numFmtId="1" fontId="1" fillId="3" borderId="1" xfId="0" applyNumberFormat="1" applyFont="1" applyFill="1" applyBorder="1"/>
    <xf numFmtId="2" fontId="1" fillId="3" borderId="1" xfId="0" applyNumberFormat="1" applyFont="1" applyFill="1" applyBorder="1"/>
    <xf numFmtId="9" fontId="1" fillId="3" borderId="1" xfId="0" applyNumberFormat="1" applyFont="1" applyFill="1" applyBorder="1"/>
    <xf numFmtId="9" fontId="1" fillId="3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7D1B-074D-4815-B478-0DC49AD12F6D}">
  <dimension ref="A1:BE75"/>
  <sheetViews>
    <sheetView zoomScale="70" zoomScaleNormal="70" workbookViewId="0">
      <pane xSplit="3" ySplit="1" topLeftCell="L17" activePane="bottomRight" state="frozen"/>
      <selection pane="topRight" activeCell="C1" sqref="C1"/>
      <selection pane="bottomLeft" activeCell="A2" sqref="A2"/>
      <selection pane="bottomRight" activeCell="AI1" sqref="AI1"/>
    </sheetView>
  </sheetViews>
  <sheetFormatPr defaultRowHeight="15" x14ac:dyDescent="0.25"/>
  <cols>
    <col min="4" max="4" width="11.140625" bestFit="1" customWidth="1"/>
    <col min="5" max="5" width="14.7109375" bestFit="1" customWidth="1"/>
    <col min="6" max="7" width="14.7109375" customWidth="1"/>
    <col min="8" max="8" width="6.5703125" style="14" bestFit="1" customWidth="1"/>
    <col min="9" max="9" width="4.5703125" style="10" bestFit="1" customWidth="1"/>
    <col min="10" max="10" width="13.140625" style="6" bestFit="1" customWidth="1"/>
    <col min="11" max="11" width="12.7109375" style="6" bestFit="1" customWidth="1"/>
    <col min="12" max="12" width="9.7109375" style="8" customWidth="1"/>
    <col min="13" max="13" width="14.5703125" bestFit="1" customWidth="1"/>
    <col min="14" max="14" width="10.7109375" bestFit="1" customWidth="1"/>
    <col min="15" max="15" width="15" bestFit="1" customWidth="1"/>
    <col min="16" max="18" width="10.7109375" customWidth="1"/>
    <col min="19" max="19" width="13.7109375" style="2" bestFit="1" customWidth="1"/>
    <col min="20" max="22" width="9.7109375" bestFit="1" customWidth="1"/>
    <col min="23" max="25" width="9.7109375" customWidth="1"/>
    <col min="26" max="26" width="12.5703125" style="2" bestFit="1" customWidth="1"/>
    <col min="27" max="29" width="10.28515625" bestFit="1" customWidth="1"/>
    <col min="30" max="32" width="10.28515625" customWidth="1"/>
    <col min="33" max="33" width="13.28515625" style="2" bestFit="1" customWidth="1"/>
    <col min="34" max="36" width="9.85546875" bestFit="1" customWidth="1"/>
    <col min="37" max="39" width="9.85546875" customWidth="1"/>
    <col min="40" max="40" width="12.7109375" style="2" bestFit="1" customWidth="1"/>
    <col min="41" max="43" width="10.7109375" bestFit="1" customWidth="1"/>
    <col min="44" max="44" width="13.7109375" style="2" bestFit="1" customWidth="1"/>
    <col min="45" max="47" width="10" bestFit="1" customWidth="1"/>
    <col min="48" max="50" width="10" customWidth="1"/>
    <col min="51" max="51" width="12.85546875" style="2" bestFit="1" customWidth="1"/>
    <col min="52" max="54" width="10.5703125" bestFit="1" customWidth="1"/>
    <col min="55" max="55" width="13.5703125" style="2" bestFit="1" customWidth="1"/>
    <col min="57" max="57" width="23.85546875" bestFit="1" customWidth="1"/>
  </cols>
  <sheetData>
    <row r="1" spans="1:57" x14ac:dyDescent="0.25">
      <c r="A1" s="3" t="s">
        <v>0</v>
      </c>
      <c r="B1" s="3" t="s">
        <v>66</v>
      </c>
      <c r="C1" s="3" t="s">
        <v>27</v>
      </c>
      <c r="D1" s="3" t="s">
        <v>1</v>
      </c>
      <c r="E1" s="3" t="s">
        <v>10</v>
      </c>
      <c r="F1" s="3" t="s">
        <v>46</v>
      </c>
      <c r="G1" s="3" t="s">
        <v>79</v>
      </c>
      <c r="H1" s="13" t="s">
        <v>17</v>
      </c>
      <c r="I1" s="9" t="s">
        <v>16</v>
      </c>
      <c r="J1" s="5" t="s">
        <v>13</v>
      </c>
      <c r="K1" s="5" t="s">
        <v>14</v>
      </c>
      <c r="L1" s="7" t="s">
        <v>15</v>
      </c>
      <c r="M1" s="3" t="s">
        <v>51</v>
      </c>
      <c r="N1" s="3" t="s">
        <v>53</v>
      </c>
      <c r="O1" s="3" t="s">
        <v>52</v>
      </c>
      <c r="P1" s="3" t="s">
        <v>29</v>
      </c>
      <c r="Q1" s="3" t="s">
        <v>30</v>
      </c>
      <c r="R1" s="3" t="s">
        <v>31</v>
      </c>
      <c r="S1" s="4" t="s">
        <v>6</v>
      </c>
      <c r="T1" s="3" t="s">
        <v>54</v>
      </c>
      <c r="U1" s="3" t="s">
        <v>55</v>
      </c>
      <c r="V1" s="3" t="s">
        <v>56</v>
      </c>
      <c r="W1" s="3" t="s">
        <v>33</v>
      </c>
      <c r="X1" s="3" t="s">
        <v>34</v>
      </c>
      <c r="Y1" s="3" t="s">
        <v>35</v>
      </c>
      <c r="Z1" s="4" t="s">
        <v>7</v>
      </c>
      <c r="AA1" s="3" t="s">
        <v>57</v>
      </c>
      <c r="AB1" s="3" t="s">
        <v>58</v>
      </c>
      <c r="AC1" s="3" t="s">
        <v>59</v>
      </c>
      <c r="AD1" s="3" t="s">
        <v>36</v>
      </c>
      <c r="AE1" s="3" t="s">
        <v>37</v>
      </c>
      <c r="AF1" s="3" t="s">
        <v>38</v>
      </c>
      <c r="AG1" s="4" t="s">
        <v>8</v>
      </c>
      <c r="AH1" s="3" t="s">
        <v>60</v>
      </c>
      <c r="AI1" s="3" t="s">
        <v>61</v>
      </c>
      <c r="AJ1" s="3" t="s">
        <v>62</v>
      </c>
      <c r="AK1" s="3" t="s">
        <v>39</v>
      </c>
      <c r="AL1" s="3" t="s">
        <v>40</v>
      </c>
      <c r="AM1" s="3" t="s">
        <v>41</v>
      </c>
      <c r="AN1" s="4" t="s">
        <v>9</v>
      </c>
      <c r="AO1" s="11" t="s">
        <v>18</v>
      </c>
      <c r="AP1" s="11" t="s">
        <v>19</v>
      </c>
      <c r="AQ1" s="11" t="s">
        <v>20</v>
      </c>
      <c r="AR1" s="12" t="s">
        <v>21</v>
      </c>
      <c r="AS1" s="11" t="s">
        <v>63</v>
      </c>
      <c r="AT1" s="11" t="s">
        <v>64</v>
      </c>
      <c r="AU1" s="11" t="s">
        <v>65</v>
      </c>
      <c r="AV1" s="11" t="s">
        <v>43</v>
      </c>
      <c r="AW1" s="11" t="s">
        <v>44</v>
      </c>
      <c r="AX1" s="11" t="s">
        <v>45</v>
      </c>
      <c r="AY1" s="12" t="s">
        <v>22</v>
      </c>
      <c r="AZ1" s="11" t="s">
        <v>23</v>
      </c>
      <c r="BA1" s="11" t="s">
        <v>24</v>
      </c>
      <c r="BB1" s="11" t="s">
        <v>25</v>
      </c>
      <c r="BC1" s="12" t="s">
        <v>26</v>
      </c>
      <c r="BD1" s="12" t="s">
        <v>28</v>
      </c>
      <c r="BE1" s="2" t="s">
        <v>42</v>
      </c>
    </row>
    <row r="2" spans="1:57" x14ac:dyDescent="0.25">
      <c r="A2">
        <v>101</v>
      </c>
      <c r="B2">
        <v>1</v>
      </c>
      <c r="C2">
        <v>0</v>
      </c>
      <c r="D2" s="1">
        <v>44732</v>
      </c>
      <c r="E2" s="1" t="s">
        <v>11</v>
      </c>
      <c r="F2" s="1" t="s">
        <v>47</v>
      </c>
      <c r="G2" s="1" t="s">
        <v>80</v>
      </c>
      <c r="I2" s="10">
        <v>1</v>
      </c>
      <c r="J2" s="6">
        <v>0.3</v>
      </c>
      <c r="K2" s="6">
        <v>0.13</v>
      </c>
      <c r="L2" s="8">
        <v>0.57999999999999996</v>
      </c>
      <c r="M2">
        <f>SUM(11+9+1+9+152)</f>
        <v>182</v>
      </c>
      <c r="N2">
        <v>2</v>
      </c>
      <c r="O2">
        <v>1</v>
      </c>
      <c r="P2">
        <v>0</v>
      </c>
      <c r="Q2">
        <v>0</v>
      </c>
      <c r="R2">
        <v>0</v>
      </c>
      <c r="S2" s="2">
        <f>SUM(M2:R2)</f>
        <v>185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2">
        <f>SUM(T2:Y2)</f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 s="2">
        <f>SUM(AA2:AF2)</f>
        <v>1</v>
      </c>
      <c r="AH2">
        <f>SUM(3+3+4+1+7+3)</f>
        <v>21</v>
      </c>
      <c r="AI2">
        <f>SUM(1+2+2+1)</f>
        <v>6</v>
      </c>
      <c r="AJ2">
        <v>0</v>
      </c>
      <c r="AK2">
        <v>0</v>
      </c>
      <c r="AL2">
        <v>0</v>
      </c>
      <c r="AM2">
        <v>0</v>
      </c>
      <c r="AN2" s="2">
        <f>SUM(AH2:AM2)</f>
        <v>27</v>
      </c>
      <c r="AO2">
        <v>0</v>
      </c>
      <c r="AP2">
        <v>1</v>
      </c>
      <c r="AQ2">
        <v>0</v>
      </c>
      <c r="AR2" s="2">
        <f>SUM(AO2:AQ2)</f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s="2">
        <f>SUM(AS2:AX2)</f>
        <v>0</v>
      </c>
      <c r="AZ2">
        <v>0</v>
      </c>
      <c r="BA2">
        <v>0</v>
      </c>
      <c r="BB2">
        <v>0</v>
      </c>
      <c r="BC2" s="2">
        <f>SUM(AZ2:BB2)</f>
        <v>0</v>
      </c>
      <c r="BD2">
        <f>SUM(M2:R2,T2:Y2,AA2:AF2,AH2:AM2,AO2:AQ2,AS2:AX2,AZ2:BB2)</f>
        <v>214</v>
      </c>
    </row>
    <row r="3" spans="1:57" x14ac:dyDescent="0.25">
      <c r="A3">
        <v>101</v>
      </c>
      <c r="B3">
        <v>1</v>
      </c>
      <c r="C3">
        <v>5</v>
      </c>
      <c r="D3" s="1">
        <v>44737</v>
      </c>
      <c r="E3" s="1" t="s">
        <v>11</v>
      </c>
      <c r="F3" s="1" t="s">
        <v>47</v>
      </c>
      <c r="G3" s="1" t="s">
        <v>80</v>
      </c>
      <c r="I3" s="10">
        <v>1</v>
      </c>
      <c r="J3" s="6">
        <v>0.3</v>
      </c>
      <c r="K3" s="6">
        <v>0.13</v>
      </c>
      <c r="L3" s="8">
        <v>0.57999999999999996</v>
      </c>
      <c r="M3">
        <f>SUM(3+6+11+2+4)</f>
        <v>26</v>
      </c>
      <c r="N3">
        <f>SUM(5+1+1+18)</f>
        <v>25</v>
      </c>
      <c r="O3">
        <v>2</v>
      </c>
      <c r="P3">
        <v>0</v>
      </c>
      <c r="Q3">
        <v>2</v>
      </c>
      <c r="R3">
        <v>0</v>
      </c>
      <c r="S3" s="2">
        <f>SUM(M3:R3)</f>
        <v>55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s="2">
        <f>SUM(T3:Y3)</f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s="2">
        <f>SUM(AA3:AF3)</f>
        <v>0</v>
      </c>
      <c r="AH3">
        <v>10</v>
      </c>
      <c r="AI3">
        <v>13</v>
      </c>
      <c r="AJ3">
        <v>3</v>
      </c>
      <c r="AK3">
        <v>1</v>
      </c>
      <c r="AL3">
        <v>1</v>
      </c>
      <c r="AM3">
        <v>1</v>
      </c>
      <c r="AN3" s="2">
        <f>SUM(AH3:AM3)</f>
        <v>29</v>
      </c>
      <c r="AO3">
        <v>0</v>
      </c>
      <c r="AP3">
        <v>0</v>
      </c>
      <c r="AQ3">
        <v>0</v>
      </c>
      <c r="AR3" s="2">
        <f>SUM(AO3:AQ3)</f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s="2">
        <f>SUM(AS3:AX3)</f>
        <v>0</v>
      </c>
      <c r="AZ3">
        <v>1</v>
      </c>
      <c r="BA3">
        <v>0</v>
      </c>
      <c r="BB3">
        <v>0</v>
      </c>
      <c r="BC3" s="2">
        <f>SUM(AZ3:BB3)</f>
        <v>1</v>
      </c>
      <c r="BD3">
        <f>SUM(M3:R3,T3:Y3,AA3:AF3,AH3:AM3,AO3:AQ3,AS3:AX3,AZ3:BB3)</f>
        <v>85</v>
      </c>
      <c r="BE3">
        <v>15</v>
      </c>
    </row>
    <row r="4" spans="1:57" x14ac:dyDescent="0.25">
      <c r="A4">
        <v>102</v>
      </c>
      <c r="B4">
        <v>2</v>
      </c>
      <c r="C4">
        <v>0</v>
      </c>
      <c r="D4" s="1">
        <v>44732</v>
      </c>
      <c r="E4" s="1" t="s">
        <v>11</v>
      </c>
      <c r="F4" s="1" t="s">
        <v>48</v>
      </c>
      <c r="G4" s="1" t="s">
        <v>80</v>
      </c>
      <c r="I4" s="10">
        <v>5</v>
      </c>
      <c r="J4" s="6">
        <v>0.37</v>
      </c>
      <c r="K4" s="6">
        <v>0.13</v>
      </c>
      <c r="L4" s="8">
        <v>0.65</v>
      </c>
      <c r="M4">
        <f>SUM(3+1+3+2+2)</f>
        <v>11</v>
      </c>
      <c r="N4">
        <v>0</v>
      </c>
      <c r="O4">
        <v>0</v>
      </c>
      <c r="P4">
        <v>0</v>
      </c>
      <c r="Q4">
        <v>0</v>
      </c>
      <c r="R4">
        <v>0</v>
      </c>
      <c r="S4" s="2">
        <f>SUM(M4:R4)</f>
        <v>11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 s="2">
        <f>SUM(T4:Y4)</f>
        <v>2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 s="2">
        <f>SUM(AA4:AF4)</f>
        <v>1</v>
      </c>
      <c r="AH4">
        <f>SUM(21+12+15+13+10+12)</f>
        <v>83</v>
      </c>
      <c r="AI4">
        <f>SUM(2+1+7+6+3)</f>
        <v>19</v>
      </c>
      <c r="AJ4">
        <v>1</v>
      </c>
      <c r="AK4">
        <v>0</v>
      </c>
      <c r="AL4">
        <v>0</v>
      </c>
      <c r="AM4">
        <v>0</v>
      </c>
      <c r="AN4" s="2">
        <f>SUM(AH4:AM4)</f>
        <v>103</v>
      </c>
      <c r="AO4">
        <v>0</v>
      </c>
      <c r="AP4">
        <v>0</v>
      </c>
      <c r="AQ4">
        <v>0</v>
      </c>
      <c r="AR4" s="2">
        <f>SUM(AO4:AQ4)</f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s="2">
        <f>SUM(AS4:AX4)</f>
        <v>0</v>
      </c>
      <c r="AZ4">
        <v>0</v>
      </c>
      <c r="BA4">
        <v>0</v>
      </c>
      <c r="BB4">
        <v>0</v>
      </c>
      <c r="BC4" s="2">
        <f>SUM(AZ4:BB4)</f>
        <v>0</v>
      </c>
      <c r="BD4">
        <f>SUM(M4:R4,T4:Y4,AA4:AF4,AH4:AM4,AO4:AQ4,AS4:AX4,AZ4:BB4)</f>
        <v>117</v>
      </c>
    </row>
    <row r="5" spans="1:57" x14ac:dyDescent="0.25">
      <c r="A5">
        <v>102</v>
      </c>
      <c r="B5">
        <v>2</v>
      </c>
      <c r="C5">
        <v>5</v>
      </c>
      <c r="D5" s="1">
        <v>44737</v>
      </c>
      <c r="E5" s="1" t="s">
        <v>11</v>
      </c>
      <c r="F5" s="1" t="s">
        <v>48</v>
      </c>
      <c r="G5" s="1" t="s">
        <v>80</v>
      </c>
      <c r="I5" s="10">
        <v>5</v>
      </c>
      <c r="J5" s="6">
        <v>0.37</v>
      </c>
      <c r="K5" s="6">
        <v>0.13</v>
      </c>
      <c r="L5" s="8">
        <v>0.65</v>
      </c>
      <c r="M5">
        <v>12</v>
      </c>
      <c r="N5">
        <v>3</v>
      </c>
      <c r="O5">
        <v>0</v>
      </c>
      <c r="P5">
        <v>0</v>
      </c>
      <c r="Q5">
        <v>0</v>
      </c>
      <c r="R5">
        <v>0</v>
      </c>
      <c r="S5" s="2">
        <f>SUM(M5:R5)</f>
        <v>15</v>
      </c>
      <c r="T5">
        <v>6</v>
      </c>
      <c r="U5">
        <v>1</v>
      </c>
      <c r="V5">
        <v>0</v>
      </c>
      <c r="W5">
        <v>0</v>
      </c>
      <c r="X5">
        <v>0</v>
      </c>
      <c r="Y5">
        <v>0</v>
      </c>
      <c r="Z5" s="2">
        <f>SUM(T5:Y5)</f>
        <v>7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2">
        <f>SUM(AA5:AF5)</f>
        <v>0</v>
      </c>
      <c r="AH5">
        <f>SUM(5+17+11+2)</f>
        <v>35</v>
      </c>
      <c r="AI5">
        <f>SUM(7+12+2+10)</f>
        <v>31</v>
      </c>
      <c r="AJ5">
        <v>3</v>
      </c>
      <c r="AK5">
        <v>6</v>
      </c>
      <c r="AL5">
        <v>2</v>
      </c>
      <c r="AM5">
        <v>0</v>
      </c>
      <c r="AN5" s="2">
        <f>SUM(AH5:AM5)</f>
        <v>77</v>
      </c>
      <c r="AO5">
        <v>0</v>
      </c>
      <c r="AP5">
        <v>0</v>
      </c>
      <c r="AQ5">
        <v>0</v>
      </c>
      <c r="AR5" s="2">
        <f>SUM(AO5:AQ5)</f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s="2">
        <f>SUM(AS5:AX5)</f>
        <v>0</v>
      </c>
      <c r="AZ5">
        <v>0</v>
      </c>
      <c r="BA5">
        <v>0</v>
      </c>
      <c r="BB5">
        <v>0</v>
      </c>
      <c r="BC5" s="2">
        <f>SUM(AZ5:BB5)</f>
        <v>0</v>
      </c>
      <c r="BD5">
        <f>SUM(M5:R5,T5:Y5,AA5:AF5,AH5:AM5,AO5:AQ5,AS5:AX5,AZ5:BB5)</f>
        <v>99</v>
      </c>
      <c r="BE5">
        <v>6</v>
      </c>
    </row>
    <row r="6" spans="1:57" x14ac:dyDescent="0.25">
      <c r="A6">
        <v>103</v>
      </c>
      <c r="B6">
        <v>3</v>
      </c>
      <c r="C6">
        <v>0</v>
      </c>
      <c r="D6" s="1">
        <v>44732</v>
      </c>
      <c r="E6" s="1" t="s">
        <v>12</v>
      </c>
      <c r="F6" s="1" t="s">
        <v>47</v>
      </c>
      <c r="G6" s="1" t="s">
        <v>80</v>
      </c>
      <c r="H6" s="14">
        <v>6</v>
      </c>
      <c r="M6">
        <f>SUM(6+5+9+3+7+2)</f>
        <v>32</v>
      </c>
      <c r="N6">
        <f>SUM(2+2)</f>
        <v>4</v>
      </c>
      <c r="O6">
        <v>1</v>
      </c>
      <c r="P6">
        <v>0</v>
      </c>
      <c r="Q6">
        <v>0</v>
      </c>
      <c r="R6">
        <v>0</v>
      </c>
      <c r="S6" s="2">
        <f>SUM(M6:R6)</f>
        <v>37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2">
        <f>SUM(T6:Y6)</f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2">
        <f>SUM(AA6:AF6)</f>
        <v>0</v>
      </c>
      <c r="AH6">
        <f>SUM(36+4+7+4)</f>
        <v>51</v>
      </c>
      <c r="AI6">
        <f>SUM(1+2+6+2)</f>
        <v>11</v>
      </c>
      <c r="AJ6">
        <f>SUM(3+1)</f>
        <v>4</v>
      </c>
      <c r="AK6">
        <v>0</v>
      </c>
      <c r="AL6">
        <v>0</v>
      </c>
      <c r="AM6">
        <v>0</v>
      </c>
      <c r="AN6" s="2">
        <f>SUM(AH6:AM6)</f>
        <v>66</v>
      </c>
      <c r="AO6">
        <v>0</v>
      </c>
      <c r="AP6">
        <v>0</v>
      </c>
      <c r="AQ6">
        <v>0</v>
      </c>
      <c r="AR6" s="2">
        <f>SUM(AO6:AQ6)</f>
        <v>0</v>
      </c>
      <c r="AS6">
        <v>0</v>
      </c>
      <c r="AT6">
        <v>0</v>
      </c>
      <c r="AU6">
        <v>2</v>
      </c>
      <c r="AV6">
        <v>0</v>
      </c>
      <c r="AW6">
        <v>0</v>
      </c>
      <c r="AX6">
        <v>0</v>
      </c>
      <c r="AY6" s="2">
        <f>SUM(AS6:AX6)</f>
        <v>2</v>
      </c>
      <c r="AZ6">
        <v>1</v>
      </c>
      <c r="BA6">
        <v>0</v>
      </c>
      <c r="BB6">
        <v>0</v>
      </c>
      <c r="BC6" s="2">
        <f>SUM(AZ6:BB6)</f>
        <v>1</v>
      </c>
      <c r="BD6">
        <f>SUM(M6:R6,T6:Y6,AA6:AF6,AH6:AM6,AO6:AQ6,AS6:AX6,AZ6:BB6)</f>
        <v>106</v>
      </c>
    </row>
    <row r="7" spans="1:57" x14ac:dyDescent="0.25">
      <c r="A7">
        <v>103</v>
      </c>
      <c r="B7">
        <v>3</v>
      </c>
      <c r="C7">
        <v>5</v>
      </c>
      <c r="D7" s="1">
        <v>44737</v>
      </c>
      <c r="E7" s="1" t="s">
        <v>12</v>
      </c>
      <c r="F7" s="1" t="s">
        <v>47</v>
      </c>
      <c r="G7" s="1" t="s">
        <v>80</v>
      </c>
      <c r="H7" s="14">
        <v>6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2">
        <f>SUM(M7:R7)</f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2">
        <f>SUM(T7:Y7)</f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2">
        <f>SUM(AA7:AF7)</f>
        <v>0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 s="2">
        <f>SUM(AH7:AM7)</f>
        <v>1</v>
      </c>
      <c r="AO7">
        <v>0</v>
      </c>
      <c r="AP7">
        <v>0</v>
      </c>
      <c r="AQ7">
        <v>0</v>
      </c>
      <c r="AR7" s="2">
        <f>SUM(AO7:AQ7)</f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s="2">
        <f>SUM(AS7:AX7)</f>
        <v>0</v>
      </c>
      <c r="AZ7">
        <v>0</v>
      </c>
      <c r="BA7">
        <v>0</v>
      </c>
      <c r="BB7">
        <v>0</v>
      </c>
      <c r="BC7" s="2">
        <f>SUM(AZ7:BB7)</f>
        <v>0</v>
      </c>
      <c r="BD7">
        <f>SUM(M7:R7,T7:Y7,AA7:AF7,AH7:AM7,AO7:AQ7,AS7:AX7,AZ7:BB7)</f>
        <v>1</v>
      </c>
      <c r="BE7">
        <f>SUM( 14+25+6+16)</f>
        <v>61</v>
      </c>
    </row>
    <row r="8" spans="1:57" x14ac:dyDescent="0.25">
      <c r="A8">
        <v>104</v>
      </c>
      <c r="B8">
        <v>4</v>
      </c>
      <c r="C8">
        <v>0</v>
      </c>
      <c r="D8" s="1">
        <v>44732</v>
      </c>
      <c r="E8" s="1" t="s">
        <v>12</v>
      </c>
      <c r="F8" s="1" t="s">
        <v>48</v>
      </c>
      <c r="G8" s="1" t="s">
        <v>80</v>
      </c>
      <c r="H8" s="14">
        <v>9</v>
      </c>
      <c r="M8">
        <f>(9+3+12+7+8+19)</f>
        <v>58</v>
      </c>
      <c r="N8">
        <f>SUM(2+1+3)</f>
        <v>6</v>
      </c>
      <c r="O8">
        <f>SUM(1+1+1)</f>
        <v>3</v>
      </c>
      <c r="P8">
        <v>0</v>
      </c>
      <c r="Q8">
        <v>0</v>
      </c>
      <c r="R8">
        <v>0</v>
      </c>
      <c r="S8" s="2">
        <f>SUM(M8:R8)</f>
        <v>67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">
        <f>SUM(T8:Y8)</f>
        <v>0</v>
      </c>
      <c r="AA8">
        <v>0</v>
      </c>
      <c r="AB8">
        <v>2</v>
      </c>
      <c r="AC8">
        <v>0</v>
      </c>
      <c r="AD8">
        <v>0</v>
      </c>
      <c r="AE8">
        <v>0</v>
      </c>
      <c r="AF8">
        <v>0</v>
      </c>
      <c r="AG8" s="2">
        <f>SUM(AA8:AF8)</f>
        <v>2</v>
      </c>
      <c r="AH8">
        <f>SUM(5+6+9+29+20)</f>
        <v>69</v>
      </c>
      <c r="AI8">
        <f>SUM(2)</f>
        <v>2</v>
      </c>
      <c r="AJ8">
        <v>0</v>
      </c>
      <c r="AK8">
        <v>0</v>
      </c>
      <c r="AL8">
        <v>0</v>
      </c>
      <c r="AM8">
        <v>0</v>
      </c>
      <c r="AN8" s="2">
        <f>SUM(AH8:AM8)</f>
        <v>71</v>
      </c>
      <c r="AO8">
        <v>0</v>
      </c>
      <c r="AP8">
        <v>0</v>
      </c>
      <c r="AQ8">
        <v>0</v>
      </c>
      <c r="AR8" s="2">
        <f>SUM(AO8:AQ8)</f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s="2">
        <f>SUM(AS8:AX8)</f>
        <v>0</v>
      </c>
      <c r="AZ8">
        <v>3</v>
      </c>
      <c r="BA8">
        <v>0</v>
      </c>
      <c r="BB8">
        <v>2</v>
      </c>
      <c r="BC8" s="2">
        <f>SUM(AZ8:BB8)</f>
        <v>5</v>
      </c>
      <c r="BD8">
        <f>SUM(M8:R8,T8:Y8,AA8:AF8,AH8:AM8,AO8:AQ8,AS8:AX8,AZ8:BB8)</f>
        <v>145</v>
      </c>
    </row>
    <row r="9" spans="1:57" x14ac:dyDescent="0.25">
      <c r="A9">
        <v>104</v>
      </c>
      <c r="B9">
        <v>4</v>
      </c>
      <c r="C9">
        <v>5</v>
      </c>
      <c r="D9" s="1">
        <v>44737</v>
      </c>
      <c r="E9" s="1" t="s">
        <v>12</v>
      </c>
      <c r="F9" s="1" t="s">
        <v>48</v>
      </c>
      <c r="G9" s="1" t="s">
        <v>80</v>
      </c>
      <c r="H9" s="14">
        <v>6</v>
      </c>
      <c r="M9">
        <v>2</v>
      </c>
      <c r="N9">
        <v>2</v>
      </c>
      <c r="O9">
        <v>0</v>
      </c>
      <c r="P9">
        <v>0</v>
      </c>
      <c r="Q9">
        <v>0</v>
      </c>
      <c r="R9">
        <v>0</v>
      </c>
      <c r="S9" s="2">
        <f>SUM(M9:R9)</f>
        <v>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2">
        <f>SUM(T9:Y9)</f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 s="2">
        <f>SUM(AA9:AF9)</f>
        <v>1</v>
      </c>
      <c r="AH9">
        <v>2</v>
      </c>
      <c r="AI9">
        <v>1</v>
      </c>
      <c r="AJ9">
        <v>0</v>
      </c>
      <c r="AK9">
        <v>0</v>
      </c>
      <c r="AL9">
        <v>0</v>
      </c>
      <c r="AM9">
        <v>0</v>
      </c>
      <c r="AN9" s="2">
        <f>SUM(AH9:AM9)</f>
        <v>3</v>
      </c>
      <c r="AO9">
        <v>0</v>
      </c>
      <c r="AP9">
        <v>0</v>
      </c>
      <c r="AQ9">
        <v>0</v>
      </c>
      <c r="AR9" s="2">
        <f>SUM(AO9:AQ9)</f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s="2">
        <f>SUM(AS9:AX9)</f>
        <v>0</v>
      </c>
      <c r="AZ9">
        <v>1</v>
      </c>
      <c r="BA9">
        <v>0</v>
      </c>
      <c r="BB9">
        <v>0</v>
      </c>
      <c r="BC9" s="2">
        <f>SUM(AZ9:BB9)</f>
        <v>1</v>
      </c>
      <c r="BD9">
        <f>SUM(M9:R9,T9:Y9,AA9:AF9,AH9:AM9,AO9:AQ9,AS9:AX9,AZ9:BB9)</f>
        <v>9</v>
      </c>
      <c r="BE9">
        <v>15</v>
      </c>
    </row>
    <row r="10" spans="1:57" x14ac:dyDescent="0.25">
      <c r="A10">
        <v>105</v>
      </c>
      <c r="B10">
        <v>5</v>
      </c>
      <c r="C10">
        <v>0</v>
      </c>
      <c r="D10" s="1">
        <v>44740</v>
      </c>
      <c r="E10" s="1" t="s">
        <v>11</v>
      </c>
      <c r="F10" t="s">
        <v>48</v>
      </c>
      <c r="G10" s="1" t="s">
        <v>81</v>
      </c>
      <c r="H10" s="14">
        <v>9</v>
      </c>
      <c r="I10" s="10">
        <v>1</v>
      </c>
      <c r="J10" s="6">
        <v>0.32</v>
      </c>
      <c r="K10" s="6">
        <v>0.28999999999999998</v>
      </c>
      <c r="L10" s="8">
        <v>0.08</v>
      </c>
      <c r="M10">
        <f>SUM(14+20)</f>
        <v>34</v>
      </c>
      <c r="N10">
        <f>SUM(4+20+14)</f>
        <v>38</v>
      </c>
      <c r="O10">
        <v>4</v>
      </c>
      <c r="P10">
        <v>0</v>
      </c>
      <c r="Q10">
        <v>0</v>
      </c>
      <c r="R10">
        <v>0</v>
      </c>
      <c r="S10" s="2">
        <f>SUM(M10:R10)</f>
        <v>76</v>
      </c>
      <c r="T10">
        <v>3</v>
      </c>
      <c r="U10">
        <v>0</v>
      </c>
      <c r="V10">
        <v>0</v>
      </c>
      <c r="W10">
        <v>0</v>
      </c>
      <c r="X10">
        <v>0</v>
      </c>
      <c r="Y10">
        <v>0</v>
      </c>
      <c r="Z10" s="2">
        <f>SUM(T10:Y10)</f>
        <v>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 s="2">
        <f>SUM(AA10:AF10)</f>
        <v>0</v>
      </c>
      <c r="AH10">
        <v>4</v>
      </c>
      <c r="AI10">
        <v>3</v>
      </c>
      <c r="AJ10">
        <v>1</v>
      </c>
      <c r="AK10">
        <v>0</v>
      </c>
      <c r="AL10">
        <v>0</v>
      </c>
      <c r="AM10">
        <v>0</v>
      </c>
      <c r="AN10" s="2">
        <f>SUM(AH10:AM10)</f>
        <v>8</v>
      </c>
      <c r="AO10">
        <v>0</v>
      </c>
      <c r="AP10">
        <v>0</v>
      </c>
      <c r="AQ10">
        <v>0</v>
      </c>
      <c r="AR10" s="2">
        <f>SUM(AO10:AQ10)</f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s="2">
        <f>SUM(AS10:AX10)</f>
        <v>0</v>
      </c>
      <c r="AZ10">
        <v>2</v>
      </c>
      <c r="BA10">
        <v>0</v>
      </c>
      <c r="BB10">
        <v>0</v>
      </c>
      <c r="BC10" s="2">
        <f>SUM(AZ10:BB10)</f>
        <v>2</v>
      </c>
      <c r="BD10">
        <f>SUM(M10:R10,T10:Y10,AA10:AF10,AH10:AM10,AO10:AQ10,AS10:AX10,AZ10:BB10)</f>
        <v>89</v>
      </c>
    </row>
    <row r="11" spans="1:57" x14ac:dyDescent="0.25">
      <c r="A11">
        <v>105</v>
      </c>
      <c r="B11">
        <v>5</v>
      </c>
      <c r="C11">
        <v>5</v>
      </c>
      <c r="D11" s="1">
        <v>44745</v>
      </c>
      <c r="E11" s="1" t="s">
        <v>11</v>
      </c>
      <c r="F11" t="s">
        <v>48</v>
      </c>
      <c r="G11" s="1" t="s">
        <v>81</v>
      </c>
      <c r="H11" s="14">
        <v>9</v>
      </c>
      <c r="I11" s="10">
        <v>1</v>
      </c>
      <c r="J11" s="6">
        <v>0.32</v>
      </c>
      <c r="K11" s="6">
        <v>0.28999999999999998</v>
      </c>
      <c r="L11" s="8">
        <v>0.08</v>
      </c>
      <c r="M11">
        <v>3</v>
      </c>
      <c r="N11">
        <v>10</v>
      </c>
      <c r="O11">
        <v>8</v>
      </c>
      <c r="P11">
        <v>2</v>
      </c>
      <c r="Q11">
        <v>1</v>
      </c>
      <c r="R11">
        <v>5</v>
      </c>
      <c r="S11" s="2">
        <f>SUM(M11:R11)</f>
        <v>29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 s="2">
        <f>SUM(T11:Y11)</f>
        <v>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 s="2">
        <f>SUM(AA11:AF11)</f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 s="2">
        <f>SUM(AH11:AM11)</f>
        <v>0</v>
      </c>
      <c r="AO11">
        <v>0</v>
      </c>
      <c r="AP11">
        <v>0</v>
      </c>
      <c r="AQ11">
        <v>0</v>
      </c>
      <c r="AR11" s="2">
        <f>SUM(AO11:AQ11)</f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 s="2">
        <f>SUM(AS11:AX11)</f>
        <v>1</v>
      </c>
      <c r="AZ11">
        <v>0</v>
      </c>
      <c r="BA11">
        <v>0</v>
      </c>
      <c r="BB11">
        <v>0</v>
      </c>
      <c r="BC11" s="2">
        <f>SUM(AZ11:BB11)</f>
        <v>0</v>
      </c>
      <c r="BD11">
        <f>SUM(M11:R11,T11:Y11,AA11:AF11,AH11:AM11,AO11:AQ11,AS11:AX11,AZ11:BB11)</f>
        <v>32</v>
      </c>
      <c r="BE11">
        <v>3</v>
      </c>
    </row>
    <row r="12" spans="1:57" x14ac:dyDescent="0.25">
      <c r="A12">
        <v>106</v>
      </c>
      <c r="B12">
        <v>6</v>
      </c>
      <c r="C12">
        <v>0</v>
      </c>
      <c r="D12" s="1">
        <v>44740</v>
      </c>
      <c r="E12" s="1" t="s">
        <v>11</v>
      </c>
      <c r="F12" s="1" t="s">
        <v>47</v>
      </c>
      <c r="G12" s="1" t="s">
        <v>81</v>
      </c>
      <c r="H12" s="14">
        <v>9</v>
      </c>
      <c r="I12" s="10">
        <v>0</v>
      </c>
      <c r="J12" s="6">
        <v>0.3</v>
      </c>
      <c r="K12" s="6">
        <v>0.23</v>
      </c>
      <c r="L12" s="8">
        <v>0.23</v>
      </c>
      <c r="M12">
        <f>SUM(6+9+6)</f>
        <v>21</v>
      </c>
      <c r="N12">
        <f>SUM(11+10+10)</f>
        <v>31</v>
      </c>
      <c r="O12">
        <v>7</v>
      </c>
      <c r="P12">
        <v>0</v>
      </c>
      <c r="Q12">
        <v>0</v>
      </c>
      <c r="R12">
        <v>0</v>
      </c>
      <c r="S12" s="2">
        <f>SUM(M12:R12)</f>
        <v>59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2">
        <f>SUM(T12:Y12)</f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 s="2">
        <f>SUM(AA12:AF12)</f>
        <v>0</v>
      </c>
      <c r="AH12">
        <v>2</v>
      </c>
      <c r="AI12">
        <v>8</v>
      </c>
      <c r="AJ12">
        <v>2</v>
      </c>
      <c r="AK12">
        <v>0</v>
      </c>
      <c r="AL12">
        <v>0</v>
      </c>
      <c r="AM12">
        <v>0</v>
      </c>
      <c r="AN12" s="2">
        <f>SUM(AH12:AM12)</f>
        <v>12</v>
      </c>
      <c r="AO12">
        <v>1</v>
      </c>
      <c r="AP12">
        <v>7</v>
      </c>
      <c r="AQ12">
        <v>15</v>
      </c>
      <c r="AR12" s="2">
        <f>SUM(AO12:AQ12)</f>
        <v>23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0</v>
      </c>
      <c r="AY12" s="2">
        <f>SUM(AS12:AX12)</f>
        <v>2</v>
      </c>
      <c r="AZ12">
        <v>0</v>
      </c>
      <c r="BA12">
        <v>0</v>
      </c>
      <c r="BB12">
        <v>1</v>
      </c>
      <c r="BC12" s="2">
        <f>SUM(AZ12:BB12)</f>
        <v>1</v>
      </c>
      <c r="BD12">
        <f>SUM(M12:R12,T12:Y12,AA12:AF12,AH12:AM12,AO12:AQ12,AS12:AX12,AZ12:BB12)</f>
        <v>97</v>
      </c>
    </row>
    <row r="13" spans="1:57" x14ac:dyDescent="0.25">
      <c r="A13">
        <v>106</v>
      </c>
      <c r="B13">
        <v>6</v>
      </c>
      <c r="C13">
        <v>5</v>
      </c>
      <c r="D13" s="1">
        <v>44745</v>
      </c>
      <c r="E13" s="1" t="s">
        <v>12</v>
      </c>
      <c r="F13" s="1" t="s">
        <v>47</v>
      </c>
      <c r="G13" s="1" t="s">
        <v>81</v>
      </c>
      <c r="H13" s="14">
        <v>9</v>
      </c>
      <c r="I13" s="10">
        <v>0</v>
      </c>
      <c r="J13" s="6">
        <v>0.3</v>
      </c>
      <c r="K13" s="6">
        <v>0.23</v>
      </c>
      <c r="L13" s="8">
        <v>0.23</v>
      </c>
      <c r="M13">
        <v>1</v>
      </c>
      <c r="N13">
        <v>8</v>
      </c>
      <c r="O13">
        <v>8</v>
      </c>
      <c r="P13">
        <v>0</v>
      </c>
      <c r="Q13">
        <v>1</v>
      </c>
      <c r="R13">
        <v>0</v>
      </c>
      <c r="S13" s="2">
        <f>SUM(M13:R13)</f>
        <v>18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2">
        <f>SUM(T13:Y13)</f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 s="2">
        <f>SUM(AA13:AF13)</f>
        <v>1</v>
      </c>
      <c r="AH13">
        <v>0</v>
      </c>
      <c r="AI13">
        <v>3</v>
      </c>
      <c r="AJ13">
        <v>1</v>
      </c>
      <c r="AK13">
        <v>0</v>
      </c>
      <c r="AL13">
        <v>0</v>
      </c>
      <c r="AM13">
        <v>0</v>
      </c>
      <c r="AN13" s="2">
        <f>SUM(AH13:AM13)</f>
        <v>4</v>
      </c>
      <c r="AO13">
        <v>19</v>
      </c>
      <c r="AP13">
        <v>4</v>
      </c>
      <c r="AQ13">
        <v>21</v>
      </c>
      <c r="AR13" s="2">
        <f>SUM(AO13:AQ13)</f>
        <v>44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s="2">
        <f>SUM(AS13:AX13)</f>
        <v>0</v>
      </c>
      <c r="AZ13">
        <v>0</v>
      </c>
      <c r="BA13">
        <v>0</v>
      </c>
      <c r="BB13">
        <v>0</v>
      </c>
      <c r="BC13" s="2">
        <f>SUM(AZ13:BB13)</f>
        <v>0</v>
      </c>
      <c r="BD13">
        <f>SUM(M13:R13,T13:Y13,AA13:AF13,AH13:AM13,AO13:AQ13,AS13:AX13,AZ13:BB13)</f>
        <v>67</v>
      </c>
      <c r="BE13">
        <v>4</v>
      </c>
    </row>
    <row r="14" spans="1:57" x14ac:dyDescent="0.25">
      <c r="A14">
        <v>107</v>
      </c>
      <c r="B14">
        <v>7</v>
      </c>
      <c r="C14">
        <v>0</v>
      </c>
      <c r="D14" s="1">
        <v>44740</v>
      </c>
      <c r="E14" s="1" t="s">
        <v>12</v>
      </c>
      <c r="F14" s="1" t="s">
        <v>47</v>
      </c>
      <c r="G14" s="1" t="s">
        <v>81</v>
      </c>
      <c r="H14" s="14">
        <v>6</v>
      </c>
      <c r="M14">
        <f>SUM(3+3+1)</f>
        <v>7</v>
      </c>
      <c r="N14">
        <f>SUM(10+6+3)</f>
        <v>19</v>
      </c>
      <c r="O14">
        <v>3</v>
      </c>
      <c r="P14">
        <v>0</v>
      </c>
      <c r="Q14">
        <v>0</v>
      </c>
      <c r="R14">
        <v>0</v>
      </c>
      <c r="S14" s="2">
        <f>SUM(M14:R14)</f>
        <v>29</v>
      </c>
      <c r="T14">
        <v>8</v>
      </c>
      <c r="U14">
        <v>0</v>
      </c>
      <c r="V14">
        <v>0</v>
      </c>
      <c r="W14">
        <v>0</v>
      </c>
      <c r="X14">
        <v>0</v>
      </c>
      <c r="Y14">
        <v>0</v>
      </c>
      <c r="Z14" s="2">
        <f>SUM(T14:Y14)</f>
        <v>8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 s="2">
        <f>SUM(AA14:AF14)</f>
        <v>1</v>
      </c>
      <c r="AH14">
        <v>5</v>
      </c>
      <c r="AI14">
        <f>SUM(7+13+4)</f>
        <v>24</v>
      </c>
      <c r="AJ14">
        <f>SUM(2+1)</f>
        <v>3</v>
      </c>
      <c r="AK14">
        <v>0</v>
      </c>
      <c r="AL14">
        <v>0</v>
      </c>
      <c r="AM14">
        <v>0</v>
      </c>
      <c r="AN14" s="2">
        <f>SUM(AH14:AM14)</f>
        <v>32</v>
      </c>
      <c r="AO14">
        <v>6</v>
      </c>
      <c r="AP14">
        <v>7</v>
      </c>
      <c r="AQ14">
        <v>7</v>
      </c>
      <c r="AR14" s="2">
        <f>SUM(AO14:AQ14)</f>
        <v>20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s="2">
        <f>SUM(AS14:AX14)</f>
        <v>0</v>
      </c>
      <c r="AZ14">
        <v>1</v>
      </c>
      <c r="BA14">
        <v>0</v>
      </c>
      <c r="BB14">
        <v>0</v>
      </c>
      <c r="BC14" s="2">
        <f>SUM(AZ14:BB14)</f>
        <v>1</v>
      </c>
      <c r="BD14">
        <f>SUM(M14:R14,T14:Y14,AA14:AF14,AH14:AM14,AO14:AQ14,AS14:AX14,AZ14:BB14)</f>
        <v>91</v>
      </c>
    </row>
    <row r="15" spans="1:57" x14ac:dyDescent="0.25">
      <c r="A15">
        <v>107</v>
      </c>
      <c r="B15">
        <v>7</v>
      </c>
      <c r="C15">
        <v>5</v>
      </c>
      <c r="D15" s="1">
        <v>44745</v>
      </c>
      <c r="E15" s="1" t="s">
        <v>12</v>
      </c>
      <c r="F15" s="1" t="s">
        <v>47</v>
      </c>
      <c r="G15" s="1" t="s">
        <v>81</v>
      </c>
      <c r="H15" s="14">
        <v>6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 s="2">
        <f>SUM(M15:R15)</f>
        <v>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2">
        <f>SUM(T15:Y15)</f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s="2">
        <f>SUM(AA15:AF15)</f>
        <v>0</v>
      </c>
      <c r="AH15">
        <v>0</v>
      </c>
      <c r="AI15">
        <v>1</v>
      </c>
      <c r="AJ15">
        <v>3</v>
      </c>
      <c r="AK15">
        <v>0</v>
      </c>
      <c r="AL15">
        <v>0</v>
      </c>
      <c r="AM15">
        <v>1</v>
      </c>
      <c r="AN15" s="2">
        <f>SUM(AH15:AM15)</f>
        <v>5</v>
      </c>
      <c r="AO15">
        <v>1</v>
      </c>
      <c r="AP15">
        <v>4</v>
      </c>
      <c r="AQ15">
        <v>5</v>
      </c>
      <c r="AR15" s="2">
        <f>SUM(AO15:AQ15)</f>
        <v>10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s="2">
        <f>SUM(AS15:AX15)</f>
        <v>0</v>
      </c>
      <c r="AZ15">
        <v>0</v>
      </c>
      <c r="BA15">
        <v>0</v>
      </c>
      <c r="BB15">
        <v>0</v>
      </c>
      <c r="BC15" s="2">
        <f>SUM(AZ15:BB15)</f>
        <v>0</v>
      </c>
      <c r="BD15">
        <f>SUM(M15:R15,T15:Y15,AA15:AF15,AH15:AM15,AO15:AQ15,AS15:AX15,AZ15:BB15)</f>
        <v>17</v>
      </c>
      <c r="BE15">
        <v>2</v>
      </c>
    </row>
    <row r="16" spans="1:57" x14ac:dyDescent="0.25">
      <c r="A16">
        <v>108</v>
      </c>
      <c r="B16">
        <v>8</v>
      </c>
      <c r="C16">
        <v>0</v>
      </c>
      <c r="D16" s="1">
        <v>44740</v>
      </c>
      <c r="E16" t="s">
        <v>12</v>
      </c>
      <c r="F16" s="1" t="s">
        <v>48</v>
      </c>
      <c r="G16" s="1" t="s">
        <v>81</v>
      </c>
      <c r="H16" s="14">
        <v>9</v>
      </c>
      <c r="M16">
        <f>SUM(6+5+4)</f>
        <v>15</v>
      </c>
      <c r="N16">
        <f>SUM(9+14+6)</f>
        <v>29</v>
      </c>
      <c r="O16">
        <v>9</v>
      </c>
      <c r="P16">
        <v>0</v>
      </c>
      <c r="Q16">
        <v>0</v>
      </c>
      <c r="R16">
        <v>0</v>
      </c>
      <c r="S16" s="2">
        <f>SUM(M16:R16)</f>
        <v>53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 s="2">
        <f>SUM(T16:Y16)</f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 s="2">
        <f>SUM(AA16:AF16)</f>
        <v>0</v>
      </c>
      <c r="AH16">
        <v>1</v>
      </c>
      <c r="AI16">
        <v>9</v>
      </c>
      <c r="AJ16">
        <v>8</v>
      </c>
      <c r="AK16">
        <v>0</v>
      </c>
      <c r="AL16">
        <v>0</v>
      </c>
      <c r="AM16">
        <v>0</v>
      </c>
      <c r="AN16" s="2">
        <f>SUM(AH16:AM16)</f>
        <v>18</v>
      </c>
      <c r="AO16">
        <v>13</v>
      </c>
      <c r="AP16">
        <v>3</v>
      </c>
      <c r="AQ16">
        <v>1</v>
      </c>
      <c r="AR16" s="2">
        <f>SUM(AO16:AQ16)</f>
        <v>17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s="2">
        <f>SUM(AS16:AX16)</f>
        <v>0</v>
      </c>
      <c r="AZ16">
        <v>0</v>
      </c>
      <c r="BA16">
        <v>2</v>
      </c>
      <c r="BB16">
        <v>0</v>
      </c>
      <c r="BC16" s="2">
        <f>SUM(AZ16:BB16)</f>
        <v>2</v>
      </c>
      <c r="BD16">
        <f>SUM(M16:R16,T16:Y16,AA16:AF16,AH16:AM16,AO16:AQ16,AS16:AX16,AZ16:BB16)</f>
        <v>91</v>
      </c>
    </row>
    <row r="17" spans="1:57" x14ac:dyDescent="0.25">
      <c r="A17">
        <v>108</v>
      </c>
      <c r="B17">
        <v>8</v>
      </c>
      <c r="C17">
        <v>5</v>
      </c>
      <c r="D17" s="1">
        <v>44745</v>
      </c>
      <c r="E17" t="s">
        <v>12</v>
      </c>
      <c r="F17" s="1" t="s">
        <v>48</v>
      </c>
      <c r="G17" s="1" t="s">
        <v>81</v>
      </c>
      <c r="H17" s="14">
        <v>9</v>
      </c>
      <c r="M17">
        <v>2</v>
      </c>
      <c r="N17">
        <v>3</v>
      </c>
      <c r="O17">
        <v>5</v>
      </c>
      <c r="P17">
        <v>0</v>
      </c>
      <c r="Q17">
        <v>4</v>
      </c>
      <c r="R17">
        <v>2</v>
      </c>
      <c r="S17" s="2">
        <f>SUM(M17:R17)</f>
        <v>16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2">
        <f>SUM(T17:Y17)</f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 s="2">
        <f>SUM(AA17:AF17)</f>
        <v>1</v>
      </c>
      <c r="AH17">
        <v>0</v>
      </c>
      <c r="AI17">
        <v>0</v>
      </c>
      <c r="AJ17">
        <v>3</v>
      </c>
      <c r="AK17">
        <v>0</v>
      </c>
      <c r="AL17">
        <v>0</v>
      </c>
      <c r="AM17">
        <v>2</v>
      </c>
      <c r="AN17" s="2">
        <f>SUM(AH17:AM17)</f>
        <v>5</v>
      </c>
      <c r="AO17">
        <v>6</v>
      </c>
      <c r="AP17">
        <v>3</v>
      </c>
      <c r="AQ17">
        <v>2</v>
      </c>
      <c r="AR17" s="2">
        <f>SUM(AO17:AQ17)</f>
        <v>11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s="2">
        <f>SUM(AS17:AX17)</f>
        <v>0</v>
      </c>
      <c r="AZ17">
        <v>0</v>
      </c>
      <c r="BA17">
        <v>0</v>
      </c>
      <c r="BB17">
        <v>0</v>
      </c>
      <c r="BC17" s="2">
        <f>SUM(AZ17:BB17)</f>
        <v>0</v>
      </c>
      <c r="BD17">
        <f>SUM(M17:R17,T17:Y17,AA17:AF17,AH17:AM17,AO17:AQ17,AS17:AX17,AZ17:BB17)</f>
        <v>33</v>
      </c>
      <c r="BE17">
        <v>4</v>
      </c>
    </row>
    <row r="18" spans="1:57" x14ac:dyDescent="0.25">
      <c r="A18">
        <v>109</v>
      </c>
      <c r="B18">
        <v>9</v>
      </c>
      <c r="C18">
        <v>0</v>
      </c>
      <c r="D18" s="1">
        <v>44740</v>
      </c>
      <c r="E18" s="1" t="s">
        <v>11</v>
      </c>
      <c r="F18" t="s">
        <v>48</v>
      </c>
      <c r="G18" s="1" t="s">
        <v>81</v>
      </c>
      <c r="H18" s="14">
        <v>9</v>
      </c>
      <c r="I18" s="10">
        <v>1</v>
      </c>
      <c r="J18" s="6">
        <v>0.28999999999999998</v>
      </c>
      <c r="K18" s="6">
        <v>0.25</v>
      </c>
      <c r="L18" s="8">
        <v>0.14000000000000001</v>
      </c>
      <c r="M18">
        <v>11</v>
      </c>
      <c r="N18">
        <v>22</v>
      </c>
      <c r="O18">
        <v>2</v>
      </c>
      <c r="P18">
        <v>0</v>
      </c>
      <c r="Q18">
        <v>0</v>
      </c>
      <c r="R18">
        <v>0</v>
      </c>
      <c r="S18" s="2">
        <f>SUM(M18:R18)</f>
        <v>35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 s="2">
        <f>SUM(T18:Y18)</f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 s="2">
        <f>SUM(AA18:AF18)</f>
        <v>0</v>
      </c>
      <c r="AH18">
        <f>SUM(4+1)</f>
        <v>5</v>
      </c>
      <c r="AI18">
        <v>20</v>
      </c>
      <c r="AJ18">
        <v>2</v>
      </c>
      <c r="AK18">
        <v>0</v>
      </c>
      <c r="AL18">
        <v>0</v>
      </c>
      <c r="AM18">
        <v>0</v>
      </c>
      <c r="AN18" s="2">
        <f>SUM(AH18:AM18)</f>
        <v>27</v>
      </c>
      <c r="AO18">
        <v>5</v>
      </c>
      <c r="AP18">
        <v>0</v>
      </c>
      <c r="AQ18">
        <v>1</v>
      </c>
      <c r="AR18" s="2">
        <f>SUM(AO18:AQ18)</f>
        <v>6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s="2">
        <f>SUM(AS18:AX18)</f>
        <v>0</v>
      </c>
      <c r="AZ18">
        <v>0</v>
      </c>
      <c r="BA18">
        <v>2</v>
      </c>
      <c r="BB18">
        <v>0</v>
      </c>
      <c r="BC18" s="2">
        <f>SUM(AZ18:BB18)</f>
        <v>2</v>
      </c>
      <c r="BD18">
        <f>SUM(M18:R18,T18:Y18,AA18:AF18,AH18:AM18,AO18:AQ18,AS18:AX18,AZ18:BB18)</f>
        <v>72</v>
      </c>
    </row>
    <row r="19" spans="1:57" x14ac:dyDescent="0.25">
      <c r="A19">
        <v>109</v>
      </c>
      <c r="B19">
        <v>9</v>
      </c>
      <c r="C19">
        <v>5</v>
      </c>
      <c r="D19" s="1">
        <v>44745</v>
      </c>
      <c r="E19" s="1" t="s">
        <v>11</v>
      </c>
      <c r="F19" t="s">
        <v>48</v>
      </c>
      <c r="G19" s="1" t="s">
        <v>81</v>
      </c>
      <c r="H19" s="14">
        <v>9</v>
      </c>
      <c r="I19" s="10">
        <v>1</v>
      </c>
      <c r="J19" s="6">
        <v>0.28999999999999998</v>
      </c>
      <c r="K19" s="6">
        <v>0.25</v>
      </c>
      <c r="L19" s="8">
        <v>0.14000000000000001</v>
      </c>
      <c r="M19">
        <v>0</v>
      </c>
      <c r="N19">
        <v>5</v>
      </c>
      <c r="O19">
        <v>1</v>
      </c>
      <c r="P19">
        <v>0</v>
      </c>
      <c r="Q19">
        <v>0</v>
      </c>
      <c r="R19">
        <v>0</v>
      </c>
      <c r="S19" s="2">
        <f>SUM(M19:R19)</f>
        <v>6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s="2">
        <f>SUM(T19:Y19)</f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 s="2">
        <f>SUM(AA19:AF19)</f>
        <v>0</v>
      </c>
      <c r="AH19">
        <v>0</v>
      </c>
      <c r="AI19">
        <v>1</v>
      </c>
      <c r="AJ19">
        <v>3</v>
      </c>
      <c r="AK19">
        <v>0</v>
      </c>
      <c r="AL19">
        <v>0</v>
      </c>
      <c r="AM19">
        <v>0</v>
      </c>
      <c r="AN19" s="2">
        <f>SUM(AH19:AM19)</f>
        <v>4</v>
      </c>
      <c r="AO19">
        <v>3</v>
      </c>
      <c r="AP19">
        <v>2</v>
      </c>
      <c r="AQ19">
        <v>0</v>
      </c>
      <c r="AR19" s="2">
        <f>SUM(AO19:AQ19)</f>
        <v>5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s="2">
        <f>SUM(AS19:AX19)</f>
        <v>0</v>
      </c>
      <c r="AZ19">
        <v>0</v>
      </c>
      <c r="BA19">
        <v>0</v>
      </c>
      <c r="BB19">
        <v>0</v>
      </c>
      <c r="BC19" s="2">
        <f>SUM(AZ19:BB19)</f>
        <v>0</v>
      </c>
      <c r="BD19">
        <f>SUM(M19:R19,T19:Y19,AA19:AF19,AH19:AM19,AO19:AQ19,AS19:AX19,AZ19:BB19)</f>
        <v>15</v>
      </c>
      <c r="BE19">
        <v>1</v>
      </c>
    </row>
    <row r="20" spans="1:57" x14ac:dyDescent="0.25">
      <c r="A20">
        <v>110</v>
      </c>
      <c r="B20">
        <v>10</v>
      </c>
      <c r="C20">
        <v>0</v>
      </c>
      <c r="D20" s="1">
        <v>44740</v>
      </c>
      <c r="E20" s="1" t="s">
        <v>11</v>
      </c>
      <c r="F20" s="1" t="s">
        <v>47</v>
      </c>
      <c r="G20" s="1" t="s">
        <v>81</v>
      </c>
      <c r="H20" s="14">
        <v>9</v>
      </c>
      <c r="I20" s="10">
        <v>0</v>
      </c>
      <c r="J20" s="6">
        <v>0.3</v>
      </c>
      <c r="K20" s="6">
        <v>0.26</v>
      </c>
      <c r="L20" s="8">
        <v>0.14000000000000001</v>
      </c>
      <c r="M20">
        <f>SUM(5+3+5)</f>
        <v>13</v>
      </c>
      <c r="N20">
        <f>SUM(3+4+6)</f>
        <v>13</v>
      </c>
      <c r="O20">
        <v>1</v>
      </c>
      <c r="P20">
        <v>0</v>
      </c>
      <c r="Q20">
        <v>0</v>
      </c>
      <c r="R20">
        <v>0</v>
      </c>
      <c r="S20" s="2">
        <f>SUM(M20:R20)</f>
        <v>27</v>
      </c>
      <c r="T20">
        <v>11</v>
      </c>
      <c r="U20">
        <v>2</v>
      </c>
      <c r="V20">
        <v>0</v>
      </c>
      <c r="W20">
        <v>0</v>
      </c>
      <c r="X20">
        <v>0</v>
      </c>
      <c r="Y20">
        <v>0</v>
      </c>
      <c r="Z20" s="2">
        <f>SUM(T20:Y20)</f>
        <v>13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 s="2">
        <f>SUM(AA20:AF20)</f>
        <v>0</v>
      </c>
      <c r="AH20">
        <v>7</v>
      </c>
      <c r="AI20">
        <f>SUM(12+11)</f>
        <v>23</v>
      </c>
      <c r="AJ20">
        <v>5</v>
      </c>
      <c r="AK20">
        <v>0</v>
      </c>
      <c r="AL20">
        <v>0</v>
      </c>
      <c r="AM20">
        <v>0</v>
      </c>
      <c r="AN20" s="2">
        <f>SUM(AH20:AM20)</f>
        <v>35</v>
      </c>
      <c r="AO20">
        <v>3</v>
      </c>
      <c r="AP20">
        <v>2</v>
      </c>
      <c r="AQ20">
        <v>1</v>
      </c>
      <c r="AR20" s="2">
        <f>SUM(AO20:AQ20)</f>
        <v>6</v>
      </c>
      <c r="AS20">
        <v>3</v>
      </c>
      <c r="AT20">
        <v>5</v>
      </c>
      <c r="AU20">
        <v>1</v>
      </c>
      <c r="AV20">
        <v>0</v>
      </c>
      <c r="AW20">
        <v>0</v>
      </c>
      <c r="AX20">
        <v>0</v>
      </c>
      <c r="AY20" s="2">
        <f>SUM(AS20:AX20)</f>
        <v>9</v>
      </c>
      <c r="AZ20">
        <v>0</v>
      </c>
      <c r="BA20">
        <v>1</v>
      </c>
      <c r="BB20">
        <v>0</v>
      </c>
      <c r="BC20" s="2">
        <f>SUM(AZ20:BB20)</f>
        <v>1</v>
      </c>
      <c r="BD20">
        <f>SUM(M20:R20,T20:Y20,AA20:AF20,AH20:AM20,AO20:AQ20,AS20:AX20,AZ20:BB20)</f>
        <v>91</v>
      </c>
    </row>
    <row r="21" spans="1:57" x14ac:dyDescent="0.25">
      <c r="A21">
        <v>110</v>
      </c>
      <c r="B21">
        <v>10</v>
      </c>
      <c r="C21">
        <v>5</v>
      </c>
      <c r="D21" s="1">
        <v>44745</v>
      </c>
      <c r="E21" s="1" t="s">
        <v>11</v>
      </c>
      <c r="F21" s="1" t="s">
        <v>47</v>
      </c>
      <c r="G21" s="1" t="s">
        <v>81</v>
      </c>
      <c r="H21" s="14">
        <v>9</v>
      </c>
      <c r="I21" s="10">
        <v>0</v>
      </c>
      <c r="J21" s="6">
        <v>0.3</v>
      </c>
      <c r="K21" s="6">
        <v>0.26</v>
      </c>
      <c r="L21" s="8">
        <v>0.14000000000000001</v>
      </c>
      <c r="M21">
        <v>2</v>
      </c>
      <c r="N21">
        <v>1</v>
      </c>
      <c r="O21">
        <v>6</v>
      </c>
      <c r="P21">
        <v>0</v>
      </c>
      <c r="Q21">
        <v>1</v>
      </c>
      <c r="R21">
        <v>0</v>
      </c>
      <c r="S21" s="2">
        <f>SUM(M21:R21)</f>
        <v>10</v>
      </c>
      <c r="T21">
        <v>6</v>
      </c>
      <c r="U21">
        <v>1</v>
      </c>
      <c r="V21">
        <v>0</v>
      </c>
      <c r="W21">
        <v>0</v>
      </c>
      <c r="X21">
        <v>0</v>
      </c>
      <c r="Y21">
        <v>0</v>
      </c>
      <c r="Z21" s="2">
        <f>SUM(T21:Y21)</f>
        <v>7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 s="2">
        <f>SUM(AA21:AF21)</f>
        <v>0</v>
      </c>
      <c r="AH21">
        <v>0</v>
      </c>
      <c r="AI21">
        <v>1</v>
      </c>
      <c r="AJ21">
        <v>1</v>
      </c>
      <c r="AK21">
        <v>0</v>
      </c>
      <c r="AL21">
        <v>3</v>
      </c>
      <c r="AM21">
        <v>3</v>
      </c>
      <c r="AN21" s="2">
        <f>SUM(AH21:AM21)</f>
        <v>8</v>
      </c>
      <c r="AO21">
        <v>4</v>
      </c>
      <c r="AP21">
        <v>4</v>
      </c>
      <c r="AQ21">
        <v>2</v>
      </c>
      <c r="AR21" s="2">
        <f>SUM(AO21:AQ21)</f>
        <v>10</v>
      </c>
      <c r="AS21">
        <v>2</v>
      </c>
      <c r="AT21">
        <v>3</v>
      </c>
      <c r="AU21">
        <v>2</v>
      </c>
      <c r="AV21">
        <v>0</v>
      </c>
      <c r="AW21">
        <v>0</v>
      </c>
      <c r="AX21">
        <v>0</v>
      </c>
      <c r="AY21" s="2">
        <f>SUM(AS21:AX21)</f>
        <v>7</v>
      </c>
      <c r="AZ21">
        <v>0</v>
      </c>
      <c r="BA21">
        <v>0</v>
      </c>
      <c r="BB21">
        <v>0</v>
      </c>
      <c r="BC21" s="2">
        <f>SUM(AZ21:BB21)</f>
        <v>0</v>
      </c>
      <c r="BD21">
        <f>SUM(M21:R21,T21:Y21,AA21:AF21,AH21:AM21,AO21:AQ21,AS21:AX21,AZ21:BB21)</f>
        <v>42</v>
      </c>
      <c r="BE21">
        <v>2</v>
      </c>
    </row>
    <row r="22" spans="1:57" x14ac:dyDescent="0.25">
      <c r="A22">
        <v>111</v>
      </c>
      <c r="B22">
        <v>11</v>
      </c>
      <c r="C22">
        <v>0</v>
      </c>
      <c r="D22" s="1">
        <v>44740</v>
      </c>
      <c r="E22" s="1" t="s">
        <v>11</v>
      </c>
      <c r="F22" t="s">
        <v>48</v>
      </c>
      <c r="G22" s="1" t="s">
        <v>81</v>
      </c>
      <c r="H22" s="14">
        <v>11.5</v>
      </c>
      <c r="I22" s="10">
        <v>1</v>
      </c>
      <c r="J22" s="6">
        <v>0.33</v>
      </c>
      <c r="K22" s="6">
        <v>0.23</v>
      </c>
      <c r="L22" s="8">
        <v>0.3</v>
      </c>
      <c r="M22">
        <v>6</v>
      </c>
      <c r="N22">
        <v>9</v>
      </c>
      <c r="O22">
        <v>1</v>
      </c>
      <c r="P22">
        <v>0</v>
      </c>
      <c r="Q22">
        <v>0</v>
      </c>
      <c r="R22">
        <v>0</v>
      </c>
      <c r="S22" s="2">
        <f>SUM(M22:R22)</f>
        <v>16</v>
      </c>
      <c r="T22">
        <v>3</v>
      </c>
      <c r="U22">
        <v>1</v>
      </c>
      <c r="V22">
        <v>0</v>
      </c>
      <c r="W22">
        <v>0</v>
      </c>
      <c r="X22">
        <v>0</v>
      </c>
      <c r="Y22">
        <v>0</v>
      </c>
      <c r="Z22" s="2">
        <f>SUM(T22:Y22)</f>
        <v>4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 s="2">
        <f>SUM(AA22:AF22)</f>
        <v>0</v>
      </c>
      <c r="AH22">
        <v>9</v>
      </c>
      <c r="AI22">
        <v>12</v>
      </c>
      <c r="AJ22">
        <v>3</v>
      </c>
      <c r="AK22">
        <v>0</v>
      </c>
      <c r="AL22">
        <v>0</v>
      </c>
      <c r="AM22">
        <v>0</v>
      </c>
      <c r="AN22" s="2">
        <f>SUM(AH22:AM22)</f>
        <v>24</v>
      </c>
      <c r="AO22">
        <v>7</v>
      </c>
      <c r="AP22">
        <v>5</v>
      </c>
      <c r="AQ22">
        <v>3</v>
      </c>
      <c r="AR22" s="2">
        <f>SUM(AO22:AQ22)</f>
        <v>15</v>
      </c>
      <c r="AS22">
        <v>48</v>
      </c>
      <c r="AT22">
        <v>6</v>
      </c>
      <c r="AU22">
        <v>7</v>
      </c>
      <c r="AV22">
        <v>0</v>
      </c>
      <c r="AW22">
        <v>0</v>
      </c>
      <c r="AX22">
        <v>0</v>
      </c>
      <c r="AY22" s="2">
        <f>SUM(AS22:AX22)</f>
        <v>61</v>
      </c>
      <c r="AZ22">
        <v>1</v>
      </c>
      <c r="BA22">
        <v>1</v>
      </c>
      <c r="BB22">
        <v>4</v>
      </c>
      <c r="BC22" s="2">
        <f>SUM(AZ22:BB22)</f>
        <v>6</v>
      </c>
      <c r="BD22">
        <f>SUM(M22:R22,T22:Y22,AA22:AF22,AH22:AM22,AO22:AQ22,AS22:AX22,AZ22:BB22)</f>
        <v>126</v>
      </c>
    </row>
    <row r="23" spans="1:57" x14ac:dyDescent="0.25">
      <c r="A23">
        <v>111</v>
      </c>
      <c r="B23">
        <v>11</v>
      </c>
      <c r="C23">
        <v>5</v>
      </c>
      <c r="D23" s="1">
        <v>44745</v>
      </c>
      <c r="E23" s="1" t="s">
        <v>11</v>
      </c>
      <c r="F23" t="s">
        <v>48</v>
      </c>
      <c r="G23" s="1" t="s">
        <v>81</v>
      </c>
      <c r="H23" s="14">
        <v>11.5</v>
      </c>
      <c r="I23" s="10">
        <v>1</v>
      </c>
      <c r="J23" s="6">
        <v>0.33</v>
      </c>
      <c r="K23" s="6">
        <v>0.23</v>
      </c>
      <c r="L23" s="8">
        <v>0.3</v>
      </c>
      <c r="M23">
        <v>2</v>
      </c>
      <c r="N23">
        <v>2</v>
      </c>
      <c r="O23">
        <v>2</v>
      </c>
      <c r="P23">
        <v>0</v>
      </c>
      <c r="Q23">
        <v>0</v>
      </c>
      <c r="R23">
        <v>1</v>
      </c>
      <c r="S23" s="2">
        <f>SUM(M23:R23)</f>
        <v>7</v>
      </c>
      <c r="T23">
        <v>2</v>
      </c>
      <c r="U23">
        <v>1</v>
      </c>
      <c r="V23">
        <v>0</v>
      </c>
      <c r="W23">
        <v>0</v>
      </c>
      <c r="X23">
        <v>0</v>
      </c>
      <c r="Y23">
        <v>0</v>
      </c>
      <c r="Z23" s="2">
        <f>SUM(T23:Y23)</f>
        <v>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 s="2">
        <f>SUM(AA23:AF23)</f>
        <v>0</v>
      </c>
      <c r="AH23">
        <v>2</v>
      </c>
      <c r="AI23">
        <v>0</v>
      </c>
      <c r="AJ23">
        <v>3</v>
      </c>
      <c r="AK23">
        <v>0</v>
      </c>
      <c r="AL23">
        <v>0</v>
      </c>
      <c r="AM23">
        <v>0</v>
      </c>
      <c r="AN23" s="2">
        <f>SUM(AH23:AM23)</f>
        <v>5</v>
      </c>
      <c r="AO23">
        <v>2</v>
      </c>
      <c r="AP23">
        <f>31-24</f>
        <v>7</v>
      </c>
      <c r="AQ23">
        <v>3</v>
      </c>
      <c r="AR23" s="2">
        <f>SUM(AO23:AQ23)</f>
        <v>12</v>
      </c>
      <c r="AS23">
        <v>12</v>
      </c>
      <c r="AT23">
        <f>SUM(3+3+24)</f>
        <v>30</v>
      </c>
      <c r="AU23">
        <v>38</v>
      </c>
      <c r="AV23">
        <v>0</v>
      </c>
      <c r="AW23">
        <v>0</v>
      </c>
      <c r="AX23">
        <v>1</v>
      </c>
      <c r="AY23" s="2">
        <f>SUM(AS23:AX23)</f>
        <v>81</v>
      </c>
      <c r="AZ23">
        <v>0</v>
      </c>
      <c r="BA23">
        <v>0</v>
      </c>
      <c r="BB23">
        <v>0</v>
      </c>
      <c r="BC23" s="2">
        <f>SUM(AZ23:BB23)</f>
        <v>0</v>
      </c>
      <c r="BD23">
        <f>SUM(M23:R23,T23:Y23,AA23:AF23,AH23:AM23,AO23:AQ23,AS23:AX23,AZ23:BB23)</f>
        <v>108</v>
      </c>
      <c r="BE23">
        <v>0</v>
      </c>
    </row>
    <row r="24" spans="1:57" x14ac:dyDescent="0.25">
      <c r="A24">
        <v>112</v>
      </c>
      <c r="B24">
        <v>12</v>
      </c>
      <c r="C24">
        <v>0</v>
      </c>
      <c r="D24" s="1">
        <v>44740</v>
      </c>
      <c r="E24" s="1" t="s">
        <v>11</v>
      </c>
      <c r="F24" s="1" t="s">
        <v>47</v>
      </c>
      <c r="G24" s="1" t="s">
        <v>81</v>
      </c>
      <c r="H24" s="14">
        <v>11.5</v>
      </c>
      <c r="I24" s="10">
        <v>0</v>
      </c>
      <c r="J24" s="6">
        <v>0.35</v>
      </c>
      <c r="K24" s="6">
        <v>0.26</v>
      </c>
      <c r="L24" s="8">
        <v>0.26</v>
      </c>
      <c r="M24">
        <v>7</v>
      </c>
      <c r="N24">
        <v>15</v>
      </c>
      <c r="O24">
        <v>1</v>
      </c>
      <c r="P24">
        <v>0</v>
      </c>
      <c r="Q24">
        <v>0</v>
      </c>
      <c r="R24">
        <v>0</v>
      </c>
      <c r="S24" s="2">
        <f>SUM(M24:R24)</f>
        <v>23</v>
      </c>
      <c r="T24">
        <v>10</v>
      </c>
      <c r="U24">
        <v>0</v>
      </c>
      <c r="V24">
        <v>0</v>
      </c>
      <c r="W24">
        <v>0</v>
      </c>
      <c r="X24">
        <v>0</v>
      </c>
      <c r="Y24">
        <v>0</v>
      </c>
      <c r="Z24" s="2">
        <f>SUM(T24:Y24)</f>
        <v>10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 s="2">
        <f>SUM(AA24:AF24)</f>
        <v>0</v>
      </c>
      <c r="AH24">
        <v>6</v>
      </c>
      <c r="AI24">
        <v>23</v>
      </c>
      <c r="AJ24">
        <v>9</v>
      </c>
      <c r="AK24">
        <v>0</v>
      </c>
      <c r="AL24">
        <v>0</v>
      </c>
      <c r="AM24">
        <v>0</v>
      </c>
      <c r="AN24" s="2">
        <f>SUM(AH24:AM24)</f>
        <v>38</v>
      </c>
      <c r="AO24">
        <v>2</v>
      </c>
      <c r="AP24">
        <v>1</v>
      </c>
      <c r="AQ24">
        <v>0</v>
      </c>
      <c r="AR24" s="2">
        <f>SUM(AO24:AQ24)</f>
        <v>3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 s="2">
        <f>SUM(AS24:AX24)</f>
        <v>1</v>
      </c>
      <c r="AZ24">
        <v>0</v>
      </c>
      <c r="BA24">
        <v>0</v>
      </c>
      <c r="BB24">
        <v>0</v>
      </c>
      <c r="BC24" s="2">
        <f>SUM(AZ24:BB24)</f>
        <v>0</v>
      </c>
      <c r="BD24">
        <f>SUM(M24:R24,T24:Y24,AA24:AF24,AH24:AM24,AO24:AQ24,AS24:AX24,AZ24:BB24)</f>
        <v>75</v>
      </c>
    </row>
    <row r="25" spans="1:57" x14ac:dyDescent="0.25">
      <c r="A25">
        <v>112</v>
      </c>
      <c r="B25">
        <v>12</v>
      </c>
      <c r="C25">
        <v>5</v>
      </c>
      <c r="D25" s="1">
        <v>44745</v>
      </c>
      <c r="E25" s="1" t="s">
        <v>11</v>
      </c>
      <c r="F25" s="1" t="s">
        <v>47</v>
      </c>
      <c r="G25" s="1" t="s">
        <v>81</v>
      </c>
      <c r="H25" s="14">
        <v>11.5</v>
      </c>
      <c r="I25" s="10">
        <v>0</v>
      </c>
      <c r="J25" s="6">
        <v>0.35</v>
      </c>
      <c r="K25" s="6">
        <v>0.26</v>
      </c>
      <c r="L25" s="8">
        <v>0.26</v>
      </c>
      <c r="M25">
        <v>1</v>
      </c>
      <c r="N25">
        <v>4</v>
      </c>
      <c r="O25">
        <v>5</v>
      </c>
      <c r="P25">
        <v>1</v>
      </c>
      <c r="Q25">
        <v>0</v>
      </c>
      <c r="R25">
        <v>0</v>
      </c>
      <c r="S25" s="2">
        <f>SUM(M25:R25)</f>
        <v>11</v>
      </c>
      <c r="T25">
        <v>5</v>
      </c>
      <c r="U25">
        <v>6</v>
      </c>
      <c r="V25">
        <v>1</v>
      </c>
      <c r="W25">
        <v>0</v>
      </c>
      <c r="X25">
        <v>0</v>
      </c>
      <c r="Y25">
        <v>0</v>
      </c>
      <c r="Z25" s="2">
        <f>SUM(T25:Y25)</f>
        <v>12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 s="2">
        <f>SUM(AA25:AF25)</f>
        <v>0</v>
      </c>
      <c r="AH25">
        <v>0</v>
      </c>
      <c r="AI25">
        <v>4</v>
      </c>
      <c r="AJ25">
        <v>8</v>
      </c>
      <c r="AK25">
        <v>0</v>
      </c>
      <c r="AL25">
        <v>0</v>
      </c>
      <c r="AM25">
        <v>2</v>
      </c>
      <c r="AN25" s="2">
        <f>SUM(AH25:AM25)</f>
        <v>14</v>
      </c>
      <c r="AO25">
        <v>1</v>
      </c>
      <c r="AP25">
        <v>2</v>
      </c>
      <c r="AQ25">
        <v>1</v>
      </c>
      <c r="AR25" s="2">
        <f>SUM(AO25:AQ25)</f>
        <v>4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 s="2">
        <f>SUM(AS25:AX25)</f>
        <v>1</v>
      </c>
      <c r="AZ25">
        <v>0</v>
      </c>
      <c r="BA25">
        <v>0</v>
      </c>
      <c r="BB25">
        <v>0</v>
      </c>
      <c r="BC25" s="2">
        <f>SUM(AZ25:BB25)</f>
        <v>0</v>
      </c>
      <c r="BD25">
        <f>SUM(M25:R25,T25:Y25,AA25:AF25,AH25:AM25,AO25:AQ25,AS25:AX25,AZ25:BB25)</f>
        <v>42</v>
      </c>
      <c r="BE25">
        <v>4</v>
      </c>
    </row>
    <row r="26" spans="1:57" x14ac:dyDescent="0.25">
      <c r="A26">
        <v>201</v>
      </c>
      <c r="B26">
        <v>10</v>
      </c>
      <c r="C26">
        <v>0</v>
      </c>
      <c r="D26" s="1">
        <v>44740</v>
      </c>
      <c r="E26" s="1" t="s">
        <v>11</v>
      </c>
      <c r="F26" s="1" t="s">
        <v>47</v>
      </c>
      <c r="G26" s="1" t="s">
        <v>81</v>
      </c>
      <c r="H26" s="14">
        <v>9</v>
      </c>
      <c r="I26" s="10">
        <v>0</v>
      </c>
      <c r="J26" s="6">
        <v>0.28999999999999998</v>
      </c>
      <c r="K26" s="6">
        <v>0.23</v>
      </c>
      <c r="L26" s="8">
        <v>0.22</v>
      </c>
      <c r="M26">
        <f>SUM(3+11+3)</f>
        <v>17</v>
      </c>
      <c r="N26">
        <f>SUM(19+25+26)</f>
        <v>70</v>
      </c>
      <c r="O26">
        <f>SUM(18+5+2)</f>
        <v>25</v>
      </c>
      <c r="P26">
        <v>0</v>
      </c>
      <c r="Q26">
        <v>0</v>
      </c>
      <c r="R26">
        <v>0</v>
      </c>
      <c r="S26" s="2">
        <f>SUM(M26:R26)</f>
        <v>112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2">
        <f>SUM(T26:Y26)</f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s="2">
        <f>SUM(AA26:AF26)</f>
        <v>0</v>
      </c>
      <c r="AH26">
        <v>7</v>
      </c>
      <c r="AI26">
        <v>25</v>
      </c>
      <c r="AJ26">
        <v>9</v>
      </c>
      <c r="AK26">
        <v>0</v>
      </c>
      <c r="AL26">
        <v>0</v>
      </c>
      <c r="AM26">
        <v>0</v>
      </c>
      <c r="AN26" s="2">
        <f>SUM(AH26:AM26)</f>
        <v>41</v>
      </c>
      <c r="AO26">
        <v>4</v>
      </c>
      <c r="AP26">
        <v>1</v>
      </c>
      <c r="AQ26">
        <v>7</v>
      </c>
      <c r="AR26" s="2">
        <f>SUM(AO26:AQ26)</f>
        <v>12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s="2">
        <f>SUM(AS26:AX26)</f>
        <v>0</v>
      </c>
      <c r="AZ26">
        <v>0</v>
      </c>
      <c r="BA26">
        <v>0</v>
      </c>
      <c r="BB26">
        <v>1</v>
      </c>
      <c r="BC26" s="2">
        <f>SUM(AZ26:BB26)</f>
        <v>1</v>
      </c>
      <c r="BD26">
        <f>SUM(M26:R26,T26:Y26,AA26:AF26,AH26:AM26,AO26:AQ26,AS26:AX26,AZ26:BB26)</f>
        <v>166</v>
      </c>
    </row>
    <row r="27" spans="1:57" x14ac:dyDescent="0.25">
      <c r="A27">
        <v>201</v>
      </c>
      <c r="B27">
        <v>10</v>
      </c>
      <c r="C27">
        <v>5</v>
      </c>
      <c r="D27" s="1">
        <v>44745</v>
      </c>
      <c r="E27" s="1" t="s">
        <v>11</v>
      </c>
      <c r="F27" s="1" t="s">
        <v>47</v>
      </c>
      <c r="G27" s="1" t="s">
        <v>81</v>
      </c>
      <c r="H27" s="14">
        <v>9</v>
      </c>
      <c r="I27" s="10">
        <v>0</v>
      </c>
      <c r="J27" s="6">
        <v>0.28999999999999998</v>
      </c>
      <c r="K27" s="6">
        <v>0.23</v>
      </c>
      <c r="L27" s="8">
        <v>0.22</v>
      </c>
      <c r="M27">
        <v>0</v>
      </c>
      <c r="N27">
        <v>5</v>
      </c>
      <c r="O27">
        <v>7</v>
      </c>
      <c r="P27">
        <v>0</v>
      </c>
      <c r="Q27">
        <v>0</v>
      </c>
      <c r="R27">
        <v>0</v>
      </c>
      <c r="S27" s="2">
        <f>SUM(M27:R27)</f>
        <v>12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s="2">
        <f>SUM(T27:Y27)</f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 s="2">
        <f>SUM(AA27:AF27)</f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3</v>
      </c>
      <c r="AN27" s="2">
        <f>SUM(AH27:AM27)</f>
        <v>4</v>
      </c>
      <c r="AO27">
        <v>1</v>
      </c>
      <c r="AP27">
        <v>2</v>
      </c>
      <c r="AQ27">
        <v>3</v>
      </c>
      <c r="AR27" s="2">
        <f>SUM(AO27:AQ27)</f>
        <v>6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s="2">
        <f>SUM(AS27:AX27)</f>
        <v>0</v>
      </c>
      <c r="AZ27">
        <v>0</v>
      </c>
      <c r="BA27">
        <v>0</v>
      </c>
      <c r="BB27">
        <v>0</v>
      </c>
      <c r="BC27" s="2">
        <f>SUM(AZ27:BB27)</f>
        <v>0</v>
      </c>
      <c r="BD27">
        <f>SUM(M27:R27,T27:Y27,AA27:AF27,AH27:AM27,AO27:AQ27,AS27:AX27,AZ27:BB27)</f>
        <v>22</v>
      </c>
      <c r="BE27">
        <v>0</v>
      </c>
    </row>
    <row r="28" spans="1:57" x14ac:dyDescent="0.25">
      <c r="A28">
        <v>202</v>
      </c>
      <c r="B28">
        <v>1</v>
      </c>
      <c r="C28">
        <v>0</v>
      </c>
      <c r="D28" s="1">
        <v>44732</v>
      </c>
      <c r="E28" s="1" t="s">
        <v>11</v>
      </c>
      <c r="F28" s="1" t="s">
        <v>47</v>
      </c>
      <c r="G28" s="1" t="s">
        <v>80</v>
      </c>
      <c r="I28" s="10">
        <v>1</v>
      </c>
      <c r="J28" s="6">
        <v>0.32</v>
      </c>
      <c r="K28" s="6">
        <v>0.16</v>
      </c>
      <c r="L28" s="8">
        <v>0.49</v>
      </c>
      <c r="M28">
        <f>SUM(15+110+18+36+26+14+29+65+11+28+52+33+13+14+7+20+21+30+26+86)</f>
        <v>654</v>
      </c>
      <c r="N28">
        <f>SUM(2+1+6+4)</f>
        <v>13</v>
      </c>
      <c r="O28">
        <f>SUM(3+1+1+5+2)</f>
        <v>12</v>
      </c>
      <c r="P28">
        <v>0</v>
      </c>
      <c r="Q28">
        <v>0</v>
      </c>
      <c r="R28">
        <v>0</v>
      </c>
      <c r="S28" s="2">
        <f>SUM(M28:R28)</f>
        <v>679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2">
        <f>SUM(T28:Y28)</f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 s="2">
        <f>SUM(AA28:AF28)</f>
        <v>1</v>
      </c>
      <c r="AH28">
        <f>SUM(2+5+15+2+5+17)</f>
        <v>46</v>
      </c>
      <c r="AI28">
        <f>SUM(16+2+1)</f>
        <v>19</v>
      </c>
      <c r="AJ28">
        <v>0</v>
      </c>
      <c r="AK28">
        <v>0</v>
      </c>
      <c r="AL28">
        <v>0</v>
      </c>
      <c r="AM28">
        <v>0</v>
      </c>
      <c r="AN28" s="2">
        <f>SUM(AH28:AM28)</f>
        <v>65</v>
      </c>
      <c r="AO28">
        <v>3</v>
      </c>
      <c r="AP28">
        <v>1</v>
      </c>
      <c r="AQ28">
        <v>5</v>
      </c>
      <c r="AR28" s="2">
        <f>SUM(AO28:AQ28)</f>
        <v>9</v>
      </c>
      <c r="AS28">
        <v>0</v>
      </c>
      <c r="AT28">
        <v>0</v>
      </c>
      <c r="AU28">
        <v>5</v>
      </c>
      <c r="AV28">
        <v>0</v>
      </c>
      <c r="AW28">
        <v>0</v>
      </c>
      <c r="AX28">
        <v>0</v>
      </c>
      <c r="AY28" s="2">
        <f>SUM(AS28:AX28)</f>
        <v>5</v>
      </c>
      <c r="AZ28">
        <v>0</v>
      </c>
      <c r="BA28">
        <v>1</v>
      </c>
      <c r="BB28">
        <v>0</v>
      </c>
      <c r="BC28" s="2">
        <f>SUM(AZ28:BB28)</f>
        <v>1</v>
      </c>
      <c r="BD28">
        <f>SUM(M28:R28,T28:Y28,AA28:AF28,AH28:AM28,AO28:AQ28,AS28:AX28,AZ28:BB28)</f>
        <v>760</v>
      </c>
    </row>
    <row r="29" spans="1:57" x14ac:dyDescent="0.25">
      <c r="A29">
        <v>202</v>
      </c>
      <c r="B29">
        <v>1</v>
      </c>
      <c r="C29">
        <v>5</v>
      </c>
      <c r="D29" s="1">
        <v>44737</v>
      </c>
      <c r="E29" s="1" t="s">
        <v>11</v>
      </c>
      <c r="F29" s="1" t="s">
        <v>47</v>
      </c>
      <c r="G29" s="1" t="s">
        <v>80</v>
      </c>
      <c r="I29" s="10">
        <v>1</v>
      </c>
      <c r="J29" s="6">
        <v>0.32</v>
      </c>
      <c r="K29" s="6">
        <v>0.16</v>
      </c>
      <c r="L29" s="8">
        <v>0.49</v>
      </c>
      <c r="M29">
        <f>SUM(5+6+3+3+5+47+2+10+7+24+31+6+12+38)</f>
        <v>199</v>
      </c>
      <c r="N29">
        <f>SUM(6+3+4+4+4+1+4+26+6)</f>
        <v>58</v>
      </c>
      <c r="O29">
        <v>4</v>
      </c>
      <c r="P29">
        <v>9</v>
      </c>
      <c r="Q29">
        <v>5</v>
      </c>
      <c r="R29">
        <v>0</v>
      </c>
      <c r="S29" s="2">
        <f>SUM(M29:R29)</f>
        <v>275</v>
      </c>
      <c r="T29">
        <v>4</v>
      </c>
      <c r="U29">
        <v>0</v>
      </c>
      <c r="V29">
        <v>0</v>
      </c>
      <c r="W29">
        <v>0</v>
      </c>
      <c r="X29">
        <v>0</v>
      </c>
      <c r="Y29">
        <v>0</v>
      </c>
      <c r="Z29" s="2">
        <f>SUM(T29:Y29)</f>
        <v>4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s="2">
        <f>SUM(AA29:AF29)</f>
        <v>0</v>
      </c>
      <c r="AH29">
        <f>SUM(4+8+6+1)</f>
        <v>19</v>
      </c>
      <c r="AI29">
        <v>11</v>
      </c>
      <c r="AJ29">
        <v>2</v>
      </c>
      <c r="AK29">
        <v>2</v>
      </c>
      <c r="AL29">
        <v>0</v>
      </c>
      <c r="AM29">
        <v>0</v>
      </c>
      <c r="AN29" s="2">
        <f>SUM(AH29:AM29)</f>
        <v>34</v>
      </c>
      <c r="AO29">
        <v>1</v>
      </c>
      <c r="AP29">
        <v>0</v>
      </c>
      <c r="AQ29">
        <v>4</v>
      </c>
      <c r="AR29" s="2">
        <f>SUM(AO29:AQ29)</f>
        <v>5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s="2">
        <f>SUM(AS29:AX29)</f>
        <v>0</v>
      </c>
      <c r="AZ29">
        <v>2</v>
      </c>
      <c r="BA29">
        <v>0</v>
      </c>
      <c r="BB29">
        <v>4</v>
      </c>
      <c r="BC29" s="2">
        <f>SUM(AZ29:BB29)</f>
        <v>6</v>
      </c>
      <c r="BD29">
        <f>SUM(M29:R29,T29:Y29,AA29:AF29,AH29:AM29,AO29:AQ29,AS29:AX29,AZ29:BB29)</f>
        <v>324</v>
      </c>
      <c r="BE29">
        <v>0</v>
      </c>
    </row>
    <row r="30" spans="1:57" x14ac:dyDescent="0.25">
      <c r="A30">
        <v>203</v>
      </c>
      <c r="B30">
        <v>7</v>
      </c>
      <c r="C30">
        <v>0</v>
      </c>
      <c r="D30" s="1">
        <v>44740</v>
      </c>
      <c r="E30" s="1" t="s">
        <v>12</v>
      </c>
      <c r="F30" t="s">
        <v>47</v>
      </c>
      <c r="G30" s="1" t="s">
        <v>81</v>
      </c>
      <c r="H30" s="14">
        <v>6</v>
      </c>
      <c r="M30">
        <f>SUM(4+5+10)</f>
        <v>19</v>
      </c>
      <c r="N30">
        <f>SUM(15+32+12)</f>
        <v>59</v>
      </c>
      <c r="O30">
        <f>SUM(5)</f>
        <v>5</v>
      </c>
      <c r="P30">
        <v>0</v>
      </c>
      <c r="Q30">
        <v>0</v>
      </c>
      <c r="R30">
        <v>0</v>
      </c>
      <c r="S30" s="2">
        <f>SUM(M30:R30)</f>
        <v>83</v>
      </c>
      <c r="T30">
        <v>11</v>
      </c>
      <c r="U30">
        <v>5</v>
      </c>
      <c r="V30">
        <v>0</v>
      </c>
      <c r="W30">
        <v>0</v>
      </c>
      <c r="X30">
        <v>0</v>
      </c>
      <c r="Y30">
        <v>0</v>
      </c>
      <c r="Z30" s="2">
        <f>SUM(T30:Y30)</f>
        <v>16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 s="2">
        <f>SUM(AA30:AF30)</f>
        <v>0</v>
      </c>
      <c r="AH30">
        <v>1</v>
      </c>
      <c r="AI30">
        <v>1</v>
      </c>
      <c r="AJ30">
        <v>1</v>
      </c>
      <c r="AK30">
        <v>0</v>
      </c>
      <c r="AL30">
        <v>0</v>
      </c>
      <c r="AM30">
        <v>0</v>
      </c>
      <c r="AN30" s="2">
        <f>SUM(AH30:AM30)</f>
        <v>3</v>
      </c>
      <c r="AO30">
        <v>6</v>
      </c>
      <c r="AP30">
        <v>8</v>
      </c>
      <c r="AQ30">
        <v>9</v>
      </c>
      <c r="AR30" s="2">
        <f>SUM(AO30:AQ30)</f>
        <v>23</v>
      </c>
      <c r="AS30">
        <v>0</v>
      </c>
      <c r="AT30">
        <v>2</v>
      </c>
      <c r="AU30">
        <v>0</v>
      </c>
      <c r="AV30">
        <v>0</v>
      </c>
      <c r="AW30">
        <v>0</v>
      </c>
      <c r="AX30">
        <v>0</v>
      </c>
      <c r="AY30" s="2">
        <f>SUM(AS30:AX30)</f>
        <v>2</v>
      </c>
      <c r="AZ30">
        <v>0</v>
      </c>
      <c r="BA30">
        <v>0</v>
      </c>
      <c r="BB30">
        <v>6</v>
      </c>
      <c r="BC30" s="2">
        <f>SUM(AZ30:BB30)</f>
        <v>6</v>
      </c>
      <c r="BD30">
        <f>SUM(M30:R30,T30:Y30,AA30:AF30,AH30:AM30,AO30:AQ30,AS30:AX30,AZ30:BB30)</f>
        <v>133</v>
      </c>
    </row>
    <row r="31" spans="1:57" x14ac:dyDescent="0.25">
      <c r="A31">
        <v>203</v>
      </c>
      <c r="B31">
        <v>7</v>
      </c>
      <c r="C31">
        <v>5</v>
      </c>
      <c r="D31" s="1">
        <v>44745</v>
      </c>
      <c r="E31" s="1" t="s">
        <v>12</v>
      </c>
      <c r="F31" t="s">
        <v>47</v>
      </c>
      <c r="G31" s="1" t="s">
        <v>81</v>
      </c>
      <c r="H31" s="14">
        <v>6</v>
      </c>
      <c r="M31">
        <v>0</v>
      </c>
      <c r="N31">
        <v>0</v>
      </c>
      <c r="O31">
        <v>1</v>
      </c>
      <c r="P31">
        <v>0</v>
      </c>
      <c r="Q31">
        <v>1</v>
      </c>
      <c r="R31">
        <v>0</v>
      </c>
      <c r="S31" s="2">
        <f>SUM(M31:R31)</f>
        <v>2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 s="2">
        <f>SUM(T31:Y31)</f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 s="2">
        <f>SUM(AA31:AF31)</f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 s="2">
        <f>SUM(AH31:AM31)</f>
        <v>0</v>
      </c>
      <c r="AO31">
        <v>1</v>
      </c>
      <c r="AP31">
        <v>3</v>
      </c>
      <c r="AQ31">
        <v>7</v>
      </c>
      <c r="AR31" s="2">
        <f>SUM(AO31:AQ31)</f>
        <v>11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s="2">
        <f>SUM(AS31:AX31)</f>
        <v>0</v>
      </c>
      <c r="AZ31">
        <v>0</v>
      </c>
      <c r="BA31">
        <v>0</v>
      </c>
      <c r="BB31">
        <v>1</v>
      </c>
      <c r="BC31" s="2">
        <f>SUM(AZ31:BB31)</f>
        <v>1</v>
      </c>
      <c r="BD31">
        <f>SUM(M31:R31,T31:Y31,AA31:AF31,AH31:AM31,AO31:AQ31,AS31:AX31,AZ31:BB31)</f>
        <v>15</v>
      </c>
      <c r="BE31">
        <v>1</v>
      </c>
    </row>
    <row r="32" spans="1:57" x14ac:dyDescent="0.25">
      <c r="A32">
        <v>204</v>
      </c>
      <c r="B32">
        <v>6</v>
      </c>
      <c r="C32">
        <v>0</v>
      </c>
      <c r="D32" s="1">
        <v>44740</v>
      </c>
      <c r="E32" s="1" t="s">
        <v>11</v>
      </c>
      <c r="F32" s="1" t="s">
        <v>47</v>
      </c>
      <c r="G32" s="1" t="s">
        <v>81</v>
      </c>
      <c r="H32" s="14">
        <v>9</v>
      </c>
      <c r="I32" s="10">
        <v>0</v>
      </c>
      <c r="J32" s="6">
        <v>30</v>
      </c>
      <c r="K32" s="6">
        <v>0.25</v>
      </c>
      <c r="L32" s="8">
        <v>0.16</v>
      </c>
      <c r="M32">
        <v>2</v>
      </c>
      <c r="N32">
        <f>SUM(7+9+8)</f>
        <v>24</v>
      </c>
      <c r="O32">
        <v>1</v>
      </c>
      <c r="P32">
        <v>0</v>
      </c>
      <c r="Q32">
        <v>0</v>
      </c>
      <c r="R32">
        <v>0</v>
      </c>
      <c r="S32" s="2">
        <f>SUM(M32:R32)</f>
        <v>27</v>
      </c>
      <c r="T32">
        <v>2</v>
      </c>
      <c r="U32">
        <v>0</v>
      </c>
      <c r="V32">
        <v>0</v>
      </c>
      <c r="W32">
        <v>0</v>
      </c>
      <c r="X32">
        <v>0</v>
      </c>
      <c r="Y32">
        <v>0</v>
      </c>
      <c r="Z32" s="2">
        <f>SUM(T32:Y32)</f>
        <v>2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 s="2">
        <f>SUM(AA32:AF32)</f>
        <v>1</v>
      </c>
      <c r="AH32">
        <v>9</v>
      </c>
      <c r="AI32">
        <f>SUM(17+43+10)</f>
        <v>70</v>
      </c>
      <c r="AJ32">
        <v>7</v>
      </c>
      <c r="AK32">
        <v>0</v>
      </c>
      <c r="AL32">
        <v>0</v>
      </c>
      <c r="AM32">
        <v>0</v>
      </c>
      <c r="AN32" s="2">
        <f>SUM(AH32:AM32)</f>
        <v>86</v>
      </c>
      <c r="AO32">
        <v>0</v>
      </c>
      <c r="AP32">
        <v>1</v>
      </c>
      <c r="AQ32">
        <v>0</v>
      </c>
      <c r="AR32" s="2">
        <f>SUM(AO32:AQ32)</f>
        <v>1</v>
      </c>
      <c r="AS32">
        <f>SUM(2+7)</f>
        <v>9</v>
      </c>
      <c r="AT32">
        <f>SUM(66+39+22)</f>
        <v>127</v>
      </c>
      <c r="AU32">
        <v>29</v>
      </c>
      <c r="AV32">
        <v>0</v>
      </c>
      <c r="AW32">
        <v>0</v>
      </c>
      <c r="AX32">
        <v>0</v>
      </c>
      <c r="AY32" s="2">
        <f>SUM(AS32:AX32)</f>
        <v>165</v>
      </c>
      <c r="AZ32">
        <v>14</v>
      </c>
      <c r="BA32">
        <v>17</v>
      </c>
      <c r="BB32">
        <v>7</v>
      </c>
      <c r="BC32" s="2">
        <f>SUM(AZ32:BB32)</f>
        <v>38</v>
      </c>
      <c r="BD32">
        <f>SUM(M32:R32,T32:Y32,AA32:AF32,AH32:AM32,AO32:AQ32,AS32:AX32,AZ32:BB32)</f>
        <v>320</v>
      </c>
    </row>
    <row r="33" spans="1:57" x14ac:dyDescent="0.25">
      <c r="A33">
        <v>204</v>
      </c>
      <c r="B33">
        <v>6</v>
      </c>
      <c r="C33">
        <v>5</v>
      </c>
      <c r="D33" s="1">
        <v>44745</v>
      </c>
      <c r="E33" s="1" t="s">
        <v>11</v>
      </c>
      <c r="F33" s="1" t="s">
        <v>47</v>
      </c>
      <c r="G33" s="1" t="s">
        <v>81</v>
      </c>
      <c r="H33" s="14">
        <v>9</v>
      </c>
      <c r="I33" s="10">
        <v>0</v>
      </c>
      <c r="J33" s="6">
        <v>30</v>
      </c>
      <c r="K33" s="6">
        <v>0.25</v>
      </c>
      <c r="L33" s="8">
        <v>0.16</v>
      </c>
      <c r="M33">
        <v>1</v>
      </c>
      <c r="N33">
        <v>2</v>
      </c>
      <c r="O33">
        <v>1</v>
      </c>
      <c r="P33">
        <v>0</v>
      </c>
      <c r="Q33">
        <v>0</v>
      </c>
      <c r="R33">
        <v>1</v>
      </c>
      <c r="S33" s="2">
        <f>SUM(M33:R33)</f>
        <v>5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2">
        <f>SUM(T33:Y33)</f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 s="2">
        <f>SUM(AA33:AF33)</f>
        <v>1</v>
      </c>
      <c r="AH33">
        <v>0</v>
      </c>
      <c r="AI33">
        <v>2</v>
      </c>
      <c r="AJ33">
        <v>3</v>
      </c>
      <c r="AK33">
        <v>0</v>
      </c>
      <c r="AL33">
        <v>0</v>
      </c>
      <c r="AM33">
        <v>0</v>
      </c>
      <c r="AN33" s="2">
        <f>SUM(AH33:AM33)</f>
        <v>5</v>
      </c>
      <c r="AO33">
        <v>0</v>
      </c>
      <c r="AP33">
        <v>0</v>
      </c>
      <c r="AQ33">
        <v>0</v>
      </c>
      <c r="AR33" s="2">
        <f>SUM(AO33:AQ33)</f>
        <v>0</v>
      </c>
      <c r="AS33">
        <v>1</v>
      </c>
      <c r="AT33">
        <v>4</v>
      </c>
      <c r="AU33">
        <v>3</v>
      </c>
      <c r="AV33">
        <v>0</v>
      </c>
      <c r="AW33">
        <v>0</v>
      </c>
      <c r="AX33">
        <v>1</v>
      </c>
      <c r="AY33" s="2">
        <f>SUM(AS33:AX33)</f>
        <v>9</v>
      </c>
      <c r="AZ33">
        <v>0</v>
      </c>
      <c r="BA33">
        <v>0</v>
      </c>
      <c r="BB33">
        <v>0</v>
      </c>
      <c r="BC33" s="2">
        <f>SUM(AZ33:BB33)</f>
        <v>0</v>
      </c>
      <c r="BD33">
        <f>SUM(M33:R33,T33:Y33,AA33:AF33,AH33:AM33,AO33:AQ33,AS33:AX33,AZ33:BB33)</f>
        <v>20</v>
      </c>
      <c r="BE33">
        <v>1</v>
      </c>
    </row>
    <row r="34" spans="1:57" x14ac:dyDescent="0.25">
      <c r="A34">
        <v>205</v>
      </c>
      <c r="B34">
        <v>2</v>
      </c>
      <c r="C34">
        <v>0</v>
      </c>
      <c r="D34" s="1">
        <v>44732</v>
      </c>
      <c r="E34" s="1" t="s">
        <v>11</v>
      </c>
      <c r="F34" s="1" t="s">
        <v>47</v>
      </c>
      <c r="G34" s="1" t="s">
        <v>80</v>
      </c>
      <c r="I34" s="10">
        <v>5</v>
      </c>
      <c r="J34" s="6">
        <v>0.35</v>
      </c>
      <c r="K34" s="6">
        <v>0.1</v>
      </c>
      <c r="L34" s="8">
        <v>0.71</v>
      </c>
      <c r="M34">
        <f>SUM(4+10+14+11+30+8+45)</f>
        <v>122</v>
      </c>
      <c r="N34">
        <f>SUM(4+2+2+1)</f>
        <v>9</v>
      </c>
      <c r="O34">
        <v>0</v>
      </c>
      <c r="P34">
        <v>0</v>
      </c>
      <c r="Q34">
        <v>0</v>
      </c>
      <c r="R34">
        <v>0</v>
      </c>
      <c r="S34" s="2">
        <f>SUM(M34:R34)</f>
        <v>131</v>
      </c>
      <c r="T34">
        <v>5</v>
      </c>
      <c r="U34">
        <v>0</v>
      </c>
      <c r="V34">
        <v>0</v>
      </c>
      <c r="W34">
        <v>0</v>
      </c>
      <c r="X34">
        <v>0</v>
      </c>
      <c r="Y34">
        <v>0</v>
      </c>
      <c r="Z34" s="2">
        <f>SUM(T34:Y34)</f>
        <v>5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 s="2">
        <f>SUM(AA34:AF34)</f>
        <v>1</v>
      </c>
      <c r="AH34">
        <f>SUM(32+34+18+71+26+20+22+20+9+12+16+62+9+31+39+24)</f>
        <v>445</v>
      </c>
      <c r="AI34">
        <f>SUM(4+4+5+20+5)</f>
        <v>38</v>
      </c>
      <c r="AJ34">
        <v>3</v>
      </c>
      <c r="AK34">
        <v>0</v>
      </c>
      <c r="AL34">
        <v>0</v>
      </c>
      <c r="AM34">
        <v>0</v>
      </c>
      <c r="AN34" s="2">
        <f>SUM(AH34:AM34)</f>
        <v>486</v>
      </c>
      <c r="AO34">
        <v>0</v>
      </c>
      <c r="AP34">
        <v>0</v>
      </c>
      <c r="AQ34">
        <v>0</v>
      </c>
      <c r="AR34" s="2">
        <f>SUM(AO34:AQ34)</f>
        <v>0</v>
      </c>
      <c r="AS34">
        <f>SUM(5+12+10+7)</f>
        <v>34</v>
      </c>
      <c r="AT34">
        <v>6</v>
      </c>
      <c r="AU34">
        <v>20</v>
      </c>
      <c r="AV34">
        <v>0</v>
      </c>
      <c r="AW34">
        <v>0</v>
      </c>
      <c r="AX34">
        <v>0</v>
      </c>
      <c r="AY34" s="2">
        <f>SUM(AS34:AX34)</f>
        <v>60</v>
      </c>
      <c r="AZ34">
        <v>30</v>
      </c>
      <c r="BA34">
        <v>2</v>
      </c>
      <c r="BB34">
        <v>5</v>
      </c>
      <c r="BC34" s="2">
        <f>SUM(AZ34:BB34)</f>
        <v>37</v>
      </c>
      <c r="BD34">
        <f>SUM(M34:R34,T34:Y34,AA34:AF34,AH34:AM34,AO34:AQ34,AS34:AX34,AZ34:BB34)</f>
        <v>720</v>
      </c>
    </row>
    <row r="35" spans="1:57" x14ac:dyDescent="0.25">
      <c r="A35">
        <v>205</v>
      </c>
      <c r="B35">
        <v>2</v>
      </c>
      <c r="C35">
        <v>5</v>
      </c>
      <c r="D35" s="1">
        <v>44737</v>
      </c>
      <c r="E35" s="1" t="s">
        <v>11</v>
      </c>
      <c r="F35" s="1" t="s">
        <v>47</v>
      </c>
      <c r="G35" s="1" t="s">
        <v>80</v>
      </c>
      <c r="I35" s="10">
        <v>5</v>
      </c>
      <c r="J35" s="6">
        <v>0.35</v>
      </c>
      <c r="K35" s="6">
        <v>0.1</v>
      </c>
      <c r="L35" s="8">
        <v>0.71</v>
      </c>
      <c r="M35">
        <f>SUM(9+18+7+2+3+17+12+9)</f>
        <v>77</v>
      </c>
      <c r="N35">
        <f>SUM(6+2+27+1)</f>
        <v>36</v>
      </c>
      <c r="O35">
        <v>4</v>
      </c>
      <c r="P35">
        <v>0</v>
      </c>
      <c r="Q35">
        <v>3</v>
      </c>
      <c r="R35">
        <v>0</v>
      </c>
      <c r="S35" s="2">
        <f>SUM(M35:R35)</f>
        <v>120</v>
      </c>
      <c r="T35">
        <v>18</v>
      </c>
      <c r="U35">
        <v>0</v>
      </c>
      <c r="V35">
        <v>0</v>
      </c>
      <c r="W35">
        <v>0</v>
      </c>
      <c r="X35">
        <v>0</v>
      </c>
      <c r="Y35">
        <v>0</v>
      </c>
      <c r="Z35" s="2">
        <f>SUM(T35:Y35)</f>
        <v>18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1</v>
      </c>
      <c r="AG35" s="2">
        <f>SUM(AA35:AF35)</f>
        <v>3</v>
      </c>
      <c r="AH35">
        <f>SUM(14+13+34+9+2+7+11+15+18+2)</f>
        <v>125</v>
      </c>
      <c r="AI35">
        <f>SUM(42+4+13+58+1+32)</f>
        <v>150</v>
      </c>
      <c r="AJ35">
        <v>16</v>
      </c>
      <c r="AK35">
        <v>1</v>
      </c>
      <c r="AL35">
        <v>9</v>
      </c>
      <c r="AM35">
        <v>1</v>
      </c>
      <c r="AN35" s="2">
        <f>SUM(AH35:AM35)</f>
        <v>302</v>
      </c>
      <c r="AO35">
        <v>1</v>
      </c>
      <c r="AP35">
        <v>0</v>
      </c>
      <c r="AQ35">
        <v>1</v>
      </c>
      <c r="AR35" s="2">
        <f>SUM(AO35:AQ35)</f>
        <v>2</v>
      </c>
      <c r="AS35">
        <v>14</v>
      </c>
      <c r="AT35">
        <v>21</v>
      </c>
      <c r="AU35">
        <v>10</v>
      </c>
      <c r="AV35">
        <v>2</v>
      </c>
      <c r="AW35">
        <v>0</v>
      </c>
      <c r="AX35">
        <v>0</v>
      </c>
      <c r="AY35" s="2">
        <f>SUM(AS35:AX35)</f>
        <v>47</v>
      </c>
      <c r="AZ35">
        <v>2</v>
      </c>
      <c r="BA35">
        <v>2</v>
      </c>
      <c r="BB35">
        <v>0</v>
      </c>
      <c r="BC35" s="2">
        <f>SUM(AZ35:BB35)</f>
        <v>4</v>
      </c>
      <c r="BD35">
        <f>SUM(M35:R35,T35:Y35,AA35:AF35,AH35:AM35,AO35:AQ35,AS35:AX35,AZ35:BB35)</f>
        <v>496</v>
      </c>
      <c r="BE35">
        <v>1</v>
      </c>
    </row>
    <row r="36" spans="1:57" x14ac:dyDescent="0.25">
      <c r="A36">
        <v>206</v>
      </c>
      <c r="B36">
        <v>12</v>
      </c>
      <c r="C36">
        <v>0</v>
      </c>
      <c r="D36" s="1">
        <v>44740</v>
      </c>
      <c r="E36" s="1" t="s">
        <v>11</v>
      </c>
      <c r="F36" t="s">
        <v>47</v>
      </c>
      <c r="G36" s="1" t="s">
        <v>81</v>
      </c>
      <c r="H36" s="14">
        <v>11.5</v>
      </c>
      <c r="I36" s="10">
        <v>0</v>
      </c>
      <c r="J36" s="6">
        <v>0.32</v>
      </c>
      <c r="K36" s="6">
        <v>0.28000000000000003</v>
      </c>
      <c r="L36" s="8">
        <v>0.11</v>
      </c>
      <c r="M36">
        <f>SUM(20+15+10+19)</f>
        <v>64</v>
      </c>
      <c r="N36">
        <f>SUM(59+35+67+32+28+13+51+21+12)</f>
        <v>318</v>
      </c>
      <c r="O36">
        <f>SUM(7+4+4)</f>
        <v>15</v>
      </c>
      <c r="P36">
        <v>0</v>
      </c>
      <c r="Q36">
        <v>0</v>
      </c>
      <c r="R36">
        <v>0</v>
      </c>
      <c r="S36" s="2">
        <f>SUM(M36:R36)</f>
        <v>397</v>
      </c>
      <c r="T36">
        <v>7</v>
      </c>
      <c r="U36">
        <v>0</v>
      </c>
      <c r="V36">
        <v>0</v>
      </c>
      <c r="W36">
        <v>0</v>
      </c>
      <c r="X36">
        <v>0</v>
      </c>
      <c r="Y36">
        <v>0</v>
      </c>
      <c r="Z36" s="2">
        <f>SUM(T36:Y36)</f>
        <v>7</v>
      </c>
      <c r="AA36">
        <v>4</v>
      </c>
      <c r="AB36">
        <v>4</v>
      </c>
      <c r="AC36">
        <v>4</v>
      </c>
      <c r="AD36">
        <v>0</v>
      </c>
      <c r="AE36">
        <v>0</v>
      </c>
      <c r="AF36">
        <v>0</v>
      </c>
      <c r="AG36" s="2">
        <f>SUM(AA36:AF36)</f>
        <v>12</v>
      </c>
      <c r="AH36">
        <v>4</v>
      </c>
      <c r="AI36">
        <v>13</v>
      </c>
      <c r="AJ36">
        <v>2</v>
      </c>
      <c r="AK36">
        <v>0</v>
      </c>
      <c r="AL36">
        <v>0</v>
      </c>
      <c r="AM36">
        <v>0</v>
      </c>
      <c r="AN36" s="2">
        <f>SUM(AH36:AM36)</f>
        <v>19</v>
      </c>
      <c r="AO36">
        <v>0</v>
      </c>
      <c r="AP36">
        <v>0</v>
      </c>
      <c r="AQ36">
        <v>0</v>
      </c>
      <c r="AR36" s="2">
        <f>SUM(AO36:AQ36)</f>
        <v>0</v>
      </c>
      <c r="AS36">
        <f>SUM(6+38+4)</f>
        <v>48</v>
      </c>
      <c r="AT36">
        <f>SUM(14+4+42+30)</f>
        <v>90</v>
      </c>
      <c r="AU36">
        <f>SUM(12+31+18)</f>
        <v>61</v>
      </c>
      <c r="AV36">
        <v>0</v>
      </c>
      <c r="AW36">
        <v>0</v>
      </c>
      <c r="AX36">
        <v>0</v>
      </c>
      <c r="AY36" s="2">
        <f>SUM(AS36:AX36)</f>
        <v>199</v>
      </c>
      <c r="AZ36">
        <v>0</v>
      </c>
      <c r="BA36">
        <v>0</v>
      </c>
      <c r="BB36">
        <v>0</v>
      </c>
      <c r="BC36" s="2">
        <f>SUM(AZ36:BB36)</f>
        <v>0</v>
      </c>
      <c r="BD36">
        <f>SUM(M36:R36,T36:Y36,AA36:AF36,AH36:AM36,AO36:AQ36,AS36:AX36,AZ36:BB36)</f>
        <v>634</v>
      </c>
    </row>
    <row r="37" spans="1:57" x14ac:dyDescent="0.25">
      <c r="A37">
        <v>206</v>
      </c>
      <c r="B37">
        <v>12</v>
      </c>
      <c r="C37">
        <v>5</v>
      </c>
      <c r="D37" s="1">
        <v>44745</v>
      </c>
      <c r="E37" s="1" t="s">
        <v>11</v>
      </c>
      <c r="F37" t="s">
        <v>47</v>
      </c>
      <c r="G37" s="1" t="s">
        <v>81</v>
      </c>
      <c r="H37" s="14">
        <v>11.5</v>
      </c>
      <c r="I37" s="10">
        <v>0</v>
      </c>
      <c r="J37" s="6">
        <v>0.32</v>
      </c>
      <c r="K37" s="6">
        <v>0.28000000000000003</v>
      </c>
      <c r="L37" s="8">
        <v>0.11</v>
      </c>
      <c r="M37">
        <v>4</v>
      </c>
      <c r="N37">
        <v>12</v>
      </c>
      <c r="O37">
        <v>10</v>
      </c>
      <c r="P37">
        <v>1</v>
      </c>
      <c r="Q37">
        <v>1</v>
      </c>
      <c r="R37">
        <v>2</v>
      </c>
      <c r="S37" s="2">
        <f>SUM(M37:R37)</f>
        <v>30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2">
        <f>SUM(T37:Y37)</f>
        <v>0</v>
      </c>
      <c r="AA37">
        <v>3</v>
      </c>
      <c r="AB37">
        <v>0</v>
      </c>
      <c r="AC37">
        <v>3</v>
      </c>
      <c r="AD37">
        <v>0</v>
      </c>
      <c r="AE37">
        <v>0</v>
      </c>
      <c r="AF37">
        <v>0</v>
      </c>
      <c r="AG37" s="2">
        <f>SUM(AA37:AF37)</f>
        <v>6</v>
      </c>
      <c r="AH37">
        <v>0</v>
      </c>
      <c r="AI37">
        <v>2</v>
      </c>
      <c r="AJ37">
        <v>0</v>
      </c>
      <c r="AK37">
        <v>0</v>
      </c>
      <c r="AL37">
        <v>0</v>
      </c>
      <c r="AM37">
        <v>0</v>
      </c>
      <c r="AN37" s="2">
        <f>SUM(AH37:AM37)</f>
        <v>2</v>
      </c>
      <c r="AO37">
        <v>0</v>
      </c>
      <c r="AP37">
        <v>0</v>
      </c>
      <c r="AQ37">
        <v>0</v>
      </c>
      <c r="AR37" s="2">
        <f>SUM(AO37:AQ37)</f>
        <v>0</v>
      </c>
      <c r="AS37">
        <v>1</v>
      </c>
      <c r="AT37">
        <v>23</v>
      </c>
      <c r="AU37">
        <v>5</v>
      </c>
      <c r="AV37">
        <v>0</v>
      </c>
      <c r="AW37">
        <v>0</v>
      </c>
      <c r="AX37">
        <v>3</v>
      </c>
      <c r="AY37" s="2">
        <f>SUM(AS37:AX37)</f>
        <v>32</v>
      </c>
      <c r="AZ37">
        <v>0</v>
      </c>
      <c r="BA37">
        <v>0</v>
      </c>
      <c r="BB37">
        <v>0</v>
      </c>
      <c r="BC37" s="2">
        <f>SUM(AZ37:BB37)</f>
        <v>0</v>
      </c>
      <c r="BD37">
        <f>SUM(M37:R37,T37:Y37,AA37:AF37,AH37:AM37,AO37:AQ37,AS37:AX37,AZ37:BB37)</f>
        <v>70</v>
      </c>
      <c r="BE37">
        <v>0</v>
      </c>
    </row>
    <row r="38" spans="1:57" x14ac:dyDescent="0.25">
      <c r="A38">
        <v>207</v>
      </c>
      <c r="B38">
        <v>8</v>
      </c>
      <c r="C38">
        <v>0</v>
      </c>
      <c r="D38" s="1">
        <v>44740</v>
      </c>
      <c r="E38" s="1" t="s">
        <v>12</v>
      </c>
      <c r="F38" t="s">
        <v>47</v>
      </c>
      <c r="G38" s="1" t="s">
        <v>81</v>
      </c>
      <c r="H38" s="14">
        <v>9</v>
      </c>
      <c r="M38">
        <f>SUM(17+14+15)</f>
        <v>46</v>
      </c>
      <c r="N38">
        <f>SUM(24+21+28)</f>
        <v>73</v>
      </c>
      <c r="O38">
        <f>SUM(9+1+6)</f>
        <v>16</v>
      </c>
      <c r="P38">
        <v>0</v>
      </c>
      <c r="Q38">
        <v>0</v>
      </c>
      <c r="R38">
        <v>0</v>
      </c>
      <c r="S38" s="2">
        <f>SUM(M38:R38)</f>
        <v>135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s="2">
        <f>SUM(T38:Y38)</f>
        <v>0</v>
      </c>
      <c r="AA38">
        <v>3</v>
      </c>
      <c r="AB38">
        <v>3</v>
      </c>
      <c r="AC38">
        <v>5</v>
      </c>
      <c r="AD38">
        <v>0</v>
      </c>
      <c r="AE38">
        <v>0</v>
      </c>
      <c r="AF38">
        <v>0</v>
      </c>
      <c r="AG38" s="2">
        <f>SUM(AA38:AF38)</f>
        <v>11</v>
      </c>
      <c r="AH38">
        <f>SUM(8)</f>
        <v>8</v>
      </c>
      <c r="AI38">
        <f>SUM(17+12+6)</f>
        <v>35</v>
      </c>
      <c r="AJ38">
        <v>9</v>
      </c>
      <c r="AK38">
        <v>0</v>
      </c>
      <c r="AL38">
        <v>0</v>
      </c>
      <c r="AM38">
        <v>0</v>
      </c>
      <c r="AN38" s="2">
        <f>SUM(AH38:AM38)</f>
        <v>52</v>
      </c>
      <c r="AO38">
        <v>1</v>
      </c>
      <c r="AP38">
        <v>0</v>
      </c>
      <c r="AQ38">
        <v>1</v>
      </c>
      <c r="AR38" s="2">
        <f>SUM(AO38:AQ38)</f>
        <v>2</v>
      </c>
      <c r="AS38">
        <f>SUM(4+10+1)</f>
        <v>15</v>
      </c>
      <c r="AT38">
        <f>SUM(4+8)</f>
        <v>12</v>
      </c>
      <c r="AU38">
        <f>SUM(9+32+26)</f>
        <v>67</v>
      </c>
      <c r="AV38">
        <v>0</v>
      </c>
      <c r="AW38">
        <v>0</v>
      </c>
      <c r="AX38">
        <v>0</v>
      </c>
      <c r="AY38" s="2">
        <f>SUM(AS38:AX38)</f>
        <v>94</v>
      </c>
      <c r="AZ38">
        <v>0</v>
      </c>
      <c r="BA38">
        <v>0</v>
      </c>
      <c r="BB38">
        <v>0</v>
      </c>
      <c r="BC38" s="2">
        <f>SUM(AZ38:BB38)</f>
        <v>0</v>
      </c>
      <c r="BD38">
        <f>SUM(M38:R38,T38:Y38,AA38:AF38,AH38:AM38,AO38:AQ38,AS38:AX38,AZ38:BB38)</f>
        <v>294</v>
      </c>
    </row>
    <row r="39" spans="1:57" x14ac:dyDescent="0.25">
      <c r="A39">
        <v>207</v>
      </c>
      <c r="B39">
        <v>8</v>
      </c>
      <c r="C39">
        <v>5</v>
      </c>
      <c r="D39" s="1">
        <v>44745</v>
      </c>
      <c r="E39" s="1" t="s">
        <v>12</v>
      </c>
      <c r="F39" t="s">
        <v>47</v>
      </c>
      <c r="G39" s="1" t="s">
        <v>81</v>
      </c>
      <c r="H39" s="14">
        <v>9</v>
      </c>
      <c r="M39">
        <v>0</v>
      </c>
      <c r="N39">
        <v>2</v>
      </c>
      <c r="O39">
        <v>1</v>
      </c>
      <c r="P39">
        <v>0</v>
      </c>
      <c r="Q39">
        <v>0</v>
      </c>
      <c r="R39">
        <v>0</v>
      </c>
      <c r="S39" s="2">
        <f>SUM(M39:R39)</f>
        <v>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2">
        <f>SUM(T39:Y39)</f>
        <v>0</v>
      </c>
      <c r="AA39">
        <v>0</v>
      </c>
      <c r="AB39">
        <v>2</v>
      </c>
      <c r="AC39">
        <v>3</v>
      </c>
      <c r="AD39">
        <v>0</v>
      </c>
      <c r="AE39">
        <v>0</v>
      </c>
      <c r="AF39">
        <v>1</v>
      </c>
      <c r="AG39" s="2">
        <f>SUM(AA39:AF39)</f>
        <v>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2">
        <f>SUM(AH39:AM39)</f>
        <v>0</v>
      </c>
      <c r="AO39">
        <v>0</v>
      </c>
      <c r="AP39">
        <v>0</v>
      </c>
      <c r="AQ39">
        <v>0</v>
      </c>
      <c r="AR39" s="2">
        <f>SUM(AO39:AQ39)</f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s="2">
        <f>SUM(AS39:AX39)</f>
        <v>0</v>
      </c>
      <c r="AZ39">
        <v>1</v>
      </c>
      <c r="BA39">
        <v>0</v>
      </c>
      <c r="BB39">
        <v>0</v>
      </c>
      <c r="BC39" s="2">
        <f>SUM(AZ39:BB39)</f>
        <v>1</v>
      </c>
      <c r="BD39">
        <f>SUM(M39:R39,T39:Y39,AA39:AF39,AH39:AM39,AO39:AQ39,AS39:AX39,AZ39:BB39)</f>
        <v>10</v>
      </c>
      <c r="BE39">
        <v>0</v>
      </c>
    </row>
    <row r="40" spans="1:57" x14ac:dyDescent="0.25">
      <c r="A40">
        <v>208</v>
      </c>
      <c r="B40">
        <v>9</v>
      </c>
      <c r="C40">
        <v>0</v>
      </c>
      <c r="D40" s="1">
        <v>44740</v>
      </c>
      <c r="E40" s="1" t="s">
        <v>11</v>
      </c>
      <c r="F40" t="s">
        <v>48</v>
      </c>
      <c r="G40" s="1" t="s">
        <v>81</v>
      </c>
      <c r="H40" s="14">
        <v>9</v>
      </c>
      <c r="I40" s="10">
        <v>1</v>
      </c>
      <c r="J40" s="6">
        <v>0.31</v>
      </c>
      <c r="K40" s="6">
        <v>0.27</v>
      </c>
      <c r="L40" s="8">
        <v>0.12</v>
      </c>
      <c r="M40">
        <f>SUM(16+27+17)</f>
        <v>60</v>
      </c>
      <c r="N40">
        <f>SUM(45+53+17)</f>
        <v>115</v>
      </c>
      <c r="O40">
        <v>6</v>
      </c>
      <c r="P40">
        <v>0</v>
      </c>
      <c r="Q40">
        <v>0</v>
      </c>
      <c r="R40">
        <v>0</v>
      </c>
      <c r="S40" s="2">
        <f>SUM(M40:R40)</f>
        <v>181</v>
      </c>
      <c r="T40">
        <v>22</v>
      </c>
      <c r="U40">
        <v>1</v>
      </c>
      <c r="V40">
        <v>0</v>
      </c>
      <c r="W40">
        <v>0</v>
      </c>
      <c r="X40">
        <v>0</v>
      </c>
      <c r="Y40">
        <v>0</v>
      </c>
      <c r="Z40" s="2">
        <f>SUM(T40:Y40)</f>
        <v>23</v>
      </c>
      <c r="AA40">
        <v>14</v>
      </c>
      <c r="AB40">
        <v>8</v>
      </c>
      <c r="AC40">
        <v>7</v>
      </c>
      <c r="AD40">
        <v>0</v>
      </c>
      <c r="AE40">
        <v>0</v>
      </c>
      <c r="AF40">
        <v>0</v>
      </c>
      <c r="AG40" s="2">
        <f>SUM(AA40:AF40)</f>
        <v>29</v>
      </c>
      <c r="AH40">
        <f>SUM(4+6+8)</f>
        <v>18</v>
      </c>
      <c r="AI40">
        <f>SUM(6+21+12)</f>
        <v>39</v>
      </c>
      <c r="AJ40">
        <f>SUM(8)</f>
        <v>8</v>
      </c>
      <c r="AK40">
        <v>0</v>
      </c>
      <c r="AL40">
        <v>0</v>
      </c>
      <c r="AM40">
        <v>0</v>
      </c>
      <c r="AN40" s="2">
        <f>SUM(AH40:AM40)</f>
        <v>65</v>
      </c>
      <c r="AO40">
        <v>0</v>
      </c>
      <c r="AP40">
        <v>0</v>
      </c>
      <c r="AQ40">
        <v>0</v>
      </c>
      <c r="AR40" s="2">
        <f>SUM(AO40:AQ40)</f>
        <v>0</v>
      </c>
      <c r="AS40">
        <v>15</v>
      </c>
      <c r="AT40">
        <f>59+22+10</f>
        <v>91</v>
      </c>
      <c r="AU40">
        <v>22</v>
      </c>
      <c r="AV40">
        <v>0</v>
      </c>
      <c r="AW40">
        <v>0</v>
      </c>
      <c r="AX40">
        <v>0</v>
      </c>
      <c r="AY40" s="2">
        <f>SUM(AS40:AX40)</f>
        <v>128</v>
      </c>
      <c r="AZ40">
        <v>0</v>
      </c>
      <c r="BA40">
        <v>0</v>
      </c>
      <c r="BB40">
        <v>0</v>
      </c>
      <c r="BC40" s="2">
        <f>SUM(AZ40:BB40)</f>
        <v>0</v>
      </c>
      <c r="BD40">
        <f>SUM(M40:R40,T40:Y40,AA40:AF40,AH40:AM40,AO40:AQ40,AS40:AX40,AZ40:BB40)</f>
        <v>426</v>
      </c>
    </row>
    <row r="41" spans="1:57" x14ac:dyDescent="0.25">
      <c r="A41">
        <v>208</v>
      </c>
      <c r="B41">
        <v>9</v>
      </c>
      <c r="C41">
        <v>5</v>
      </c>
      <c r="D41" s="1">
        <v>44745</v>
      </c>
      <c r="E41" s="1" t="s">
        <v>11</v>
      </c>
      <c r="F41" t="s">
        <v>48</v>
      </c>
      <c r="G41" s="1" t="s">
        <v>81</v>
      </c>
      <c r="H41" s="14">
        <v>9</v>
      </c>
      <c r="I41" s="10">
        <v>1</v>
      </c>
      <c r="J41" s="6">
        <v>0.31</v>
      </c>
      <c r="K41" s="6">
        <v>0.27</v>
      </c>
      <c r="L41" s="8">
        <v>0.12</v>
      </c>
      <c r="M41">
        <v>2</v>
      </c>
      <c r="N41">
        <v>3</v>
      </c>
      <c r="O41">
        <v>2</v>
      </c>
      <c r="P41">
        <v>0</v>
      </c>
      <c r="Q41">
        <v>0</v>
      </c>
      <c r="R41">
        <v>1</v>
      </c>
      <c r="S41" s="2">
        <f>SUM(M41:R41)</f>
        <v>8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s="2">
        <f>SUM(T41:Y41)</f>
        <v>0</v>
      </c>
      <c r="AA41">
        <v>14</v>
      </c>
      <c r="AB41">
        <v>8</v>
      </c>
      <c r="AC41">
        <v>8</v>
      </c>
      <c r="AD41">
        <v>0</v>
      </c>
      <c r="AE41">
        <v>0</v>
      </c>
      <c r="AF41">
        <v>3</v>
      </c>
      <c r="AG41" s="2">
        <f>SUM(AA41:AF41)</f>
        <v>33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0</v>
      </c>
      <c r="AN41" s="2">
        <f>SUM(AH41:AM41)</f>
        <v>1</v>
      </c>
      <c r="AO41">
        <v>1</v>
      </c>
      <c r="AP41">
        <v>0</v>
      </c>
      <c r="AQ41">
        <v>0</v>
      </c>
      <c r="AR41" s="2">
        <f>SUM(AO41:AQ41)</f>
        <v>1</v>
      </c>
      <c r="AS41">
        <v>1</v>
      </c>
      <c r="AT41">
        <v>2</v>
      </c>
      <c r="AU41">
        <v>3</v>
      </c>
      <c r="AV41">
        <v>0</v>
      </c>
      <c r="AW41">
        <v>0</v>
      </c>
      <c r="AX41">
        <v>1</v>
      </c>
      <c r="AY41" s="2">
        <f>SUM(AS41:AX41)</f>
        <v>7</v>
      </c>
      <c r="AZ41">
        <v>0</v>
      </c>
      <c r="BA41">
        <v>0</v>
      </c>
      <c r="BB41">
        <v>0</v>
      </c>
      <c r="BC41" s="2">
        <f>SUM(AZ41:BB41)</f>
        <v>0</v>
      </c>
      <c r="BD41">
        <f>SUM(M41:R41,T41:Y41,AA41:AF41,AH41:AM41,AO41:AQ41,AS41:AX41,AZ41:BB41)</f>
        <v>50</v>
      </c>
      <c r="BE41">
        <v>0</v>
      </c>
    </row>
    <row r="42" spans="1:57" x14ac:dyDescent="0.25">
      <c r="A42">
        <v>209</v>
      </c>
      <c r="B42">
        <v>5</v>
      </c>
      <c r="C42">
        <v>0</v>
      </c>
      <c r="D42" s="1">
        <v>44740</v>
      </c>
      <c r="E42" s="1" t="s">
        <v>11</v>
      </c>
      <c r="F42" t="s">
        <v>47</v>
      </c>
      <c r="G42" s="1" t="s">
        <v>81</v>
      </c>
      <c r="H42" s="14">
        <v>9</v>
      </c>
      <c r="I42" s="10">
        <v>1</v>
      </c>
      <c r="J42" s="6">
        <v>0.32</v>
      </c>
      <c r="K42" s="6">
        <v>0.31</v>
      </c>
      <c r="L42" s="8">
        <v>0.05</v>
      </c>
      <c r="M42">
        <f>SUM(14)</f>
        <v>14</v>
      </c>
      <c r="N42">
        <f>SUM(27+19+22)</f>
        <v>68</v>
      </c>
      <c r="O42">
        <f>SUM(19+5)</f>
        <v>24</v>
      </c>
      <c r="P42">
        <v>0</v>
      </c>
      <c r="Q42">
        <v>0</v>
      </c>
      <c r="R42">
        <v>0</v>
      </c>
      <c r="S42" s="2">
        <f>SUM(M42:R42)</f>
        <v>106</v>
      </c>
      <c r="T42">
        <v>3</v>
      </c>
      <c r="U42">
        <v>1</v>
      </c>
      <c r="V42">
        <v>0</v>
      </c>
      <c r="W42">
        <v>0</v>
      </c>
      <c r="X42">
        <v>0</v>
      </c>
      <c r="Y42">
        <v>0</v>
      </c>
      <c r="Z42" s="2">
        <f>SUM(T42:Y42)</f>
        <v>4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 s="2">
        <f>SUM(AA42:AF42)</f>
        <v>0</v>
      </c>
      <c r="AH42">
        <v>2</v>
      </c>
      <c r="AI42">
        <f>SUM(9+20+24+21+16+10)</f>
        <v>100</v>
      </c>
      <c r="AJ42">
        <f>SUM(2+37+18)</f>
        <v>57</v>
      </c>
      <c r="AK42">
        <v>0</v>
      </c>
      <c r="AL42">
        <v>0</v>
      </c>
      <c r="AM42">
        <v>0</v>
      </c>
      <c r="AN42" s="2">
        <f>SUM(AH42:AM42)</f>
        <v>159</v>
      </c>
      <c r="AO42">
        <f>SUM(6+1+3)</f>
        <v>10</v>
      </c>
      <c r="AP42">
        <f>SUM(4+12+11)</f>
        <v>27</v>
      </c>
      <c r="AQ42">
        <f>SUM(13+23+15)</f>
        <v>51</v>
      </c>
      <c r="AR42" s="2">
        <f>SUM(AO42:AQ42)</f>
        <v>88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s="2">
        <f>SUM(AS42:AX42)</f>
        <v>0</v>
      </c>
      <c r="AZ42">
        <v>0</v>
      </c>
      <c r="BA42">
        <v>0</v>
      </c>
      <c r="BB42">
        <v>0</v>
      </c>
      <c r="BC42" s="2">
        <f>SUM(AZ42:BB42)</f>
        <v>0</v>
      </c>
      <c r="BD42">
        <f>SUM(M42:R42,T42:Y42,AA42:AF42,AH42:AM42,AO42:AQ42,AS42:AX42,AZ42:BB42)</f>
        <v>357</v>
      </c>
    </row>
    <row r="43" spans="1:57" x14ac:dyDescent="0.25">
      <c r="A43">
        <v>209</v>
      </c>
      <c r="B43">
        <v>5</v>
      </c>
      <c r="C43">
        <v>5</v>
      </c>
      <c r="D43" s="1">
        <v>44745</v>
      </c>
      <c r="E43" s="1" t="s">
        <v>11</v>
      </c>
      <c r="F43" t="s">
        <v>47</v>
      </c>
      <c r="G43" s="1" t="s">
        <v>81</v>
      </c>
      <c r="H43" s="14">
        <v>9</v>
      </c>
      <c r="I43" s="10">
        <v>1</v>
      </c>
      <c r="J43" s="6">
        <v>0.32</v>
      </c>
      <c r="K43" s="6">
        <v>0.31</v>
      </c>
      <c r="L43" s="8">
        <v>0.05</v>
      </c>
      <c r="M43">
        <v>0</v>
      </c>
      <c r="N43">
        <v>4</v>
      </c>
      <c r="O43">
        <v>0</v>
      </c>
      <c r="P43">
        <v>0</v>
      </c>
      <c r="Q43">
        <v>0</v>
      </c>
      <c r="R43">
        <v>1</v>
      </c>
      <c r="S43" s="2">
        <f>SUM(M43:R43)</f>
        <v>5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2">
        <f>SUM(T43:Y43)</f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 s="2">
        <f>SUM(AA43:AF43)</f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1</v>
      </c>
      <c r="AN43" s="2">
        <f>SUM(AH43:AM43)</f>
        <v>2</v>
      </c>
      <c r="AO43">
        <v>0</v>
      </c>
      <c r="AP43">
        <v>4</v>
      </c>
      <c r="AQ43">
        <v>22</v>
      </c>
      <c r="AR43" s="2">
        <f>SUM(AO43:AQ43)</f>
        <v>26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s="2">
        <f>SUM(AS43:AX43)</f>
        <v>0</v>
      </c>
      <c r="AZ43">
        <v>0</v>
      </c>
      <c r="BA43">
        <v>0</v>
      </c>
      <c r="BB43">
        <v>0</v>
      </c>
      <c r="BC43" s="2">
        <f>SUM(AZ43:BB43)</f>
        <v>0</v>
      </c>
      <c r="BD43">
        <f>SUM(M43:R43,T43:Y43,AA43:AF43,AH43:AM43,AO43:AQ43,AS43:AX43,AZ43:BB43)</f>
        <v>33</v>
      </c>
      <c r="BE43">
        <v>1</v>
      </c>
    </row>
    <row r="44" spans="1:57" x14ac:dyDescent="0.25">
      <c r="A44">
        <v>210</v>
      </c>
      <c r="B44">
        <v>11</v>
      </c>
      <c r="C44">
        <v>0</v>
      </c>
      <c r="D44" s="1">
        <v>44740</v>
      </c>
      <c r="E44" s="1" t="s">
        <v>11</v>
      </c>
      <c r="F44" s="1" t="s">
        <v>48</v>
      </c>
      <c r="G44" s="1" t="s">
        <v>81</v>
      </c>
      <c r="H44" s="14">
        <v>11.5</v>
      </c>
      <c r="I44" s="10">
        <v>1</v>
      </c>
      <c r="J44" s="6">
        <v>0.28999999999999998</v>
      </c>
      <c r="K44" s="6">
        <v>0.27</v>
      </c>
      <c r="L44" s="8">
        <v>7.0000000000000007E-2</v>
      </c>
      <c r="M44">
        <f>SUM(3+16+7)</f>
        <v>26</v>
      </c>
      <c r="N44">
        <f>SUM(45+27+15+54+19+20)</f>
        <v>180</v>
      </c>
      <c r="O44">
        <f>SUM(10+1+16)</f>
        <v>27</v>
      </c>
      <c r="P44">
        <v>0</v>
      </c>
      <c r="Q44">
        <v>0</v>
      </c>
      <c r="R44">
        <v>0</v>
      </c>
      <c r="S44" s="2">
        <f>SUM(M44:R44)</f>
        <v>233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2">
        <f>SUM(T44:Y44)</f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 s="2">
        <f>SUM(AA44:AF44)</f>
        <v>0</v>
      </c>
      <c r="AH44">
        <v>2</v>
      </c>
      <c r="AI44">
        <v>55</v>
      </c>
      <c r="AJ44">
        <v>12</v>
      </c>
      <c r="AK44">
        <v>0</v>
      </c>
      <c r="AL44">
        <v>0</v>
      </c>
      <c r="AM44">
        <v>0</v>
      </c>
      <c r="AN44" s="2">
        <f>SUM(AH44:AM44)</f>
        <v>69</v>
      </c>
      <c r="AO44">
        <v>5</v>
      </c>
      <c r="AP44">
        <v>13</v>
      </c>
      <c r="AQ44">
        <v>26</v>
      </c>
      <c r="AR44" s="2">
        <f>SUM(AO44:AQ44)</f>
        <v>44</v>
      </c>
      <c r="AS44">
        <v>2</v>
      </c>
      <c r="AT44">
        <v>2</v>
      </c>
      <c r="AU44">
        <v>5</v>
      </c>
      <c r="AV44">
        <v>0</v>
      </c>
      <c r="AW44">
        <v>0</v>
      </c>
      <c r="AX44">
        <v>0</v>
      </c>
      <c r="AY44" s="2">
        <f>SUM(AS44:AX44)</f>
        <v>9</v>
      </c>
      <c r="AZ44">
        <v>0</v>
      </c>
      <c r="BA44">
        <v>0</v>
      </c>
      <c r="BB44">
        <v>0</v>
      </c>
      <c r="BC44" s="2">
        <f>SUM(AZ44:BB44)</f>
        <v>0</v>
      </c>
      <c r="BD44">
        <f>SUM(M44:R44,T44:Y44,AA44:AF44,AH44:AM44,AO44:AQ44,AS44:AX44,AZ44:BB44)</f>
        <v>355</v>
      </c>
    </row>
    <row r="45" spans="1:57" x14ac:dyDescent="0.25">
      <c r="A45">
        <v>210</v>
      </c>
      <c r="B45">
        <v>11</v>
      </c>
      <c r="C45">
        <v>5</v>
      </c>
      <c r="D45" s="1">
        <v>44745</v>
      </c>
      <c r="E45" s="1" t="s">
        <v>11</v>
      </c>
      <c r="F45" s="1" t="s">
        <v>48</v>
      </c>
      <c r="G45" s="1" t="s">
        <v>81</v>
      </c>
      <c r="H45" s="14">
        <v>11.5</v>
      </c>
      <c r="I45" s="10">
        <v>1</v>
      </c>
      <c r="J45" s="6">
        <v>0.28999999999999998</v>
      </c>
      <c r="K45" s="6">
        <v>0.27</v>
      </c>
      <c r="L45" s="8">
        <v>7.0000000000000007E-2</v>
      </c>
      <c r="M45">
        <v>1</v>
      </c>
      <c r="N45">
        <v>2</v>
      </c>
      <c r="O45">
        <v>4</v>
      </c>
      <c r="P45">
        <v>0</v>
      </c>
      <c r="Q45">
        <v>1</v>
      </c>
      <c r="R45">
        <v>2</v>
      </c>
      <c r="S45" s="2">
        <f>SUM(M45:R45)</f>
        <v>10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 s="2">
        <f>SUM(T45:Y45)</f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 s="2">
        <f>SUM(AA45:AF45)</f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s="2">
        <f>SUM(AH45:AM45)</f>
        <v>0</v>
      </c>
      <c r="AO45">
        <v>5</v>
      </c>
      <c r="AP45">
        <v>6</v>
      </c>
      <c r="AQ45">
        <v>9</v>
      </c>
      <c r="AR45" s="2">
        <f>SUM(AO45:AQ45)</f>
        <v>20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s="2">
        <f>SUM(AS45:AX45)</f>
        <v>0</v>
      </c>
      <c r="AZ45">
        <v>0</v>
      </c>
      <c r="BA45">
        <v>1</v>
      </c>
      <c r="BB45">
        <v>0</v>
      </c>
      <c r="BC45" s="2">
        <f>SUM(AZ45:BB45)</f>
        <v>1</v>
      </c>
      <c r="BD45">
        <f>SUM(M45:R45,T45:Y45,AA45:AF45,AH45:AM45,AO45:AQ45,AS45:AX45,AZ45:BB45)</f>
        <v>31</v>
      </c>
      <c r="BE45">
        <v>0</v>
      </c>
    </row>
    <row r="46" spans="1:57" x14ac:dyDescent="0.25">
      <c r="A46">
        <v>211</v>
      </c>
      <c r="B46">
        <v>4</v>
      </c>
      <c r="C46">
        <v>0</v>
      </c>
      <c r="D46" s="1">
        <v>44732</v>
      </c>
      <c r="E46" s="1" t="s">
        <v>12</v>
      </c>
      <c r="F46" s="1" t="s">
        <v>48</v>
      </c>
      <c r="G46" s="1" t="s">
        <v>80</v>
      </c>
      <c r="H46" s="14">
        <v>9</v>
      </c>
      <c r="M46">
        <f>SUM(43+28+13+34+22+259+55+3+57+7+60)</f>
        <v>581</v>
      </c>
      <c r="N46">
        <f>SUM(1+1+5+1)</f>
        <v>8</v>
      </c>
      <c r="O46">
        <f>SUM(1+4+2+3+4)</f>
        <v>14</v>
      </c>
      <c r="P46">
        <v>0</v>
      </c>
      <c r="Q46">
        <v>0</v>
      </c>
      <c r="R46">
        <v>0</v>
      </c>
      <c r="S46" s="2">
        <f>SUM(M46:R46)</f>
        <v>603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s="2">
        <f>SUM(T46:Y46)</f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 s="2">
        <f>SUM(AA46:AF46)</f>
        <v>0</v>
      </c>
      <c r="AH46">
        <f>SUM(2+10+3+5+10)</f>
        <v>30</v>
      </c>
      <c r="AI46">
        <f>SUM(3+8)</f>
        <v>11</v>
      </c>
      <c r="AJ46">
        <v>1</v>
      </c>
      <c r="AK46">
        <v>0</v>
      </c>
      <c r="AL46">
        <v>0</v>
      </c>
      <c r="AM46">
        <v>0</v>
      </c>
      <c r="AN46" s="2">
        <f>SUM(AH46:AM46)</f>
        <v>42</v>
      </c>
      <c r="AO46">
        <v>23</v>
      </c>
      <c r="AP46">
        <v>9</v>
      </c>
      <c r="AQ46">
        <v>24</v>
      </c>
      <c r="AR46" s="2">
        <f>SUM(AO46:AQ46)</f>
        <v>56</v>
      </c>
      <c r="AS46">
        <v>4</v>
      </c>
      <c r="AT46">
        <v>1</v>
      </c>
      <c r="AU46">
        <v>12</v>
      </c>
      <c r="AV46">
        <v>0</v>
      </c>
      <c r="AW46">
        <v>0</v>
      </c>
      <c r="AX46">
        <v>0</v>
      </c>
      <c r="AY46" s="2">
        <f>SUM(AS46:AX46)</f>
        <v>17</v>
      </c>
      <c r="AZ46">
        <v>0</v>
      </c>
      <c r="BA46">
        <v>0</v>
      </c>
      <c r="BB46">
        <v>0</v>
      </c>
      <c r="BC46" s="2">
        <f>SUM(AZ46:BB46)</f>
        <v>0</v>
      </c>
      <c r="BD46">
        <f>SUM(M46:R46,T46:Y46,AA46:AF46,AH46:AM46,AO46:AQ46,AS46:AX46,AZ46:BB46)</f>
        <v>718</v>
      </c>
    </row>
    <row r="47" spans="1:57" x14ac:dyDescent="0.25">
      <c r="A47">
        <v>211</v>
      </c>
      <c r="B47">
        <v>4</v>
      </c>
      <c r="C47">
        <v>5</v>
      </c>
      <c r="D47" s="1">
        <v>44737</v>
      </c>
      <c r="E47" s="1" t="s">
        <v>12</v>
      </c>
      <c r="F47" s="1" t="s">
        <v>48</v>
      </c>
      <c r="G47" s="1" t="s">
        <v>80</v>
      </c>
      <c r="H47" s="14">
        <v>9</v>
      </c>
      <c r="M47">
        <f>SUM(6+1)</f>
        <v>7</v>
      </c>
      <c r="N47">
        <v>7</v>
      </c>
      <c r="O47">
        <v>0</v>
      </c>
      <c r="P47">
        <v>2</v>
      </c>
      <c r="Q47">
        <v>0</v>
      </c>
      <c r="R47">
        <v>0</v>
      </c>
      <c r="S47" s="2">
        <f>SUM(M47:R47)</f>
        <v>16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s="2">
        <f>SUM(T47:Y47)</f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 s="2">
        <f>SUM(AA47:AF47)</f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 s="2">
        <f>SUM(AH47:AM47)</f>
        <v>0</v>
      </c>
      <c r="AO47">
        <v>0</v>
      </c>
      <c r="AP47">
        <v>3</v>
      </c>
      <c r="AQ47">
        <v>1</v>
      </c>
      <c r="AR47" s="2">
        <f>SUM(AO47:AQ47)</f>
        <v>4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s="2">
        <f>SUM(AS47:AX47)</f>
        <v>0</v>
      </c>
      <c r="AZ47">
        <v>0</v>
      </c>
      <c r="BA47">
        <v>0</v>
      </c>
      <c r="BB47">
        <v>0</v>
      </c>
      <c r="BC47" s="2">
        <f>SUM(AZ47:BB47)</f>
        <v>0</v>
      </c>
      <c r="BD47">
        <f>SUM(M47:R47,T47:Y47,AA47:AF47,AH47:AM47,AO47:AQ47,AS47:AX47,AZ47:BB47)</f>
        <v>20</v>
      </c>
      <c r="BE47">
        <v>4</v>
      </c>
    </row>
    <row r="48" spans="1:57" x14ac:dyDescent="0.25">
      <c r="A48">
        <v>212</v>
      </c>
      <c r="B48">
        <v>3</v>
      </c>
      <c r="C48">
        <v>0</v>
      </c>
      <c r="D48" s="1">
        <v>44732</v>
      </c>
      <c r="E48" s="1" t="s">
        <v>12</v>
      </c>
      <c r="F48" s="1" t="s">
        <v>47</v>
      </c>
      <c r="G48" s="1" t="s">
        <v>80</v>
      </c>
      <c r="H48" s="14">
        <v>6</v>
      </c>
      <c r="M48">
        <f>SUM(32+34+5+12+20+25+43+23+40+36+74+27+21+89+15+37)</f>
        <v>533</v>
      </c>
      <c r="N48">
        <f>SUM(3+2+2+5+4)</f>
        <v>16</v>
      </c>
      <c r="O48">
        <f>SUM(4+2+6+4)</f>
        <v>16</v>
      </c>
      <c r="P48">
        <v>0</v>
      </c>
      <c r="Q48">
        <v>0</v>
      </c>
      <c r="R48">
        <v>0</v>
      </c>
      <c r="S48" s="2">
        <f>SUM(M48:R48)</f>
        <v>565</v>
      </c>
      <c r="T48">
        <v>2</v>
      </c>
      <c r="U48">
        <v>0</v>
      </c>
      <c r="V48">
        <v>0</v>
      </c>
      <c r="W48">
        <v>0</v>
      </c>
      <c r="X48">
        <v>0</v>
      </c>
      <c r="Y48">
        <v>0</v>
      </c>
      <c r="Z48" s="2">
        <f>SUM(T48:Y48)</f>
        <v>2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 s="2">
        <f>SUM(AA48:AF48)</f>
        <v>0</v>
      </c>
      <c r="AH48">
        <f>SUM(4+1+1+1)</f>
        <v>7</v>
      </c>
      <c r="AI48">
        <v>3</v>
      </c>
      <c r="AJ48">
        <v>0</v>
      </c>
      <c r="AK48">
        <v>0</v>
      </c>
      <c r="AL48">
        <v>0</v>
      </c>
      <c r="AM48">
        <v>0</v>
      </c>
      <c r="AN48" s="2">
        <f>SUM(AH48:AM48)</f>
        <v>10</v>
      </c>
      <c r="AO48">
        <v>7</v>
      </c>
      <c r="AP48">
        <v>4</v>
      </c>
      <c r="AQ48">
        <v>9</v>
      </c>
      <c r="AR48" s="2">
        <f>SUM(AO48:AQ48)</f>
        <v>20</v>
      </c>
      <c r="AS48">
        <v>1</v>
      </c>
      <c r="AT48">
        <v>0</v>
      </c>
      <c r="AU48">
        <v>10</v>
      </c>
      <c r="AV48">
        <v>0</v>
      </c>
      <c r="AW48">
        <v>0</v>
      </c>
      <c r="AX48">
        <v>0</v>
      </c>
      <c r="AY48" s="2">
        <f>SUM(AS48:AX48)</f>
        <v>11</v>
      </c>
      <c r="AZ48">
        <v>2</v>
      </c>
      <c r="BA48">
        <v>3</v>
      </c>
      <c r="BB48">
        <v>0</v>
      </c>
      <c r="BC48" s="2">
        <f>SUM(AZ48:BB48)</f>
        <v>5</v>
      </c>
      <c r="BD48">
        <f>SUM(M48:R48,T48:Y48,AA48:AF48,AH48:AM48,AO48:AQ48,AS48:AX48,AZ48:BB48)</f>
        <v>613</v>
      </c>
    </row>
    <row r="49" spans="1:57" x14ac:dyDescent="0.25">
      <c r="A49">
        <v>212</v>
      </c>
      <c r="B49">
        <v>3</v>
      </c>
      <c r="C49">
        <v>5</v>
      </c>
      <c r="D49" s="1">
        <v>44737</v>
      </c>
      <c r="E49" s="1" t="s">
        <v>12</v>
      </c>
      <c r="F49" s="1" t="s">
        <v>47</v>
      </c>
      <c r="G49" s="1" t="s">
        <v>80</v>
      </c>
      <c r="H49" s="14">
        <v>6</v>
      </c>
      <c r="M49">
        <v>4</v>
      </c>
      <c r="N49">
        <v>0</v>
      </c>
      <c r="O49">
        <v>0</v>
      </c>
      <c r="P49">
        <v>0</v>
      </c>
      <c r="Q49">
        <v>0</v>
      </c>
      <c r="R49">
        <v>0</v>
      </c>
      <c r="S49" s="2">
        <f>SUM(M49:R49)</f>
        <v>4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2">
        <f>SUM(T49:Y49)</f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 s="2">
        <f>SUM(AA49:AF49)</f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 s="2">
        <f>SUM(AH49:AM49)</f>
        <v>0</v>
      </c>
      <c r="AO49">
        <v>0</v>
      </c>
      <c r="AP49">
        <v>0</v>
      </c>
      <c r="AQ49">
        <v>3</v>
      </c>
      <c r="AR49" s="2">
        <f>SUM(AO49:AQ49)</f>
        <v>3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s="2">
        <f>SUM(AS49:AX49)</f>
        <v>0</v>
      </c>
      <c r="AZ49">
        <v>0</v>
      </c>
      <c r="BA49">
        <v>0</v>
      </c>
      <c r="BB49">
        <v>3</v>
      </c>
      <c r="BC49" s="2">
        <f>SUM(AZ49:BB49)</f>
        <v>3</v>
      </c>
      <c r="BD49">
        <f>SUM(M49:R49,T49:Y49,AA49:AF49,AH49:AM49,AO49:AQ49,AS49:AX49,AZ49:BB49)</f>
        <v>10</v>
      </c>
      <c r="BE49">
        <v>4</v>
      </c>
    </row>
    <row r="50" spans="1:57" x14ac:dyDescent="0.25">
      <c r="A50">
        <v>301</v>
      </c>
      <c r="B50">
        <v>10</v>
      </c>
      <c r="C50">
        <v>0</v>
      </c>
      <c r="D50" s="1">
        <v>44740</v>
      </c>
      <c r="E50" s="1" t="s">
        <v>11</v>
      </c>
      <c r="F50" s="1" t="s">
        <v>47</v>
      </c>
      <c r="G50" s="1" t="s">
        <v>81</v>
      </c>
      <c r="H50" s="14">
        <v>9</v>
      </c>
      <c r="I50" s="10">
        <v>0</v>
      </c>
      <c r="J50" s="6">
        <v>0.33</v>
      </c>
      <c r="K50" s="6">
        <v>0.31</v>
      </c>
      <c r="L50" s="8">
        <v>0.05</v>
      </c>
      <c r="M50">
        <v>148</v>
      </c>
      <c r="N50">
        <f>SUM(8+71+36+23+17+22+18+42+27+41+31+191+16+97+34)</f>
        <v>674</v>
      </c>
      <c r="O50">
        <f>SUM(6+1+12+11+9)</f>
        <v>39</v>
      </c>
      <c r="P50">
        <v>0</v>
      </c>
      <c r="Q50">
        <v>0</v>
      </c>
      <c r="R50">
        <v>0</v>
      </c>
      <c r="S50" s="2">
        <f>SUM(M50:R50)</f>
        <v>861</v>
      </c>
      <c r="T50">
        <v>2</v>
      </c>
      <c r="U50">
        <v>1</v>
      </c>
      <c r="V50">
        <v>0</v>
      </c>
      <c r="W50">
        <v>0</v>
      </c>
      <c r="X50">
        <v>0</v>
      </c>
      <c r="Y50">
        <v>0</v>
      </c>
      <c r="Z50" s="2">
        <f>SUM(T50:Y50)</f>
        <v>3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 s="2">
        <f>SUM(AA50:AF50)</f>
        <v>0</v>
      </c>
      <c r="AH50">
        <v>0</v>
      </c>
      <c r="AI50">
        <v>10</v>
      </c>
      <c r="AJ50">
        <v>1</v>
      </c>
      <c r="AK50">
        <v>0</v>
      </c>
      <c r="AL50">
        <v>0</v>
      </c>
      <c r="AM50">
        <v>0</v>
      </c>
      <c r="AN50" s="2">
        <f>SUM(AH50:AM50)</f>
        <v>11</v>
      </c>
      <c r="AO50">
        <v>3</v>
      </c>
      <c r="AP50">
        <v>9</v>
      </c>
      <c r="AQ50">
        <v>3</v>
      </c>
      <c r="AR50" s="2">
        <f>SUM(AO50:AQ50)</f>
        <v>15</v>
      </c>
      <c r="AS50">
        <v>0</v>
      </c>
      <c r="AT50">
        <v>0</v>
      </c>
      <c r="AU50">
        <v>4</v>
      </c>
      <c r="AV50">
        <v>0</v>
      </c>
      <c r="AW50">
        <v>0</v>
      </c>
      <c r="AX50">
        <v>0</v>
      </c>
      <c r="AY50" s="2">
        <f>SUM(AS50:AX50)</f>
        <v>4</v>
      </c>
      <c r="AZ50">
        <v>0</v>
      </c>
      <c r="BA50">
        <v>0</v>
      </c>
      <c r="BB50">
        <v>0</v>
      </c>
      <c r="BC50" s="2">
        <f>SUM(AZ50:BB50)</f>
        <v>0</v>
      </c>
      <c r="BD50">
        <f>SUM(M50:R50,T50:Y50,AA50:AF50,AH50:AM50,AO50:AQ50,AS50:AX50,AZ50:BB50)</f>
        <v>894</v>
      </c>
    </row>
    <row r="51" spans="1:57" x14ac:dyDescent="0.25">
      <c r="A51">
        <v>301</v>
      </c>
      <c r="B51">
        <v>10</v>
      </c>
      <c r="C51">
        <v>5</v>
      </c>
      <c r="D51" s="1">
        <v>44745</v>
      </c>
      <c r="E51" s="1" t="s">
        <v>11</v>
      </c>
      <c r="F51" s="1" t="s">
        <v>47</v>
      </c>
      <c r="G51" s="1" t="s">
        <v>81</v>
      </c>
      <c r="H51" s="14">
        <v>9</v>
      </c>
      <c r="I51" s="10">
        <v>0</v>
      </c>
      <c r="J51" s="6">
        <v>0.33</v>
      </c>
      <c r="K51" s="6">
        <v>0.31</v>
      </c>
      <c r="L51" s="8">
        <v>0.05</v>
      </c>
      <c r="M51">
        <v>3</v>
      </c>
      <c r="N51">
        <v>1</v>
      </c>
      <c r="O51">
        <v>0</v>
      </c>
      <c r="P51">
        <v>0</v>
      </c>
      <c r="Q51">
        <v>1</v>
      </c>
      <c r="R51">
        <v>5</v>
      </c>
      <c r="S51" s="2">
        <f>SUM(M51:R51)</f>
        <v>10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2">
        <f>SUM(T51:Y51)</f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 s="2">
        <f>SUM(AA51:AF51)</f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 s="2">
        <f>SUM(AH51:AM51)</f>
        <v>0</v>
      </c>
      <c r="AO51">
        <v>1</v>
      </c>
      <c r="AP51">
        <v>2</v>
      </c>
      <c r="AQ51">
        <v>1</v>
      </c>
      <c r="AR51" s="2">
        <f>SUM(AO51:AQ51)</f>
        <v>4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s="2">
        <f>SUM(AS51:AX51)</f>
        <v>0</v>
      </c>
      <c r="AZ51">
        <v>0</v>
      </c>
      <c r="BA51">
        <v>0</v>
      </c>
      <c r="BB51">
        <v>0</v>
      </c>
      <c r="BC51" s="2">
        <f>SUM(AZ51:BB51)</f>
        <v>0</v>
      </c>
      <c r="BD51">
        <f>SUM(M51:R51,T51:Y51,AA51:AF51,AH51:AM51,AO51:AQ51,AS51:AX51,AZ51:BB51)</f>
        <v>14</v>
      </c>
      <c r="BE51">
        <v>0</v>
      </c>
    </row>
    <row r="52" spans="1:57" x14ac:dyDescent="0.25">
      <c r="A52">
        <v>302</v>
      </c>
      <c r="B52">
        <v>12</v>
      </c>
      <c r="C52">
        <v>0</v>
      </c>
      <c r="D52" s="1">
        <v>44740</v>
      </c>
      <c r="E52" s="1" t="s">
        <v>11</v>
      </c>
      <c r="F52" t="s">
        <v>48</v>
      </c>
      <c r="G52" s="1" t="s">
        <v>81</v>
      </c>
      <c r="H52" s="14">
        <v>11.5</v>
      </c>
      <c r="I52" s="10">
        <v>0</v>
      </c>
      <c r="J52" s="6">
        <v>0.31</v>
      </c>
      <c r="K52" s="6">
        <v>0.23</v>
      </c>
      <c r="L52" s="8">
        <v>0.26</v>
      </c>
      <c r="M52">
        <f>SUM(6)</f>
        <v>6</v>
      </c>
      <c r="N52">
        <v>12</v>
      </c>
      <c r="O52">
        <v>1</v>
      </c>
      <c r="P52">
        <v>0</v>
      </c>
      <c r="Q52">
        <v>0</v>
      </c>
      <c r="R52">
        <v>0</v>
      </c>
      <c r="S52" s="2">
        <f>SUM(M52:R52)</f>
        <v>19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 s="2">
        <f>SUM(T52:Y52)</f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 s="2">
        <f>SUM(AA52:AF52)</f>
        <v>0</v>
      </c>
      <c r="AH52">
        <v>3</v>
      </c>
      <c r="AI52">
        <v>4</v>
      </c>
      <c r="AJ52">
        <v>1</v>
      </c>
      <c r="AK52">
        <v>0</v>
      </c>
      <c r="AL52">
        <v>0</v>
      </c>
      <c r="AM52">
        <v>0</v>
      </c>
      <c r="AN52" s="2">
        <f>SUM(AH52:AM52)</f>
        <v>8</v>
      </c>
      <c r="AO52">
        <v>0</v>
      </c>
      <c r="AP52">
        <v>0</v>
      </c>
      <c r="AQ52">
        <v>0</v>
      </c>
      <c r="AR52" s="2">
        <f>SUM(AO52:AQ52)</f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 s="2">
        <f>SUM(AS52:AX52)</f>
        <v>1</v>
      </c>
      <c r="AZ52">
        <v>0</v>
      </c>
      <c r="BA52">
        <v>0</v>
      </c>
      <c r="BB52">
        <v>0</v>
      </c>
      <c r="BC52" s="2">
        <f>SUM(AZ52:BB52)</f>
        <v>0</v>
      </c>
      <c r="BD52">
        <f>SUM(M52:R52,T52:Y52,AA52:AF52,AH52:AM52,AO52:AQ52,AS52:AX52,AZ52:BB52)</f>
        <v>29</v>
      </c>
    </row>
    <row r="53" spans="1:57" x14ac:dyDescent="0.25">
      <c r="A53">
        <v>302</v>
      </c>
      <c r="B53">
        <v>12</v>
      </c>
      <c r="C53">
        <v>5</v>
      </c>
      <c r="D53" s="1">
        <v>44745</v>
      </c>
      <c r="E53" s="1" t="s">
        <v>11</v>
      </c>
      <c r="F53" t="s">
        <v>48</v>
      </c>
      <c r="G53" s="1" t="s">
        <v>81</v>
      </c>
      <c r="H53" s="14">
        <v>11.5</v>
      </c>
      <c r="I53" s="10">
        <v>0</v>
      </c>
      <c r="J53" s="6">
        <v>0.31</v>
      </c>
      <c r="K53" s="6">
        <v>0.23</v>
      </c>
      <c r="L53" s="8">
        <v>0.26</v>
      </c>
      <c r="M53">
        <v>1</v>
      </c>
      <c r="N53">
        <v>5</v>
      </c>
      <c r="O53">
        <v>2</v>
      </c>
      <c r="P53">
        <v>0</v>
      </c>
      <c r="Q53">
        <v>2</v>
      </c>
      <c r="R53">
        <v>0</v>
      </c>
      <c r="S53" s="2">
        <f>SUM(M53:R53)</f>
        <v>10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s="2">
        <f>SUM(T53:Y53)</f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 s="2">
        <f>SUM(AA53:AF53)</f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1</v>
      </c>
      <c r="AN53" s="2">
        <f>SUM(AH53:AM53)</f>
        <v>2</v>
      </c>
      <c r="AO53">
        <v>0</v>
      </c>
      <c r="AP53">
        <v>0</v>
      </c>
      <c r="AQ53">
        <v>0</v>
      </c>
      <c r="AR53" s="2">
        <f>SUM(AO53:AQ53)</f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s="2">
        <f>SUM(AS53:AX53)</f>
        <v>0</v>
      </c>
      <c r="AZ53">
        <v>0</v>
      </c>
      <c r="BA53">
        <v>0</v>
      </c>
      <c r="BB53">
        <v>0</v>
      </c>
      <c r="BC53" s="2">
        <f>SUM(AZ53:BB53)</f>
        <v>0</v>
      </c>
      <c r="BD53">
        <f>SUM(M53:R53,T53:Y53,AA53:AF53,AH53:AM53,AO53:AQ53,AS53:AX53,AZ53:BB53)</f>
        <v>12</v>
      </c>
      <c r="BE53">
        <v>3</v>
      </c>
    </row>
    <row r="54" spans="1:57" x14ac:dyDescent="0.25">
      <c r="A54">
        <v>303</v>
      </c>
      <c r="B54">
        <v>4</v>
      </c>
      <c r="C54">
        <v>0</v>
      </c>
      <c r="D54" s="1">
        <v>44732</v>
      </c>
      <c r="E54" s="1" t="s">
        <v>12</v>
      </c>
      <c r="F54" s="1" t="s">
        <v>48</v>
      </c>
      <c r="G54" s="1" t="s">
        <v>80</v>
      </c>
      <c r="H54" s="14">
        <v>9</v>
      </c>
      <c r="M54">
        <f>SUM(2+2+6+4+6+17+4)</f>
        <v>41</v>
      </c>
      <c r="N54">
        <f>SUM(2+1)</f>
        <v>3</v>
      </c>
      <c r="O54">
        <v>0</v>
      </c>
      <c r="P54">
        <v>0</v>
      </c>
      <c r="Q54">
        <v>0</v>
      </c>
      <c r="R54">
        <v>0</v>
      </c>
      <c r="S54" s="2">
        <f>SUM(M54:R54)</f>
        <v>44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 s="2">
        <f>SUM(T54:Y54)</f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 s="2">
        <f>SUM(AA54:AF54)</f>
        <v>0</v>
      </c>
      <c r="AH54">
        <f>SUM(3+4+10+4)</f>
        <v>21</v>
      </c>
      <c r="AI54">
        <v>0</v>
      </c>
      <c r="AJ54">
        <v>0</v>
      </c>
      <c r="AK54">
        <v>0</v>
      </c>
      <c r="AL54">
        <v>0</v>
      </c>
      <c r="AM54">
        <v>0</v>
      </c>
      <c r="AN54" s="2">
        <f>SUM(AH54:AM54)</f>
        <v>21</v>
      </c>
      <c r="AO54">
        <v>7</v>
      </c>
      <c r="AP54">
        <v>1</v>
      </c>
      <c r="AQ54">
        <v>0</v>
      </c>
      <c r="AR54" s="2">
        <f>SUM(AO54:AQ54)</f>
        <v>8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 s="2">
        <f>SUM(AS54:AX54)</f>
        <v>0</v>
      </c>
      <c r="AZ54">
        <v>0</v>
      </c>
      <c r="BA54">
        <v>0</v>
      </c>
      <c r="BB54">
        <v>0</v>
      </c>
      <c r="BC54" s="2">
        <f>SUM(AZ54:BB54)</f>
        <v>0</v>
      </c>
      <c r="BD54">
        <f>SUM(M54:R54,T54:Y54,AA54:AF54,AH54:AM54,AO54:AQ54,AS54:AX54,AZ54:BB54)</f>
        <v>74</v>
      </c>
    </row>
    <row r="55" spans="1:57" x14ac:dyDescent="0.25">
      <c r="A55">
        <v>303</v>
      </c>
      <c r="B55">
        <v>4</v>
      </c>
      <c r="C55">
        <v>5</v>
      </c>
      <c r="D55" s="1">
        <v>44737</v>
      </c>
      <c r="E55" s="1" t="s">
        <v>12</v>
      </c>
      <c r="F55" s="1" t="s">
        <v>48</v>
      </c>
      <c r="G55" s="1" t="s">
        <v>80</v>
      </c>
      <c r="H55" s="14">
        <v>9</v>
      </c>
      <c r="M55">
        <v>2</v>
      </c>
      <c r="N55">
        <v>1</v>
      </c>
      <c r="O55">
        <v>0</v>
      </c>
      <c r="P55">
        <v>0</v>
      </c>
      <c r="Q55">
        <v>0</v>
      </c>
      <c r="R55">
        <v>0</v>
      </c>
      <c r="S55" s="2">
        <f>SUM(M55:R55)</f>
        <v>3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s="2">
        <f>SUM(T55:Y55)</f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 s="2">
        <f>SUM(AA55:AF55)</f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 s="2">
        <f>SUM(AH55:AM55)</f>
        <v>1</v>
      </c>
      <c r="AO55">
        <v>0</v>
      </c>
      <c r="AP55">
        <v>0</v>
      </c>
      <c r="AQ55">
        <v>0</v>
      </c>
      <c r="AR55" s="2">
        <f>SUM(AO55:AQ55)</f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 s="2">
        <f>SUM(AS55:AX55)</f>
        <v>0</v>
      </c>
      <c r="AZ55">
        <v>0</v>
      </c>
      <c r="BA55">
        <v>0</v>
      </c>
      <c r="BB55">
        <v>0</v>
      </c>
      <c r="BC55" s="2">
        <f>SUM(AZ55:BB55)</f>
        <v>0</v>
      </c>
      <c r="BD55">
        <f>SUM(M55:R55,T55:Y55,AA55:AF55,AH55:AM55,AO55:AQ55,AS55:AX55,AZ55:BB55)</f>
        <v>4</v>
      </c>
      <c r="BE55">
        <v>5</v>
      </c>
    </row>
    <row r="56" spans="1:57" x14ac:dyDescent="0.25">
      <c r="A56">
        <v>304</v>
      </c>
      <c r="B56">
        <v>3</v>
      </c>
      <c r="C56">
        <v>0</v>
      </c>
      <c r="D56" s="1">
        <v>44732</v>
      </c>
      <c r="E56" s="1" t="s">
        <v>12</v>
      </c>
      <c r="F56" s="1" t="s">
        <v>47</v>
      </c>
      <c r="G56" s="1" t="s">
        <v>80</v>
      </c>
      <c r="H56" s="14">
        <v>6</v>
      </c>
      <c r="M56">
        <f>SUM(25+38+10+12+35+10+41+32+12)</f>
        <v>215</v>
      </c>
      <c r="N56">
        <f>SUM(2+1+2)</f>
        <v>5</v>
      </c>
      <c r="O56">
        <v>4</v>
      </c>
      <c r="P56">
        <v>0</v>
      </c>
      <c r="Q56">
        <v>0</v>
      </c>
      <c r="R56">
        <v>0</v>
      </c>
      <c r="S56" s="2">
        <f>SUM(M56:R56)</f>
        <v>224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s="2">
        <f>SUM(T56:Y56)</f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 s="2">
        <f>SUM(AA56:AF56)</f>
        <v>0</v>
      </c>
      <c r="AH56">
        <f>SUM(15+9+3+11+6+10)</f>
        <v>54</v>
      </c>
      <c r="AI56">
        <f>SUM(6)</f>
        <v>6</v>
      </c>
      <c r="AJ56">
        <v>1</v>
      </c>
      <c r="AK56">
        <v>0</v>
      </c>
      <c r="AL56">
        <v>0</v>
      </c>
      <c r="AM56">
        <v>0</v>
      </c>
      <c r="AN56" s="2">
        <f>SUM(AH56:AM56)</f>
        <v>61</v>
      </c>
      <c r="AO56">
        <v>0</v>
      </c>
      <c r="AP56">
        <v>0</v>
      </c>
      <c r="AQ56">
        <v>0</v>
      </c>
      <c r="AR56" s="2">
        <f>SUM(AO56:AQ56)</f>
        <v>0</v>
      </c>
      <c r="AS56">
        <v>0</v>
      </c>
      <c r="AT56">
        <v>0</v>
      </c>
      <c r="AU56">
        <v>5</v>
      </c>
      <c r="AV56">
        <v>0</v>
      </c>
      <c r="AW56">
        <v>0</v>
      </c>
      <c r="AX56">
        <v>0</v>
      </c>
      <c r="AY56" s="2">
        <f>SUM(AS56:AX56)</f>
        <v>5</v>
      </c>
      <c r="AZ56">
        <v>3</v>
      </c>
      <c r="BA56">
        <v>1</v>
      </c>
      <c r="BB56">
        <v>2</v>
      </c>
      <c r="BC56" s="2">
        <f>SUM(AZ56:BB56)</f>
        <v>6</v>
      </c>
      <c r="BD56">
        <f>SUM(M56:R56,T56:Y56,AA56:AF56,AH56:AM56,AO56:AQ56,AS56:AX56,AZ56:BB56)</f>
        <v>296</v>
      </c>
    </row>
    <row r="57" spans="1:57" x14ac:dyDescent="0.25">
      <c r="A57">
        <v>304</v>
      </c>
      <c r="B57">
        <v>3</v>
      </c>
      <c r="C57">
        <v>5</v>
      </c>
      <c r="D57" s="1">
        <v>44737</v>
      </c>
      <c r="E57" s="1" t="s">
        <v>12</v>
      </c>
      <c r="F57" s="1" t="s">
        <v>47</v>
      </c>
      <c r="G57" s="1" t="s">
        <v>80</v>
      </c>
      <c r="H57" s="14">
        <v>6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 s="2">
        <f>SUM(M57:R57)</f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2">
        <f>SUM(T57:Y57)</f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 s="2">
        <f>SUM(AA57:AF57)</f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s="2">
        <f>SUM(AH57:AM57)</f>
        <v>0</v>
      </c>
      <c r="AO57">
        <v>0</v>
      </c>
      <c r="AP57">
        <v>0</v>
      </c>
      <c r="AQ57">
        <v>0</v>
      </c>
      <c r="AR57" s="2">
        <f>SUM(AO57:AQ57)</f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 s="2">
        <f>SUM(AS57:AX57)</f>
        <v>0</v>
      </c>
      <c r="AZ57">
        <v>0</v>
      </c>
      <c r="BA57">
        <v>0</v>
      </c>
      <c r="BB57">
        <v>0</v>
      </c>
      <c r="BC57" s="2">
        <f>SUM(AZ57:BB57)</f>
        <v>0</v>
      </c>
      <c r="BD57">
        <f>SUM(M57:R57,T57:Y57,AA57:AF57,AH57:AM57,AO57:AQ57,AS57:AX57,AZ57:BB57)</f>
        <v>1</v>
      </c>
      <c r="BE57">
        <v>16</v>
      </c>
    </row>
    <row r="58" spans="1:57" x14ac:dyDescent="0.25">
      <c r="A58">
        <v>305</v>
      </c>
      <c r="B58">
        <v>11</v>
      </c>
      <c r="C58">
        <v>0</v>
      </c>
      <c r="D58" s="1">
        <v>44740</v>
      </c>
      <c r="E58" s="1" t="s">
        <v>11</v>
      </c>
      <c r="F58" t="s">
        <v>47</v>
      </c>
      <c r="G58" s="1" t="s">
        <v>81</v>
      </c>
      <c r="H58" s="14">
        <v>11.5</v>
      </c>
      <c r="I58" s="10">
        <v>1</v>
      </c>
      <c r="J58" s="6">
        <v>0.31</v>
      </c>
      <c r="K58" s="6">
        <v>0.28999999999999998</v>
      </c>
      <c r="L58" s="8">
        <v>0.06</v>
      </c>
      <c r="M58">
        <f>SUM(15+3+15+11+20)</f>
        <v>64</v>
      </c>
      <c r="N58">
        <f>SUM(27+24+21+4+43+16+11+45+55+97+13)</f>
        <v>356</v>
      </c>
      <c r="O58">
        <f>SUM(4+43+6+3+3)</f>
        <v>59</v>
      </c>
      <c r="P58">
        <v>0</v>
      </c>
      <c r="Q58">
        <v>0</v>
      </c>
      <c r="R58">
        <v>0</v>
      </c>
      <c r="S58" s="2">
        <f>SUM(M58:R58)</f>
        <v>479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s="2">
        <f>SUM(T58:Y58)</f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 s="2">
        <f>SUM(AA58:AF58)</f>
        <v>0</v>
      </c>
      <c r="AH58">
        <v>0</v>
      </c>
      <c r="AI58">
        <v>7</v>
      </c>
      <c r="AJ58">
        <v>5</v>
      </c>
      <c r="AK58">
        <v>0</v>
      </c>
      <c r="AL58">
        <v>0</v>
      </c>
      <c r="AM58">
        <v>0</v>
      </c>
      <c r="AN58" s="2">
        <f>SUM(AH58:AM58)</f>
        <v>12</v>
      </c>
      <c r="AO58">
        <v>0</v>
      </c>
      <c r="AP58">
        <v>1</v>
      </c>
      <c r="AQ58">
        <v>0</v>
      </c>
      <c r="AR58" s="2">
        <f>SUM(AO58:AQ58)</f>
        <v>1</v>
      </c>
      <c r="AS58">
        <v>1</v>
      </c>
      <c r="AT58">
        <v>1</v>
      </c>
      <c r="AU58">
        <v>1</v>
      </c>
      <c r="AV58">
        <v>0</v>
      </c>
      <c r="AW58">
        <v>0</v>
      </c>
      <c r="AX58">
        <v>0</v>
      </c>
      <c r="AY58" s="2">
        <f>SUM(AS58:AX58)</f>
        <v>3</v>
      </c>
      <c r="AZ58">
        <v>0</v>
      </c>
      <c r="BA58">
        <v>0</v>
      </c>
      <c r="BB58">
        <v>2</v>
      </c>
      <c r="BC58" s="2">
        <f>SUM(AZ58:BB58)</f>
        <v>2</v>
      </c>
      <c r="BD58">
        <f>SUM(M58:R58,T58:Y58,AA58:AF58,AH58:AM58,AO58:AQ58,AS58:AX58,AZ58:BB58)</f>
        <v>497</v>
      </c>
    </row>
    <row r="59" spans="1:57" x14ac:dyDescent="0.25">
      <c r="A59">
        <v>305</v>
      </c>
      <c r="B59">
        <v>11</v>
      </c>
      <c r="C59">
        <v>5</v>
      </c>
      <c r="D59" s="1">
        <v>44745</v>
      </c>
      <c r="E59" s="1" t="s">
        <v>11</v>
      </c>
      <c r="F59" t="s">
        <v>47</v>
      </c>
      <c r="G59" s="1" t="s">
        <v>81</v>
      </c>
      <c r="H59" s="14">
        <v>11.5</v>
      </c>
      <c r="I59" s="10">
        <v>1</v>
      </c>
      <c r="J59" s="6">
        <v>0.31</v>
      </c>
      <c r="K59" s="6">
        <v>0.28999999999999998</v>
      </c>
      <c r="L59" s="8">
        <v>0.06</v>
      </c>
      <c r="M59">
        <v>2</v>
      </c>
      <c r="N59">
        <v>19</v>
      </c>
      <c r="O59">
        <v>22</v>
      </c>
      <c r="P59">
        <v>3</v>
      </c>
      <c r="Q59">
        <v>4</v>
      </c>
      <c r="R59">
        <v>5</v>
      </c>
      <c r="S59" s="2">
        <f>SUM(M59:R59)</f>
        <v>55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 s="2">
        <f>SUM(T59:Y59)</f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 s="2">
        <f>SUM(AA59:AF59)</f>
        <v>0</v>
      </c>
      <c r="AH59">
        <v>0</v>
      </c>
      <c r="AI59">
        <v>1</v>
      </c>
      <c r="AJ59">
        <v>1</v>
      </c>
      <c r="AK59">
        <v>0</v>
      </c>
      <c r="AL59">
        <v>0</v>
      </c>
      <c r="AM59">
        <v>0</v>
      </c>
      <c r="AN59" s="2">
        <f>SUM(AH59:AM59)</f>
        <v>2</v>
      </c>
      <c r="AO59">
        <v>0</v>
      </c>
      <c r="AP59">
        <v>0</v>
      </c>
      <c r="AQ59">
        <v>0</v>
      </c>
      <c r="AR59" s="2">
        <f>SUM(AO59:AQ59)</f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 s="2">
        <f>SUM(AS59:AX59)</f>
        <v>0</v>
      </c>
      <c r="AZ59">
        <v>0</v>
      </c>
      <c r="BA59">
        <v>0</v>
      </c>
      <c r="BB59">
        <v>0</v>
      </c>
      <c r="BC59" s="2">
        <f>SUM(AZ59:BB59)</f>
        <v>0</v>
      </c>
      <c r="BD59">
        <f>SUM(M59:R59,T59:Y59,AA59:AF59,AH59:AM59,AO59:AQ59,AS59:AX59,AZ59:BB59)</f>
        <v>58</v>
      </c>
      <c r="BE59">
        <v>0</v>
      </c>
    </row>
    <row r="60" spans="1:57" x14ac:dyDescent="0.25">
      <c r="A60">
        <v>306</v>
      </c>
      <c r="B60">
        <v>1</v>
      </c>
      <c r="C60">
        <v>0</v>
      </c>
      <c r="D60" s="1">
        <v>44732</v>
      </c>
      <c r="E60" s="1" t="s">
        <v>11</v>
      </c>
      <c r="F60" s="1" t="s">
        <v>48</v>
      </c>
      <c r="G60" s="1" t="s">
        <v>80</v>
      </c>
      <c r="I60" s="10">
        <v>1</v>
      </c>
      <c r="J60" s="6">
        <v>0.34</v>
      </c>
      <c r="K60" s="6">
        <v>0.22</v>
      </c>
      <c r="L60" s="8">
        <v>0.35</v>
      </c>
      <c r="M60">
        <f>SUM(19+12+43+25+11+25+28+26+11)</f>
        <v>200</v>
      </c>
      <c r="N60">
        <v>9</v>
      </c>
      <c r="O60">
        <v>9</v>
      </c>
      <c r="P60">
        <v>0</v>
      </c>
      <c r="Q60">
        <v>0</v>
      </c>
      <c r="R60">
        <v>0</v>
      </c>
      <c r="S60" s="2">
        <f>SUM(M60:R60)</f>
        <v>218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2">
        <f>SUM(T60:Y60)</f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 s="2">
        <f>SUM(AA60:AF60)</f>
        <v>0</v>
      </c>
      <c r="AH60">
        <f>SUM(3+2+4+1+31)</f>
        <v>41</v>
      </c>
      <c r="AI60">
        <f>SUM(8)</f>
        <v>8</v>
      </c>
      <c r="AJ60">
        <v>0</v>
      </c>
      <c r="AK60">
        <v>0</v>
      </c>
      <c r="AL60">
        <v>0</v>
      </c>
      <c r="AM60">
        <v>0</v>
      </c>
      <c r="AN60" s="2">
        <f>SUM(AH60:AM60)</f>
        <v>49</v>
      </c>
      <c r="AO60">
        <f>SUM(6+7+5+4+10+16)</f>
        <v>48</v>
      </c>
      <c r="AP60">
        <v>3</v>
      </c>
      <c r="AQ60">
        <v>1</v>
      </c>
      <c r="AR60" s="2">
        <f>SUM(AO60:AQ60)</f>
        <v>52</v>
      </c>
      <c r="AS60">
        <v>0</v>
      </c>
      <c r="AT60">
        <v>0</v>
      </c>
      <c r="AU60">
        <v>2</v>
      </c>
      <c r="AV60">
        <v>0</v>
      </c>
      <c r="AW60">
        <v>0</v>
      </c>
      <c r="AX60">
        <v>0</v>
      </c>
      <c r="AY60" s="2">
        <f>SUM(AS60:AX60)</f>
        <v>2</v>
      </c>
      <c r="AZ60">
        <v>2</v>
      </c>
      <c r="BA60">
        <v>0</v>
      </c>
      <c r="BB60">
        <v>1</v>
      </c>
      <c r="BC60" s="2">
        <f>SUM(AZ60:BB60)</f>
        <v>3</v>
      </c>
      <c r="BD60">
        <f>SUM(M60:R60,T60:Y60,AA60:AF60,AH60:AM60,AO60:AQ60,AS60:AX60,AZ60:BB60)</f>
        <v>324</v>
      </c>
    </row>
    <row r="61" spans="1:57" x14ac:dyDescent="0.25">
      <c r="A61">
        <v>306</v>
      </c>
      <c r="B61">
        <v>1</v>
      </c>
      <c r="C61">
        <v>5</v>
      </c>
      <c r="D61" s="1">
        <v>44737</v>
      </c>
      <c r="E61" s="1" t="s">
        <v>11</v>
      </c>
      <c r="F61" s="1" t="s">
        <v>48</v>
      </c>
      <c r="G61" s="1" t="s">
        <v>80</v>
      </c>
      <c r="I61" s="10">
        <v>1</v>
      </c>
      <c r="J61" s="6">
        <v>0.34</v>
      </c>
      <c r="K61" s="6">
        <v>0.22</v>
      </c>
      <c r="L61" s="8">
        <v>0.35</v>
      </c>
      <c r="M61">
        <f>SUM(10+1+9+2+16+15+17)</f>
        <v>70</v>
      </c>
      <c r="N61">
        <f>SUM(14+15+3+22+1)</f>
        <v>55</v>
      </c>
      <c r="O61">
        <v>10</v>
      </c>
      <c r="P61">
        <v>1</v>
      </c>
      <c r="Q61">
        <v>2</v>
      </c>
      <c r="R61">
        <v>0</v>
      </c>
      <c r="S61" s="2">
        <f>SUM(M61:R61)</f>
        <v>138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s="2">
        <f>SUM(T61:Y61)</f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 s="2">
        <f>SUM(AA61:AF61)</f>
        <v>0</v>
      </c>
      <c r="AH61">
        <v>2</v>
      </c>
      <c r="AI61">
        <v>2</v>
      </c>
      <c r="AJ61">
        <v>1</v>
      </c>
      <c r="AK61">
        <v>0</v>
      </c>
      <c r="AL61">
        <v>0</v>
      </c>
      <c r="AM61">
        <v>0</v>
      </c>
      <c r="AN61" s="2">
        <f>SUM(AH61:AM61)</f>
        <v>5</v>
      </c>
      <c r="AO61">
        <v>0</v>
      </c>
      <c r="AP61">
        <v>0</v>
      </c>
      <c r="AQ61">
        <v>0</v>
      </c>
      <c r="AR61" s="2">
        <f>SUM(AO61:AQ61)</f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 s="2">
        <f>SUM(AS61:AX61)</f>
        <v>0</v>
      </c>
      <c r="AZ61">
        <v>0</v>
      </c>
      <c r="BA61">
        <v>0</v>
      </c>
      <c r="BB61">
        <v>0</v>
      </c>
      <c r="BC61" s="2">
        <f>SUM(AZ61:BB61)</f>
        <v>0</v>
      </c>
      <c r="BD61">
        <f>SUM(M61:R61,T61:Y61,AA61:AF61,AH61:AM61,AO61:AQ61,AS61:AX61,AZ61:BB61)</f>
        <v>143</v>
      </c>
      <c r="BE61">
        <v>0</v>
      </c>
    </row>
    <row r="62" spans="1:57" x14ac:dyDescent="0.25">
      <c r="A62">
        <v>307</v>
      </c>
      <c r="B62">
        <v>2</v>
      </c>
      <c r="C62">
        <v>0</v>
      </c>
      <c r="D62" s="1">
        <v>44732</v>
      </c>
      <c r="E62" s="1" t="s">
        <v>11</v>
      </c>
      <c r="F62" s="1" t="s">
        <v>47</v>
      </c>
      <c r="G62" s="1" t="s">
        <v>80</v>
      </c>
      <c r="I62" s="10">
        <v>5</v>
      </c>
      <c r="J62" s="6">
        <v>0.4</v>
      </c>
      <c r="K62" s="6">
        <v>7.0000000000000007E-2</v>
      </c>
      <c r="L62" s="8">
        <v>0.83</v>
      </c>
      <c r="M62">
        <f>SUM(1+10+7+12+22+10+12)</f>
        <v>74</v>
      </c>
      <c r="N62">
        <v>1</v>
      </c>
      <c r="O62">
        <v>0</v>
      </c>
      <c r="P62">
        <v>0</v>
      </c>
      <c r="Q62">
        <v>0</v>
      </c>
      <c r="R62">
        <v>0</v>
      </c>
      <c r="S62" s="2">
        <f>SUM(M62:R62)</f>
        <v>75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s="2">
        <f>SUM(T62:Y62)</f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 s="2">
        <f>SUM(AA62:AF62)</f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 s="2">
        <f>SUM(AH62:AM62)</f>
        <v>0</v>
      </c>
      <c r="AO62">
        <v>0</v>
      </c>
      <c r="AP62">
        <v>0</v>
      </c>
      <c r="AQ62">
        <v>0</v>
      </c>
      <c r="AR62" s="2">
        <f>SUM(AO62:AQ62)</f>
        <v>0</v>
      </c>
      <c r="AS62">
        <v>0</v>
      </c>
      <c r="AT62">
        <v>0</v>
      </c>
      <c r="AU62">
        <v>2</v>
      </c>
      <c r="AV62">
        <v>0</v>
      </c>
      <c r="AW62">
        <v>0</v>
      </c>
      <c r="AX62">
        <v>0</v>
      </c>
      <c r="AY62" s="2">
        <f>SUM(AS62:AX62)</f>
        <v>2</v>
      </c>
      <c r="AZ62">
        <v>0</v>
      </c>
      <c r="BA62">
        <v>0</v>
      </c>
      <c r="BB62">
        <v>0</v>
      </c>
      <c r="BC62" s="2">
        <f>SUM(AZ62:BB62)</f>
        <v>0</v>
      </c>
      <c r="BD62">
        <f>SUM(M62:R62,T62:Y62,AA62:AF62,AH62:AM62,AO62:AQ62,AS62:AX62,AZ62:BB62)</f>
        <v>77</v>
      </c>
    </row>
    <row r="63" spans="1:57" x14ac:dyDescent="0.25">
      <c r="A63">
        <v>307</v>
      </c>
      <c r="B63">
        <v>2</v>
      </c>
      <c r="C63">
        <v>5</v>
      </c>
      <c r="D63" s="1">
        <v>44737</v>
      </c>
      <c r="E63" s="1" t="s">
        <v>11</v>
      </c>
      <c r="F63" s="1" t="s">
        <v>47</v>
      </c>
      <c r="G63" s="1" t="s">
        <v>80</v>
      </c>
      <c r="I63" s="10">
        <v>5</v>
      </c>
      <c r="J63" s="6">
        <v>0.4</v>
      </c>
      <c r="K63" s="6">
        <v>7.0000000000000007E-2</v>
      </c>
      <c r="L63" s="8">
        <v>0.83</v>
      </c>
      <c r="M63">
        <f>SUM(10+24+14+7+10)</f>
        <v>65</v>
      </c>
      <c r="N63">
        <f>SUM(3+12+16)</f>
        <v>31</v>
      </c>
      <c r="O63">
        <v>5</v>
      </c>
      <c r="P63">
        <v>1</v>
      </c>
      <c r="Q63">
        <v>0</v>
      </c>
      <c r="R63">
        <v>0</v>
      </c>
      <c r="S63" s="2">
        <f>SUM(M63:R63)</f>
        <v>102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s="2">
        <f>SUM(T63:Y63)</f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 s="2">
        <f>SUM(AA63:AF63)</f>
        <v>0</v>
      </c>
      <c r="AH63">
        <f>SUM(4+5+3+4)</f>
        <v>16</v>
      </c>
      <c r="AI63">
        <f>SUM(19+5+4+4)</f>
        <v>32</v>
      </c>
      <c r="AJ63">
        <v>2</v>
      </c>
      <c r="AK63">
        <v>1</v>
      </c>
      <c r="AL63">
        <v>1</v>
      </c>
      <c r="AM63">
        <v>0</v>
      </c>
      <c r="AN63" s="2">
        <f>SUM(AH63:AM63)</f>
        <v>52</v>
      </c>
      <c r="AO63">
        <v>0</v>
      </c>
      <c r="AP63">
        <v>0</v>
      </c>
      <c r="AQ63">
        <v>0</v>
      </c>
      <c r="AR63" s="2">
        <f>SUM(AO63:AQ63)</f>
        <v>0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0</v>
      </c>
      <c r="AY63" s="2">
        <f>SUM(AS63:AX63)</f>
        <v>1</v>
      </c>
      <c r="AZ63">
        <v>0</v>
      </c>
      <c r="BA63">
        <v>0</v>
      </c>
      <c r="BB63">
        <v>0</v>
      </c>
      <c r="BC63" s="2">
        <f>SUM(AZ63:BB63)</f>
        <v>0</v>
      </c>
      <c r="BD63">
        <f>SUM(M63:R63,T63:Y63,AA63:AF63,AH63:AM63,AO63:AQ63,AS63:AX63,AZ63:BB63)</f>
        <v>155</v>
      </c>
      <c r="BE63">
        <v>1</v>
      </c>
    </row>
    <row r="64" spans="1:57" x14ac:dyDescent="0.25">
      <c r="A64">
        <v>308</v>
      </c>
      <c r="B64">
        <v>8</v>
      </c>
      <c r="C64">
        <v>0</v>
      </c>
      <c r="D64" s="1">
        <v>44740</v>
      </c>
      <c r="E64" s="1" t="s">
        <v>12</v>
      </c>
      <c r="F64" t="s">
        <v>47</v>
      </c>
      <c r="G64" s="1" t="s">
        <v>81</v>
      </c>
      <c r="H64" s="14">
        <v>9</v>
      </c>
      <c r="M64">
        <f>SUM(1+1+104+1)</f>
        <v>107</v>
      </c>
      <c r="N64">
        <f>SUM(7+10+12+11+4)</f>
        <v>44</v>
      </c>
      <c r="O64">
        <f>SUM(1+7+1)</f>
        <v>9</v>
      </c>
      <c r="P64">
        <v>0</v>
      </c>
      <c r="Q64">
        <v>0</v>
      </c>
      <c r="R64">
        <v>0</v>
      </c>
      <c r="S64" s="2">
        <f>SUM(M64:R64)</f>
        <v>160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s="2">
        <f>SUM(T64:Y64)</f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 s="2">
        <f>SUM(AA64:AF64)</f>
        <v>0</v>
      </c>
      <c r="AH64">
        <v>1</v>
      </c>
      <c r="AI64">
        <v>14</v>
      </c>
      <c r="AJ64">
        <v>6</v>
      </c>
      <c r="AK64">
        <v>0</v>
      </c>
      <c r="AL64">
        <v>0</v>
      </c>
      <c r="AM64">
        <v>0</v>
      </c>
      <c r="AN64" s="2">
        <f>SUM(AH64:AM64)</f>
        <v>21</v>
      </c>
      <c r="AO64">
        <v>0</v>
      </c>
      <c r="AP64">
        <v>0</v>
      </c>
      <c r="AQ64">
        <v>1</v>
      </c>
      <c r="AR64" s="2">
        <f>SUM(AO64:AQ64)</f>
        <v>1</v>
      </c>
      <c r="AS64">
        <v>2</v>
      </c>
      <c r="AT64">
        <v>1</v>
      </c>
      <c r="AU64">
        <v>2</v>
      </c>
      <c r="AV64">
        <v>0</v>
      </c>
      <c r="AW64">
        <v>0</v>
      </c>
      <c r="AX64">
        <v>0</v>
      </c>
      <c r="AY64" s="2">
        <f>SUM(AS64:AX64)</f>
        <v>5</v>
      </c>
      <c r="AZ64">
        <v>0</v>
      </c>
      <c r="BA64">
        <v>0</v>
      </c>
      <c r="BB64">
        <v>0</v>
      </c>
      <c r="BC64" s="2">
        <f>SUM(AZ64:BB64)</f>
        <v>0</v>
      </c>
      <c r="BD64">
        <f>SUM(M64:R64,T64:Y64,AA64:AF64,AH64:AM64,AO64:AQ64,AS64:AX64,AZ64:BB64)</f>
        <v>187</v>
      </c>
    </row>
    <row r="65" spans="1:57" x14ac:dyDescent="0.25">
      <c r="A65">
        <v>308</v>
      </c>
      <c r="B65">
        <v>8</v>
      </c>
      <c r="C65">
        <v>5</v>
      </c>
      <c r="D65" s="1">
        <v>44745</v>
      </c>
      <c r="E65" s="1" t="s">
        <v>12</v>
      </c>
      <c r="F65" t="s">
        <v>47</v>
      </c>
      <c r="G65" s="1" t="s">
        <v>81</v>
      </c>
      <c r="H65" s="14">
        <v>9</v>
      </c>
      <c r="M65">
        <v>1</v>
      </c>
      <c r="N65">
        <v>7</v>
      </c>
      <c r="O65">
        <v>1</v>
      </c>
      <c r="P65">
        <v>0</v>
      </c>
      <c r="Q65">
        <v>0</v>
      </c>
      <c r="R65">
        <v>0</v>
      </c>
      <c r="S65" s="2">
        <f>SUM(M65:R65)</f>
        <v>9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s="2">
        <f>SUM(T65:Y65)</f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 s="2">
        <f>SUM(AA65:AF65)</f>
        <v>0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1</v>
      </c>
      <c r="AN65" s="2">
        <f>SUM(AH65:AM65)</f>
        <v>2</v>
      </c>
      <c r="AO65">
        <v>0</v>
      </c>
      <c r="AP65">
        <v>0</v>
      </c>
      <c r="AQ65">
        <v>0</v>
      </c>
      <c r="AR65" s="2">
        <f>SUM(AO65:AQ65)</f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 s="2">
        <f>SUM(AS65:AX65)</f>
        <v>0</v>
      </c>
      <c r="AZ65">
        <v>0</v>
      </c>
      <c r="BA65">
        <v>0</v>
      </c>
      <c r="BB65">
        <v>0</v>
      </c>
      <c r="BC65" s="2">
        <f>SUM(AZ65:BB65)</f>
        <v>0</v>
      </c>
      <c r="BD65">
        <f>SUM(M65:R65,T65:Y65,AA65:AF65,AH65:AM65,AO65:AQ65,AS65:AX65,AZ65:BB65)</f>
        <v>11</v>
      </c>
      <c r="BE65">
        <v>0</v>
      </c>
    </row>
    <row r="66" spans="1:57" x14ac:dyDescent="0.25">
      <c r="A66">
        <v>309</v>
      </c>
      <c r="B66">
        <v>5</v>
      </c>
      <c r="C66">
        <v>0</v>
      </c>
      <c r="D66" s="1">
        <v>44740</v>
      </c>
      <c r="E66" s="1" t="s">
        <v>11</v>
      </c>
      <c r="F66" t="s">
        <v>47</v>
      </c>
      <c r="G66" s="1" t="s">
        <v>81</v>
      </c>
      <c r="H66" s="14">
        <v>9</v>
      </c>
      <c r="I66" s="10">
        <v>1</v>
      </c>
      <c r="J66" s="6">
        <v>0.3</v>
      </c>
      <c r="K66" s="6">
        <v>0.28999999999999998</v>
      </c>
      <c r="L66" s="8">
        <v>0.03</v>
      </c>
      <c r="M66">
        <f>SUM(9+13+12+7+13)</f>
        <v>54</v>
      </c>
      <c r="N66">
        <f>SUM(45+19+86+52+120+55+106+22)</f>
        <v>505</v>
      </c>
      <c r="O66">
        <f>SUM(6+12+14+1)</f>
        <v>33</v>
      </c>
      <c r="P66">
        <v>0</v>
      </c>
      <c r="Q66">
        <v>0</v>
      </c>
      <c r="R66">
        <v>0</v>
      </c>
      <c r="S66" s="2">
        <f>SUM(M66:R66)</f>
        <v>592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 s="2">
        <f>SUM(T66:Y66)</f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 s="2">
        <f>SUM(AA66:AF66)</f>
        <v>0</v>
      </c>
      <c r="AH66">
        <v>4</v>
      </c>
      <c r="AI66">
        <v>12</v>
      </c>
      <c r="AJ66">
        <v>8</v>
      </c>
      <c r="AK66">
        <v>0</v>
      </c>
      <c r="AL66">
        <v>0</v>
      </c>
      <c r="AM66">
        <v>0</v>
      </c>
      <c r="AN66" s="2">
        <f>SUM(AH66:AM66)</f>
        <v>24</v>
      </c>
      <c r="AO66">
        <v>0</v>
      </c>
      <c r="AP66">
        <v>0</v>
      </c>
      <c r="AQ66">
        <v>0</v>
      </c>
      <c r="AR66" s="2">
        <f>SUM(AO66:AQ66)</f>
        <v>0</v>
      </c>
      <c r="AS66">
        <v>2</v>
      </c>
      <c r="AT66">
        <v>2</v>
      </c>
      <c r="AU66">
        <v>1</v>
      </c>
      <c r="AV66">
        <v>0</v>
      </c>
      <c r="AW66">
        <v>0</v>
      </c>
      <c r="AX66">
        <v>0</v>
      </c>
      <c r="AY66" s="2">
        <f>SUM(AS66:AX66)</f>
        <v>5</v>
      </c>
      <c r="AZ66">
        <v>0</v>
      </c>
      <c r="BA66">
        <v>0</v>
      </c>
      <c r="BB66">
        <v>2</v>
      </c>
      <c r="BC66" s="2">
        <f>SUM(AZ66:BB66)</f>
        <v>2</v>
      </c>
      <c r="BD66">
        <f>SUM(M66:R66,T66:Y66,AA66:AF66,AH66:AM66,AO66:AQ66,AS66:AX66,AZ66:BB66)</f>
        <v>624</v>
      </c>
    </row>
    <row r="67" spans="1:57" x14ac:dyDescent="0.25">
      <c r="A67">
        <v>309</v>
      </c>
      <c r="B67">
        <v>5</v>
      </c>
      <c r="C67">
        <v>5</v>
      </c>
      <c r="D67" s="1">
        <v>44745</v>
      </c>
      <c r="E67" s="1" t="s">
        <v>11</v>
      </c>
      <c r="F67" t="s">
        <v>47</v>
      </c>
      <c r="G67" s="1" t="s">
        <v>81</v>
      </c>
      <c r="H67" s="14">
        <v>9</v>
      </c>
      <c r="I67" s="10">
        <v>1</v>
      </c>
      <c r="J67" s="6">
        <v>0.3</v>
      </c>
      <c r="K67" s="6">
        <v>0.28999999999999998</v>
      </c>
      <c r="L67" s="8">
        <v>0.03</v>
      </c>
      <c r="M67">
        <v>1</v>
      </c>
      <c r="N67">
        <v>3</v>
      </c>
      <c r="O67">
        <v>0</v>
      </c>
      <c r="P67">
        <v>0</v>
      </c>
      <c r="Q67">
        <v>0</v>
      </c>
      <c r="R67">
        <v>2</v>
      </c>
      <c r="S67" s="2">
        <f>SUM(M67:R67)</f>
        <v>6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s="2">
        <f>SUM(T67:Y67)</f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 s="2">
        <f>SUM(AA67:AF67)</f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 s="2">
        <f>SUM(AH67:AM67)</f>
        <v>0</v>
      </c>
      <c r="AO67">
        <v>0</v>
      </c>
      <c r="AP67">
        <v>0</v>
      </c>
      <c r="AQ67">
        <v>0</v>
      </c>
      <c r="AR67" s="2">
        <f>SUM(AO67:AQ67)</f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 s="2">
        <f>SUM(AS67:AX67)</f>
        <v>0</v>
      </c>
      <c r="AZ67">
        <v>0</v>
      </c>
      <c r="BA67">
        <v>0</v>
      </c>
      <c r="BB67">
        <v>0</v>
      </c>
      <c r="BC67" s="2">
        <f>SUM(AZ67:BB67)</f>
        <v>0</v>
      </c>
      <c r="BD67">
        <f>SUM(M67:R67,T67:Y67,AA67:AF67,AH67:AM67,AO67:AQ67,AS67:AX67,AZ67:BB67)</f>
        <v>6</v>
      </c>
      <c r="BE67">
        <v>0</v>
      </c>
    </row>
    <row r="68" spans="1:57" x14ac:dyDescent="0.25">
      <c r="A68">
        <v>310</v>
      </c>
      <c r="B68">
        <v>6</v>
      </c>
      <c r="C68">
        <v>0</v>
      </c>
      <c r="D68" s="1">
        <v>44740</v>
      </c>
      <c r="E68" s="1" t="s">
        <v>11</v>
      </c>
      <c r="F68" s="1" t="s">
        <v>48</v>
      </c>
      <c r="G68" s="1" t="s">
        <v>81</v>
      </c>
      <c r="H68" s="14">
        <v>9</v>
      </c>
      <c r="I68" s="10">
        <v>0</v>
      </c>
      <c r="J68" s="6">
        <v>0.32</v>
      </c>
      <c r="K68" s="6">
        <v>0.31</v>
      </c>
      <c r="L68" s="8">
        <v>0.02</v>
      </c>
      <c r="M68">
        <f>SUM(17+8+20+9)</f>
        <v>54</v>
      </c>
      <c r="N68">
        <f>SUM(216+14+84+23+47)</f>
        <v>384</v>
      </c>
      <c r="O68">
        <f>SUM(3+8+74+5+1)</f>
        <v>91</v>
      </c>
      <c r="P68">
        <v>0</v>
      </c>
      <c r="Q68">
        <v>0</v>
      </c>
      <c r="R68">
        <v>0</v>
      </c>
      <c r="S68" s="2">
        <f>SUM(M68:R68)</f>
        <v>529</v>
      </c>
      <c r="T68">
        <v>20</v>
      </c>
      <c r="U68">
        <v>4</v>
      </c>
      <c r="V68">
        <v>0</v>
      </c>
      <c r="W68">
        <v>0</v>
      </c>
      <c r="X68">
        <v>0</v>
      </c>
      <c r="Y68">
        <v>0</v>
      </c>
      <c r="Z68" s="2">
        <f>SUM(T68:Y68)</f>
        <v>24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 s="2">
        <f>SUM(AA68:AF68)</f>
        <v>0</v>
      </c>
      <c r="AH68">
        <v>2</v>
      </c>
      <c r="AI68">
        <v>2</v>
      </c>
      <c r="AJ68">
        <v>1</v>
      </c>
      <c r="AK68">
        <v>0</v>
      </c>
      <c r="AL68">
        <v>0</v>
      </c>
      <c r="AM68">
        <v>0</v>
      </c>
      <c r="AN68" s="2">
        <f>SUM(AH68:AM68)</f>
        <v>5</v>
      </c>
      <c r="AO68">
        <v>2</v>
      </c>
      <c r="AP68">
        <v>1</v>
      </c>
      <c r="AQ68">
        <v>1</v>
      </c>
      <c r="AR68" s="2">
        <f>SUM(AO68:AQ68)</f>
        <v>4</v>
      </c>
      <c r="AS68">
        <v>0</v>
      </c>
      <c r="AT68">
        <v>1</v>
      </c>
      <c r="AU68">
        <v>2</v>
      </c>
      <c r="AV68">
        <v>0</v>
      </c>
      <c r="AW68">
        <v>0</v>
      </c>
      <c r="AX68">
        <v>0</v>
      </c>
      <c r="AY68" s="2">
        <f>SUM(AS68:AX68)</f>
        <v>3</v>
      </c>
      <c r="AZ68">
        <v>0</v>
      </c>
      <c r="BA68">
        <v>0</v>
      </c>
      <c r="BB68">
        <v>0</v>
      </c>
      <c r="BC68" s="2">
        <f>SUM(AZ68:BB68)</f>
        <v>0</v>
      </c>
      <c r="BD68">
        <f>SUM(M68:R68,T68:Y68,AA68:AF68,AH68:AM68,AO68:AQ68,AS68:AX68,AZ68:BB68)</f>
        <v>565</v>
      </c>
    </row>
    <row r="69" spans="1:57" x14ac:dyDescent="0.25">
      <c r="A69">
        <v>310</v>
      </c>
      <c r="B69">
        <v>6</v>
      </c>
      <c r="C69">
        <v>5</v>
      </c>
      <c r="D69" s="1">
        <v>44745</v>
      </c>
      <c r="E69" s="1" t="s">
        <v>11</v>
      </c>
      <c r="F69" s="1" t="s">
        <v>48</v>
      </c>
      <c r="G69" s="1" t="s">
        <v>81</v>
      </c>
      <c r="H69" s="14">
        <v>9</v>
      </c>
      <c r="I69" s="10">
        <v>0</v>
      </c>
      <c r="J69" s="6">
        <v>0.32</v>
      </c>
      <c r="K69" s="6">
        <v>0.31</v>
      </c>
      <c r="L69" s="8">
        <v>0.02</v>
      </c>
      <c r="M69">
        <v>1</v>
      </c>
      <c r="N69">
        <v>4</v>
      </c>
      <c r="O69">
        <v>2</v>
      </c>
      <c r="P69">
        <v>0</v>
      </c>
      <c r="Q69">
        <v>3</v>
      </c>
      <c r="R69">
        <v>0</v>
      </c>
      <c r="S69" s="2">
        <f>SUM(M69:R69)</f>
        <v>10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s="2">
        <f>SUM(T69:Y69)</f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 s="2">
        <f>SUM(AA69:AF69)</f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 s="2">
        <f>SUM(AH69:AM69)</f>
        <v>0</v>
      </c>
      <c r="AO69">
        <v>0</v>
      </c>
      <c r="AP69">
        <v>0</v>
      </c>
      <c r="AQ69">
        <v>0</v>
      </c>
      <c r="AR69" s="2">
        <f>SUM(AO69:AQ69)</f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s="2">
        <f>SUM(AS69:AX69)</f>
        <v>0</v>
      </c>
      <c r="AZ69">
        <v>0</v>
      </c>
      <c r="BA69">
        <v>0</v>
      </c>
      <c r="BB69">
        <v>0</v>
      </c>
      <c r="BC69" s="2">
        <f>SUM(AZ69:BB69)</f>
        <v>0</v>
      </c>
      <c r="BD69">
        <f>SUM(M69:R69,T69:Y69,AA69:AF69,AH69:AM69,AO69:AQ69,AS69:AX69,AZ69:BB69)</f>
        <v>10</v>
      </c>
      <c r="BE69">
        <v>3</v>
      </c>
    </row>
    <row r="70" spans="1:57" x14ac:dyDescent="0.25">
      <c r="A70">
        <v>311</v>
      </c>
      <c r="B70">
        <v>9</v>
      </c>
      <c r="C70">
        <v>0</v>
      </c>
      <c r="D70" s="1">
        <v>44740</v>
      </c>
      <c r="E70" s="1" t="s">
        <v>11</v>
      </c>
      <c r="F70" t="s">
        <v>48</v>
      </c>
      <c r="G70" s="1" t="s">
        <v>81</v>
      </c>
      <c r="H70" s="14">
        <v>9.5</v>
      </c>
      <c r="I70" s="10">
        <v>1</v>
      </c>
      <c r="J70" s="6">
        <v>0.32</v>
      </c>
      <c r="K70" s="6">
        <v>0.28000000000000003</v>
      </c>
      <c r="L70" s="8">
        <v>0.14000000000000001</v>
      </c>
      <c r="M70">
        <f>SUM(1+3+3)</f>
        <v>7</v>
      </c>
      <c r="N70">
        <f>SUM(24+32+13+4)</f>
        <v>73</v>
      </c>
      <c r="O70">
        <v>4</v>
      </c>
      <c r="P70">
        <v>0</v>
      </c>
      <c r="Q70">
        <v>0</v>
      </c>
      <c r="R70">
        <v>0</v>
      </c>
      <c r="S70" s="2">
        <f>SUM(M70:R70)</f>
        <v>84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s="2">
        <f>SUM(T70:Y70)</f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 s="2">
        <f>SUM(AA70:AF70)</f>
        <v>0</v>
      </c>
      <c r="AH70">
        <v>2</v>
      </c>
      <c r="AI70">
        <v>23</v>
      </c>
      <c r="AJ70">
        <v>6</v>
      </c>
      <c r="AK70">
        <v>0</v>
      </c>
      <c r="AL70">
        <v>0</v>
      </c>
      <c r="AM70">
        <v>0</v>
      </c>
      <c r="AN70" s="2">
        <f>SUM(AH70:AM70)</f>
        <v>31</v>
      </c>
      <c r="AO70">
        <v>0</v>
      </c>
      <c r="AP70">
        <v>0</v>
      </c>
      <c r="AQ70">
        <v>0</v>
      </c>
      <c r="AR70" s="2">
        <f>SUM(AO70:AQ70)</f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s="2">
        <f>SUM(AS70:AX70)</f>
        <v>0</v>
      </c>
      <c r="AZ70">
        <v>0</v>
      </c>
      <c r="BA70">
        <v>0</v>
      </c>
      <c r="BB70">
        <v>0</v>
      </c>
      <c r="BC70" s="2">
        <f>SUM(AZ70:BB70)</f>
        <v>0</v>
      </c>
      <c r="BD70">
        <f>SUM(M70:R70,T70:Y70,AA70:AF70,AH70:AM70,AO70:AQ70,AS70:AX70,AZ70:BB70)</f>
        <v>115</v>
      </c>
    </row>
    <row r="71" spans="1:57" x14ac:dyDescent="0.25">
      <c r="A71">
        <v>311</v>
      </c>
      <c r="B71">
        <v>9</v>
      </c>
      <c r="C71">
        <v>5</v>
      </c>
      <c r="D71" s="1">
        <v>44745</v>
      </c>
      <c r="E71" s="1" t="s">
        <v>11</v>
      </c>
      <c r="F71" t="s">
        <v>48</v>
      </c>
      <c r="G71" s="1" t="s">
        <v>81</v>
      </c>
      <c r="H71" s="14">
        <v>9.5</v>
      </c>
      <c r="I71" s="10">
        <v>1</v>
      </c>
      <c r="M71">
        <v>0</v>
      </c>
      <c r="N71">
        <v>7</v>
      </c>
      <c r="O71">
        <v>8</v>
      </c>
      <c r="P71">
        <v>0</v>
      </c>
      <c r="Q71">
        <v>0</v>
      </c>
      <c r="R71">
        <v>0</v>
      </c>
      <c r="S71" s="2">
        <f>SUM(M71:R71)</f>
        <v>15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s="2">
        <f>SUM(T71:Y71)</f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 s="2">
        <f>SUM(AA71:AF71)</f>
        <v>0</v>
      </c>
      <c r="AH71">
        <v>1</v>
      </c>
      <c r="AI71">
        <v>0</v>
      </c>
      <c r="AJ71">
        <v>1</v>
      </c>
      <c r="AK71">
        <v>0</v>
      </c>
      <c r="AL71">
        <v>1</v>
      </c>
      <c r="AM71">
        <v>0</v>
      </c>
      <c r="AN71" s="2">
        <f>SUM(AH71:AM71)</f>
        <v>3</v>
      </c>
      <c r="AO71">
        <v>0</v>
      </c>
      <c r="AP71">
        <v>0</v>
      </c>
      <c r="AQ71">
        <v>0</v>
      </c>
      <c r="AR71" s="2">
        <f>SUM(AO71:AQ71)</f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 s="2">
        <f>SUM(AS71:AX71)</f>
        <v>0</v>
      </c>
      <c r="AZ71">
        <v>0</v>
      </c>
      <c r="BA71">
        <v>0</v>
      </c>
      <c r="BB71">
        <v>0</v>
      </c>
      <c r="BC71" s="2">
        <f>SUM(AZ71:BB71)</f>
        <v>0</v>
      </c>
      <c r="BD71">
        <f>SUM(M71:R71,T71:Y71,AA71:AF71,AH71:AM71,AO71:AQ71,AS71:AX71,AZ71:BB71)</f>
        <v>18</v>
      </c>
      <c r="BE71">
        <v>3</v>
      </c>
    </row>
    <row r="72" spans="1:57" x14ac:dyDescent="0.25">
      <c r="A72" s="15">
        <v>312</v>
      </c>
      <c r="B72" s="15">
        <v>7</v>
      </c>
      <c r="C72" s="15">
        <v>0</v>
      </c>
      <c r="D72" s="16">
        <v>44740</v>
      </c>
      <c r="E72" s="16" t="s">
        <v>12</v>
      </c>
      <c r="F72" s="15" t="s">
        <v>47</v>
      </c>
      <c r="G72" s="1" t="s">
        <v>81</v>
      </c>
      <c r="H72" s="17">
        <v>6</v>
      </c>
      <c r="I72" s="18"/>
      <c r="J72" s="19"/>
      <c r="K72" s="19"/>
      <c r="L72" s="20"/>
      <c r="M72" s="15">
        <f>SUM(2+15+4+23)</f>
        <v>44</v>
      </c>
      <c r="N72" s="15">
        <f>SUM(7+60+10+8+8+27)</f>
        <v>120</v>
      </c>
      <c r="O72" s="15">
        <v>8</v>
      </c>
      <c r="P72" s="15">
        <v>0</v>
      </c>
      <c r="Q72" s="15">
        <v>0</v>
      </c>
      <c r="R72" s="15">
        <v>0</v>
      </c>
      <c r="S72" s="21">
        <f>SUM(M72:R72)</f>
        <v>172</v>
      </c>
      <c r="T72" s="15">
        <v>1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21">
        <f>SUM(T72:Y72)</f>
        <v>1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>
        <v>0</v>
      </c>
      <c r="AG72" s="21">
        <f>SUM(AA72:AF72)</f>
        <v>0</v>
      </c>
      <c r="AH72" s="15">
        <v>5</v>
      </c>
      <c r="AI72" s="15">
        <v>23</v>
      </c>
      <c r="AJ72" s="15">
        <v>4</v>
      </c>
      <c r="AK72" s="15">
        <v>0</v>
      </c>
      <c r="AL72" s="15">
        <v>0</v>
      </c>
      <c r="AM72" s="15">
        <v>0</v>
      </c>
      <c r="AN72" s="21">
        <f>SUM(AH72:AM72)</f>
        <v>32</v>
      </c>
      <c r="AO72" s="15">
        <v>0</v>
      </c>
      <c r="AP72" s="15">
        <v>0</v>
      </c>
      <c r="AQ72" s="15">
        <v>0</v>
      </c>
      <c r="AR72" s="21">
        <f>SUM(AO72:AQ72)</f>
        <v>0</v>
      </c>
      <c r="AS72" s="15">
        <v>0</v>
      </c>
      <c r="AT72" s="15">
        <v>1</v>
      </c>
      <c r="AU72" s="15">
        <v>1</v>
      </c>
      <c r="AV72" s="15">
        <v>0</v>
      </c>
      <c r="AW72" s="15">
        <v>0</v>
      </c>
      <c r="AX72" s="15">
        <v>0</v>
      </c>
      <c r="AY72" s="21">
        <f>SUM(AS72:AX72)</f>
        <v>2</v>
      </c>
      <c r="AZ72" s="15">
        <v>0</v>
      </c>
      <c r="BA72" s="15">
        <v>0</v>
      </c>
      <c r="BB72" s="15">
        <v>0</v>
      </c>
      <c r="BC72" s="21">
        <f>SUM(AZ72:BB72)</f>
        <v>0</v>
      </c>
      <c r="BD72" s="15">
        <f>SUM(M72:R72,T72:Y72,AA72:AF72,AH72:AM72,AO72:AQ72,AS72:AX72,AZ72:BB72)</f>
        <v>207</v>
      </c>
      <c r="BE72" s="15"/>
    </row>
    <row r="73" spans="1:57" x14ac:dyDescent="0.25">
      <c r="A73" s="3">
        <v>312</v>
      </c>
      <c r="B73" s="3">
        <v>7</v>
      </c>
      <c r="C73" s="3">
        <v>5</v>
      </c>
      <c r="D73" s="1">
        <v>44745</v>
      </c>
      <c r="E73" s="3" t="s">
        <v>12</v>
      </c>
      <c r="F73" s="3" t="s">
        <v>47</v>
      </c>
      <c r="G73" s="1" t="s">
        <v>81</v>
      </c>
      <c r="H73" s="13">
        <v>6</v>
      </c>
      <c r="I73" s="9"/>
      <c r="J73" s="5"/>
      <c r="K73" s="5"/>
      <c r="L73" s="7"/>
      <c r="M73" s="3">
        <v>0</v>
      </c>
      <c r="N73" s="3">
        <v>1</v>
      </c>
      <c r="O73" s="3">
        <v>0</v>
      </c>
      <c r="P73" s="3">
        <v>0</v>
      </c>
      <c r="Q73" s="3">
        <v>0</v>
      </c>
      <c r="R73" s="3">
        <v>0</v>
      </c>
      <c r="S73" s="4">
        <f>SUM(M73:R73)</f>
        <v>1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f>SUM(T73:Y73)</f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4">
        <f>SUM(AA73:AF73)</f>
        <v>0</v>
      </c>
      <c r="AH73" s="3">
        <v>0</v>
      </c>
      <c r="AI73" s="3">
        <v>0</v>
      </c>
      <c r="AJ73" s="3">
        <v>0</v>
      </c>
      <c r="AK73" s="3">
        <v>0</v>
      </c>
      <c r="AL73" s="3">
        <v>1</v>
      </c>
      <c r="AM73" s="3">
        <v>0</v>
      </c>
      <c r="AN73" s="4">
        <f>SUM(AH73:AM73)</f>
        <v>1</v>
      </c>
      <c r="AO73" s="3">
        <v>0</v>
      </c>
      <c r="AP73" s="3">
        <v>0</v>
      </c>
      <c r="AQ73" s="3">
        <v>0</v>
      </c>
      <c r="AR73" s="4">
        <f>SUM(AO73:AQ73)</f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4">
        <f>SUM(AS73:AX73)</f>
        <v>0</v>
      </c>
      <c r="AZ73" s="3">
        <v>1</v>
      </c>
      <c r="BA73" s="3">
        <v>1</v>
      </c>
      <c r="BB73" s="3">
        <v>4</v>
      </c>
      <c r="BC73" s="4">
        <f>SUM(AZ73:BB73)</f>
        <v>6</v>
      </c>
      <c r="BD73" s="3">
        <f>SUM(M73:R73,T73:Y73,AA73:AF73,AH73:AM73,AO73:AQ73,AS73:AX73,AZ73:BB73)</f>
        <v>8</v>
      </c>
      <c r="BE73" s="22">
        <v>2</v>
      </c>
    </row>
    <row r="75" spans="1:57" x14ac:dyDescent="0.25">
      <c r="A75" t="s">
        <v>77</v>
      </c>
    </row>
  </sheetData>
  <autoFilter ref="A1:BE73" xr:uid="{448B7D1B-074D-4815-B478-0DC49AD12F6D}">
    <sortState xmlns:xlrd2="http://schemas.microsoft.com/office/spreadsheetml/2017/richdata2" ref="A2:BE73">
      <sortCondition ref="A2:A73"/>
    </sortState>
  </autoFilter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471AD-04E4-4077-8CF2-4D5E08F2680A}">
  <dimension ref="A1:Y151"/>
  <sheetViews>
    <sheetView tabSelected="1" zoomScale="70" zoomScaleNormal="70" workbookViewId="0">
      <pane xSplit="3" ySplit="1" topLeftCell="D62" activePane="bottomRight" state="frozen"/>
      <selection pane="topRight" activeCell="C1" sqref="C1"/>
      <selection pane="bottomLeft" activeCell="A2" sqref="A2"/>
      <selection pane="bottomRight" activeCell="C65" sqref="C65"/>
    </sheetView>
  </sheetViews>
  <sheetFormatPr defaultRowHeight="15" x14ac:dyDescent="0.25"/>
  <cols>
    <col min="3" max="3" width="20.5703125" customWidth="1"/>
    <col min="4" max="4" width="14.5703125" customWidth="1"/>
    <col min="5" max="5" width="14.7109375" bestFit="1" customWidth="1"/>
    <col min="6" max="7" width="14.7109375" customWidth="1"/>
    <col min="8" max="8" width="6.5703125" style="14" bestFit="1" customWidth="1"/>
    <col min="9" max="9" width="4.5703125" style="10" bestFit="1" customWidth="1"/>
    <col min="10" max="10" width="13.140625" style="6" bestFit="1" customWidth="1"/>
    <col min="11" max="11" width="12.7109375" style="6" bestFit="1" customWidth="1"/>
    <col min="12" max="12" width="9.7109375" style="8" customWidth="1"/>
    <col min="13" max="13" width="13.7109375" style="2" customWidth="1"/>
    <col min="14" max="14" width="12.5703125" style="2" customWidth="1"/>
    <col min="15" max="15" width="13.28515625" style="2" customWidth="1"/>
    <col min="16" max="16" width="12.7109375" style="2" customWidth="1"/>
    <col min="17" max="19" width="10.7109375" bestFit="1" customWidth="1"/>
    <col min="20" max="20" width="13.7109375" style="2" customWidth="1"/>
    <col min="21" max="21" width="12.85546875" style="2" customWidth="1"/>
    <col min="22" max="22" width="13.5703125" style="2" customWidth="1"/>
    <col min="23" max="23" width="11.42578125" customWidth="1"/>
    <col min="24" max="24" width="23.85546875" customWidth="1"/>
    <col min="25" max="25" width="23.85546875" bestFit="1" customWidth="1"/>
  </cols>
  <sheetData>
    <row r="1" spans="1:25" x14ac:dyDescent="0.25">
      <c r="A1" s="3" t="s">
        <v>0</v>
      </c>
      <c r="B1" s="3" t="s">
        <v>83</v>
      </c>
      <c r="C1" s="3" t="s">
        <v>27</v>
      </c>
      <c r="D1" s="3" t="s">
        <v>1</v>
      </c>
      <c r="E1" s="3" t="s">
        <v>10</v>
      </c>
      <c r="F1" s="3" t="s">
        <v>46</v>
      </c>
      <c r="G1" s="3" t="s">
        <v>79</v>
      </c>
      <c r="H1" s="13" t="s">
        <v>17</v>
      </c>
      <c r="I1" s="9" t="s">
        <v>16</v>
      </c>
      <c r="J1" s="5" t="s">
        <v>13</v>
      </c>
      <c r="K1" s="5" t="s">
        <v>14</v>
      </c>
      <c r="L1" s="7" t="s">
        <v>15</v>
      </c>
      <c r="M1" s="4" t="s">
        <v>6</v>
      </c>
      <c r="N1" s="4" t="s">
        <v>7</v>
      </c>
      <c r="O1" s="4" t="s">
        <v>8</v>
      </c>
      <c r="P1" s="21" t="s">
        <v>9</v>
      </c>
      <c r="Q1" s="27" t="s">
        <v>18</v>
      </c>
      <c r="R1" s="27" t="s">
        <v>19</v>
      </c>
      <c r="S1" s="27" t="s">
        <v>20</v>
      </c>
      <c r="T1" s="28" t="s">
        <v>21</v>
      </c>
      <c r="U1" s="12" t="s">
        <v>22</v>
      </c>
      <c r="V1" s="12" t="s">
        <v>26</v>
      </c>
      <c r="W1" s="12" t="s">
        <v>28</v>
      </c>
      <c r="X1" s="28" t="s">
        <v>82</v>
      </c>
      <c r="Y1" s="2" t="s">
        <v>42</v>
      </c>
    </row>
    <row r="2" spans="1:25" x14ac:dyDescent="0.25">
      <c r="A2" s="29">
        <v>101</v>
      </c>
      <c r="B2" s="29">
        <v>1</v>
      </c>
      <c r="C2" s="29">
        <v>0</v>
      </c>
      <c r="D2" s="30">
        <v>44732</v>
      </c>
      <c r="E2" s="30" t="s">
        <v>11</v>
      </c>
      <c r="F2" s="30" t="s">
        <v>47</v>
      </c>
      <c r="G2" s="30" t="s">
        <v>80</v>
      </c>
      <c r="H2" s="31"/>
      <c r="I2" s="32">
        <v>1</v>
      </c>
      <c r="J2" s="33">
        <v>0.3</v>
      </c>
      <c r="K2" s="33">
        <v>0.13</v>
      </c>
      <c r="L2" s="34">
        <v>0.57999999999999996</v>
      </c>
      <c r="M2" s="29">
        <v>185</v>
      </c>
      <c r="N2" s="29">
        <v>0</v>
      </c>
      <c r="O2" s="29">
        <v>1</v>
      </c>
      <c r="P2" s="29">
        <v>27</v>
      </c>
      <c r="Q2" s="29">
        <v>0</v>
      </c>
      <c r="R2" s="29">
        <v>1</v>
      </c>
      <c r="S2" s="29">
        <v>0</v>
      </c>
      <c r="T2" s="29">
        <v>1</v>
      </c>
      <c r="U2" s="29">
        <v>0</v>
      </c>
      <c r="V2" s="29">
        <v>0</v>
      </c>
      <c r="W2" s="29">
        <v>214</v>
      </c>
      <c r="X2" s="29">
        <f>W2-T2</f>
        <v>213</v>
      </c>
      <c r="Y2" s="29"/>
    </row>
    <row r="3" spans="1:25" x14ac:dyDescent="0.25">
      <c r="A3" s="29">
        <v>202</v>
      </c>
      <c r="B3" s="29">
        <v>1</v>
      </c>
      <c r="C3" s="29">
        <v>0</v>
      </c>
      <c r="D3" s="30">
        <v>44732</v>
      </c>
      <c r="E3" s="30" t="s">
        <v>11</v>
      </c>
      <c r="F3" s="30" t="s">
        <v>47</v>
      </c>
      <c r="G3" s="30" t="s">
        <v>80</v>
      </c>
      <c r="H3" s="31"/>
      <c r="I3" s="32">
        <v>1</v>
      </c>
      <c r="J3" s="33">
        <v>0.32</v>
      </c>
      <c r="K3" s="33">
        <v>0.16</v>
      </c>
      <c r="L3" s="34">
        <v>0.49</v>
      </c>
      <c r="M3" s="29">
        <v>679</v>
      </c>
      <c r="N3" s="29">
        <v>0</v>
      </c>
      <c r="O3" s="29">
        <v>1</v>
      </c>
      <c r="P3" s="29">
        <v>65</v>
      </c>
      <c r="Q3" s="29">
        <v>3</v>
      </c>
      <c r="R3" s="29">
        <v>1</v>
      </c>
      <c r="S3" s="29">
        <v>5</v>
      </c>
      <c r="T3" s="29">
        <v>9</v>
      </c>
      <c r="U3" s="29">
        <v>5</v>
      </c>
      <c r="V3" s="29">
        <v>1</v>
      </c>
      <c r="W3" s="29">
        <v>760</v>
      </c>
      <c r="X3" s="29">
        <f>W3-T3</f>
        <v>751</v>
      </c>
      <c r="Y3" s="29"/>
    </row>
    <row r="4" spans="1:25" x14ac:dyDescent="0.25">
      <c r="A4" s="29">
        <v>306</v>
      </c>
      <c r="B4" s="29">
        <v>1</v>
      </c>
      <c r="C4" s="29">
        <v>0</v>
      </c>
      <c r="D4" s="30">
        <v>44732</v>
      </c>
      <c r="E4" s="30" t="s">
        <v>11</v>
      </c>
      <c r="F4" s="30" t="s">
        <v>48</v>
      </c>
      <c r="G4" s="30" t="s">
        <v>80</v>
      </c>
      <c r="H4" s="31"/>
      <c r="I4" s="32">
        <v>1</v>
      </c>
      <c r="J4" s="33">
        <v>0.34</v>
      </c>
      <c r="K4" s="33">
        <v>0.22</v>
      </c>
      <c r="L4" s="34">
        <v>0.35</v>
      </c>
      <c r="M4" s="29">
        <v>218</v>
      </c>
      <c r="N4" s="29">
        <v>0</v>
      </c>
      <c r="O4" s="29">
        <v>0</v>
      </c>
      <c r="P4" s="29">
        <v>49</v>
      </c>
      <c r="Q4" s="29">
        <f>SUM(6+7+5+4+10+16)</f>
        <v>48</v>
      </c>
      <c r="R4" s="29">
        <v>3</v>
      </c>
      <c r="S4" s="29">
        <v>1</v>
      </c>
      <c r="T4" s="29">
        <v>52</v>
      </c>
      <c r="U4" s="29">
        <v>2</v>
      </c>
      <c r="V4" s="29">
        <v>3</v>
      </c>
      <c r="W4" s="29">
        <v>324</v>
      </c>
      <c r="X4" s="29">
        <f>W4-T4</f>
        <v>272</v>
      </c>
      <c r="Y4" s="29"/>
    </row>
    <row r="5" spans="1:25" x14ac:dyDescent="0.25">
      <c r="A5" s="29">
        <v>102</v>
      </c>
      <c r="B5" s="29">
        <v>2</v>
      </c>
      <c r="C5" s="29">
        <v>0</v>
      </c>
      <c r="D5" s="30">
        <v>44732</v>
      </c>
      <c r="E5" s="30" t="s">
        <v>11</v>
      </c>
      <c r="F5" s="30" t="s">
        <v>48</v>
      </c>
      <c r="G5" s="30" t="s">
        <v>80</v>
      </c>
      <c r="H5" s="31"/>
      <c r="I5" s="32">
        <v>5</v>
      </c>
      <c r="J5" s="33">
        <v>0.37</v>
      </c>
      <c r="K5" s="33">
        <v>0.13</v>
      </c>
      <c r="L5" s="34">
        <v>0.65</v>
      </c>
      <c r="M5" s="29">
        <v>11</v>
      </c>
      <c r="N5" s="29">
        <v>2</v>
      </c>
      <c r="O5" s="29">
        <v>1</v>
      </c>
      <c r="P5" s="29">
        <v>103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117</v>
      </c>
      <c r="X5" s="29">
        <f>W5-T5</f>
        <v>117</v>
      </c>
      <c r="Y5" s="29"/>
    </row>
    <row r="6" spans="1:25" x14ac:dyDescent="0.25">
      <c r="A6" s="29">
        <v>205</v>
      </c>
      <c r="B6" s="29">
        <v>2</v>
      </c>
      <c r="C6" s="29">
        <v>0</v>
      </c>
      <c r="D6" s="30">
        <v>44732</v>
      </c>
      <c r="E6" s="30" t="s">
        <v>11</v>
      </c>
      <c r="F6" s="30" t="s">
        <v>47</v>
      </c>
      <c r="G6" s="30" t="s">
        <v>80</v>
      </c>
      <c r="H6" s="31"/>
      <c r="I6" s="32">
        <v>5</v>
      </c>
      <c r="J6" s="33">
        <v>0.35</v>
      </c>
      <c r="K6" s="33">
        <v>0.1</v>
      </c>
      <c r="L6" s="34">
        <v>0.71</v>
      </c>
      <c r="M6" s="29">
        <v>131</v>
      </c>
      <c r="N6" s="29">
        <v>5</v>
      </c>
      <c r="O6" s="29">
        <v>1</v>
      </c>
      <c r="P6" s="29">
        <v>486</v>
      </c>
      <c r="Q6" s="29">
        <v>0</v>
      </c>
      <c r="R6" s="29">
        <v>0</v>
      </c>
      <c r="S6" s="29">
        <v>0</v>
      </c>
      <c r="T6" s="29">
        <v>0</v>
      </c>
      <c r="U6" s="29">
        <v>60</v>
      </c>
      <c r="V6" s="29">
        <v>37</v>
      </c>
      <c r="W6" s="29">
        <v>720</v>
      </c>
      <c r="X6" s="29">
        <f>W6-T6</f>
        <v>720</v>
      </c>
      <c r="Y6" s="29"/>
    </row>
    <row r="7" spans="1:25" x14ac:dyDescent="0.25">
      <c r="A7" s="29">
        <v>307</v>
      </c>
      <c r="B7" s="29">
        <v>2</v>
      </c>
      <c r="C7" s="29">
        <v>0</v>
      </c>
      <c r="D7" s="30">
        <v>44732</v>
      </c>
      <c r="E7" s="30" t="s">
        <v>11</v>
      </c>
      <c r="F7" s="30" t="s">
        <v>47</v>
      </c>
      <c r="G7" s="30" t="s">
        <v>80</v>
      </c>
      <c r="H7" s="31"/>
      <c r="I7" s="32">
        <v>5</v>
      </c>
      <c r="J7" s="33">
        <v>0.4</v>
      </c>
      <c r="K7" s="33">
        <v>7.0000000000000007E-2</v>
      </c>
      <c r="L7" s="34">
        <v>0.83</v>
      </c>
      <c r="M7" s="29">
        <v>75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2</v>
      </c>
      <c r="V7" s="29">
        <v>0</v>
      </c>
      <c r="W7" s="29">
        <v>77</v>
      </c>
      <c r="X7" s="29">
        <f>W7-T7</f>
        <v>77</v>
      </c>
      <c r="Y7" s="29"/>
    </row>
    <row r="8" spans="1:25" x14ac:dyDescent="0.25">
      <c r="A8" s="29">
        <v>103</v>
      </c>
      <c r="B8" s="29">
        <v>3</v>
      </c>
      <c r="C8" s="29">
        <v>0</v>
      </c>
      <c r="D8" s="30">
        <v>44732</v>
      </c>
      <c r="E8" s="30" t="s">
        <v>12</v>
      </c>
      <c r="F8" s="30" t="s">
        <v>47</v>
      </c>
      <c r="G8" s="30" t="s">
        <v>80</v>
      </c>
      <c r="H8" s="31">
        <v>6</v>
      </c>
      <c r="I8" s="32"/>
      <c r="J8" s="33"/>
      <c r="K8" s="33"/>
      <c r="L8" s="34"/>
      <c r="M8" s="29">
        <v>37</v>
      </c>
      <c r="N8" s="29">
        <v>0</v>
      </c>
      <c r="O8" s="29">
        <v>0</v>
      </c>
      <c r="P8" s="29">
        <v>66</v>
      </c>
      <c r="Q8" s="29">
        <v>0</v>
      </c>
      <c r="R8" s="29">
        <v>0</v>
      </c>
      <c r="S8" s="29">
        <v>0</v>
      </c>
      <c r="T8" s="29">
        <v>0</v>
      </c>
      <c r="U8" s="29">
        <v>2</v>
      </c>
      <c r="V8" s="29">
        <v>1</v>
      </c>
      <c r="W8" s="29">
        <v>106</v>
      </c>
      <c r="X8" s="29">
        <f>W8-T8</f>
        <v>106</v>
      </c>
      <c r="Y8" s="29"/>
    </row>
    <row r="9" spans="1:25" x14ac:dyDescent="0.25">
      <c r="A9" s="29">
        <v>212</v>
      </c>
      <c r="B9" s="29">
        <v>3</v>
      </c>
      <c r="C9" s="29">
        <v>0</v>
      </c>
      <c r="D9" s="30">
        <v>44732</v>
      </c>
      <c r="E9" s="30" t="s">
        <v>12</v>
      </c>
      <c r="F9" s="30" t="s">
        <v>47</v>
      </c>
      <c r="G9" s="30" t="s">
        <v>80</v>
      </c>
      <c r="H9" s="31">
        <v>6</v>
      </c>
      <c r="I9" s="32"/>
      <c r="J9" s="33"/>
      <c r="K9" s="33"/>
      <c r="L9" s="34"/>
      <c r="M9" s="29">
        <v>565</v>
      </c>
      <c r="N9" s="29">
        <v>2</v>
      </c>
      <c r="O9" s="29">
        <v>0</v>
      </c>
      <c r="P9" s="29">
        <v>10</v>
      </c>
      <c r="Q9" s="29">
        <v>7</v>
      </c>
      <c r="R9" s="29">
        <v>4</v>
      </c>
      <c r="S9" s="29">
        <v>9</v>
      </c>
      <c r="T9" s="29">
        <v>20</v>
      </c>
      <c r="U9" s="29">
        <v>11</v>
      </c>
      <c r="V9" s="29">
        <v>5</v>
      </c>
      <c r="W9" s="29">
        <v>613</v>
      </c>
      <c r="X9" s="29">
        <f>W9-T9</f>
        <v>593</v>
      </c>
      <c r="Y9" s="29"/>
    </row>
    <row r="10" spans="1:25" x14ac:dyDescent="0.25">
      <c r="A10" s="29">
        <v>304</v>
      </c>
      <c r="B10" s="29">
        <v>3</v>
      </c>
      <c r="C10" s="29">
        <v>0</v>
      </c>
      <c r="D10" s="30">
        <v>44732</v>
      </c>
      <c r="E10" s="30" t="s">
        <v>12</v>
      </c>
      <c r="F10" s="30" t="s">
        <v>47</v>
      </c>
      <c r="G10" s="30" t="s">
        <v>80</v>
      </c>
      <c r="H10" s="31">
        <v>6</v>
      </c>
      <c r="I10" s="32"/>
      <c r="J10" s="33"/>
      <c r="K10" s="33"/>
      <c r="L10" s="34"/>
      <c r="M10" s="29">
        <v>224</v>
      </c>
      <c r="N10" s="29">
        <v>0</v>
      </c>
      <c r="O10" s="29">
        <v>0</v>
      </c>
      <c r="P10" s="29">
        <v>61</v>
      </c>
      <c r="Q10" s="29">
        <v>0</v>
      </c>
      <c r="R10" s="29">
        <v>0</v>
      </c>
      <c r="S10" s="29">
        <v>0</v>
      </c>
      <c r="T10" s="29">
        <v>0</v>
      </c>
      <c r="U10" s="29">
        <v>5</v>
      </c>
      <c r="V10" s="29">
        <v>6</v>
      </c>
      <c r="W10" s="29">
        <v>296</v>
      </c>
      <c r="X10" s="29">
        <f>W10-T10</f>
        <v>296</v>
      </c>
      <c r="Y10" s="29"/>
    </row>
    <row r="11" spans="1:25" x14ac:dyDescent="0.25">
      <c r="A11" s="29">
        <v>104</v>
      </c>
      <c r="B11" s="29">
        <v>4</v>
      </c>
      <c r="C11" s="29">
        <v>0</v>
      </c>
      <c r="D11" s="30">
        <v>44732</v>
      </c>
      <c r="E11" s="30" t="s">
        <v>12</v>
      </c>
      <c r="F11" s="30" t="s">
        <v>48</v>
      </c>
      <c r="G11" s="30" t="s">
        <v>80</v>
      </c>
      <c r="H11" s="31">
        <v>9</v>
      </c>
      <c r="I11" s="32"/>
      <c r="J11" s="33"/>
      <c r="K11" s="33"/>
      <c r="L11" s="34"/>
      <c r="M11" s="29">
        <v>67</v>
      </c>
      <c r="N11" s="29">
        <v>0</v>
      </c>
      <c r="O11" s="29">
        <v>2</v>
      </c>
      <c r="P11" s="29">
        <v>71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5</v>
      </c>
      <c r="W11" s="29">
        <v>145</v>
      </c>
      <c r="X11" s="29">
        <f>W11-T11</f>
        <v>145</v>
      </c>
      <c r="Y11" s="29"/>
    </row>
    <row r="12" spans="1:25" x14ac:dyDescent="0.25">
      <c r="A12" s="29">
        <v>211</v>
      </c>
      <c r="B12" s="29">
        <v>4</v>
      </c>
      <c r="C12" s="29">
        <v>0</v>
      </c>
      <c r="D12" s="30">
        <v>44732</v>
      </c>
      <c r="E12" s="30" t="s">
        <v>12</v>
      </c>
      <c r="F12" s="30" t="s">
        <v>48</v>
      </c>
      <c r="G12" s="30" t="s">
        <v>80</v>
      </c>
      <c r="H12" s="31">
        <v>9</v>
      </c>
      <c r="I12" s="32"/>
      <c r="J12" s="33"/>
      <c r="K12" s="33"/>
      <c r="L12" s="34"/>
      <c r="M12" s="29">
        <v>603</v>
      </c>
      <c r="N12" s="29">
        <v>0</v>
      </c>
      <c r="O12" s="29">
        <v>0</v>
      </c>
      <c r="P12" s="29">
        <v>42</v>
      </c>
      <c r="Q12" s="29">
        <v>23</v>
      </c>
      <c r="R12" s="29">
        <v>9</v>
      </c>
      <c r="S12" s="29">
        <v>24</v>
      </c>
      <c r="T12" s="29">
        <v>56</v>
      </c>
      <c r="U12" s="29">
        <v>17</v>
      </c>
      <c r="V12" s="29">
        <v>0</v>
      </c>
      <c r="W12" s="29">
        <v>718</v>
      </c>
      <c r="X12" s="29">
        <f>W12-T12</f>
        <v>662</v>
      </c>
      <c r="Y12" s="29"/>
    </row>
    <row r="13" spans="1:25" x14ac:dyDescent="0.25">
      <c r="A13" s="29">
        <v>303</v>
      </c>
      <c r="B13" s="29">
        <v>4</v>
      </c>
      <c r="C13" s="29">
        <v>0</v>
      </c>
      <c r="D13" s="30">
        <v>44732</v>
      </c>
      <c r="E13" s="30" t="s">
        <v>12</v>
      </c>
      <c r="F13" s="30" t="s">
        <v>48</v>
      </c>
      <c r="G13" s="30" t="s">
        <v>80</v>
      </c>
      <c r="H13" s="31">
        <v>9</v>
      </c>
      <c r="I13" s="32"/>
      <c r="J13" s="33"/>
      <c r="K13" s="33"/>
      <c r="L13" s="34"/>
      <c r="M13" s="29">
        <v>44</v>
      </c>
      <c r="N13" s="29">
        <v>1</v>
      </c>
      <c r="O13" s="29">
        <v>0</v>
      </c>
      <c r="P13" s="29">
        <v>21</v>
      </c>
      <c r="Q13" s="29">
        <v>7</v>
      </c>
      <c r="R13" s="29">
        <v>1</v>
      </c>
      <c r="S13" s="29">
        <v>0</v>
      </c>
      <c r="T13" s="29">
        <v>8</v>
      </c>
      <c r="U13" s="29">
        <v>0</v>
      </c>
      <c r="V13" s="29">
        <v>0</v>
      </c>
      <c r="W13" s="29">
        <v>74</v>
      </c>
      <c r="X13" s="29">
        <f>W13-T13</f>
        <v>66</v>
      </c>
      <c r="Y13" s="29"/>
    </row>
    <row r="14" spans="1:25" x14ac:dyDescent="0.25">
      <c r="A14" s="29">
        <v>105</v>
      </c>
      <c r="B14" s="29">
        <v>5</v>
      </c>
      <c r="C14" s="29">
        <v>0</v>
      </c>
      <c r="D14" s="30">
        <v>44740</v>
      </c>
      <c r="E14" s="30" t="s">
        <v>11</v>
      </c>
      <c r="F14" s="29" t="s">
        <v>48</v>
      </c>
      <c r="G14" s="30" t="s">
        <v>81</v>
      </c>
      <c r="H14" s="31">
        <v>9</v>
      </c>
      <c r="I14" s="32">
        <v>1</v>
      </c>
      <c r="J14" s="33">
        <v>0.32</v>
      </c>
      <c r="K14" s="33">
        <v>0.28999999999999998</v>
      </c>
      <c r="L14" s="34">
        <v>0.08</v>
      </c>
      <c r="M14" s="29">
        <v>76</v>
      </c>
      <c r="N14" s="29">
        <v>3</v>
      </c>
      <c r="O14" s="29">
        <v>0</v>
      </c>
      <c r="P14" s="29">
        <v>8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2</v>
      </c>
      <c r="W14" s="29">
        <v>89</v>
      </c>
      <c r="X14" s="29">
        <f>W14-T14</f>
        <v>89</v>
      </c>
      <c r="Y14" s="29"/>
    </row>
    <row r="15" spans="1:25" x14ac:dyDescent="0.25">
      <c r="A15" s="29">
        <v>209</v>
      </c>
      <c r="B15" s="29">
        <v>5</v>
      </c>
      <c r="C15" s="29">
        <v>0</v>
      </c>
      <c r="D15" s="30">
        <v>44740</v>
      </c>
      <c r="E15" s="30" t="s">
        <v>11</v>
      </c>
      <c r="F15" s="29" t="s">
        <v>47</v>
      </c>
      <c r="G15" s="30" t="s">
        <v>81</v>
      </c>
      <c r="H15" s="31">
        <v>9</v>
      </c>
      <c r="I15" s="32">
        <v>1</v>
      </c>
      <c r="J15" s="33">
        <v>0.32</v>
      </c>
      <c r="K15" s="33">
        <v>0.31</v>
      </c>
      <c r="L15" s="34">
        <v>0.05</v>
      </c>
      <c r="M15" s="29">
        <v>106</v>
      </c>
      <c r="N15" s="29">
        <v>4</v>
      </c>
      <c r="O15" s="29">
        <v>0</v>
      </c>
      <c r="P15" s="29">
        <v>159</v>
      </c>
      <c r="Q15" s="29">
        <f>SUM(6+1+3)</f>
        <v>10</v>
      </c>
      <c r="R15" s="29">
        <f>SUM(4+12+11)</f>
        <v>27</v>
      </c>
      <c r="S15" s="29">
        <f>SUM(13+23+15)</f>
        <v>51</v>
      </c>
      <c r="T15" s="29">
        <v>88</v>
      </c>
      <c r="U15" s="29">
        <v>0</v>
      </c>
      <c r="V15" s="29">
        <v>0</v>
      </c>
      <c r="W15" s="29">
        <v>357</v>
      </c>
      <c r="X15" s="29">
        <f>W15-T15</f>
        <v>269</v>
      </c>
      <c r="Y15" s="29"/>
    </row>
    <row r="16" spans="1:25" x14ac:dyDescent="0.25">
      <c r="A16" s="29">
        <v>309</v>
      </c>
      <c r="B16" s="29">
        <v>5</v>
      </c>
      <c r="C16" s="29">
        <v>0</v>
      </c>
      <c r="D16" s="30">
        <v>44740</v>
      </c>
      <c r="E16" s="30" t="s">
        <v>11</v>
      </c>
      <c r="F16" s="29" t="s">
        <v>47</v>
      </c>
      <c r="G16" s="30" t="s">
        <v>81</v>
      </c>
      <c r="H16" s="31">
        <v>9</v>
      </c>
      <c r="I16" s="32">
        <v>1</v>
      </c>
      <c r="J16" s="33">
        <v>0.3</v>
      </c>
      <c r="K16" s="33">
        <v>0.28999999999999998</v>
      </c>
      <c r="L16" s="34">
        <v>0.03</v>
      </c>
      <c r="M16" s="29">
        <v>592</v>
      </c>
      <c r="N16" s="29">
        <v>1</v>
      </c>
      <c r="O16" s="29">
        <v>0</v>
      </c>
      <c r="P16" s="29">
        <v>24</v>
      </c>
      <c r="Q16" s="29">
        <v>0</v>
      </c>
      <c r="R16" s="29">
        <v>0</v>
      </c>
      <c r="S16" s="29">
        <v>0</v>
      </c>
      <c r="T16" s="29">
        <v>0</v>
      </c>
      <c r="U16" s="29">
        <v>5</v>
      </c>
      <c r="V16" s="29">
        <v>2</v>
      </c>
      <c r="W16" s="29">
        <v>624</v>
      </c>
      <c r="X16" s="29">
        <f>W16-T16</f>
        <v>624</v>
      </c>
      <c r="Y16" s="29"/>
    </row>
    <row r="17" spans="1:25" x14ac:dyDescent="0.25">
      <c r="A17" s="29">
        <v>106</v>
      </c>
      <c r="B17" s="29">
        <v>6</v>
      </c>
      <c r="C17" s="29">
        <v>0</v>
      </c>
      <c r="D17" s="30">
        <v>44740</v>
      </c>
      <c r="E17" s="30" t="s">
        <v>11</v>
      </c>
      <c r="F17" s="30" t="s">
        <v>47</v>
      </c>
      <c r="G17" s="30" t="s">
        <v>81</v>
      </c>
      <c r="H17" s="31">
        <v>9</v>
      </c>
      <c r="I17" s="32">
        <v>0</v>
      </c>
      <c r="J17" s="33">
        <v>0.3</v>
      </c>
      <c r="K17" s="33">
        <v>0.23</v>
      </c>
      <c r="L17" s="34">
        <v>0.23</v>
      </c>
      <c r="M17" s="29">
        <v>59</v>
      </c>
      <c r="N17" s="29">
        <v>0</v>
      </c>
      <c r="O17" s="29">
        <v>0</v>
      </c>
      <c r="P17" s="29">
        <v>12</v>
      </c>
      <c r="Q17" s="29">
        <v>1</v>
      </c>
      <c r="R17" s="29">
        <v>7</v>
      </c>
      <c r="S17" s="29">
        <v>15</v>
      </c>
      <c r="T17" s="29">
        <v>23</v>
      </c>
      <c r="U17" s="29">
        <v>2</v>
      </c>
      <c r="V17" s="29">
        <v>1</v>
      </c>
      <c r="W17" s="29">
        <v>97</v>
      </c>
      <c r="X17" s="29">
        <f>W17-T17</f>
        <v>74</v>
      </c>
      <c r="Y17" s="29"/>
    </row>
    <row r="18" spans="1:25" x14ac:dyDescent="0.25">
      <c r="A18" s="29">
        <v>204</v>
      </c>
      <c r="B18" s="29">
        <v>6</v>
      </c>
      <c r="C18" s="29">
        <v>0</v>
      </c>
      <c r="D18" s="30">
        <v>44740</v>
      </c>
      <c r="E18" s="30" t="s">
        <v>11</v>
      </c>
      <c r="F18" s="30" t="s">
        <v>47</v>
      </c>
      <c r="G18" s="30" t="s">
        <v>81</v>
      </c>
      <c r="H18" s="31">
        <v>9</v>
      </c>
      <c r="I18" s="32">
        <v>0</v>
      </c>
      <c r="J18" s="33">
        <v>30</v>
      </c>
      <c r="K18" s="33">
        <v>0.25</v>
      </c>
      <c r="L18" s="34">
        <v>0.16</v>
      </c>
      <c r="M18" s="29">
        <v>27</v>
      </c>
      <c r="N18" s="29">
        <v>2</v>
      </c>
      <c r="O18" s="29">
        <v>1</v>
      </c>
      <c r="P18" s="29">
        <v>86</v>
      </c>
      <c r="Q18" s="29">
        <v>0</v>
      </c>
      <c r="R18" s="29">
        <v>1</v>
      </c>
      <c r="S18" s="29">
        <v>0</v>
      </c>
      <c r="T18" s="29">
        <v>1</v>
      </c>
      <c r="U18" s="29">
        <v>165</v>
      </c>
      <c r="V18" s="29">
        <v>38</v>
      </c>
      <c r="W18" s="29">
        <v>320</v>
      </c>
      <c r="X18" s="29">
        <f>W18-T18</f>
        <v>319</v>
      </c>
      <c r="Y18" s="29"/>
    </row>
    <row r="19" spans="1:25" x14ac:dyDescent="0.25">
      <c r="A19" s="29">
        <v>310</v>
      </c>
      <c r="B19" s="29">
        <v>6</v>
      </c>
      <c r="C19" s="29">
        <v>0</v>
      </c>
      <c r="D19" s="30">
        <v>44740</v>
      </c>
      <c r="E19" s="30" t="s">
        <v>11</v>
      </c>
      <c r="F19" s="30" t="s">
        <v>48</v>
      </c>
      <c r="G19" s="30" t="s">
        <v>81</v>
      </c>
      <c r="H19" s="31">
        <v>9</v>
      </c>
      <c r="I19" s="32">
        <v>0</v>
      </c>
      <c r="J19" s="33">
        <v>0.32</v>
      </c>
      <c r="K19" s="33">
        <v>0.31</v>
      </c>
      <c r="L19" s="34">
        <v>0.02</v>
      </c>
      <c r="M19" s="29">
        <v>529</v>
      </c>
      <c r="N19" s="29">
        <v>24</v>
      </c>
      <c r="O19" s="29">
        <v>0</v>
      </c>
      <c r="P19" s="29">
        <v>5</v>
      </c>
      <c r="Q19" s="29">
        <v>2</v>
      </c>
      <c r="R19" s="29">
        <v>1</v>
      </c>
      <c r="S19" s="29">
        <v>1</v>
      </c>
      <c r="T19" s="29">
        <v>4</v>
      </c>
      <c r="U19" s="29">
        <v>3</v>
      </c>
      <c r="V19" s="29">
        <v>0</v>
      </c>
      <c r="W19" s="29">
        <v>565</v>
      </c>
      <c r="X19" s="29">
        <f>W19-T19</f>
        <v>561</v>
      </c>
      <c r="Y19" s="29"/>
    </row>
    <row r="20" spans="1:25" x14ac:dyDescent="0.25">
      <c r="A20" s="29">
        <v>107</v>
      </c>
      <c r="B20" s="29">
        <v>7</v>
      </c>
      <c r="C20" s="29">
        <v>0</v>
      </c>
      <c r="D20" s="30">
        <v>44740</v>
      </c>
      <c r="E20" s="30" t="s">
        <v>12</v>
      </c>
      <c r="F20" s="30" t="s">
        <v>47</v>
      </c>
      <c r="G20" s="30" t="s">
        <v>81</v>
      </c>
      <c r="H20" s="31">
        <v>6</v>
      </c>
      <c r="I20" s="32"/>
      <c r="J20" s="33"/>
      <c r="K20" s="33"/>
      <c r="L20" s="34"/>
      <c r="M20" s="29">
        <v>29</v>
      </c>
      <c r="N20" s="29">
        <v>8</v>
      </c>
      <c r="O20" s="29">
        <v>1</v>
      </c>
      <c r="P20" s="29">
        <v>32</v>
      </c>
      <c r="Q20" s="29">
        <v>6</v>
      </c>
      <c r="R20" s="29">
        <v>7</v>
      </c>
      <c r="S20" s="29">
        <v>7</v>
      </c>
      <c r="T20" s="29">
        <v>20</v>
      </c>
      <c r="U20" s="29">
        <v>0</v>
      </c>
      <c r="V20" s="29">
        <v>1</v>
      </c>
      <c r="W20" s="29">
        <v>91</v>
      </c>
      <c r="X20" s="29">
        <f>W20-T20</f>
        <v>71</v>
      </c>
      <c r="Y20" s="29"/>
    </row>
    <row r="21" spans="1:25" x14ac:dyDescent="0.25">
      <c r="A21" s="29">
        <v>203</v>
      </c>
      <c r="B21" s="29">
        <v>7</v>
      </c>
      <c r="C21" s="29">
        <v>0</v>
      </c>
      <c r="D21" s="30">
        <v>44740</v>
      </c>
      <c r="E21" s="30" t="s">
        <v>12</v>
      </c>
      <c r="F21" s="29" t="s">
        <v>47</v>
      </c>
      <c r="G21" s="30" t="s">
        <v>81</v>
      </c>
      <c r="H21" s="31">
        <v>6</v>
      </c>
      <c r="I21" s="32"/>
      <c r="J21" s="33"/>
      <c r="K21" s="33"/>
      <c r="L21" s="34"/>
      <c r="M21" s="29">
        <v>83</v>
      </c>
      <c r="N21" s="29">
        <v>16</v>
      </c>
      <c r="O21" s="29">
        <v>0</v>
      </c>
      <c r="P21" s="29">
        <v>3</v>
      </c>
      <c r="Q21" s="29">
        <v>6</v>
      </c>
      <c r="R21" s="29">
        <v>8</v>
      </c>
      <c r="S21" s="29">
        <v>9</v>
      </c>
      <c r="T21" s="29">
        <v>23</v>
      </c>
      <c r="U21" s="29">
        <v>2</v>
      </c>
      <c r="V21" s="29">
        <v>6</v>
      </c>
      <c r="W21" s="29">
        <v>133</v>
      </c>
      <c r="X21" s="29">
        <f>W21-T21</f>
        <v>110</v>
      </c>
      <c r="Y21" s="29"/>
    </row>
    <row r="22" spans="1:25" x14ac:dyDescent="0.25">
      <c r="A22" s="35">
        <v>312</v>
      </c>
      <c r="B22" s="35">
        <v>7</v>
      </c>
      <c r="C22" s="35">
        <v>0</v>
      </c>
      <c r="D22" s="36">
        <v>44740</v>
      </c>
      <c r="E22" s="36" t="s">
        <v>12</v>
      </c>
      <c r="F22" s="35" t="s">
        <v>47</v>
      </c>
      <c r="G22" s="30" t="s">
        <v>81</v>
      </c>
      <c r="H22" s="37">
        <v>6</v>
      </c>
      <c r="I22" s="38"/>
      <c r="J22" s="39"/>
      <c r="K22" s="39"/>
      <c r="L22" s="40"/>
      <c r="M22" s="35">
        <v>172</v>
      </c>
      <c r="N22" s="35">
        <v>1</v>
      </c>
      <c r="O22" s="35">
        <v>0</v>
      </c>
      <c r="P22" s="35">
        <v>32</v>
      </c>
      <c r="Q22" s="35">
        <v>0</v>
      </c>
      <c r="R22" s="35">
        <v>0</v>
      </c>
      <c r="S22" s="35">
        <v>0</v>
      </c>
      <c r="T22" s="35">
        <v>0</v>
      </c>
      <c r="U22" s="35">
        <v>2</v>
      </c>
      <c r="V22" s="35">
        <v>0</v>
      </c>
      <c r="W22" s="35">
        <v>207</v>
      </c>
      <c r="X22" s="29">
        <f>W22-T22</f>
        <v>207</v>
      </c>
      <c r="Y22" s="35"/>
    </row>
    <row r="23" spans="1:25" x14ac:dyDescent="0.25">
      <c r="A23" s="29">
        <v>108</v>
      </c>
      <c r="B23" s="29">
        <v>8</v>
      </c>
      <c r="C23" s="29">
        <v>0</v>
      </c>
      <c r="D23" s="30">
        <v>44740</v>
      </c>
      <c r="E23" s="29" t="s">
        <v>12</v>
      </c>
      <c r="F23" s="30" t="s">
        <v>48</v>
      </c>
      <c r="G23" s="30" t="s">
        <v>81</v>
      </c>
      <c r="H23" s="31">
        <v>9</v>
      </c>
      <c r="I23" s="32"/>
      <c r="J23" s="33"/>
      <c r="K23" s="33"/>
      <c r="L23" s="34"/>
      <c r="M23" s="29">
        <v>53</v>
      </c>
      <c r="N23" s="29">
        <v>1</v>
      </c>
      <c r="O23" s="29">
        <v>0</v>
      </c>
      <c r="P23" s="29">
        <v>18</v>
      </c>
      <c r="Q23" s="29">
        <v>13</v>
      </c>
      <c r="R23" s="29">
        <v>3</v>
      </c>
      <c r="S23" s="29">
        <v>1</v>
      </c>
      <c r="T23" s="29">
        <v>17</v>
      </c>
      <c r="U23" s="29">
        <v>0</v>
      </c>
      <c r="V23" s="29">
        <v>2</v>
      </c>
      <c r="W23" s="29">
        <v>91</v>
      </c>
      <c r="X23" s="29">
        <f>W23-T23</f>
        <v>74</v>
      </c>
      <c r="Y23" s="29"/>
    </row>
    <row r="24" spans="1:25" x14ac:dyDescent="0.25">
      <c r="A24" s="29">
        <v>207</v>
      </c>
      <c r="B24" s="29">
        <v>8</v>
      </c>
      <c r="C24" s="29">
        <v>0</v>
      </c>
      <c r="D24" s="30">
        <v>44740</v>
      </c>
      <c r="E24" s="30" t="s">
        <v>12</v>
      </c>
      <c r="F24" s="29" t="s">
        <v>47</v>
      </c>
      <c r="G24" s="30" t="s">
        <v>81</v>
      </c>
      <c r="H24" s="31">
        <v>9</v>
      </c>
      <c r="I24" s="32"/>
      <c r="J24" s="33"/>
      <c r="K24" s="33"/>
      <c r="L24" s="34"/>
      <c r="M24" s="29">
        <v>135</v>
      </c>
      <c r="N24" s="29">
        <v>0</v>
      </c>
      <c r="O24" s="29">
        <v>11</v>
      </c>
      <c r="P24" s="29">
        <v>52</v>
      </c>
      <c r="Q24" s="29">
        <v>1</v>
      </c>
      <c r="R24" s="29">
        <v>0</v>
      </c>
      <c r="S24" s="29">
        <v>1</v>
      </c>
      <c r="T24" s="29">
        <v>2</v>
      </c>
      <c r="U24" s="29">
        <v>94</v>
      </c>
      <c r="V24" s="29">
        <v>0</v>
      </c>
      <c r="W24" s="29">
        <v>294</v>
      </c>
      <c r="X24" s="29">
        <f>W24-T24</f>
        <v>292</v>
      </c>
      <c r="Y24" s="29"/>
    </row>
    <row r="25" spans="1:25" x14ac:dyDescent="0.25">
      <c r="A25" s="29">
        <v>308</v>
      </c>
      <c r="B25" s="29">
        <v>8</v>
      </c>
      <c r="C25" s="29">
        <v>0</v>
      </c>
      <c r="D25" s="30">
        <v>44740</v>
      </c>
      <c r="E25" s="30" t="s">
        <v>12</v>
      </c>
      <c r="F25" s="29" t="s">
        <v>47</v>
      </c>
      <c r="G25" s="30" t="s">
        <v>81</v>
      </c>
      <c r="H25" s="31">
        <v>9</v>
      </c>
      <c r="I25" s="32"/>
      <c r="J25" s="33"/>
      <c r="K25" s="33"/>
      <c r="L25" s="34"/>
      <c r="M25" s="29">
        <v>160</v>
      </c>
      <c r="N25" s="29">
        <v>0</v>
      </c>
      <c r="O25" s="29">
        <v>0</v>
      </c>
      <c r="P25" s="29">
        <v>21</v>
      </c>
      <c r="Q25" s="29">
        <v>0</v>
      </c>
      <c r="R25" s="29">
        <v>0</v>
      </c>
      <c r="S25" s="29">
        <v>1</v>
      </c>
      <c r="T25" s="29">
        <v>1</v>
      </c>
      <c r="U25" s="29">
        <v>5</v>
      </c>
      <c r="V25" s="29">
        <v>0</v>
      </c>
      <c r="W25" s="29">
        <v>187</v>
      </c>
      <c r="X25" s="29">
        <f>W25-T25</f>
        <v>186</v>
      </c>
      <c r="Y25" s="29"/>
    </row>
    <row r="26" spans="1:25" x14ac:dyDescent="0.25">
      <c r="A26" s="29">
        <v>109</v>
      </c>
      <c r="B26" s="29">
        <v>9</v>
      </c>
      <c r="C26" s="29">
        <v>0</v>
      </c>
      <c r="D26" s="30">
        <v>44740</v>
      </c>
      <c r="E26" s="30" t="s">
        <v>11</v>
      </c>
      <c r="F26" s="29" t="s">
        <v>48</v>
      </c>
      <c r="G26" s="30" t="s">
        <v>81</v>
      </c>
      <c r="H26" s="31">
        <v>9</v>
      </c>
      <c r="I26" s="32">
        <v>1</v>
      </c>
      <c r="J26" s="33">
        <v>0.28999999999999998</v>
      </c>
      <c r="K26" s="33">
        <v>0.25</v>
      </c>
      <c r="L26" s="34">
        <v>0.14000000000000001</v>
      </c>
      <c r="M26" s="29">
        <v>35</v>
      </c>
      <c r="N26" s="29">
        <v>2</v>
      </c>
      <c r="O26" s="29">
        <v>0</v>
      </c>
      <c r="P26" s="29">
        <v>27</v>
      </c>
      <c r="Q26" s="29">
        <v>5</v>
      </c>
      <c r="R26" s="29">
        <v>0</v>
      </c>
      <c r="S26" s="29">
        <v>1</v>
      </c>
      <c r="T26" s="29">
        <v>6</v>
      </c>
      <c r="U26" s="29">
        <v>0</v>
      </c>
      <c r="V26" s="29">
        <v>2</v>
      </c>
      <c r="W26" s="29">
        <v>72</v>
      </c>
      <c r="X26" s="29">
        <f>W26-T26</f>
        <v>66</v>
      </c>
      <c r="Y26" s="29"/>
    </row>
    <row r="27" spans="1:25" x14ac:dyDescent="0.25">
      <c r="A27" s="29">
        <v>208</v>
      </c>
      <c r="B27" s="29">
        <v>9</v>
      </c>
      <c r="C27" s="29">
        <v>0</v>
      </c>
      <c r="D27" s="30">
        <v>44740</v>
      </c>
      <c r="E27" s="30" t="s">
        <v>11</v>
      </c>
      <c r="F27" s="29" t="s">
        <v>48</v>
      </c>
      <c r="G27" s="30" t="s">
        <v>81</v>
      </c>
      <c r="H27" s="31">
        <v>9</v>
      </c>
      <c r="I27" s="32">
        <v>1</v>
      </c>
      <c r="J27" s="33">
        <v>0.31</v>
      </c>
      <c r="K27" s="33">
        <v>0.27</v>
      </c>
      <c r="L27" s="34">
        <v>0.12</v>
      </c>
      <c r="M27" s="29">
        <v>181</v>
      </c>
      <c r="N27" s="29">
        <v>23</v>
      </c>
      <c r="O27" s="29">
        <v>29</v>
      </c>
      <c r="P27" s="29">
        <v>65</v>
      </c>
      <c r="Q27" s="29">
        <v>0</v>
      </c>
      <c r="R27" s="29">
        <v>0</v>
      </c>
      <c r="S27" s="29">
        <v>0</v>
      </c>
      <c r="T27" s="29">
        <v>0</v>
      </c>
      <c r="U27" s="29">
        <v>128</v>
      </c>
      <c r="V27" s="29">
        <v>0</v>
      </c>
      <c r="W27" s="29">
        <v>426</v>
      </c>
      <c r="X27" s="29">
        <f>W27-T27</f>
        <v>426</v>
      </c>
      <c r="Y27" s="29"/>
    </row>
    <row r="28" spans="1:25" x14ac:dyDescent="0.25">
      <c r="A28" s="29">
        <v>311</v>
      </c>
      <c r="B28" s="29">
        <v>9</v>
      </c>
      <c r="C28" s="29">
        <v>0</v>
      </c>
      <c r="D28" s="30">
        <v>44740</v>
      </c>
      <c r="E28" s="30" t="s">
        <v>11</v>
      </c>
      <c r="F28" s="29" t="s">
        <v>48</v>
      </c>
      <c r="G28" s="30" t="s">
        <v>81</v>
      </c>
      <c r="H28" s="31">
        <v>9.5</v>
      </c>
      <c r="I28" s="32">
        <v>1</v>
      </c>
      <c r="J28" s="33">
        <v>0.32</v>
      </c>
      <c r="K28" s="33">
        <v>0.28000000000000003</v>
      </c>
      <c r="L28" s="34">
        <v>0.14000000000000001</v>
      </c>
      <c r="M28" s="29">
        <v>84</v>
      </c>
      <c r="N28" s="29">
        <v>0</v>
      </c>
      <c r="O28" s="29">
        <v>0</v>
      </c>
      <c r="P28" s="29">
        <v>31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115</v>
      </c>
      <c r="X28" s="29">
        <f>W28-T28</f>
        <v>115</v>
      </c>
      <c r="Y28" s="29"/>
    </row>
    <row r="29" spans="1:25" x14ac:dyDescent="0.25">
      <c r="A29" s="29">
        <v>110</v>
      </c>
      <c r="B29" s="29">
        <v>10</v>
      </c>
      <c r="C29" s="29">
        <v>0</v>
      </c>
      <c r="D29" s="30">
        <v>44740</v>
      </c>
      <c r="E29" s="30" t="s">
        <v>11</v>
      </c>
      <c r="F29" s="30" t="s">
        <v>47</v>
      </c>
      <c r="G29" s="30" t="s">
        <v>81</v>
      </c>
      <c r="H29" s="31">
        <v>9</v>
      </c>
      <c r="I29" s="32">
        <v>0</v>
      </c>
      <c r="J29" s="33">
        <v>0.3</v>
      </c>
      <c r="K29" s="33">
        <v>0.26</v>
      </c>
      <c r="L29" s="34">
        <v>0.14000000000000001</v>
      </c>
      <c r="M29" s="29">
        <v>27</v>
      </c>
      <c r="N29" s="29">
        <v>13</v>
      </c>
      <c r="O29" s="29">
        <v>0</v>
      </c>
      <c r="P29" s="29">
        <v>35</v>
      </c>
      <c r="Q29" s="29">
        <v>3</v>
      </c>
      <c r="R29" s="29">
        <v>2</v>
      </c>
      <c r="S29" s="29">
        <v>1</v>
      </c>
      <c r="T29" s="29">
        <v>6</v>
      </c>
      <c r="U29" s="29">
        <v>9</v>
      </c>
      <c r="V29" s="29">
        <v>1</v>
      </c>
      <c r="W29" s="29">
        <v>91</v>
      </c>
      <c r="X29" s="29">
        <f>W29-T29</f>
        <v>85</v>
      </c>
      <c r="Y29" s="29"/>
    </row>
    <row r="30" spans="1:25" x14ac:dyDescent="0.25">
      <c r="A30" s="29">
        <v>201</v>
      </c>
      <c r="B30" s="29">
        <v>10</v>
      </c>
      <c r="C30" s="29">
        <v>0</v>
      </c>
      <c r="D30" s="30">
        <v>44740</v>
      </c>
      <c r="E30" s="30" t="s">
        <v>11</v>
      </c>
      <c r="F30" s="30" t="s">
        <v>47</v>
      </c>
      <c r="G30" s="30" t="s">
        <v>81</v>
      </c>
      <c r="H30" s="31">
        <v>9</v>
      </c>
      <c r="I30" s="32">
        <v>0</v>
      </c>
      <c r="J30" s="33">
        <v>0.28999999999999998</v>
      </c>
      <c r="K30" s="33">
        <v>0.23</v>
      </c>
      <c r="L30" s="34">
        <v>0.22</v>
      </c>
      <c r="M30" s="29">
        <v>112</v>
      </c>
      <c r="N30" s="29">
        <v>0</v>
      </c>
      <c r="O30" s="29">
        <v>0</v>
      </c>
      <c r="P30" s="29">
        <v>41</v>
      </c>
      <c r="Q30" s="29">
        <v>4</v>
      </c>
      <c r="R30" s="29">
        <v>1</v>
      </c>
      <c r="S30" s="29">
        <v>7</v>
      </c>
      <c r="T30" s="29">
        <v>12</v>
      </c>
      <c r="U30" s="29">
        <v>0</v>
      </c>
      <c r="V30" s="29">
        <v>1</v>
      </c>
      <c r="W30" s="29">
        <v>166</v>
      </c>
      <c r="X30" s="29">
        <f>W30-T30</f>
        <v>154</v>
      </c>
      <c r="Y30" s="29"/>
    </row>
    <row r="31" spans="1:25" x14ac:dyDescent="0.25">
      <c r="A31" s="29">
        <v>301</v>
      </c>
      <c r="B31" s="29">
        <v>10</v>
      </c>
      <c r="C31" s="29">
        <v>0</v>
      </c>
      <c r="D31" s="30">
        <v>44740</v>
      </c>
      <c r="E31" s="30" t="s">
        <v>11</v>
      </c>
      <c r="F31" s="30" t="s">
        <v>47</v>
      </c>
      <c r="G31" s="30" t="s">
        <v>81</v>
      </c>
      <c r="H31" s="31">
        <v>9</v>
      </c>
      <c r="I31" s="32">
        <v>0</v>
      </c>
      <c r="J31" s="33">
        <v>0.33</v>
      </c>
      <c r="K31" s="33">
        <v>0.31</v>
      </c>
      <c r="L31" s="34">
        <v>0.05</v>
      </c>
      <c r="M31" s="29">
        <v>861</v>
      </c>
      <c r="N31" s="29">
        <v>3</v>
      </c>
      <c r="O31" s="29">
        <v>0</v>
      </c>
      <c r="P31" s="29">
        <v>11</v>
      </c>
      <c r="Q31" s="29">
        <v>3</v>
      </c>
      <c r="R31" s="29">
        <v>9</v>
      </c>
      <c r="S31" s="29">
        <v>3</v>
      </c>
      <c r="T31" s="29">
        <v>15</v>
      </c>
      <c r="U31" s="29">
        <v>4</v>
      </c>
      <c r="V31" s="29">
        <v>0</v>
      </c>
      <c r="W31" s="29">
        <v>894</v>
      </c>
      <c r="X31" s="29">
        <f>W31-T31</f>
        <v>879</v>
      </c>
      <c r="Y31" s="29"/>
    </row>
    <row r="32" spans="1:25" x14ac:dyDescent="0.25">
      <c r="A32" s="29">
        <v>111</v>
      </c>
      <c r="B32" s="29">
        <v>11</v>
      </c>
      <c r="C32" s="29">
        <v>0</v>
      </c>
      <c r="D32" s="30">
        <v>44740</v>
      </c>
      <c r="E32" s="30" t="s">
        <v>11</v>
      </c>
      <c r="F32" s="29" t="s">
        <v>48</v>
      </c>
      <c r="G32" s="30" t="s">
        <v>81</v>
      </c>
      <c r="H32" s="31">
        <v>11.5</v>
      </c>
      <c r="I32" s="32">
        <v>1</v>
      </c>
      <c r="J32" s="33">
        <v>0.33</v>
      </c>
      <c r="K32" s="33">
        <v>0.23</v>
      </c>
      <c r="L32" s="34">
        <v>0.3</v>
      </c>
      <c r="M32" s="29">
        <v>16</v>
      </c>
      <c r="N32" s="29">
        <v>4</v>
      </c>
      <c r="O32" s="29">
        <v>0</v>
      </c>
      <c r="P32" s="29">
        <v>24</v>
      </c>
      <c r="Q32" s="29">
        <v>7</v>
      </c>
      <c r="R32" s="29">
        <v>5</v>
      </c>
      <c r="S32" s="29">
        <v>3</v>
      </c>
      <c r="T32" s="29">
        <v>15</v>
      </c>
      <c r="U32" s="29">
        <v>61</v>
      </c>
      <c r="V32" s="29">
        <v>6</v>
      </c>
      <c r="W32" s="29">
        <v>126</v>
      </c>
      <c r="X32" s="29">
        <f>W32-T32</f>
        <v>111</v>
      </c>
      <c r="Y32" s="29"/>
    </row>
    <row r="33" spans="1:25" x14ac:dyDescent="0.25">
      <c r="A33" s="29">
        <v>210</v>
      </c>
      <c r="B33" s="29">
        <v>11</v>
      </c>
      <c r="C33" s="29">
        <v>0</v>
      </c>
      <c r="D33" s="30">
        <v>44740</v>
      </c>
      <c r="E33" s="30" t="s">
        <v>11</v>
      </c>
      <c r="F33" s="30" t="s">
        <v>48</v>
      </c>
      <c r="G33" s="30" t="s">
        <v>81</v>
      </c>
      <c r="H33" s="31">
        <v>11.5</v>
      </c>
      <c r="I33" s="32">
        <v>1</v>
      </c>
      <c r="J33" s="33">
        <v>0.28999999999999998</v>
      </c>
      <c r="K33" s="33">
        <v>0.27</v>
      </c>
      <c r="L33" s="34">
        <v>7.0000000000000007E-2</v>
      </c>
      <c r="M33" s="29">
        <v>233</v>
      </c>
      <c r="N33" s="29">
        <v>0</v>
      </c>
      <c r="O33" s="29">
        <v>0</v>
      </c>
      <c r="P33" s="29">
        <v>69</v>
      </c>
      <c r="Q33" s="29">
        <v>5</v>
      </c>
      <c r="R33" s="29">
        <v>13</v>
      </c>
      <c r="S33" s="29">
        <v>26</v>
      </c>
      <c r="T33" s="29">
        <v>44</v>
      </c>
      <c r="U33" s="29">
        <v>9</v>
      </c>
      <c r="V33" s="29">
        <v>0</v>
      </c>
      <c r="W33" s="29">
        <v>355</v>
      </c>
      <c r="X33" s="29">
        <f>W33-T33</f>
        <v>311</v>
      </c>
      <c r="Y33" s="29"/>
    </row>
    <row r="34" spans="1:25" x14ac:dyDescent="0.25">
      <c r="A34" s="29">
        <v>305</v>
      </c>
      <c r="B34" s="29">
        <v>11</v>
      </c>
      <c r="C34" s="29">
        <v>0</v>
      </c>
      <c r="D34" s="30">
        <v>44740</v>
      </c>
      <c r="E34" s="30" t="s">
        <v>11</v>
      </c>
      <c r="F34" s="29" t="s">
        <v>47</v>
      </c>
      <c r="G34" s="30" t="s">
        <v>81</v>
      </c>
      <c r="H34" s="31">
        <v>11.5</v>
      </c>
      <c r="I34" s="32">
        <v>1</v>
      </c>
      <c r="J34" s="33">
        <v>0.31</v>
      </c>
      <c r="K34" s="33">
        <v>0.28999999999999998</v>
      </c>
      <c r="L34" s="34">
        <v>0.06</v>
      </c>
      <c r="M34" s="29">
        <v>479</v>
      </c>
      <c r="N34" s="29">
        <v>0</v>
      </c>
      <c r="O34" s="29">
        <v>0</v>
      </c>
      <c r="P34" s="29">
        <v>12</v>
      </c>
      <c r="Q34" s="29">
        <v>0</v>
      </c>
      <c r="R34" s="29">
        <v>1</v>
      </c>
      <c r="S34" s="29">
        <v>0</v>
      </c>
      <c r="T34" s="29">
        <v>1</v>
      </c>
      <c r="U34" s="29">
        <v>3</v>
      </c>
      <c r="V34" s="29">
        <v>2</v>
      </c>
      <c r="W34" s="29">
        <v>497</v>
      </c>
      <c r="X34" s="29">
        <f>W34-T34</f>
        <v>496</v>
      </c>
      <c r="Y34" s="29"/>
    </row>
    <row r="35" spans="1:25" x14ac:dyDescent="0.25">
      <c r="A35" s="29">
        <v>112</v>
      </c>
      <c r="B35" s="29">
        <v>12</v>
      </c>
      <c r="C35" s="29">
        <v>0</v>
      </c>
      <c r="D35" s="30">
        <v>44740</v>
      </c>
      <c r="E35" s="30" t="s">
        <v>11</v>
      </c>
      <c r="F35" s="30" t="s">
        <v>47</v>
      </c>
      <c r="G35" s="30" t="s">
        <v>81</v>
      </c>
      <c r="H35" s="31">
        <v>11.5</v>
      </c>
      <c r="I35" s="32">
        <v>0</v>
      </c>
      <c r="J35" s="33">
        <v>0.35</v>
      </c>
      <c r="K35" s="33">
        <v>0.26</v>
      </c>
      <c r="L35" s="34">
        <v>0.26</v>
      </c>
      <c r="M35" s="29">
        <v>23</v>
      </c>
      <c r="N35" s="29">
        <v>10</v>
      </c>
      <c r="O35" s="29">
        <v>0</v>
      </c>
      <c r="P35" s="29">
        <v>38</v>
      </c>
      <c r="Q35" s="29">
        <v>2</v>
      </c>
      <c r="R35" s="29">
        <v>1</v>
      </c>
      <c r="S35" s="29">
        <v>0</v>
      </c>
      <c r="T35" s="29">
        <v>3</v>
      </c>
      <c r="U35" s="29">
        <v>1</v>
      </c>
      <c r="V35" s="29">
        <v>0</v>
      </c>
      <c r="W35" s="29">
        <v>75</v>
      </c>
      <c r="X35" s="29">
        <f>W35-T35</f>
        <v>72</v>
      </c>
      <c r="Y35" s="29"/>
    </row>
    <row r="36" spans="1:25" x14ac:dyDescent="0.25">
      <c r="A36" s="29">
        <v>206</v>
      </c>
      <c r="B36" s="29">
        <v>12</v>
      </c>
      <c r="C36" s="29">
        <v>0</v>
      </c>
      <c r="D36" s="30">
        <v>44740</v>
      </c>
      <c r="E36" s="30" t="s">
        <v>11</v>
      </c>
      <c r="F36" s="29" t="s">
        <v>47</v>
      </c>
      <c r="G36" s="30" t="s">
        <v>81</v>
      </c>
      <c r="H36" s="31">
        <v>11.5</v>
      </c>
      <c r="I36" s="32">
        <v>0</v>
      </c>
      <c r="J36" s="33">
        <v>0.32</v>
      </c>
      <c r="K36" s="33">
        <v>0.28000000000000003</v>
      </c>
      <c r="L36" s="34">
        <v>0.11</v>
      </c>
      <c r="M36" s="29">
        <v>397</v>
      </c>
      <c r="N36" s="29">
        <v>7</v>
      </c>
      <c r="O36" s="29">
        <v>12</v>
      </c>
      <c r="P36" s="29">
        <v>19</v>
      </c>
      <c r="Q36" s="29">
        <v>0</v>
      </c>
      <c r="R36" s="29">
        <v>0</v>
      </c>
      <c r="S36" s="29">
        <v>0</v>
      </c>
      <c r="T36" s="29">
        <v>0</v>
      </c>
      <c r="U36" s="29">
        <v>199</v>
      </c>
      <c r="V36" s="29">
        <v>0</v>
      </c>
      <c r="W36" s="29">
        <v>634</v>
      </c>
      <c r="X36" s="29">
        <f>W36-T36</f>
        <v>634</v>
      </c>
      <c r="Y36" s="29"/>
    </row>
    <row r="37" spans="1:25" x14ac:dyDescent="0.25">
      <c r="A37" s="29">
        <v>302</v>
      </c>
      <c r="B37" s="29">
        <v>12</v>
      </c>
      <c r="C37" s="29">
        <v>0</v>
      </c>
      <c r="D37" s="30">
        <v>44740</v>
      </c>
      <c r="E37" s="30" t="s">
        <v>11</v>
      </c>
      <c r="F37" s="29" t="s">
        <v>48</v>
      </c>
      <c r="G37" s="30" t="s">
        <v>81</v>
      </c>
      <c r="H37" s="31">
        <v>11.5</v>
      </c>
      <c r="I37" s="32">
        <v>0</v>
      </c>
      <c r="J37" s="33">
        <v>0.31</v>
      </c>
      <c r="K37" s="33">
        <v>0.23</v>
      </c>
      <c r="L37" s="34">
        <v>0.26</v>
      </c>
      <c r="M37" s="29">
        <v>19</v>
      </c>
      <c r="N37" s="29">
        <v>1</v>
      </c>
      <c r="O37" s="29">
        <v>0</v>
      </c>
      <c r="P37" s="29">
        <v>8</v>
      </c>
      <c r="Q37" s="29">
        <v>0</v>
      </c>
      <c r="R37" s="29">
        <v>0</v>
      </c>
      <c r="S37" s="29">
        <v>0</v>
      </c>
      <c r="T37" s="29">
        <v>0</v>
      </c>
      <c r="U37" s="29">
        <v>1</v>
      </c>
      <c r="V37" s="29">
        <v>0</v>
      </c>
      <c r="W37" s="29">
        <v>29</v>
      </c>
      <c r="X37" s="29">
        <f>W37-T37</f>
        <v>29</v>
      </c>
      <c r="Y37" s="29"/>
    </row>
    <row r="38" spans="1:25" x14ac:dyDescent="0.25">
      <c r="A38" s="29">
        <v>101</v>
      </c>
      <c r="B38" s="29">
        <v>1</v>
      </c>
      <c r="C38" s="29">
        <v>5</v>
      </c>
      <c r="D38" s="30">
        <v>44737</v>
      </c>
      <c r="E38" s="30" t="s">
        <v>11</v>
      </c>
      <c r="F38" s="30" t="s">
        <v>47</v>
      </c>
      <c r="G38" s="30" t="s">
        <v>80</v>
      </c>
      <c r="H38" s="31"/>
      <c r="I38" s="32">
        <v>1</v>
      </c>
      <c r="J38" s="33">
        <v>0.3</v>
      </c>
      <c r="K38" s="33">
        <v>0.13</v>
      </c>
      <c r="L38" s="34">
        <v>0.57999999999999996</v>
      </c>
      <c r="M38" s="29">
        <v>55</v>
      </c>
      <c r="N38" s="29">
        <v>0</v>
      </c>
      <c r="O38" s="29">
        <v>0</v>
      </c>
      <c r="P38" s="29">
        <v>29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1</v>
      </c>
      <c r="W38" s="29">
        <v>85</v>
      </c>
      <c r="X38" s="29">
        <f>W38-T38</f>
        <v>85</v>
      </c>
      <c r="Y38" s="29">
        <v>15</v>
      </c>
    </row>
    <row r="39" spans="1:25" x14ac:dyDescent="0.25">
      <c r="A39" s="29">
        <v>202</v>
      </c>
      <c r="B39" s="29">
        <v>1</v>
      </c>
      <c r="C39" s="29">
        <v>5</v>
      </c>
      <c r="D39" s="30">
        <v>44737</v>
      </c>
      <c r="E39" s="30" t="s">
        <v>11</v>
      </c>
      <c r="F39" s="30" t="s">
        <v>47</v>
      </c>
      <c r="G39" s="30" t="s">
        <v>80</v>
      </c>
      <c r="H39" s="31"/>
      <c r="I39" s="32">
        <v>1</v>
      </c>
      <c r="J39" s="33">
        <v>0.32</v>
      </c>
      <c r="K39" s="33">
        <v>0.16</v>
      </c>
      <c r="L39" s="34">
        <v>0.49</v>
      </c>
      <c r="M39" s="29">
        <v>275</v>
      </c>
      <c r="N39" s="29">
        <v>4</v>
      </c>
      <c r="O39" s="29">
        <v>0</v>
      </c>
      <c r="P39" s="29">
        <v>34</v>
      </c>
      <c r="Q39" s="29">
        <v>1</v>
      </c>
      <c r="R39" s="29">
        <v>0</v>
      </c>
      <c r="S39" s="29">
        <v>4</v>
      </c>
      <c r="T39" s="29">
        <v>5</v>
      </c>
      <c r="U39" s="29">
        <v>0</v>
      </c>
      <c r="V39" s="29">
        <v>6</v>
      </c>
      <c r="W39" s="29">
        <v>324</v>
      </c>
      <c r="X39" s="29">
        <f>W39-T39</f>
        <v>319</v>
      </c>
      <c r="Y39" s="29">
        <v>0</v>
      </c>
    </row>
    <row r="40" spans="1:25" x14ac:dyDescent="0.25">
      <c r="A40" s="29">
        <v>306</v>
      </c>
      <c r="B40" s="29">
        <v>1</v>
      </c>
      <c r="C40" s="29">
        <v>5</v>
      </c>
      <c r="D40" s="30">
        <v>44737</v>
      </c>
      <c r="E40" s="30" t="s">
        <v>11</v>
      </c>
      <c r="F40" s="30" t="s">
        <v>48</v>
      </c>
      <c r="G40" s="30" t="s">
        <v>80</v>
      </c>
      <c r="H40" s="31"/>
      <c r="I40" s="32">
        <v>1</v>
      </c>
      <c r="J40" s="33">
        <v>0.34</v>
      </c>
      <c r="K40" s="33">
        <v>0.22</v>
      </c>
      <c r="L40" s="34">
        <v>0.35</v>
      </c>
      <c r="M40" s="29">
        <v>138</v>
      </c>
      <c r="N40" s="29">
        <v>0</v>
      </c>
      <c r="O40" s="29">
        <v>0</v>
      </c>
      <c r="P40" s="29">
        <v>5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143</v>
      </c>
      <c r="X40" s="29">
        <f>W40-T40</f>
        <v>143</v>
      </c>
      <c r="Y40" s="29">
        <v>0</v>
      </c>
    </row>
    <row r="41" spans="1:25" x14ac:dyDescent="0.25">
      <c r="A41" s="29">
        <v>102</v>
      </c>
      <c r="B41" s="29">
        <v>2</v>
      </c>
      <c r="C41" s="29">
        <v>5</v>
      </c>
      <c r="D41" s="30">
        <v>44737</v>
      </c>
      <c r="E41" s="30" t="s">
        <v>11</v>
      </c>
      <c r="F41" s="30" t="s">
        <v>48</v>
      </c>
      <c r="G41" s="30" t="s">
        <v>80</v>
      </c>
      <c r="H41" s="31"/>
      <c r="I41" s="32">
        <v>5</v>
      </c>
      <c r="J41" s="33">
        <v>0.37</v>
      </c>
      <c r="K41" s="33">
        <v>0.13</v>
      </c>
      <c r="L41" s="34">
        <v>0.65</v>
      </c>
      <c r="M41" s="29">
        <v>15</v>
      </c>
      <c r="N41" s="29">
        <v>7</v>
      </c>
      <c r="O41" s="29">
        <v>0</v>
      </c>
      <c r="P41" s="29">
        <v>77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99</v>
      </c>
      <c r="X41" s="29">
        <f>W41-T41</f>
        <v>99</v>
      </c>
      <c r="Y41" s="29">
        <v>6</v>
      </c>
    </row>
    <row r="42" spans="1:25" x14ac:dyDescent="0.25">
      <c r="A42" s="29">
        <v>205</v>
      </c>
      <c r="B42" s="29">
        <v>2</v>
      </c>
      <c r="C42" s="29">
        <v>5</v>
      </c>
      <c r="D42" s="30">
        <v>44737</v>
      </c>
      <c r="E42" s="30" t="s">
        <v>11</v>
      </c>
      <c r="F42" s="30" t="s">
        <v>47</v>
      </c>
      <c r="G42" s="30" t="s">
        <v>80</v>
      </c>
      <c r="H42" s="31"/>
      <c r="I42" s="32">
        <v>5</v>
      </c>
      <c r="J42" s="33">
        <v>0.35</v>
      </c>
      <c r="K42" s="33">
        <v>0.1</v>
      </c>
      <c r="L42" s="34">
        <v>0.71</v>
      </c>
      <c r="M42" s="29">
        <v>120</v>
      </c>
      <c r="N42" s="29">
        <v>18</v>
      </c>
      <c r="O42" s="29">
        <v>3</v>
      </c>
      <c r="P42" s="29">
        <v>302</v>
      </c>
      <c r="Q42" s="29">
        <v>1</v>
      </c>
      <c r="R42" s="29">
        <v>0</v>
      </c>
      <c r="S42" s="29">
        <v>1</v>
      </c>
      <c r="T42" s="29">
        <v>2</v>
      </c>
      <c r="U42" s="29">
        <v>47</v>
      </c>
      <c r="V42" s="29">
        <v>4</v>
      </c>
      <c r="W42" s="29">
        <v>496</v>
      </c>
      <c r="X42" s="29">
        <f>W42-T42</f>
        <v>494</v>
      </c>
      <c r="Y42" s="29">
        <v>1</v>
      </c>
    </row>
    <row r="43" spans="1:25" x14ac:dyDescent="0.25">
      <c r="A43" s="29">
        <v>307</v>
      </c>
      <c r="B43" s="29">
        <v>2</v>
      </c>
      <c r="C43" s="29">
        <v>5</v>
      </c>
      <c r="D43" s="30">
        <v>44737</v>
      </c>
      <c r="E43" s="30" t="s">
        <v>11</v>
      </c>
      <c r="F43" s="30" t="s">
        <v>47</v>
      </c>
      <c r="G43" s="30" t="s">
        <v>80</v>
      </c>
      <c r="H43" s="31"/>
      <c r="I43" s="32">
        <v>5</v>
      </c>
      <c r="J43" s="33">
        <v>0.4</v>
      </c>
      <c r="K43" s="33">
        <v>7.0000000000000007E-2</v>
      </c>
      <c r="L43" s="34">
        <v>0.83</v>
      </c>
      <c r="M43" s="29">
        <v>102</v>
      </c>
      <c r="N43" s="29">
        <v>0</v>
      </c>
      <c r="O43" s="29">
        <v>0</v>
      </c>
      <c r="P43" s="29">
        <v>52</v>
      </c>
      <c r="Q43" s="29">
        <v>0</v>
      </c>
      <c r="R43" s="29">
        <v>0</v>
      </c>
      <c r="S43" s="29">
        <v>0</v>
      </c>
      <c r="T43" s="29">
        <v>0</v>
      </c>
      <c r="U43" s="29">
        <v>1</v>
      </c>
      <c r="V43" s="29">
        <v>0</v>
      </c>
      <c r="W43" s="29">
        <v>155</v>
      </c>
      <c r="X43" s="29">
        <f>W43-T43</f>
        <v>155</v>
      </c>
      <c r="Y43" s="29">
        <v>1</v>
      </c>
    </row>
    <row r="44" spans="1:25" x14ac:dyDescent="0.25">
      <c r="A44" s="29">
        <v>103</v>
      </c>
      <c r="B44" s="29">
        <v>3</v>
      </c>
      <c r="C44" s="29">
        <v>5</v>
      </c>
      <c r="D44" s="30">
        <v>44737</v>
      </c>
      <c r="E44" s="30" t="s">
        <v>12</v>
      </c>
      <c r="F44" s="30" t="s">
        <v>47</v>
      </c>
      <c r="G44" s="30" t="s">
        <v>80</v>
      </c>
      <c r="H44" s="31">
        <v>6</v>
      </c>
      <c r="I44" s="32"/>
      <c r="J44" s="33"/>
      <c r="K44" s="33"/>
      <c r="L44" s="34"/>
      <c r="M44" s="29">
        <v>0</v>
      </c>
      <c r="N44" s="29">
        <v>0</v>
      </c>
      <c r="O44" s="29">
        <v>0</v>
      </c>
      <c r="P44" s="29">
        <v>1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1</v>
      </c>
      <c r="X44" s="29">
        <f>W44-T44</f>
        <v>1</v>
      </c>
      <c r="Y44" s="29">
        <f>SUM( 14+25+6+16)</f>
        <v>61</v>
      </c>
    </row>
    <row r="45" spans="1:25" x14ac:dyDescent="0.25">
      <c r="A45" s="29">
        <v>212</v>
      </c>
      <c r="B45" s="29">
        <v>3</v>
      </c>
      <c r="C45" s="29">
        <v>5</v>
      </c>
      <c r="D45" s="30">
        <v>44737</v>
      </c>
      <c r="E45" s="30" t="s">
        <v>12</v>
      </c>
      <c r="F45" s="30" t="s">
        <v>47</v>
      </c>
      <c r="G45" s="30" t="s">
        <v>80</v>
      </c>
      <c r="H45" s="31">
        <v>6</v>
      </c>
      <c r="I45" s="32"/>
      <c r="J45" s="33"/>
      <c r="K45" s="33"/>
      <c r="L45" s="34"/>
      <c r="M45" s="29">
        <v>4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3</v>
      </c>
      <c r="T45" s="29">
        <v>3</v>
      </c>
      <c r="U45" s="29">
        <v>0</v>
      </c>
      <c r="V45" s="29">
        <v>3</v>
      </c>
      <c r="W45" s="29">
        <v>10</v>
      </c>
      <c r="X45" s="29">
        <f>W45-T45</f>
        <v>7</v>
      </c>
      <c r="Y45" s="29">
        <v>4</v>
      </c>
    </row>
    <row r="46" spans="1:25" x14ac:dyDescent="0.25">
      <c r="A46" s="29">
        <v>304</v>
      </c>
      <c r="B46" s="29">
        <v>3</v>
      </c>
      <c r="C46" s="29">
        <v>5</v>
      </c>
      <c r="D46" s="30">
        <v>44737</v>
      </c>
      <c r="E46" s="30" t="s">
        <v>12</v>
      </c>
      <c r="F46" s="30" t="s">
        <v>47</v>
      </c>
      <c r="G46" s="30" t="s">
        <v>80</v>
      </c>
      <c r="H46" s="31">
        <v>6</v>
      </c>
      <c r="I46" s="32"/>
      <c r="J46" s="33"/>
      <c r="K46" s="33"/>
      <c r="L46" s="34"/>
      <c r="M46" s="29">
        <v>1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1</v>
      </c>
      <c r="X46" s="29">
        <f>W46-T46</f>
        <v>1</v>
      </c>
      <c r="Y46" s="29">
        <v>16</v>
      </c>
    </row>
    <row r="47" spans="1:25" x14ac:dyDescent="0.25">
      <c r="A47" s="29">
        <v>104</v>
      </c>
      <c r="B47" s="29">
        <v>4</v>
      </c>
      <c r="C47" s="29">
        <v>5</v>
      </c>
      <c r="D47" s="30">
        <v>44737</v>
      </c>
      <c r="E47" s="30" t="s">
        <v>12</v>
      </c>
      <c r="F47" s="30" t="s">
        <v>48</v>
      </c>
      <c r="G47" s="30" t="s">
        <v>80</v>
      </c>
      <c r="H47" s="31">
        <v>6</v>
      </c>
      <c r="I47" s="32"/>
      <c r="J47" s="33"/>
      <c r="K47" s="33"/>
      <c r="L47" s="34"/>
      <c r="M47" s="29">
        <v>4</v>
      </c>
      <c r="N47" s="29">
        <v>0</v>
      </c>
      <c r="O47" s="29">
        <v>1</v>
      </c>
      <c r="P47" s="29">
        <v>3</v>
      </c>
      <c r="Q47" s="29">
        <v>0</v>
      </c>
      <c r="R47" s="29">
        <v>0</v>
      </c>
      <c r="S47" s="29">
        <v>0</v>
      </c>
      <c r="T47" s="29">
        <v>0</v>
      </c>
      <c r="U47" s="29">
        <v>0</v>
      </c>
      <c r="V47" s="29">
        <v>1</v>
      </c>
      <c r="W47" s="29">
        <v>9</v>
      </c>
      <c r="X47" s="29">
        <f>W47-T47</f>
        <v>9</v>
      </c>
      <c r="Y47" s="29">
        <v>15</v>
      </c>
    </row>
    <row r="48" spans="1:25" x14ac:dyDescent="0.25">
      <c r="A48" s="29">
        <v>211</v>
      </c>
      <c r="B48" s="29">
        <v>4</v>
      </c>
      <c r="C48" s="29">
        <v>5</v>
      </c>
      <c r="D48" s="30">
        <v>44737</v>
      </c>
      <c r="E48" s="30" t="s">
        <v>12</v>
      </c>
      <c r="F48" s="30" t="s">
        <v>48</v>
      </c>
      <c r="G48" s="30" t="s">
        <v>80</v>
      </c>
      <c r="H48" s="31">
        <v>9</v>
      </c>
      <c r="I48" s="32"/>
      <c r="J48" s="33"/>
      <c r="K48" s="33"/>
      <c r="L48" s="34"/>
      <c r="M48" s="29">
        <v>16</v>
      </c>
      <c r="N48" s="29">
        <v>0</v>
      </c>
      <c r="O48" s="29">
        <v>0</v>
      </c>
      <c r="P48" s="29">
        <v>0</v>
      </c>
      <c r="Q48" s="29">
        <v>0</v>
      </c>
      <c r="R48" s="29">
        <v>3</v>
      </c>
      <c r="S48" s="29">
        <v>1</v>
      </c>
      <c r="T48" s="29">
        <v>4</v>
      </c>
      <c r="U48" s="29">
        <v>0</v>
      </c>
      <c r="V48" s="29">
        <v>0</v>
      </c>
      <c r="W48" s="29">
        <v>20</v>
      </c>
      <c r="X48" s="29">
        <f>W48-T48</f>
        <v>16</v>
      </c>
      <c r="Y48" s="29">
        <v>4</v>
      </c>
    </row>
    <row r="49" spans="1:25" x14ac:dyDescent="0.25">
      <c r="A49" s="29">
        <v>303</v>
      </c>
      <c r="B49" s="29">
        <v>4</v>
      </c>
      <c r="C49" s="29">
        <v>5</v>
      </c>
      <c r="D49" s="30">
        <v>44737</v>
      </c>
      <c r="E49" s="30" t="s">
        <v>12</v>
      </c>
      <c r="F49" s="30" t="s">
        <v>48</v>
      </c>
      <c r="G49" s="30" t="s">
        <v>80</v>
      </c>
      <c r="H49" s="31">
        <v>9</v>
      </c>
      <c r="I49" s="32"/>
      <c r="J49" s="33"/>
      <c r="K49" s="33"/>
      <c r="L49" s="34"/>
      <c r="M49" s="29">
        <v>3</v>
      </c>
      <c r="N49" s="29">
        <v>0</v>
      </c>
      <c r="O49" s="29">
        <v>0</v>
      </c>
      <c r="P49" s="29">
        <v>1</v>
      </c>
      <c r="Q49" s="29">
        <v>0</v>
      </c>
      <c r="R49" s="29">
        <v>0</v>
      </c>
      <c r="S49" s="29">
        <v>0</v>
      </c>
      <c r="T49" s="29">
        <v>0</v>
      </c>
      <c r="U49" s="29">
        <v>0</v>
      </c>
      <c r="V49" s="29">
        <v>0</v>
      </c>
      <c r="W49" s="29">
        <v>4</v>
      </c>
      <c r="X49" s="29">
        <f>W49-T49</f>
        <v>4</v>
      </c>
      <c r="Y49" s="29">
        <v>5</v>
      </c>
    </row>
    <row r="50" spans="1:25" x14ac:dyDescent="0.25">
      <c r="A50" s="29">
        <v>105</v>
      </c>
      <c r="B50" s="29">
        <v>5</v>
      </c>
      <c r="C50" s="29">
        <v>5</v>
      </c>
      <c r="D50" s="30">
        <v>44745</v>
      </c>
      <c r="E50" s="30" t="s">
        <v>11</v>
      </c>
      <c r="F50" s="29" t="s">
        <v>48</v>
      </c>
      <c r="G50" s="30" t="s">
        <v>81</v>
      </c>
      <c r="H50" s="31">
        <v>9</v>
      </c>
      <c r="I50" s="32">
        <v>1</v>
      </c>
      <c r="J50" s="33">
        <v>0.32</v>
      </c>
      <c r="K50" s="33">
        <v>0.28999999999999998</v>
      </c>
      <c r="L50" s="34">
        <v>0.08</v>
      </c>
      <c r="M50" s="29">
        <v>29</v>
      </c>
      <c r="N50" s="29">
        <v>2</v>
      </c>
      <c r="O50" s="29">
        <v>0</v>
      </c>
      <c r="P50" s="29">
        <v>0</v>
      </c>
      <c r="Q50" s="29">
        <v>0</v>
      </c>
      <c r="R50" s="29">
        <v>0</v>
      </c>
      <c r="S50" s="29">
        <v>0</v>
      </c>
      <c r="T50" s="29">
        <v>0</v>
      </c>
      <c r="U50" s="29">
        <v>1</v>
      </c>
      <c r="V50" s="29">
        <v>0</v>
      </c>
      <c r="W50" s="29">
        <v>32</v>
      </c>
      <c r="X50" s="29">
        <f>W50-T50</f>
        <v>32</v>
      </c>
      <c r="Y50" s="29">
        <v>3</v>
      </c>
    </row>
    <row r="51" spans="1:25" x14ac:dyDescent="0.25">
      <c r="A51" s="29">
        <v>209</v>
      </c>
      <c r="B51" s="29">
        <v>5</v>
      </c>
      <c r="C51" s="29">
        <v>5</v>
      </c>
      <c r="D51" s="30">
        <v>44745</v>
      </c>
      <c r="E51" s="30" t="s">
        <v>11</v>
      </c>
      <c r="F51" s="29" t="s">
        <v>47</v>
      </c>
      <c r="G51" s="30" t="s">
        <v>81</v>
      </c>
      <c r="H51" s="31">
        <v>9</v>
      </c>
      <c r="I51" s="32">
        <v>1</v>
      </c>
      <c r="J51" s="33">
        <v>0.32</v>
      </c>
      <c r="K51" s="33">
        <v>0.31</v>
      </c>
      <c r="L51" s="34">
        <v>0.05</v>
      </c>
      <c r="M51" s="29">
        <v>5</v>
      </c>
      <c r="N51" s="29">
        <v>0</v>
      </c>
      <c r="O51" s="29">
        <v>0</v>
      </c>
      <c r="P51" s="29">
        <v>2</v>
      </c>
      <c r="Q51" s="29">
        <v>0</v>
      </c>
      <c r="R51" s="29">
        <v>4</v>
      </c>
      <c r="S51" s="29">
        <v>22</v>
      </c>
      <c r="T51" s="29">
        <v>26</v>
      </c>
      <c r="U51" s="29">
        <v>0</v>
      </c>
      <c r="V51" s="29">
        <v>0</v>
      </c>
      <c r="W51" s="29">
        <v>33</v>
      </c>
      <c r="X51" s="29">
        <f>W51-T51</f>
        <v>7</v>
      </c>
      <c r="Y51" s="29">
        <v>1</v>
      </c>
    </row>
    <row r="52" spans="1:25" x14ac:dyDescent="0.25">
      <c r="A52" s="29">
        <v>309</v>
      </c>
      <c r="B52" s="29">
        <v>5</v>
      </c>
      <c r="C52" s="29">
        <v>5</v>
      </c>
      <c r="D52" s="30">
        <v>44745</v>
      </c>
      <c r="E52" s="30" t="s">
        <v>11</v>
      </c>
      <c r="F52" s="29" t="s">
        <v>47</v>
      </c>
      <c r="G52" s="30" t="s">
        <v>81</v>
      </c>
      <c r="H52" s="31">
        <v>9</v>
      </c>
      <c r="I52" s="32">
        <v>1</v>
      </c>
      <c r="J52" s="33">
        <v>0.3</v>
      </c>
      <c r="K52" s="33">
        <v>0.28999999999999998</v>
      </c>
      <c r="L52" s="34">
        <v>0.03</v>
      </c>
      <c r="M52" s="29">
        <v>6</v>
      </c>
      <c r="N52" s="29">
        <v>0</v>
      </c>
      <c r="O52" s="29">
        <v>0</v>
      </c>
      <c r="P52" s="29">
        <v>0</v>
      </c>
      <c r="Q52" s="29">
        <v>0</v>
      </c>
      <c r="R52" s="29">
        <v>0</v>
      </c>
      <c r="S52" s="29">
        <v>0</v>
      </c>
      <c r="T52" s="29">
        <v>0</v>
      </c>
      <c r="U52" s="29">
        <v>0</v>
      </c>
      <c r="V52" s="29">
        <v>0</v>
      </c>
      <c r="W52" s="29">
        <v>6</v>
      </c>
      <c r="X52" s="29">
        <f>W52-T52</f>
        <v>6</v>
      </c>
      <c r="Y52" s="29">
        <v>0</v>
      </c>
    </row>
    <row r="53" spans="1:25" x14ac:dyDescent="0.25">
      <c r="A53" s="29">
        <v>106</v>
      </c>
      <c r="B53" s="29">
        <v>6</v>
      </c>
      <c r="C53" s="29">
        <v>5</v>
      </c>
      <c r="D53" s="30">
        <v>44745</v>
      </c>
      <c r="E53" s="30" t="s">
        <v>12</v>
      </c>
      <c r="F53" s="30" t="s">
        <v>47</v>
      </c>
      <c r="G53" s="30" t="s">
        <v>81</v>
      </c>
      <c r="H53" s="31">
        <v>9</v>
      </c>
      <c r="I53" s="32">
        <v>0</v>
      </c>
      <c r="J53" s="33">
        <v>0.3</v>
      </c>
      <c r="K53" s="33">
        <v>0.23</v>
      </c>
      <c r="L53" s="34">
        <v>0.23</v>
      </c>
      <c r="M53" s="29">
        <v>18</v>
      </c>
      <c r="N53" s="29">
        <v>0</v>
      </c>
      <c r="O53" s="29">
        <v>1</v>
      </c>
      <c r="P53" s="29">
        <v>4</v>
      </c>
      <c r="Q53" s="29">
        <v>19</v>
      </c>
      <c r="R53" s="29">
        <v>4</v>
      </c>
      <c r="S53" s="29">
        <v>21</v>
      </c>
      <c r="T53" s="29">
        <v>44</v>
      </c>
      <c r="U53" s="29">
        <v>0</v>
      </c>
      <c r="V53" s="29">
        <v>0</v>
      </c>
      <c r="W53" s="29">
        <v>67</v>
      </c>
      <c r="X53" s="29">
        <f>W53-T53</f>
        <v>23</v>
      </c>
      <c r="Y53" s="29">
        <v>4</v>
      </c>
    </row>
    <row r="54" spans="1:25" x14ac:dyDescent="0.25">
      <c r="A54" s="29">
        <v>204</v>
      </c>
      <c r="B54" s="29">
        <v>6</v>
      </c>
      <c r="C54" s="29">
        <v>5</v>
      </c>
      <c r="D54" s="30">
        <v>44745</v>
      </c>
      <c r="E54" s="30" t="s">
        <v>11</v>
      </c>
      <c r="F54" s="30" t="s">
        <v>47</v>
      </c>
      <c r="G54" s="30" t="s">
        <v>81</v>
      </c>
      <c r="H54" s="31">
        <v>9</v>
      </c>
      <c r="I54" s="32">
        <v>0</v>
      </c>
      <c r="J54" s="33">
        <v>30</v>
      </c>
      <c r="K54" s="33">
        <v>0.25</v>
      </c>
      <c r="L54" s="34">
        <v>0.16</v>
      </c>
      <c r="M54" s="29">
        <v>5</v>
      </c>
      <c r="N54" s="29">
        <v>0</v>
      </c>
      <c r="O54" s="29">
        <v>1</v>
      </c>
      <c r="P54" s="29">
        <v>5</v>
      </c>
      <c r="Q54" s="29">
        <v>0</v>
      </c>
      <c r="R54" s="29">
        <v>0</v>
      </c>
      <c r="S54" s="29">
        <v>0</v>
      </c>
      <c r="T54" s="29">
        <v>0</v>
      </c>
      <c r="U54" s="29">
        <v>9</v>
      </c>
      <c r="V54" s="29">
        <v>0</v>
      </c>
      <c r="W54" s="29">
        <v>20</v>
      </c>
      <c r="X54" s="29">
        <f>W54-T54</f>
        <v>20</v>
      </c>
      <c r="Y54" s="29">
        <v>1</v>
      </c>
    </row>
    <row r="55" spans="1:25" x14ac:dyDescent="0.25">
      <c r="A55" s="29">
        <v>310</v>
      </c>
      <c r="B55" s="29">
        <v>6</v>
      </c>
      <c r="C55" s="29">
        <v>5</v>
      </c>
      <c r="D55" s="30">
        <v>44745</v>
      </c>
      <c r="E55" s="30" t="s">
        <v>11</v>
      </c>
      <c r="F55" s="30" t="s">
        <v>48</v>
      </c>
      <c r="G55" s="30" t="s">
        <v>81</v>
      </c>
      <c r="H55" s="31">
        <v>9</v>
      </c>
      <c r="I55" s="32">
        <v>0</v>
      </c>
      <c r="J55" s="33">
        <v>0.32</v>
      </c>
      <c r="K55" s="33">
        <v>0.31</v>
      </c>
      <c r="L55" s="34">
        <v>0.02</v>
      </c>
      <c r="M55" s="29">
        <v>10</v>
      </c>
      <c r="N55" s="29">
        <v>0</v>
      </c>
      <c r="O55" s="29">
        <v>0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29">
        <v>0</v>
      </c>
      <c r="V55" s="29">
        <v>0</v>
      </c>
      <c r="W55" s="29">
        <v>10</v>
      </c>
      <c r="X55" s="29">
        <f>W55-T55</f>
        <v>10</v>
      </c>
      <c r="Y55" s="29">
        <v>3</v>
      </c>
    </row>
    <row r="56" spans="1:25" x14ac:dyDescent="0.25">
      <c r="A56" s="29">
        <v>107</v>
      </c>
      <c r="B56" s="29">
        <v>7</v>
      </c>
      <c r="C56" s="29">
        <v>5</v>
      </c>
      <c r="D56" s="30">
        <v>44745</v>
      </c>
      <c r="E56" s="30" t="s">
        <v>12</v>
      </c>
      <c r="F56" s="30" t="s">
        <v>47</v>
      </c>
      <c r="G56" s="30" t="s">
        <v>81</v>
      </c>
      <c r="H56" s="31">
        <v>6</v>
      </c>
      <c r="I56" s="32"/>
      <c r="J56" s="33"/>
      <c r="K56" s="33"/>
      <c r="L56" s="34"/>
      <c r="M56" s="29">
        <v>2</v>
      </c>
      <c r="N56" s="29">
        <v>0</v>
      </c>
      <c r="O56" s="29">
        <v>0</v>
      </c>
      <c r="P56" s="29">
        <v>5</v>
      </c>
      <c r="Q56" s="29">
        <v>1</v>
      </c>
      <c r="R56" s="29">
        <v>4</v>
      </c>
      <c r="S56" s="29">
        <v>5</v>
      </c>
      <c r="T56" s="29">
        <v>10</v>
      </c>
      <c r="U56" s="29">
        <v>0</v>
      </c>
      <c r="V56" s="29">
        <v>0</v>
      </c>
      <c r="W56" s="29">
        <v>17</v>
      </c>
      <c r="X56" s="29">
        <f>W56-T56</f>
        <v>7</v>
      </c>
      <c r="Y56" s="29">
        <v>2</v>
      </c>
    </row>
    <row r="57" spans="1:25" x14ac:dyDescent="0.25">
      <c r="A57" s="29">
        <v>203</v>
      </c>
      <c r="B57" s="29">
        <v>7</v>
      </c>
      <c r="C57" s="29">
        <v>5</v>
      </c>
      <c r="D57" s="30">
        <v>44745</v>
      </c>
      <c r="E57" s="30" t="s">
        <v>12</v>
      </c>
      <c r="F57" s="29" t="s">
        <v>47</v>
      </c>
      <c r="G57" s="30" t="s">
        <v>81</v>
      </c>
      <c r="H57" s="31">
        <v>6</v>
      </c>
      <c r="I57" s="32"/>
      <c r="J57" s="33"/>
      <c r="K57" s="33"/>
      <c r="L57" s="34"/>
      <c r="M57" s="29">
        <v>2</v>
      </c>
      <c r="N57" s="29">
        <v>1</v>
      </c>
      <c r="O57" s="29">
        <v>0</v>
      </c>
      <c r="P57" s="29">
        <v>0</v>
      </c>
      <c r="Q57" s="29">
        <v>1</v>
      </c>
      <c r="R57" s="29">
        <v>3</v>
      </c>
      <c r="S57" s="29">
        <v>7</v>
      </c>
      <c r="T57" s="29">
        <v>11</v>
      </c>
      <c r="U57" s="29">
        <v>0</v>
      </c>
      <c r="V57" s="29">
        <v>1</v>
      </c>
      <c r="W57" s="29">
        <v>15</v>
      </c>
      <c r="X57" s="29">
        <f>W57-T57</f>
        <v>4</v>
      </c>
      <c r="Y57" s="29">
        <v>1</v>
      </c>
    </row>
    <row r="58" spans="1:25" x14ac:dyDescent="0.25">
      <c r="A58" s="35">
        <v>312</v>
      </c>
      <c r="B58" s="35">
        <v>7</v>
      </c>
      <c r="C58" s="35">
        <v>5</v>
      </c>
      <c r="D58" s="36">
        <v>44745</v>
      </c>
      <c r="E58" s="35" t="s">
        <v>12</v>
      </c>
      <c r="F58" s="35" t="s">
        <v>47</v>
      </c>
      <c r="G58" s="36" t="s">
        <v>81</v>
      </c>
      <c r="H58" s="37">
        <v>6</v>
      </c>
      <c r="I58" s="38"/>
      <c r="J58" s="39"/>
      <c r="K58" s="39"/>
      <c r="L58" s="40"/>
      <c r="M58" s="35">
        <v>1</v>
      </c>
      <c r="N58" s="35">
        <v>0</v>
      </c>
      <c r="O58" s="35">
        <v>0</v>
      </c>
      <c r="P58" s="35">
        <v>1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6</v>
      </c>
      <c r="W58" s="35">
        <v>8</v>
      </c>
      <c r="X58" s="35">
        <f>W58-T58</f>
        <v>8</v>
      </c>
      <c r="Y58" s="41">
        <v>2</v>
      </c>
    </row>
    <row r="59" spans="1:25" x14ac:dyDescent="0.25">
      <c r="A59" s="29">
        <v>108</v>
      </c>
      <c r="B59" s="29">
        <v>8</v>
      </c>
      <c r="C59" s="29">
        <v>5</v>
      </c>
      <c r="D59" s="30">
        <v>44745</v>
      </c>
      <c r="E59" s="29" t="s">
        <v>12</v>
      </c>
      <c r="F59" s="30" t="s">
        <v>48</v>
      </c>
      <c r="G59" s="30" t="s">
        <v>81</v>
      </c>
      <c r="H59" s="31">
        <v>9</v>
      </c>
      <c r="I59" s="32"/>
      <c r="J59" s="33"/>
      <c r="K59" s="33"/>
      <c r="L59" s="34"/>
      <c r="M59" s="29">
        <v>16</v>
      </c>
      <c r="N59" s="29">
        <v>0</v>
      </c>
      <c r="O59" s="29">
        <v>1</v>
      </c>
      <c r="P59" s="29">
        <v>5</v>
      </c>
      <c r="Q59" s="29">
        <v>6</v>
      </c>
      <c r="R59" s="29">
        <v>3</v>
      </c>
      <c r="S59" s="29">
        <v>2</v>
      </c>
      <c r="T59" s="29">
        <v>11</v>
      </c>
      <c r="U59" s="29">
        <v>0</v>
      </c>
      <c r="V59" s="29">
        <v>0</v>
      </c>
      <c r="W59" s="29">
        <v>33</v>
      </c>
      <c r="X59" s="29">
        <f>W59-T59</f>
        <v>22</v>
      </c>
      <c r="Y59" s="29">
        <v>4</v>
      </c>
    </row>
    <row r="60" spans="1:25" x14ac:dyDescent="0.25">
      <c r="A60" s="29">
        <v>207</v>
      </c>
      <c r="B60" s="29">
        <v>8</v>
      </c>
      <c r="C60" s="29">
        <v>5</v>
      </c>
      <c r="D60" s="30">
        <v>44745</v>
      </c>
      <c r="E60" s="30" t="s">
        <v>12</v>
      </c>
      <c r="F60" s="29" t="s">
        <v>47</v>
      </c>
      <c r="G60" s="30" t="s">
        <v>81</v>
      </c>
      <c r="H60" s="31">
        <v>9</v>
      </c>
      <c r="I60" s="32"/>
      <c r="J60" s="33"/>
      <c r="K60" s="33"/>
      <c r="L60" s="34"/>
      <c r="M60" s="29">
        <v>3</v>
      </c>
      <c r="N60" s="29">
        <v>0</v>
      </c>
      <c r="O60" s="29">
        <v>6</v>
      </c>
      <c r="P60" s="29">
        <v>0</v>
      </c>
      <c r="Q60" s="29">
        <v>0</v>
      </c>
      <c r="R60" s="29">
        <v>0</v>
      </c>
      <c r="S60" s="29">
        <v>0</v>
      </c>
      <c r="T60" s="29">
        <v>0</v>
      </c>
      <c r="U60" s="29">
        <v>0</v>
      </c>
      <c r="V60" s="29">
        <v>1</v>
      </c>
      <c r="W60" s="29">
        <v>10</v>
      </c>
      <c r="X60" s="29">
        <f>W60-T60</f>
        <v>10</v>
      </c>
      <c r="Y60" s="29">
        <v>0</v>
      </c>
    </row>
    <row r="61" spans="1:25" x14ac:dyDescent="0.25">
      <c r="A61" s="29">
        <v>308</v>
      </c>
      <c r="B61" s="29">
        <v>8</v>
      </c>
      <c r="C61" s="29">
        <v>5</v>
      </c>
      <c r="D61" s="30">
        <v>44745</v>
      </c>
      <c r="E61" s="30" t="s">
        <v>12</v>
      </c>
      <c r="F61" s="29" t="s">
        <v>47</v>
      </c>
      <c r="G61" s="30" t="s">
        <v>81</v>
      </c>
      <c r="H61" s="31">
        <v>9</v>
      </c>
      <c r="I61" s="32"/>
      <c r="J61" s="33"/>
      <c r="K61" s="33"/>
      <c r="L61" s="34"/>
      <c r="M61" s="29">
        <v>9</v>
      </c>
      <c r="N61" s="29">
        <v>0</v>
      </c>
      <c r="O61" s="29">
        <v>0</v>
      </c>
      <c r="P61" s="29">
        <v>2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11</v>
      </c>
      <c r="X61" s="29">
        <f>W61-T61</f>
        <v>11</v>
      </c>
      <c r="Y61" s="29">
        <v>0</v>
      </c>
    </row>
    <row r="62" spans="1:25" x14ac:dyDescent="0.25">
      <c r="A62" s="29">
        <v>109</v>
      </c>
      <c r="B62" s="29">
        <v>9</v>
      </c>
      <c r="C62" s="29">
        <v>5</v>
      </c>
      <c r="D62" s="30">
        <v>44745</v>
      </c>
      <c r="E62" s="30" t="s">
        <v>11</v>
      </c>
      <c r="F62" s="29" t="s">
        <v>48</v>
      </c>
      <c r="G62" s="30" t="s">
        <v>81</v>
      </c>
      <c r="H62" s="31">
        <v>9</v>
      </c>
      <c r="I62" s="32">
        <v>1</v>
      </c>
      <c r="J62" s="33">
        <v>0.28999999999999998</v>
      </c>
      <c r="K62" s="33">
        <v>0.25</v>
      </c>
      <c r="L62" s="34">
        <v>0.14000000000000001</v>
      </c>
      <c r="M62" s="29">
        <v>6</v>
      </c>
      <c r="N62" s="29">
        <v>0</v>
      </c>
      <c r="O62" s="29">
        <v>0</v>
      </c>
      <c r="P62" s="29">
        <v>4</v>
      </c>
      <c r="Q62" s="29">
        <v>3</v>
      </c>
      <c r="R62" s="29">
        <v>2</v>
      </c>
      <c r="S62" s="29">
        <v>0</v>
      </c>
      <c r="T62" s="29">
        <v>5</v>
      </c>
      <c r="U62" s="29">
        <v>0</v>
      </c>
      <c r="V62" s="29">
        <v>0</v>
      </c>
      <c r="W62" s="29">
        <v>15</v>
      </c>
      <c r="X62" s="29">
        <f>W62-T62</f>
        <v>10</v>
      </c>
      <c r="Y62" s="29">
        <v>1</v>
      </c>
    </row>
    <row r="63" spans="1:25" x14ac:dyDescent="0.25">
      <c r="A63" s="29">
        <v>208</v>
      </c>
      <c r="B63" s="29">
        <v>9</v>
      </c>
      <c r="C63" s="29">
        <v>5</v>
      </c>
      <c r="D63" s="30">
        <v>44745</v>
      </c>
      <c r="E63" s="30" t="s">
        <v>11</v>
      </c>
      <c r="F63" s="29" t="s">
        <v>48</v>
      </c>
      <c r="G63" s="30" t="s">
        <v>81</v>
      </c>
      <c r="H63" s="31">
        <v>9</v>
      </c>
      <c r="I63" s="32">
        <v>1</v>
      </c>
      <c r="J63" s="33">
        <v>0.31</v>
      </c>
      <c r="K63" s="33">
        <v>0.27</v>
      </c>
      <c r="L63" s="34">
        <v>0.12</v>
      </c>
      <c r="M63" s="29">
        <v>8</v>
      </c>
      <c r="N63" s="29">
        <v>0</v>
      </c>
      <c r="O63" s="29">
        <v>33</v>
      </c>
      <c r="P63" s="29">
        <v>1</v>
      </c>
      <c r="Q63" s="29">
        <v>1</v>
      </c>
      <c r="R63" s="29">
        <v>0</v>
      </c>
      <c r="S63" s="29">
        <v>0</v>
      </c>
      <c r="T63" s="29">
        <v>1</v>
      </c>
      <c r="U63" s="29">
        <v>7</v>
      </c>
      <c r="V63" s="29">
        <v>0</v>
      </c>
      <c r="W63" s="29">
        <v>50</v>
      </c>
      <c r="X63" s="29">
        <f>W63-T63</f>
        <v>49</v>
      </c>
      <c r="Y63" s="29">
        <v>0</v>
      </c>
    </row>
    <row r="64" spans="1:25" x14ac:dyDescent="0.25">
      <c r="A64" s="29">
        <v>311</v>
      </c>
      <c r="B64" s="29">
        <v>9</v>
      </c>
      <c r="C64" s="29">
        <v>5</v>
      </c>
      <c r="D64" s="30">
        <v>44745</v>
      </c>
      <c r="E64" s="30" t="s">
        <v>11</v>
      </c>
      <c r="F64" s="29" t="s">
        <v>48</v>
      </c>
      <c r="G64" s="30" t="s">
        <v>81</v>
      </c>
      <c r="H64" s="31">
        <v>9.5</v>
      </c>
      <c r="I64" s="32">
        <v>1</v>
      </c>
      <c r="J64" s="33"/>
      <c r="K64" s="33"/>
      <c r="L64" s="34"/>
      <c r="M64" s="29">
        <v>15</v>
      </c>
      <c r="N64" s="29">
        <v>0</v>
      </c>
      <c r="O64" s="29">
        <v>0</v>
      </c>
      <c r="P64" s="29">
        <v>3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18</v>
      </c>
      <c r="X64" s="29">
        <f>W64-T64</f>
        <v>18</v>
      </c>
      <c r="Y64" s="29">
        <v>3</v>
      </c>
    </row>
    <row r="65" spans="1:25" x14ac:dyDescent="0.25">
      <c r="A65" s="29">
        <v>110</v>
      </c>
      <c r="B65" s="29">
        <v>10</v>
      </c>
      <c r="C65" s="29">
        <v>5</v>
      </c>
      <c r="D65" s="30">
        <v>44745</v>
      </c>
      <c r="E65" s="30" t="s">
        <v>11</v>
      </c>
      <c r="F65" s="30" t="s">
        <v>47</v>
      </c>
      <c r="G65" s="30" t="s">
        <v>81</v>
      </c>
      <c r="H65" s="31">
        <v>9</v>
      </c>
      <c r="I65" s="32">
        <v>0</v>
      </c>
      <c r="J65" s="33">
        <v>0.3</v>
      </c>
      <c r="K65" s="33">
        <v>0.26</v>
      </c>
      <c r="L65" s="34">
        <v>0.14000000000000001</v>
      </c>
      <c r="M65" s="29">
        <v>10</v>
      </c>
      <c r="N65" s="29">
        <v>7</v>
      </c>
      <c r="O65" s="29">
        <v>0</v>
      </c>
      <c r="P65" s="29">
        <v>8</v>
      </c>
      <c r="Q65" s="29">
        <v>4</v>
      </c>
      <c r="R65" s="29">
        <v>4</v>
      </c>
      <c r="S65" s="29">
        <v>2</v>
      </c>
      <c r="T65" s="29">
        <v>10</v>
      </c>
      <c r="U65" s="29">
        <v>7</v>
      </c>
      <c r="V65" s="29">
        <v>0</v>
      </c>
      <c r="W65" s="29">
        <v>42</v>
      </c>
      <c r="X65" s="29">
        <f>W65-T65</f>
        <v>32</v>
      </c>
      <c r="Y65" s="29">
        <v>2</v>
      </c>
    </row>
    <row r="66" spans="1:25" x14ac:dyDescent="0.25">
      <c r="A66" s="29">
        <v>201</v>
      </c>
      <c r="B66" s="29">
        <v>10</v>
      </c>
      <c r="C66" s="29">
        <v>5</v>
      </c>
      <c r="D66" s="30">
        <v>44745</v>
      </c>
      <c r="E66" s="30" t="s">
        <v>11</v>
      </c>
      <c r="F66" s="30" t="s">
        <v>47</v>
      </c>
      <c r="G66" s="30" t="s">
        <v>81</v>
      </c>
      <c r="H66" s="31">
        <v>9</v>
      </c>
      <c r="I66" s="32">
        <v>0</v>
      </c>
      <c r="J66" s="33">
        <v>0.28999999999999998</v>
      </c>
      <c r="K66" s="33">
        <v>0.23</v>
      </c>
      <c r="L66" s="34">
        <v>0.22</v>
      </c>
      <c r="M66" s="29">
        <v>12</v>
      </c>
      <c r="N66" s="29">
        <v>0</v>
      </c>
      <c r="O66" s="29">
        <v>0</v>
      </c>
      <c r="P66" s="29">
        <v>4</v>
      </c>
      <c r="Q66" s="29">
        <v>1</v>
      </c>
      <c r="R66" s="29">
        <v>2</v>
      </c>
      <c r="S66" s="29">
        <v>3</v>
      </c>
      <c r="T66" s="29">
        <v>6</v>
      </c>
      <c r="U66" s="29">
        <v>0</v>
      </c>
      <c r="V66" s="29">
        <v>0</v>
      </c>
      <c r="W66" s="29">
        <v>22</v>
      </c>
      <c r="X66" s="29">
        <f>W66-T66</f>
        <v>16</v>
      </c>
      <c r="Y66" s="29">
        <v>0</v>
      </c>
    </row>
    <row r="67" spans="1:25" x14ac:dyDescent="0.25">
      <c r="A67" s="29">
        <v>301</v>
      </c>
      <c r="B67" s="29">
        <v>10</v>
      </c>
      <c r="C67" s="29">
        <v>5</v>
      </c>
      <c r="D67" s="30">
        <v>44745</v>
      </c>
      <c r="E67" s="30" t="s">
        <v>11</v>
      </c>
      <c r="F67" s="30" t="s">
        <v>47</v>
      </c>
      <c r="G67" s="30" t="s">
        <v>81</v>
      </c>
      <c r="H67" s="31">
        <v>9</v>
      </c>
      <c r="I67" s="32">
        <v>0</v>
      </c>
      <c r="J67" s="33">
        <v>0.33</v>
      </c>
      <c r="K67" s="33">
        <v>0.31</v>
      </c>
      <c r="L67" s="34">
        <v>0.05</v>
      </c>
      <c r="M67" s="29">
        <v>10</v>
      </c>
      <c r="N67" s="29">
        <v>0</v>
      </c>
      <c r="O67" s="29">
        <v>0</v>
      </c>
      <c r="P67" s="29">
        <v>0</v>
      </c>
      <c r="Q67" s="29">
        <v>1</v>
      </c>
      <c r="R67" s="29">
        <v>2</v>
      </c>
      <c r="S67" s="29">
        <v>1</v>
      </c>
      <c r="T67" s="29">
        <v>4</v>
      </c>
      <c r="U67" s="29">
        <v>0</v>
      </c>
      <c r="V67" s="29">
        <v>0</v>
      </c>
      <c r="W67" s="29">
        <v>14</v>
      </c>
      <c r="X67" s="29">
        <f>W67-T67</f>
        <v>10</v>
      </c>
      <c r="Y67" s="29">
        <v>0</v>
      </c>
    </row>
    <row r="68" spans="1:25" x14ac:dyDescent="0.25">
      <c r="A68" s="29">
        <v>111</v>
      </c>
      <c r="B68" s="29">
        <v>11</v>
      </c>
      <c r="C68" s="29">
        <v>5</v>
      </c>
      <c r="D68" s="30">
        <v>44745</v>
      </c>
      <c r="E68" s="30" t="s">
        <v>11</v>
      </c>
      <c r="F68" s="29" t="s">
        <v>48</v>
      </c>
      <c r="G68" s="30" t="s">
        <v>81</v>
      </c>
      <c r="H68" s="31">
        <v>11.5</v>
      </c>
      <c r="I68" s="32">
        <v>1</v>
      </c>
      <c r="J68" s="33">
        <v>0.33</v>
      </c>
      <c r="K68" s="33">
        <v>0.23</v>
      </c>
      <c r="L68" s="34">
        <v>0.3</v>
      </c>
      <c r="M68" s="29">
        <v>7</v>
      </c>
      <c r="N68" s="29">
        <v>3</v>
      </c>
      <c r="O68" s="29">
        <v>0</v>
      </c>
      <c r="P68" s="29">
        <v>5</v>
      </c>
      <c r="Q68" s="29">
        <v>2</v>
      </c>
      <c r="R68" s="29">
        <f>31-24</f>
        <v>7</v>
      </c>
      <c r="S68" s="29">
        <v>3</v>
      </c>
      <c r="T68" s="29">
        <v>12</v>
      </c>
      <c r="U68" s="29">
        <v>81</v>
      </c>
      <c r="V68" s="29">
        <v>0</v>
      </c>
      <c r="W68" s="29">
        <v>108</v>
      </c>
      <c r="X68" s="29">
        <f>W68-T68</f>
        <v>96</v>
      </c>
      <c r="Y68" s="29">
        <v>0</v>
      </c>
    </row>
    <row r="69" spans="1:25" x14ac:dyDescent="0.25">
      <c r="A69" s="29">
        <v>210</v>
      </c>
      <c r="B69" s="29">
        <v>11</v>
      </c>
      <c r="C69" s="29">
        <v>5</v>
      </c>
      <c r="D69" s="30">
        <v>44745</v>
      </c>
      <c r="E69" s="30" t="s">
        <v>11</v>
      </c>
      <c r="F69" s="30" t="s">
        <v>48</v>
      </c>
      <c r="G69" s="30" t="s">
        <v>81</v>
      </c>
      <c r="H69" s="31">
        <v>11.5</v>
      </c>
      <c r="I69" s="32">
        <v>1</v>
      </c>
      <c r="J69" s="33">
        <v>0.28999999999999998</v>
      </c>
      <c r="K69" s="33">
        <v>0.27</v>
      </c>
      <c r="L69" s="34">
        <v>7.0000000000000007E-2</v>
      </c>
      <c r="M69" s="29">
        <v>10</v>
      </c>
      <c r="N69" s="29">
        <v>0</v>
      </c>
      <c r="O69" s="29">
        <v>0</v>
      </c>
      <c r="P69" s="29">
        <v>0</v>
      </c>
      <c r="Q69" s="29">
        <v>5</v>
      </c>
      <c r="R69" s="29">
        <v>6</v>
      </c>
      <c r="S69" s="29">
        <v>9</v>
      </c>
      <c r="T69" s="29">
        <v>20</v>
      </c>
      <c r="U69" s="29">
        <v>0</v>
      </c>
      <c r="V69" s="29">
        <v>1</v>
      </c>
      <c r="W69" s="29">
        <v>31</v>
      </c>
      <c r="X69" s="29">
        <f>W69-T69</f>
        <v>11</v>
      </c>
      <c r="Y69" s="29">
        <v>0</v>
      </c>
    </row>
    <row r="70" spans="1:25" x14ac:dyDescent="0.25">
      <c r="A70" s="29">
        <v>305</v>
      </c>
      <c r="B70" s="29">
        <v>11</v>
      </c>
      <c r="C70" s="29">
        <v>5</v>
      </c>
      <c r="D70" s="30">
        <v>44745</v>
      </c>
      <c r="E70" s="30" t="s">
        <v>11</v>
      </c>
      <c r="F70" s="29" t="s">
        <v>47</v>
      </c>
      <c r="G70" s="30" t="s">
        <v>81</v>
      </c>
      <c r="H70" s="31">
        <v>11.5</v>
      </c>
      <c r="I70" s="32">
        <v>1</v>
      </c>
      <c r="J70" s="33">
        <v>0.31</v>
      </c>
      <c r="K70" s="33">
        <v>0.28999999999999998</v>
      </c>
      <c r="L70" s="34">
        <v>0.06</v>
      </c>
      <c r="M70" s="29">
        <v>55</v>
      </c>
      <c r="N70" s="29">
        <v>1</v>
      </c>
      <c r="O70" s="29">
        <v>0</v>
      </c>
      <c r="P70" s="29">
        <v>2</v>
      </c>
      <c r="Q70" s="29">
        <v>0</v>
      </c>
      <c r="R70" s="29">
        <v>0</v>
      </c>
      <c r="S70" s="29">
        <v>0</v>
      </c>
      <c r="T70" s="29">
        <v>0</v>
      </c>
      <c r="U70" s="29">
        <v>0</v>
      </c>
      <c r="V70" s="29">
        <v>0</v>
      </c>
      <c r="W70" s="29">
        <v>58</v>
      </c>
      <c r="X70" s="29">
        <f>W70-T70</f>
        <v>58</v>
      </c>
      <c r="Y70" s="29">
        <v>0</v>
      </c>
    </row>
    <row r="71" spans="1:25" x14ac:dyDescent="0.25">
      <c r="A71" s="29">
        <v>112</v>
      </c>
      <c r="B71" s="29">
        <v>12</v>
      </c>
      <c r="C71" s="29">
        <v>5</v>
      </c>
      <c r="D71" s="30">
        <v>44745</v>
      </c>
      <c r="E71" s="30" t="s">
        <v>11</v>
      </c>
      <c r="F71" s="30" t="s">
        <v>47</v>
      </c>
      <c r="G71" s="30" t="s">
        <v>81</v>
      </c>
      <c r="H71" s="31">
        <v>11.5</v>
      </c>
      <c r="I71" s="32">
        <v>0</v>
      </c>
      <c r="J71" s="33">
        <v>0.35</v>
      </c>
      <c r="K71" s="33">
        <v>0.26</v>
      </c>
      <c r="L71" s="34">
        <v>0.26</v>
      </c>
      <c r="M71" s="29">
        <v>11</v>
      </c>
      <c r="N71" s="29">
        <v>12</v>
      </c>
      <c r="O71" s="29">
        <v>0</v>
      </c>
      <c r="P71" s="29">
        <v>14</v>
      </c>
      <c r="Q71" s="29">
        <v>1</v>
      </c>
      <c r="R71" s="29">
        <v>2</v>
      </c>
      <c r="S71" s="29">
        <v>1</v>
      </c>
      <c r="T71" s="29">
        <v>4</v>
      </c>
      <c r="U71" s="29">
        <v>1</v>
      </c>
      <c r="V71" s="29">
        <v>0</v>
      </c>
      <c r="W71" s="29">
        <v>42</v>
      </c>
      <c r="X71" s="29">
        <f>W71-T71</f>
        <v>38</v>
      </c>
      <c r="Y71" s="29">
        <v>4</v>
      </c>
    </row>
    <row r="72" spans="1:25" x14ac:dyDescent="0.25">
      <c r="A72" s="29">
        <v>206</v>
      </c>
      <c r="B72" s="29">
        <v>12</v>
      </c>
      <c r="C72" s="29">
        <v>5</v>
      </c>
      <c r="D72" s="30">
        <v>44745</v>
      </c>
      <c r="E72" s="30" t="s">
        <v>11</v>
      </c>
      <c r="F72" s="29" t="s">
        <v>47</v>
      </c>
      <c r="G72" s="30" t="s">
        <v>81</v>
      </c>
      <c r="H72" s="31">
        <v>11.5</v>
      </c>
      <c r="I72" s="32">
        <v>0</v>
      </c>
      <c r="J72" s="33">
        <v>0.32</v>
      </c>
      <c r="K72" s="33">
        <v>0.28000000000000003</v>
      </c>
      <c r="L72" s="34">
        <v>0.11</v>
      </c>
      <c r="M72" s="29">
        <v>30</v>
      </c>
      <c r="N72" s="29">
        <v>0</v>
      </c>
      <c r="O72" s="29">
        <v>6</v>
      </c>
      <c r="P72" s="29">
        <v>2</v>
      </c>
      <c r="Q72" s="29">
        <v>0</v>
      </c>
      <c r="R72" s="29">
        <v>0</v>
      </c>
      <c r="S72" s="29">
        <v>0</v>
      </c>
      <c r="T72" s="29">
        <v>0</v>
      </c>
      <c r="U72" s="29">
        <v>32</v>
      </c>
      <c r="V72" s="29">
        <v>0</v>
      </c>
      <c r="W72" s="29">
        <v>70</v>
      </c>
      <c r="X72" s="29">
        <f>W72-T72</f>
        <v>70</v>
      </c>
      <c r="Y72" s="29">
        <v>0</v>
      </c>
    </row>
    <row r="73" spans="1:25" x14ac:dyDescent="0.25">
      <c r="A73" s="42">
        <v>302</v>
      </c>
      <c r="B73" s="42">
        <v>12</v>
      </c>
      <c r="C73" s="42">
        <v>5</v>
      </c>
      <c r="D73" s="43">
        <v>44745</v>
      </c>
      <c r="E73" s="43" t="s">
        <v>11</v>
      </c>
      <c r="F73" s="42" t="s">
        <v>48</v>
      </c>
      <c r="G73" s="43" t="s">
        <v>81</v>
      </c>
      <c r="H73" s="44">
        <v>11.5</v>
      </c>
      <c r="I73" s="45">
        <v>0</v>
      </c>
      <c r="J73" s="46">
        <v>0.31</v>
      </c>
      <c r="K73" s="46">
        <v>0.23</v>
      </c>
      <c r="L73" s="47">
        <v>0.26</v>
      </c>
      <c r="M73" s="42">
        <v>10</v>
      </c>
      <c r="N73" s="42">
        <v>0</v>
      </c>
      <c r="O73" s="42">
        <v>0</v>
      </c>
      <c r="P73" s="42">
        <v>2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12</v>
      </c>
      <c r="X73" s="42">
        <f>W73-T73</f>
        <v>12</v>
      </c>
      <c r="Y73" s="42">
        <v>3</v>
      </c>
    </row>
    <row r="74" spans="1:25" x14ac:dyDescent="0.25">
      <c r="A74" s="48">
        <v>101</v>
      </c>
      <c r="B74" s="48">
        <v>1</v>
      </c>
      <c r="C74" s="48" t="s">
        <v>84</v>
      </c>
      <c r="D74" s="49">
        <v>44737</v>
      </c>
      <c r="E74" s="49" t="s">
        <v>11</v>
      </c>
      <c r="F74" s="49" t="s">
        <v>47</v>
      </c>
      <c r="G74" s="49" t="s">
        <v>80</v>
      </c>
      <c r="H74" s="50"/>
      <c r="I74" s="51">
        <v>1</v>
      </c>
      <c r="J74" s="52">
        <v>0.3</v>
      </c>
      <c r="K74" s="52">
        <v>0.13</v>
      </c>
      <c r="L74" s="53">
        <v>0.57999999999999996</v>
      </c>
      <c r="M74" s="54">
        <f>(M2-M38)/M2</f>
        <v>0.70270270270270274</v>
      </c>
      <c r="N74" s="54" t="e">
        <f t="shared" ref="N74:X74" si="0">(N2-N38)/N2</f>
        <v>#DIV/0!</v>
      </c>
      <c r="O74" s="54">
        <f t="shared" si="0"/>
        <v>1</v>
      </c>
      <c r="P74" s="54">
        <f t="shared" si="0"/>
        <v>-7.407407407407407E-2</v>
      </c>
      <c r="Q74" s="54" t="e">
        <f t="shared" si="0"/>
        <v>#DIV/0!</v>
      </c>
      <c r="R74" s="54">
        <f t="shared" si="0"/>
        <v>1</v>
      </c>
      <c r="S74" s="54" t="e">
        <f t="shared" si="0"/>
        <v>#DIV/0!</v>
      </c>
      <c r="T74" s="54">
        <f t="shared" si="0"/>
        <v>1</v>
      </c>
      <c r="U74" s="54" t="e">
        <f t="shared" si="0"/>
        <v>#DIV/0!</v>
      </c>
      <c r="V74" s="54" t="e">
        <f t="shared" si="0"/>
        <v>#DIV/0!</v>
      </c>
      <c r="W74" s="54">
        <f t="shared" si="0"/>
        <v>0.60280373831775702</v>
      </c>
      <c r="X74" s="54">
        <f t="shared" si="0"/>
        <v>0.60093896713615025</v>
      </c>
      <c r="Y74" s="48">
        <v>15</v>
      </c>
    </row>
    <row r="75" spans="1:25" x14ac:dyDescent="0.25">
      <c r="A75" s="48">
        <v>202</v>
      </c>
      <c r="B75" s="48">
        <v>1</v>
      </c>
      <c r="C75" s="48" t="s">
        <v>84</v>
      </c>
      <c r="D75" s="49">
        <v>44737</v>
      </c>
      <c r="E75" s="49" t="s">
        <v>11</v>
      </c>
      <c r="F75" s="49" t="s">
        <v>47</v>
      </c>
      <c r="G75" s="49" t="s">
        <v>80</v>
      </c>
      <c r="H75" s="50"/>
      <c r="I75" s="51">
        <v>1</v>
      </c>
      <c r="J75" s="52">
        <v>0.32</v>
      </c>
      <c r="K75" s="52">
        <v>0.16</v>
      </c>
      <c r="L75" s="53">
        <v>0.49</v>
      </c>
      <c r="M75" s="54">
        <f t="shared" ref="M75:X109" si="1">(M3-M39)/M3</f>
        <v>0.59499263622974963</v>
      </c>
      <c r="N75" s="54" t="e">
        <f t="shared" si="1"/>
        <v>#DIV/0!</v>
      </c>
      <c r="O75" s="54">
        <f t="shared" si="1"/>
        <v>1</v>
      </c>
      <c r="P75" s="54">
        <f t="shared" si="1"/>
        <v>0.47692307692307695</v>
      </c>
      <c r="Q75" s="54">
        <f t="shared" si="1"/>
        <v>0.66666666666666663</v>
      </c>
      <c r="R75" s="54">
        <f t="shared" si="1"/>
        <v>1</v>
      </c>
      <c r="S75" s="54">
        <f t="shared" si="1"/>
        <v>0.2</v>
      </c>
      <c r="T75" s="54">
        <f t="shared" si="1"/>
        <v>0.44444444444444442</v>
      </c>
      <c r="U75" s="54">
        <f t="shared" si="1"/>
        <v>1</v>
      </c>
      <c r="V75" s="54">
        <f t="shared" si="1"/>
        <v>-5</v>
      </c>
      <c r="W75" s="54">
        <f t="shared" si="1"/>
        <v>0.5736842105263158</v>
      </c>
      <c r="X75" s="54">
        <f t="shared" si="1"/>
        <v>0.57523302263648468</v>
      </c>
      <c r="Y75" s="48">
        <v>0</v>
      </c>
    </row>
    <row r="76" spans="1:25" x14ac:dyDescent="0.25">
      <c r="A76" s="48">
        <v>306</v>
      </c>
      <c r="B76" s="48">
        <v>1</v>
      </c>
      <c r="C76" s="48" t="s">
        <v>84</v>
      </c>
      <c r="D76" s="49">
        <v>44737</v>
      </c>
      <c r="E76" s="49" t="s">
        <v>11</v>
      </c>
      <c r="F76" s="49" t="s">
        <v>48</v>
      </c>
      <c r="G76" s="49" t="s">
        <v>80</v>
      </c>
      <c r="H76" s="50"/>
      <c r="I76" s="51">
        <v>1</v>
      </c>
      <c r="J76" s="52">
        <v>0.34</v>
      </c>
      <c r="K76" s="52">
        <v>0.22</v>
      </c>
      <c r="L76" s="53">
        <v>0.35</v>
      </c>
      <c r="M76" s="54">
        <f t="shared" si="1"/>
        <v>0.3669724770642202</v>
      </c>
      <c r="N76" s="54" t="e">
        <f t="shared" si="1"/>
        <v>#DIV/0!</v>
      </c>
      <c r="O76" s="54" t="e">
        <f t="shared" si="1"/>
        <v>#DIV/0!</v>
      </c>
      <c r="P76" s="54">
        <f t="shared" si="1"/>
        <v>0.89795918367346939</v>
      </c>
      <c r="Q76" s="54">
        <f t="shared" si="1"/>
        <v>1</v>
      </c>
      <c r="R76" s="54">
        <f t="shared" si="1"/>
        <v>1</v>
      </c>
      <c r="S76" s="54">
        <f t="shared" si="1"/>
        <v>1</v>
      </c>
      <c r="T76" s="54">
        <f t="shared" si="1"/>
        <v>1</v>
      </c>
      <c r="U76" s="54">
        <f t="shared" si="1"/>
        <v>1</v>
      </c>
      <c r="V76" s="54">
        <f t="shared" si="1"/>
        <v>1</v>
      </c>
      <c r="W76" s="54">
        <f t="shared" si="1"/>
        <v>0.55864197530864201</v>
      </c>
      <c r="X76" s="54">
        <f t="shared" si="1"/>
        <v>0.47426470588235292</v>
      </c>
      <c r="Y76" s="48">
        <v>0</v>
      </c>
    </row>
    <row r="77" spans="1:25" x14ac:dyDescent="0.25">
      <c r="A77" s="48">
        <v>102</v>
      </c>
      <c r="B77" s="48">
        <v>2</v>
      </c>
      <c r="C77" s="48" t="s">
        <v>84</v>
      </c>
      <c r="D77" s="49">
        <v>44737</v>
      </c>
      <c r="E77" s="49" t="s">
        <v>11</v>
      </c>
      <c r="F77" s="49" t="s">
        <v>48</v>
      </c>
      <c r="G77" s="49" t="s">
        <v>80</v>
      </c>
      <c r="H77" s="50"/>
      <c r="I77" s="51">
        <v>5</v>
      </c>
      <c r="J77" s="52">
        <v>0.37</v>
      </c>
      <c r="K77" s="52">
        <v>0.13</v>
      </c>
      <c r="L77" s="53">
        <v>0.65</v>
      </c>
      <c r="M77" s="54">
        <f t="shared" si="1"/>
        <v>-0.36363636363636365</v>
      </c>
      <c r="N77" s="54">
        <f t="shared" si="1"/>
        <v>-2.5</v>
      </c>
      <c r="O77" s="54">
        <f t="shared" si="1"/>
        <v>1</v>
      </c>
      <c r="P77" s="54">
        <f t="shared" si="1"/>
        <v>0.25242718446601942</v>
      </c>
      <c r="Q77" s="54" t="e">
        <f t="shared" si="1"/>
        <v>#DIV/0!</v>
      </c>
      <c r="R77" s="54" t="e">
        <f t="shared" si="1"/>
        <v>#DIV/0!</v>
      </c>
      <c r="S77" s="54" t="e">
        <f t="shared" si="1"/>
        <v>#DIV/0!</v>
      </c>
      <c r="T77" s="54" t="e">
        <f t="shared" si="1"/>
        <v>#DIV/0!</v>
      </c>
      <c r="U77" s="54" t="e">
        <f t="shared" si="1"/>
        <v>#DIV/0!</v>
      </c>
      <c r="V77" s="54" t="e">
        <f t="shared" si="1"/>
        <v>#DIV/0!</v>
      </c>
      <c r="W77" s="54">
        <f t="shared" si="1"/>
        <v>0.15384615384615385</v>
      </c>
      <c r="X77" s="54">
        <f t="shared" si="1"/>
        <v>0.15384615384615385</v>
      </c>
      <c r="Y77" s="48">
        <v>6</v>
      </c>
    </row>
    <row r="78" spans="1:25" x14ac:dyDescent="0.25">
      <c r="A78" s="48">
        <v>205</v>
      </c>
      <c r="B78" s="48">
        <v>2</v>
      </c>
      <c r="C78" s="48" t="s">
        <v>84</v>
      </c>
      <c r="D78" s="49">
        <v>44737</v>
      </c>
      <c r="E78" s="49" t="s">
        <v>11</v>
      </c>
      <c r="F78" s="49" t="s">
        <v>47</v>
      </c>
      <c r="G78" s="49" t="s">
        <v>80</v>
      </c>
      <c r="H78" s="50"/>
      <c r="I78" s="51">
        <v>5</v>
      </c>
      <c r="J78" s="52">
        <v>0.35</v>
      </c>
      <c r="K78" s="52">
        <v>0.1</v>
      </c>
      <c r="L78" s="53">
        <v>0.71</v>
      </c>
      <c r="M78" s="54">
        <f t="shared" si="1"/>
        <v>8.3969465648854963E-2</v>
      </c>
      <c r="N78" s="54">
        <f t="shared" si="1"/>
        <v>-2.6</v>
      </c>
      <c r="O78" s="54">
        <f t="shared" si="1"/>
        <v>-2</v>
      </c>
      <c r="P78" s="54">
        <f t="shared" si="1"/>
        <v>0.37860082304526749</v>
      </c>
      <c r="Q78" s="54" t="e">
        <f t="shared" si="1"/>
        <v>#DIV/0!</v>
      </c>
      <c r="R78" s="54" t="e">
        <f t="shared" si="1"/>
        <v>#DIV/0!</v>
      </c>
      <c r="S78" s="54" t="e">
        <f t="shared" si="1"/>
        <v>#DIV/0!</v>
      </c>
      <c r="T78" s="54" t="e">
        <f t="shared" si="1"/>
        <v>#DIV/0!</v>
      </c>
      <c r="U78" s="54">
        <f t="shared" si="1"/>
        <v>0.21666666666666667</v>
      </c>
      <c r="V78" s="54">
        <f t="shared" si="1"/>
        <v>0.89189189189189189</v>
      </c>
      <c r="W78" s="54">
        <f t="shared" si="1"/>
        <v>0.31111111111111112</v>
      </c>
      <c r="X78" s="54">
        <f t="shared" si="1"/>
        <v>0.31388888888888888</v>
      </c>
      <c r="Y78" s="48">
        <v>1</v>
      </c>
    </row>
    <row r="79" spans="1:25" x14ac:dyDescent="0.25">
      <c r="A79" s="48">
        <v>307</v>
      </c>
      <c r="B79" s="48">
        <v>2</v>
      </c>
      <c r="C79" s="48" t="s">
        <v>84</v>
      </c>
      <c r="D79" s="49">
        <v>44737</v>
      </c>
      <c r="E79" s="49" t="s">
        <v>11</v>
      </c>
      <c r="F79" s="49" t="s">
        <v>47</v>
      </c>
      <c r="G79" s="49" t="s">
        <v>80</v>
      </c>
      <c r="H79" s="50"/>
      <c r="I79" s="51">
        <v>5</v>
      </c>
      <c r="J79" s="52">
        <v>0.4</v>
      </c>
      <c r="K79" s="52">
        <v>7.0000000000000007E-2</v>
      </c>
      <c r="L79" s="53">
        <v>0.83</v>
      </c>
      <c r="M79" s="54">
        <f t="shared" si="1"/>
        <v>-0.36</v>
      </c>
      <c r="N79" s="54" t="e">
        <f t="shared" si="1"/>
        <v>#DIV/0!</v>
      </c>
      <c r="O79" s="54" t="e">
        <f t="shared" si="1"/>
        <v>#DIV/0!</v>
      </c>
      <c r="P79" s="54" t="e">
        <f>(P7-'Weed Counts'!P43)/P7</f>
        <v>#DIV/0!</v>
      </c>
      <c r="Q79" s="54" t="e">
        <f t="shared" si="1"/>
        <v>#DIV/0!</v>
      </c>
      <c r="R79" s="54" t="e">
        <f t="shared" si="1"/>
        <v>#DIV/0!</v>
      </c>
      <c r="S79" s="54" t="e">
        <f t="shared" si="1"/>
        <v>#DIV/0!</v>
      </c>
      <c r="T79" s="54" t="e">
        <f t="shared" si="1"/>
        <v>#DIV/0!</v>
      </c>
      <c r="U79" s="54">
        <f t="shared" si="1"/>
        <v>0.5</v>
      </c>
      <c r="V79" s="54" t="e">
        <f t="shared" si="1"/>
        <v>#DIV/0!</v>
      </c>
      <c r="W79" s="54">
        <f>(W7-W43)/W7</f>
        <v>-1.0129870129870129</v>
      </c>
      <c r="X79" s="54">
        <f t="shared" si="1"/>
        <v>-1.0129870129870129</v>
      </c>
      <c r="Y79" s="48">
        <v>1</v>
      </c>
    </row>
    <row r="80" spans="1:25" x14ac:dyDescent="0.25">
      <c r="A80" s="48">
        <v>103</v>
      </c>
      <c r="B80" s="48">
        <v>3</v>
      </c>
      <c r="C80" s="48" t="s">
        <v>84</v>
      </c>
      <c r="D80" s="49">
        <v>44737</v>
      </c>
      <c r="E80" s="49" t="s">
        <v>12</v>
      </c>
      <c r="F80" s="49" t="s">
        <v>47</v>
      </c>
      <c r="G80" s="49" t="s">
        <v>80</v>
      </c>
      <c r="H80" s="50">
        <v>6</v>
      </c>
      <c r="I80" s="51"/>
      <c r="J80" s="52"/>
      <c r="K80" s="52"/>
      <c r="L80" s="53"/>
      <c r="M80" s="54">
        <f t="shared" si="1"/>
        <v>1</v>
      </c>
      <c r="N80" s="54" t="e">
        <f t="shared" si="1"/>
        <v>#DIV/0!</v>
      </c>
      <c r="O80" s="54" t="e">
        <f t="shared" si="1"/>
        <v>#DIV/0!</v>
      </c>
      <c r="P80" s="54">
        <f t="shared" si="1"/>
        <v>0.98484848484848486</v>
      </c>
      <c r="Q80" s="54" t="e">
        <f t="shared" si="1"/>
        <v>#DIV/0!</v>
      </c>
      <c r="R80" s="54" t="e">
        <f t="shared" si="1"/>
        <v>#DIV/0!</v>
      </c>
      <c r="S80" s="54" t="e">
        <f t="shared" si="1"/>
        <v>#DIV/0!</v>
      </c>
      <c r="T80" s="54" t="e">
        <f t="shared" si="1"/>
        <v>#DIV/0!</v>
      </c>
      <c r="U80" s="54">
        <f t="shared" si="1"/>
        <v>1</v>
      </c>
      <c r="V80" s="54">
        <f t="shared" si="1"/>
        <v>1</v>
      </c>
      <c r="W80" s="54">
        <f t="shared" si="1"/>
        <v>0.99056603773584906</v>
      </c>
      <c r="X80" s="54">
        <f t="shared" si="1"/>
        <v>0.99056603773584906</v>
      </c>
      <c r="Y80" s="48">
        <f>SUM( 14+25+6+16)</f>
        <v>61</v>
      </c>
    </row>
    <row r="81" spans="1:25" x14ac:dyDescent="0.25">
      <c r="A81" s="48">
        <v>212</v>
      </c>
      <c r="B81" s="48">
        <v>3</v>
      </c>
      <c r="C81" s="48" t="s">
        <v>84</v>
      </c>
      <c r="D81" s="49">
        <v>44737</v>
      </c>
      <c r="E81" s="49" t="s">
        <v>12</v>
      </c>
      <c r="F81" s="49" t="s">
        <v>47</v>
      </c>
      <c r="G81" s="49" t="s">
        <v>80</v>
      </c>
      <c r="H81" s="50">
        <v>6</v>
      </c>
      <c r="I81" s="51"/>
      <c r="J81" s="52"/>
      <c r="K81" s="52"/>
      <c r="L81" s="53"/>
      <c r="M81" s="54">
        <f t="shared" si="1"/>
        <v>0.99292035398230083</v>
      </c>
      <c r="N81" s="54">
        <f t="shared" si="1"/>
        <v>1</v>
      </c>
      <c r="O81" s="54" t="e">
        <f t="shared" si="1"/>
        <v>#DIV/0!</v>
      </c>
      <c r="P81" s="54">
        <f t="shared" si="1"/>
        <v>1</v>
      </c>
      <c r="Q81" s="54">
        <f t="shared" si="1"/>
        <v>1</v>
      </c>
      <c r="R81" s="54">
        <f t="shared" si="1"/>
        <v>1</v>
      </c>
      <c r="S81" s="54">
        <f t="shared" si="1"/>
        <v>0.66666666666666663</v>
      </c>
      <c r="T81" s="54">
        <f t="shared" si="1"/>
        <v>0.85</v>
      </c>
      <c r="U81" s="54">
        <f t="shared" si="1"/>
        <v>1</v>
      </c>
      <c r="V81" s="54">
        <f t="shared" si="1"/>
        <v>0.4</v>
      </c>
      <c r="W81" s="54">
        <f t="shared" si="1"/>
        <v>0.98368678629690054</v>
      </c>
      <c r="X81" s="54">
        <f t="shared" si="1"/>
        <v>0.98819561551433388</v>
      </c>
      <c r="Y81" s="48">
        <v>4</v>
      </c>
    </row>
    <row r="82" spans="1:25" x14ac:dyDescent="0.25">
      <c r="A82" s="48">
        <v>304</v>
      </c>
      <c r="B82" s="48">
        <v>3</v>
      </c>
      <c r="C82" s="48" t="s">
        <v>84</v>
      </c>
      <c r="D82" s="49">
        <v>44737</v>
      </c>
      <c r="E82" s="49" t="s">
        <v>12</v>
      </c>
      <c r="F82" s="49" t="s">
        <v>47</v>
      </c>
      <c r="G82" s="49" t="s">
        <v>80</v>
      </c>
      <c r="H82" s="50">
        <v>6</v>
      </c>
      <c r="I82" s="51"/>
      <c r="J82" s="52"/>
      <c r="K82" s="52"/>
      <c r="L82" s="53"/>
      <c r="M82" s="54">
        <f t="shared" si="1"/>
        <v>0.9955357142857143</v>
      </c>
      <c r="N82" s="54" t="e">
        <f t="shared" si="1"/>
        <v>#DIV/0!</v>
      </c>
      <c r="O82" s="54" t="e">
        <f t="shared" si="1"/>
        <v>#DIV/0!</v>
      </c>
      <c r="P82" s="54">
        <f t="shared" si="1"/>
        <v>1</v>
      </c>
      <c r="Q82" s="54" t="e">
        <f t="shared" si="1"/>
        <v>#DIV/0!</v>
      </c>
      <c r="R82" s="54" t="e">
        <f t="shared" si="1"/>
        <v>#DIV/0!</v>
      </c>
      <c r="S82" s="54" t="e">
        <f t="shared" si="1"/>
        <v>#DIV/0!</v>
      </c>
      <c r="T82" s="54" t="e">
        <f t="shared" si="1"/>
        <v>#DIV/0!</v>
      </c>
      <c r="U82" s="54">
        <f t="shared" si="1"/>
        <v>1</v>
      </c>
      <c r="V82" s="54">
        <f t="shared" si="1"/>
        <v>1</v>
      </c>
      <c r="W82" s="54">
        <f t="shared" si="1"/>
        <v>0.9966216216216216</v>
      </c>
      <c r="X82" s="54">
        <f t="shared" si="1"/>
        <v>0.9966216216216216</v>
      </c>
      <c r="Y82" s="48">
        <v>16</v>
      </c>
    </row>
    <row r="83" spans="1:25" x14ac:dyDescent="0.25">
      <c r="A83" s="48">
        <v>104</v>
      </c>
      <c r="B83" s="48">
        <v>4</v>
      </c>
      <c r="C83" s="48" t="s">
        <v>84</v>
      </c>
      <c r="D83" s="49">
        <v>44737</v>
      </c>
      <c r="E83" s="49" t="s">
        <v>12</v>
      </c>
      <c r="F83" s="49" t="s">
        <v>48</v>
      </c>
      <c r="G83" s="49" t="s">
        <v>80</v>
      </c>
      <c r="H83" s="50">
        <v>6</v>
      </c>
      <c r="I83" s="51"/>
      <c r="J83" s="52"/>
      <c r="K83" s="52"/>
      <c r="L83" s="53"/>
      <c r="M83" s="54">
        <f t="shared" si="1"/>
        <v>0.94029850746268662</v>
      </c>
      <c r="N83" s="54" t="e">
        <f t="shared" si="1"/>
        <v>#DIV/0!</v>
      </c>
      <c r="O83" s="54">
        <f t="shared" si="1"/>
        <v>0.5</v>
      </c>
      <c r="P83" s="54">
        <f t="shared" si="1"/>
        <v>0.95774647887323938</v>
      </c>
      <c r="Q83" s="54" t="e">
        <f t="shared" si="1"/>
        <v>#DIV/0!</v>
      </c>
      <c r="R83" s="54" t="e">
        <f t="shared" si="1"/>
        <v>#DIV/0!</v>
      </c>
      <c r="S83" s="54" t="e">
        <f t="shared" si="1"/>
        <v>#DIV/0!</v>
      </c>
      <c r="T83" s="54" t="e">
        <f t="shared" si="1"/>
        <v>#DIV/0!</v>
      </c>
      <c r="U83" s="54" t="e">
        <f t="shared" si="1"/>
        <v>#DIV/0!</v>
      </c>
      <c r="V83" s="54">
        <f t="shared" si="1"/>
        <v>0.8</v>
      </c>
      <c r="W83" s="54">
        <f t="shared" si="1"/>
        <v>0.93793103448275861</v>
      </c>
      <c r="X83" s="54">
        <f t="shared" si="1"/>
        <v>0.93793103448275861</v>
      </c>
      <c r="Y83" s="48">
        <v>15</v>
      </c>
    </row>
    <row r="84" spans="1:25" x14ac:dyDescent="0.25">
      <c r="A84" s="48">
        <v>211</v>
      </c>
      <c r="B84" s="48">
        <v>4</v>
      </c>
      <c r="C84" s="48" t="s">
        <v>84</v>
      </c>
      <c r="D84" s="49">
        <v>44737</v>
      </c>
      <c r="E84" s="49" t="s">
        <v>12</v>
      </c>
      <c r="F84" s="49" t="s">
        <v>48</v>
      </c>
      <c r="G84" s="49" t="s">
        <v>80</v>
      </c>
      <c r="H84" s="50">
        <v>9</v>
      </c>
      <c r="I84" s="51"/>
      <c r="J84" s="52"/>
      <c r="K84" s="52"/>
      <c r="L84" s="53"/>
      <c r="M84" s="54">
        <f t="shared" si="1"/>
        <v>0.9734660033167496</v>
      </c>
      <c r="N84" s="54" t="e">
        <f t="shared" si="1"/>
        <v>#DIV/0!</v>
      </c>
      <c r="O84" s="54" t="e">
        <f t="shared" si="1"/>
        <v>#DIV/0!</v>
      </c>
      <c r="P84" s="54">
        <f t="shared" si="1"/>
        <v>1</v>
      </c>
      <c r="Q84" s="54">
        <f t="shared" si="1"/>
        <v>1</v>
      </c>
      <c r="R84" s="54">
        <f t="shared" si="1"/>
        <v>0.66666666666666663</v>
      </c>
      <c r="S84" s="54">
        <f t="shared" si="1"/>
        <v>0.95833333333333337</v>
      </c>
      <c r="T84" s="54">
        <f t="shared" si="1"/>
        <v>0.9285714285714286</v>
      </c>
      <c r="U84" s="54">
        <f t="shared" si="1"/>
        <v>1</v>
      </c>
      <c r="V84" s="54" t="e">
        <f t="shared" si="1"/>
        <v>#DIV/0!</v>
      </c>
      <c r="W84" s="54">
        <f t="shared" si="1"/>
        <v>0.97214484679665736</v>
      </c>
      <c r="X84" s="54">
        <f t="shared" si="1"/>
        <v>0.97583081570996977</v>
      </c>
      <c r="Y84" s="48">
        <v>4</v>
      </c>
    </row>
    <row r="85" spans="1:25" x14ac:dyDescent="0.25">
      <c r="A85" s="48">
        <v>303</v>
      </c>
      <c r="B85" s="48">
        <v>4</v>
      </c>
      <c r="C85" s="48" t="s">
        <v>84</v>
      </c>
      <c r="D85" s="49">
        <v>44737</v>
      </c>
      <c r="E85" s="49" t="s">
        <v>12</v>
      </c>
      <c r="F85" s="49" t="s">
        <v>48</v>
      </c>
      <c r="G85" s="49" t="s">
        <v>80</v>
      </c>
      <c r="H85" s="50">
        <v>9</v>
      </c>
      <c r="I85" s="51"/>
      <c r="J85" s="52"/>
      <c r="K85" s="52"/>
      <c r="L85" s="53"/>
      <c r="M85" s="54">
        <f t="shared" si="1"/>
        <v>0.93181818181818177</v>
      </c>
      <c r="N85" s="54">
        <f t="shared" si="1"/>
        <v>1</v>
      </c>
      <c r="O85" s="54" t="e">
        <f t="shared" si="1"/>
        <v>#DIV/0!</v>
      </c>
      <c r="P85" s="54">
        <f t="shared" si="1"/>
        <v>0.95238095238095233</v>
      </c>
      <c r="Q85" s="54">
        <f t="shared" si="1"/>
        <v>1</v>
      </c>
      <c r="R85" s="54">
        <f t="shared" si="1"/>
        <v>1</v>
      </c>
      <c r="S85" s="54" t="e">
        <f t="shared" si="1"/>
        <v>#DIV/0!</v>
      </c>
      <c r="T85" s="54">
        <f t="shared" si="1"/>
        <v>1</v>
      </c>
      <c r="U85" s="54" t="e">
        <f t="shared" si="1"/>
        <v>#DIV/0!</v>
      </c>
      <c r="V85" s="54" t="e">
        <f t="shared" si="1"/>
        <v>#DIV/0!</v>
      </c>
      <c r="W85" s="54">
        <f t="shared" si="1"/>
        <v>0.94594594594594594</v>
      </c>
      <c r="X85" s="54">
        <f t="shared" si="1"/>
        <v>0.93939393939393945</v>
      </c>
      <c r="Y85" s="48">
        <v>5</v>
      </c>
    </row>
    <row r="86" spans="1:25" x14ac:dyDescent="0.25">
      <c r="A86" s="48">
        <v>105</v>
      </c>
      <c r="B86" s="48">
        <v>5</v>
      </c>
      <c r="C86" s="48" t="s">
        <v>84</v>
      </c>
      <c r="D86" s="49">
        <v>44745</v>
      </c>
      <c r="E86" s="49" t="s">
        <v>11</v>
      </c>
      <c r="F86" s="48" t="s">
        <v>48</v>
      </c>
      <c r="G86" s="49" t="s">
        <v>81</v>
      </c>
      <c r="H86" s="50">
        <v>9</v>
      </c>
      <c r="I86" s="51">
        <v>1</v>
      </c>
      <c r="J86" s="52">
        <v>0.32</v>
      </c>
      <c r="K86" s="52">
        <v>0.28999999999999998</v>
      </c>
      <c r="L86" s="53">
        <v>0.08</v>
      </c>
      <c r="M86" s="54">
        <f t="shared" si="1"/>
        <v>0.61842105263157898</v>
      </c>
      <c r="N86" s="54">
        <f t="shared" si="1"/>
        <v>0.33333333333333331</v>
      </c>
      <c r="O86" s="54" t="e">
        <f t="shared" si="1"/>
        <v>#DIV/0!</v>
      </c>
      <c r="P86" s="54">
        <f t="shared" si="1"/>
        <v>1</v>
      </c>
      <c r="Q86" s="54" t="e">
        <f t="shared" si="1"/>
        <v>#DIV/0!</v>
      </c>
      <c r="R86" s="54" t="e">
        <f t="shared" si="1"/>
        <v>#DIV/0!</v>
      </c>
      <c r="S86" s="54" t="e">
        <f t="shared" si="1"/>
        <v>#DIV/0!</v>
      </c>
      <c r="T86" s="54" t="e">
        <f t="shared" si="1"/>
        <v>#DIV/0!</v>
      </c>
      <c r="U86" s="54" t="e">
        <f t="shared" si="1"/>
        <v>#DIV/0!</v>
      </c>
      <c r="V86" s="54">
        <f t="shared" si="1"/>
        <v>1</v>
      </c>
      <c r="W86" s="54">
        <f t="shared" si="1"/>
        <v>0.6404494382022472</v>
      </c>
      <c r="X86" s="54">
        <f t="shared" si="1"/>
        <v>0.6404494382022472</v>
      </c>
      <c r="Y86" s="48">
        <v>3</v>
      </c>
    </row>
    <row r="87" spans="1:25" x14ac:dyDescent="0.25">
      <c r="A87" s="48">
        <v>209</v>
      </c>
      <c r="B87" s="48">
        <v>5</v>
      </c>
      <c r="C87" s="48" t="s">
        <v>84</v>
      </c>
      <c r="D87" s="49">
        <v>44745</v>
      </c>
      <c r="E87" s="49" t="s">
        <v>11</v>
      </c>
      <c r="F87" s="48" t="s">
        <v>47</v>
      </c>
      <c r="G87" s="49" t="s">
        <v>81</v>
      </c>
      <c r="H87" s="50">
        <v>9</v>
      </c>
      <c r="I87" s="51">
        <v>1</v>
      </c>
      <c r="J87" s="52">
        <v>0.32</v>
      </c>
      <c r="K87" s="52">
        <v>0.31</v>
      </c>
      <c r="L87" s="53">
        <v>0.05</v>
      </c>
      <c r="M87" s="54">
        <f t="shared" si="1"/>
        <v>0.95283018867924529</v>
      </c>
      <c r="N87" s="54">
        <f t="shared" si="1"/>
        <v>1</v>
      </c>
      <c r="O87" s="54" t="e">
        <f t="shared" si="1"/>
        <v>#DIV/0!</v>
      </c>
      <c r="P87" s="54">
        <f t="shared" si="1"/>
        <v>0.98742138364779874</v>
      </c>
      <c r="Q87" s="54">
        <f t="shared" si="1"/>
        <v>1</v>
      </c>
      <c r="R87" s="54">
        <f t="shared" si="1"/>
        <v>0.85185185185185186</v>
      </c>
      <c r="S87" s="54">
        <f t="shared" si="1"/>
        <v>0.56862745098039214</v>
      </c>
      <c r="T87" s="54">
        <f t="shared" si="1"/>
        <v>0.70454545454545459</v>
      </c>
      <c r="U87" s="54" t="e">
        <f t="shared" si="1"/>
        <v>#DIV/0!</v>
      </c>
      <c r="V87" s="54" t="e">
        <f t="shared" si="1"/>
        <v>#DIV/0!</v>
      </c>
      <c r="W87" s="54">
        <f t="shared" si="1"/>
        <v>0.90756302521008403</v>
      </c>
      <c r="X87" s="54">
        <f t="shared" si="1"/>
        <v>0.97397769516728627</v>
      </c>
      <c r="Y87" s="48">
        <v>1</v>
      </c>
    </row>
    <row r="88" spans="1:25" x14ac:dyDescent="0.25">
      <c r="A88" s="48">
        <v>309</v>
      </c>
      <c r="B88" s="48">
        <v>5</v>
      </c>
      <c r="C88" s="48" t="s">
        <v>84</v>
      </c>
      <c r="D88" s="49">
        <v>44745</v>
      </c>
      <c r="E88" s="49" t="s">
        <v>11</v>
      </c>
      <c r="F88" s="48" t="s">
        <v>47</v>
      </c>
      <c r="G88" s="49" t="s">
        <v>81</v>
      </c>
      <c r="H88" s="50">
        <v>9</v>
      </c>
      <c r="I88" s="51">
        <v>1</v>
      </c>
      <c r="J88" s="52">
        <v>0.3</v>
      </c>
      <c r="K88" s="52">
        <v>0.28999999999999998</v>
      </c>
      <c r="L88" s="53">
        <v>0.03</v>
      </c>
      <c r="M88" s="54">
        <f t="shared" si="1"/>
        <v>0.98986486486486491</v>
      </c>
      <c r="N88" s="54">
        <f t="shared" si="1"/>
        <v>1</v>
      </c>
      <c r="O88" s="54" t="e">
        <f t="shared" si="1"/>
        <v>#DIV/0!</v>
      </c>
      <c r="P88" s="54">
        <f t="shared" si="1"/>
        <v>1</v>
      </c>
      <c r="Q88" s="54" t="e">
        <f t="shared" si="1"/>
        <v>#DIV/0!</v>
      </c>
      <c r="R88" s="54" t="e">
        <f t="shared" si="1"/>
        <v>#DIV/0!</v>
      </c>
      <c r="S88" s="54" t="e">
        <f t="shared" si="1"/>
        <v>#DIV/0!</v>
      </c>
      <c r="T88" s="54" t="e">
        <f t="shared" si="1"/>
        <v>#DIV/0!</v>
      </c>
      <c r="U88" s="54">
        <f t="shared" si="1"/>
        <v>1</v>
      </c>
      <c r="V88" s="54">
        <f t="shared" si="1"/>
        <v>1</v>
      </c>
      <c r="W88" s="54">
        <f t="shared" si="1"/>
        <v>0.99038461538461542</v>
      </c>
      <c r="X88" s="54">
        <f t="shared" si="1"/>
        <v>0.99038461538461542</v>
      </c>
      <c r="Y88" s="48">
        <v>0</v>
      </c>
    </row>
    <row r="89" spans="1:25" x14ac:dyDescent="0.25">
      <c r="A89" s="48">
        <v>106</v>
      </c>
      <c r="B89" s="48">
        <v>6</v>
      </c>
      <c r="C89" s="48" t="s">
        <v>84</v>
      </c>
      <c r="D89" s="49">
        <v>44745</v>
      </c>
      <c r="E89" s="49" t="s">
        <v>12</v>
      </c>
      <c r="F89" s="49" t="s">
        <v>47</v>
      </c>
      <c r="G89" s="49" t="s">
        <v>81</v>
      </c>
      <c r="H89" s="50">
        <v>9</v>
      </c>
      <c r="I89" s="51">
        <v>0</v>
      </c>
      <c r="J89" s="52">
        <v>0.3</v>
      </c>
      <c r="K89" s="52">
        <v>0.23</v>
      </c>
      <c r="L89" s="53">
        <v>0.23</v>
      </c>
      <c r="M89" s="54">
        <f t="shared" si="1"/>
        <v>0.69491525423728817</v>
      </c>
      <c r="N89" s="54" t="e">
        <f t="shared" si="1"/>
        <v>#DIV/0!</v>
      </c>
      <c r="O89" s="54" t="e">
        <f t="shared" si="1"/>
        <v>#DIV/0!</v>
      </c>
      <c r="P89" s="54">
        <f t="shared" si="1"/>
        <v>0.66666666666666663</v>
      </c>
      <c r="Q89" s="54">
        <f t="shared" si="1"/>
        <v>-18</v>
      </c>
      <c r="R89" s="54">
        <f t="shared" si="1"/>
        <v>0.42857142857142855</v>
      </c>
      <c r="S89" s="54">
        <f t="shared" si="1"/>
        <v>-0.4</v>
      </c>
      <c r="T89" s="54">
        <f t="shared" si="1"/>
        <v>-0.91304347826086951</v>
      </c>
      <c r="U89" s="54">
        <f t="shared" si="1"/>
        <v>1</v>
      </c>
      <c r="V89" s="54">
        <f t="shared" si="1"/>
        <v>1</v>
      </c>
      <c r="W89" s="54">
        <f t="shared" si="1"/>
        <v>0.30927835051546393</v>
      </c>
      <c r="X89" s="54">
        <f t="shared" si="1"/>
        <v>0.68918918918918914</v>
      </c>
      <c r="Y89" s="48">
        <v>4</v>
      </c>
    </row>
    <row r="90" spans="1:25" x14ac:dyDescent="0.25">
      <c r="A90" s="48">
        <v>204</v>
      </c>
      <c r="B90" s="48">
        <v>6</v>
      </c>
      <c r="C90" s="48" t="s">
        <v>84</v>
      </c>
      <c r="D90" s="49">
        <v>44745</v>
      </c>
      <c r="E90" s="49" t="s">
        <v>11</v>
      </c>
      <c r="F90" s="49" t="s">
        <v>47</v>
      </c>
      <c r="G90" s="49" t="s">
        <v>81</v>
      </c>
      <c r="H90" s="50">
        <v>9</v>
      </c>
      <c r="I90" s="51">
        <v>0</v>
      </c>
      <c r="J90" s="52">
        <v>30</v>
      </c>
      <c r="K90" s="52">
        <v>0.25</v>
      </c>
      <c r="L90" s="53">
        <v>0.16</v>
      </c>
      <c r="M90" s="54">
        <f t="shared" si="1"/>
        <v>0.81481481481481477</v>
      </c>
      <c r="N90" s="54">
        <f t="shared" si="1"/>
        <v>1</v>
      </c>
      <c r="O90" s="54">
        <f t="shared" si="1"/>
        <v>0</v>
      </c>
      <c r="P90" s="54">
        <f t="shared" si="1"/>
        <v>0.94186046511627908</v>
      </c>
      <c r="Q90" s="54" t="e">
        <f t="shared" si="1"/>
        <v>#DIV/0!</v>
      </c>
      <c r="R90" s="54">
        <f t="shared" si="1"/>
        <v>1</v>
      </c>
      <c r="S90" s="54" t="e">
        <f t="shared" si="1"/>
        <v>#DIV/0!</v>
      </c>
      <c r="T90" s="54">
        <f t="shared" si="1"/>
        <v>1</v>
      </c>
      <c r="U90" s="54">
        <f t="shared" si="1"/>
        <v>0.94545454545454544</v>
      </c>
      <c r="V90" s="54">
        <f t="shared" si="1"/>
        <v>1</v>
      </c>
      <c r="W90" s="54">
        <f t="shared" si="1"/>
        <v>0.9375</v>
      </c>
      <c r="X90" s="54">
        <f t="shared" si="1"/>
        <v>0.93730407523510972</v>
      </c>
      <c r="Y90" s="48">
        <v>1</v>
      </c>
    </row>
    <row r="91" spans="1:25" x14ac:dyDescent="0.25">
      <c r="A91" s="48">
        <v>310</v>
      </c>
      <c r="B91" s="48">
        <v>6</v>
      </c>
      <c r="C91" s="48" t="s">
        <v>84</v>
      </c>
      <c r="D91" s="49">
        <v>44745</v>
      </c>
      <c r="E91" s="49" t="s">
        <v>11</v>
      </c>
      <c r="F91" s="49" t="s">
        <v>48</v>
      </c>
      <c r="G91" s="49" t="s">
        <v>81</v>
      </c>
      <c r="H91" s="50">
        <v>9</v>
      </c>
      <c r="I91" s="51">
        <v>0</v>
      </c>
      <c r="J91" s="52">
        <v>0.32</v>
      </c>
      <c r="K91" s="52">
        <v>0.31</v>
      </c>
      <c r="L91" s="53">
        <v>0.02</v>
      </c>
      <c r="M91" s="54">
        <f t="shared" si="1"/>
        <v>0.98109640831758038</v>
      </c>
      <c r="N91" s="54">
        <f t="shared" si="1"/>
        <v>1</v>
      </c>
      <c r="O91" s="54" t="e">
        <f t="shared" si="1"/>
        <v>#DIV/0!</v>
      </c>
      <c r="P91" s="54">
        <f t="shared" si="1"/>
        <v>1</v>
      </c>
      <c r="Q91" s="54">
        <f t="shared" si="1"/>
        <v>1</v>
      </c>
      <c r="R91" s="54">
        <f t="shared" si="1"/>
        <v>1</v>
      </c>
      <c r="S91" s="54">
        <f t="shared" si="1"/>
        <v>1</v>
      </c>
      <c r="T91" s="54">
        <f t="shared" si="1"/>
        <v>1</v>
      </c>
      <c r="U91" s="54">
        <f t="shared" si="1"/>
        <v>1</v>
      </c>
      <c r="V91" s="54" t="e">
        <f t="shared" si="1"/>
        <v>#DIV/0!</v>
      </c>
      <c r="W91" s="54">
        <f t="shared" si="1"/>
        <v>0.98230088495575218</v>
      </c>
      <c r="X91" s="54">
        <f t="shared" si="1"/>
        <v>0.982174688057041</v>
      </c>
      <c r="Y91" s="48">
        <v>3</v>
      </c>
    </row>
    <row r="92" spans="1:25" x14ac:dyDescent="0.25">
      <c r="A92" s="48">
        <v>107</v>
      </c>
      <c r="B92" s="48">
        <v>7</v>
      </c>
      <c r="C92" s="48" t="s">
        <v>84</v>
      </c>
      <c r="D92" s="49">
        <v>44745</v>
      </c>
      <c r="E92" s="49" t="s">
        <v>12</v>
      </c>
      <c r="F92" s="49" t="s">
        <v>47</v>
      </c>
      <c r="G92" s="49" t="s">
        <v>81</v>
      </c>
      <c r="H92" s="50">
        <v>6</v>
      </c>
      <c r="I92" s="51"/>
      <c r="J92" s="52"/>
      <c r="K92" s="52"/>
      <c r="L92" s="53"/>
      <c r="M92" s="54">
        <f t="shared" si="1"/>
        <v>0.93103448275862066</v>
      </c>
      <c r="N92" s="54">
        <f t="shared" si="1"/>
        <v>1</v>
      </c>
      <c r="O92" s="54">
        <f t="shared" si="1"/>
        <v>1</v>
      </c>
      <c r="P92" s="54">
        <f t="shared" si="1"/>
        <v>0.84375</v>
      </c>
      <c r="Q92" s="54">
        <f t="shared" si="1"/>
        <v>0.83333333333333337</v>
      </c>
      <c r="R92" s="54">
        <f t="shared" si="1"/>
        <v>0.42857142857142855</v>
      </c>
      <c r="S92" s="54">
        <f t="shared" si="1"/>
        <v>0.2857142857142857</v>
      </c>
      <c r="T92" s="54">
        <f t="shared" si="1"/>
        <v>0.5</v>
      </c>
      <c r="U92" s="54" t="e">
        <f t="shared" si="1"/>
        <v>#DIV/0!</v>
      </c>
      <c r="V92" s="54">
        <f t="shared" si="1"/>
        <v>1</v>
      </c>
      <c r="W92" s="54">
        <f t="shared" si="1"/>
        <v>0.81318681318681318</v>
      </c>
      <c r="X92" s="54">
        <f t="shared" si="1"/>
        <v>0.90140845070422537</v>
      </c>
      <c r="Y92" s="48">
        <v>2</v>
      </c>
    </row>
    <row r="93" spans="1:25" x14ac:dyDescent="0.25">
      <c r="A93" s="48">
        <v>203</v>
      </c>
      <c r="B93" s="48">
        <v>7</v>
      </c>
      <c r="C93" s="48" t="s">
        <v>84</v>
      </c>
      <c r="D93" s="49">
        <v>44745</v>
      </c>
      <c r="E93" s="49" t="s">
        <v>12</v>
      </c>
      <c r="F93" s="48" t="s">
        <v>47</v>
      </c>
      <c r="G93" s="49" t="s">
        <v>81</v>
      </c>
      <c r="H93" s="50">
        <v>6</v>
      </c>
      <c r="I93" s="51"/>
      <c r="J93" s="52"/>
      <c r="K93" s="52"/>
      <c r="L93" s="53"/>
      <c r="M93" s="54">
        <f t="shared" si="1"/>
        <v>0.97590361445783136</v>
      </c>
      <c r="N93" s="54">
        <f t="shared" si="1"/>
        <v>0.9375</v>
      </c>
      <c r="O93" s="54" t="e">
        <f t="shared" si="1"/>
        <v>#DIV/0!</v>
      </c>
      <c r="P93" s="54">
        <f t="shared" si="1"/>
        <v>1</v>
      </c>
      <c r="Q93" s="54">
        <f t="shared" si="1"/>
        <v>0.83333333333333337</v>
      </c>
      <c r="R93" s="54">
        <f t="shared" si="1"/>
        <v>0.625</v>
      </c>
      <c r="S93" s="54">
        <f t="shared" si="1"/>
        <v>0.22222222222222221</v>
      </c>
      <c r="T93" s="54">
        <f t="shared" si="1"/>
        <v>0.52173913043478259</v>
      </c>
      <c r="U93" s="54">
        <f t="shared" si="1"/>
        <v>1</v>
      </c>
      <c r="V93" s="54">
        <f t="shared" si="1"/>
        <v>0.83333333333333337</v>
      </c>
      <c r="W93" s="54">
        <f t="shared" si="1"/>
        <v>0.88721804511278191</v>
      </c>
      <c r="X93" s="54">
        <f t="shared" si="1"/>
        <v>0.96363636363636362</v>
      </c>
      <c r="Y93" s="48">
        <v>1</v>
      </c>
    </row>
    <row r="94" spans="1:25" x14ac:dyDescent="0.25">
      <c r="A94" s="55">
        <v>312</v>
      </c>
      <c r="B94" s="55">
        <v>7</v>
      </c>
      <c r="C94" s="48" t="s">
        <v>84</v>
      </c>
      <c r="D94" s="56">
        <v>44745</v>
      </c>
      <c r="E94" s="55" t="s">
        <v>12</v>
      </c>
      <c r="F94" s="55" t="s">
        <v>47</v>
      </c>
      <c r="G94" s="56" t="s">
        <v>81</v>
      </c>
      <c r="H94" s="57">
        <v>6</v>
      </c>
      <c r="I94" s="58"/>
      <c r="J94" s="59"/>
      <c r="K94" s="59"/>
      <c r="L94" s="60"/>
      <c r="M94" s="54">
        <f t="shared" si="1"/>
        <v>0.9941860465116279</v>
      </c>
      <c r="N94" s="54">
        <f t="shared" si="1"/>
        <v>1</v>
      </c>
      <c r="O94" s="54" t="e">
        <f t="shared" si="1"/>
        <v>#DIV/0!</v>
      </c>
      <c r="P94" s="54">
        <f t="shared" si="1"/>
        <v>0.96875</v>
      </c>
      <c r="Q94" s="54" t="e">
        <f t="shared" si="1"/>
        <v>#DIV/0!</v>
      </c>
      <c r="R94" s="54" t="e">
        <f t="shared" si="1"/>
        <v>#DIV/0!</v>
      </c>
      <c r="S94" s="54" t="e">
        <f t="shared" si="1"/>
        <v>#DIV/0!</v>
      </c>
      <c r="T94" s="54" t="e">
        <f t="shared" si="1"/>
        <v>#DIV/0!</v>
      </c>
      <c r="U94" s="54">
        <f t="shared" si="1"/>
        <v>1</v>
      </c>
      <c r="V94" s="54" t="e">
        <f t="shared" si="1"/>
        <v>#DIV/0!</v>
      </c>
      <c r="W94" s="54">
        <f t="shared" si="1"/>
        <v>0.96135265700483097</v>
      </c>
      <c r="X94" s="54">
        <f t="shared" si="1"/>
        <v>0.96135265700483097</v>
      </c>
      <c r="Y94" s="55">
        <v>2</v>
      </c>
    </row>
    <row r="95" spans="1:25" x14ac:dyDescent="0.25">
      <c r="A95" s="48">
        <v>108</v>
      </c>
      <c r="B95" s="48">
        <v>8</v>
      </c>
      <c r="C95" s="48" t="s">
        <v>84</v>
      </c>
      <c r="D95" s="49">
        <v>44745</v>
      </c>
      <c r="E95" s="48" t="s">
        <v>12</v>
      </c>
      <c r="F95" s="49" t="s">
        <v>48</v>
      </c>
      <c r="G95" s="49" t="s">
        <v>81</v>
      </c>
      <c r="H95" s="50">
        <v>9</v>
      </c>
      <c r="I95" s="51"/>
      <c r="J95" s="52"/>
      <c r="K95" s="52"/>
      <c r="L95" s="53"/>
      <c r="M95" s="54">
        <f t="shared" si="1"/>
        <v>0.69811320754716977</v>
      </c>
      <c r="N95" s="54">
        <f t="shared" ref="N95:X109" si="2">(N23-N59)/N23</f>
        <v>1</v>
      </c>
      <c r="O95" s="54" t="e">
        <f t="shared" si="2"/>
        <v>#DIV/0!</v>
      </c>
      <c r="P95" s="54">
        <f t="shared" si="2"/>
        <v>0.72222222222222221</v>
      </c>
      <c r="Q95" s="54">
        <f t="shared" si="2"/>
        <v>0.53846153846153844</v>
      </c>
      <c r="R95" s="54">
        <f t="shared" si="2"/>
        <v>0</v>
      </c>
      <c r="S95" s="54">
        <f t="shared" si="2"/>
        <v>-1</v>
      </c>
      <c r="T95" s="54">
        <f t="shared" si="2"/>
        <v>0.35294117647058826</v>
      </c>
      <c r="U95" s="54" t="e">
        <f t="shared" si="2"/>
        <v>#DIV/0!</v>
      </c>
      <c r="V95" s="54">
        <f t="shared" si="2"/>
        <v>1</v>
      </c>
      <c r="W95" s="54">
        <f t="shared" si="2"/>
        <v>0.63736263736263732</v>
      </c>
      <c r="X95" s="54">
        <f t="shared" si="2"/>
        <v>0.70270270270270274</v>
      </c>
      <c r="Y95" s="48">
        <v>4</v>
      </c>
    </row>
    <row r="96" spans="1:25" x14ac:dyDescent="0.25">
      <c r="A96" s="48">
        <v>207</v>
      </c>
      <c r="B96" s="48">
        <v>8</v>
      </c>
      <c r="C96" s="48" t="s">
        <v>84</v>
      </c>
      <c r="D96" s="49">
        <v>44745</v>
      </c>
      <c r="E96" s="49" t="s">
        <v>12</v>
      </c>
      <c r="F96" s="48" t="s">
        <v>47</v>
      </c>
      <c r="G96" s="49" t="s">
        <v>81</v>
      </c>
      <c r="H96" s="50">
        <v>9</v>
      </c>
      <c r="I96" s="51"/>
      <c r="J96" s="52"/>
      <c r="K96" s="52"/>
      <c r="L96" s="53"/>
      <c r="M96" s="54">
        <f t="shared" si="1"/>
        <v>0.97777777777777775</v>
      </c>
      <c r="N96" s="54" t="e">
        <f t="shared" si="2"/>
        <v>#DIV/0!</v>
      </c>
      <c r="O96" s="54">
        <f t="shared" si="2"/>
        <v>0.45454545454545453</v>
      </c>
      <c r="P96" s="54">
        <f t="shared" si="2"/>
        <v>1</v>
      </c>
      <c r="Q96" s="54">
        <f t="shared" si="2"/>
        <v>1</v>
      </c>
      <c r="R96" s="54" t="e">
        <f t="shared" si="2"/>
        <v>#DIV/0!</v>
      </c>
      <c r="S96" s="54">
        <f t="shared" si="2"/>
        <v>1</v>
      </c>
      <c r="T96" s="54">
        <f t="shared" si="2"/>
        <v>1</v>
      </c>
      <c r="U96" s="54">
        <f t="shared" si="2"/>
        <v>1</v>
      </c>
      <c r="V96" s="54" t="e">
        <f t="shared" si="2"/>
        <v>#DIV/0!</v>
      </c>
      <c r="W96" s="54">
        <f t="shared" si="2"/>
        <v>0.96598639455782309</v>
      </c>
      <c r="X96" s="54">
        <f t="shared" si="2"/>
        <v>0.96575342465753422</v>
      </c>
      <c r="Y96" s="48">
        <v>0</v>
      </c>
    </row>
    <row r="97" spans="1:25" x14ac:dyDescent="0.25">
      <c r="A97" s="48">
        <v>308</v>
      </c>
      <c r="B97" s="48">
        <v>8</v>
      </c>
      <c r="C97" s="48" t="s">
        <v>84</v>
      </c>
      <c r="D97" s="49">
        <v>44745</v>
      </c>
      <c r="E97" s="49" t="s">
        <v>12</v>
      </c>
      <c r="F97" s="48" t="s">
        <v>47</v>
      </c>
      <c r="G97" s="49" t="s">
        <v>81</v>
      </c>
      <c r="H97" s="50">
        <v>9</v>
      </c>
      <c r="I97" s="51"/>
      <c r="J97" s="52"/>
      <c r="K97" s="52"/>
      <c r="L97" s="53"/>
      <c r="M97" s="54">
        <f t="shared" si="1"/>
        <v>0.94374999999999998</v>
      </c>
      <c r="N97" s="54" t="e">
        <f t="shared" si="2"/>
        <v>#DIV/0!</v>
      </c>
      <c r="O97" s="54" t="e">
        <f t="shared" si="2"/>
        <v>#DIV/0!</v>
      </c>
      <c r="P97" s="54">
        <f t="shared" si="2"/>
        <v>0.90476190476190477</v>
      </c>
      <c r="Q97" s="54" t="e">
        <f t="shared" si="2"/>
        <v>#DIV/0!</v>
      </c>
      <c r="R97" s="54" t="e">
        <f t="shared" si="2"/>
        <v>#DIV/0!</v>
      </c>
      <c r="S97" s="54">
        <f t="shared" si="2"/>
        <v>1</v>
      </c>
      <c r="T97" s="54">
        <f t="shared" si="2"/>
        <v>1</v>
      </c>
      <c r="U97" s="54">
        <f t="shared" si="2"/>
        <v>1</v>
      </c>
      <c r="V97" s="54" t="e">
        <f t="shared" si="2"/>
        <v>#DIV/0!</v>
      </c>
      <c r="W97" s="54">
        <f t="shared" si="2"/>
        <v>0.94117647058823528</v>
      </c>
      <c r="X97" s="54">
        <f t="shared" si="2"/>
        <v>0.94086021505376349</v>
      </c>
      <c r="Y97" s="48">
        <v>0</v>
      </c>
    </row>
    <row r="98" spans="1:25" x14ac:dyDescent="0.25">
      <c r="A98" s="48">
        <v>109</v>
      </c>
      <c r="B98" s="48">
        <v>9</v>
      </c>
      <c r="C98" s="48" t="s">
        <v>84</v>
      </c>
      <c r="D98" s="49">
        <v>44745</v>
      </c>
      <c r="E98" s="49" t="s">
        <v>11</v>
      </c>
      <c r="F98" s="48" t="s">
        <v>48</v>
      </c>
      <c r="G98" s="49" t="s">
        <v>81</v>
      </c>
      <c r="H98" s="50">
        <v>9</v>
      </c>
      <c r="I98" s="51">
        <v>1</v>
      </c>
      <c r="J98" s="52">
        <v>0.28999999999999998</v>
      </c>
      <c r="K98" s="52">
        <v>0.25</v>
      </c>
      <c r="L98" s="53">
        <v>0.14000000000000001</v>
      </c>
      <c r="M98" s="54">
        <f t="shared" si="1"/>
        <v>0.82857142857142863</v>
      </c>
      <c r="N98" s="54">
        <f t="shared" si="2"/>
        <v>1</v>
      </c>
      <c r="O98" s="54" t="e">
        <f t="shared" si="2"/>
        <v>#DIV/0!</v>
      </c>
      <c r="P98" s="54">
        <f t="shared" si="2"/>
        <v>0.85185185185185186</v>
      </c>
      <c r="Q98" s="54">
        <f t="shared" si="2"/>
        <v>0.4</v>
      </c>
      <c r="R98" s="54" t="e">
        <f t="shared" si="2"/>
        <v>#DIV/0!</v>
      </c>
      <c r="S98" s="54">
        <f t="shared" si="2"/>
        <v>1</v>
      </c>
      <c r="T98" s="54">
        <f t="shared" si="2"/>
        <v>0.16666666666666666</v>
      </c>
      <c r="U98" s="54" t="e">
        <f t="shared" si="2"/>
        <v>#DIV/0!</v>
      </c>
      <c r="V98" s="54">
        <f t="shared" si="2"/>
        <v>1</v>
      </c>
      <c r="W98" s="54">
        <f t="shared" si="2"/>
        <v>0.79166666666666663</v>
      </c>
      <c r="X98" s="54">
        <f t="shared" si="2"/>
        <v>0.84848484848484851</v>
      </c>
      <c r="Y98" s="48">
        <v>1</v>
      </c>
    </row>
    <row r="99" spans="1:25" x14ac:dyDescent="0.25">
      <c r="A99" s="48">
        <v>208</v>
      </c>
      <c r="B99" s="48">
        <v>9</v>
      </c>
      <c r="C99" s="48" t="s">
        <v>84</v>
      </c>
      <c r="D99" s="49">
        <v>44745</v>
      </c>
      <c r="E99" s="49" t="s">
        <v>11</v>
      </c>
      <c r="F99" s="48" t="s">
        <v>48</v>
      </c>
      <c r="G99" s="49" t="s">
        <v>81</v>
      </c>
      <c r="H99" s="50">
        <v>9</v>
      </c>
      <c r="I99" s="51">
        <v>1</v>
      </c>
      <c r="J99" s="52">
        <v>0.31</v>
      </c>
      <c r="K99" s="52">
        <v>0.27</v>
      </c>
      <c r="L99" s="53">
        <v>0.12</v>
      </c>
      <c r="M99" s="54">
        <f t="shared" si="1"/>
        <v>0.95580110497237569</v>
      </c>
      <c r="N99" s="54">
        <f t="shared" si="2"/>
        <v>1</v>
      </c>
      <c r="O99" s="54">
        <f t="shared" si="2"/>
        <v>-0.13793103448275862</v>
      </c>
      <c r="P99" s="54">
        <f t="shared" si="2"/>
        <v>0.98461538461538467</v>
      </c>
      <c r="Q99" s="54" t="e">
        <f t="shared" si="2"/>
        <v>#DIV/0!</v>
      </c>
      <c r="R99" s="54" t="e">
        <f t="shared" si="2"/>
        <v>#DIV/0!</v>
      </c>
      <c r="S99" s="54" t="e">
        <f t="shared" si="2"/>
        <v>#DIV/0!</v>
      </c>
      <c r="T99" s="54" t="e">
        <f t="shared" si="2"/>
        <v>#DIV/0!</v>
      </c>
      <c r="U99" s="54">
        <f t="shared" si="2"/>
        <v>0.9453125</v>
      </c>
      <c r="V99" s="54" t="e">
        <f t="shared" si="2"/>
        <v>#DIV/0!</v>
      </c>
      <c r="W99" s="54">
        <f t="shared" si="2"/>
        <v>0.88262910798122063</v>
      </c>
      <c r="X99" s="54">
        <f t="shared" si="2"/>
        <v>0.88497652582159625</v>
      </c>
      <c r="Y99" s="48">
        <v>0</v>
      </c>
    </row>
    <row r="100" spans="1:25" x14ac:dyDescent="0.25">
      <c r="A100" s="48">
        <v>311</v>
      </c>
      <c r="B100" s="48">
        <v>9</v>
      </c>
      <c r="C100" s="48" t="s">
        <v>84</v>
      </c>
      <c r="D100" s="49">
        <v>44745</v>
      </c>
      <c r="E100" s="49" t="s">
        <v>11</v>
      </c>
      <c r="F100" s="48" t="s">
        <v>48</v>
      </c>
      <c r="G100" s="49" t="s">
        <v>81</v>
      </c>
      <c r="H100" s="50">
        <v>9.5</v>
      </c>
      <c r="I100" s="51">
        <v>1</v>
      </c>
      <c r="J100" s="52"/>
      <c r="K100" s="52"/>
      <c r="L100" s="53"/>
      <c r="M100" s="54">
        <f t="shared" si="1"/>
        <v>0.8214285714285714</v>
      </c>
      <c r="N100" s="54" t="e">
        <f t="shared" si="2"/>
        <v>#DIV/0!</v>
      </c>
      <c r="O100" s="54" t="e">
        <f t="shared" si="2"/>
        <v>#DIV/0!</v>
      </c>
      <c r="P100" s="54">
        <f t="shared" si="2"/>
        <v>0.90322580645161288</v>
      </c>
      <c r="Q100" s="54" t="e">
        <f t="shared" si="2"/>
        <v>#DIV/0!</v>
      </c>
      <c r="R100" s="54" t="e">
        <f t="shared" si="2"/>
        <v>#DIV/0!</v>
      </c>
      <c r="S100" s="54" t="e">
        <f t="shared" si="2"/>
        <v>#DIV/0!</v>
      </c>
      <c r="T100" s="54" t="e">
        <f t="shared" si="2"/>
        <v>#DIV/0!</v>
      </c>
      <c r="U100" s="54" t="e">
        <f t="shared" si="2"/>
        <v>#DIV/0!</v>
      </c>
      <c r="V100" s="54" t="e">
        <f t="shared" si="2"/>
        <v>#DIV/0!</v>
      </c>
      <c r="W100" s="54">
        <f t="shared" si="2"/>
        <v>0.84347826086956523</v>
      </c>
      <c r="X100" s="54">
        <f t="shared" si="2"/>
        <v>0.84347826086956523</v>
      </c>
      <c r="Y100" s="48">
        <v>3</v>
      </c>
    </row>
    <row r="101" spans="1:25" x14ac:dyDescent="0.25">
      <c r="A101" s="48">
        <v>110</v>
      </c>
      <c r="B101" s="48">
        <v>10</v>
      </c>
      <c r="C101" s="48" t="s">
        <v>84</v>
      </c>
      <c r="D101" s="49">
        <v>44745</v>
      </c>
      <c r="E101" s="49" t="s">
        <v>11</v>
      </c>
      <c r="F101" s="49" t="s">
        <v>47</v>
      </c>
      <c r="G101" s="49" t="s">
        <v>81</v>
      </c>
      <c r="H101" s="50">
        <v>9</v>
      </c>
      <c r="I101" s="51">
        <v>0</v>
      </c>
      <c r="J101" s="52">
        <v>0.3</v>
      </c>
      <c r="K101" s="52">
        <v>0.26</v>
      </c>
      <c r="L101" s="53">
        <v>0.14000000000000001</v>
      </c>
      <c r="M101" s="54">
        <f t="shared" si="1"/>
        <v>0.62962962962962965</v>
      </c>
      <c r="N101" s="54">
        <f t="shared" si="2"/>
        <v>0.46153846153846156</v>
      </c>
      <c r="O101" s="54" t="e">
        <f t="shared" si="2"/>
        <v>#DIV/0!</v>
      </c>
      <c r="P101" s="54">
        <f t="shared" si="2"/>
        <v>0.77142857142857146</v>
      </c>
      <c r="Q101" s="54">
        <f t="shared" si="2"/>
        <v>-0.33333333333333331</v>
      </c>
      <c r="R101" s="54">
        <f t="shared" si="2"/>
        <v>-1</v>
      </c>
      <c r="S101" s="54">
        <f t="shared" si="2"/>
        <v>-1</v>
      </c>
      <c r="T101" s="54">
        <f t="shared" si="2"/>
        <v>-0.66666666666666663</v>
      </c>
      <c r="U101" s="54">
        <f t="shared" si="2"/>
        <v>0.22222222222222221</v>
      </c>
      <c r="V101" s="54">
        <f t="shared" si="2"/>
        <v>1</v>
      </c>
      <c r="W101" s="54">
        <f t="shared" si="2"/>
        <v>0.53846153846153844</v>
      </c>
      <c r="X101" s="54">
        <f t="shared" si="2"/>
        <v>0.62352941176470589</v>
      </c>
      <c r="Y101" s="48">
        <v>2</v>
      </c>
    </row>
    <row r="102" spans="1:25" x14ac:dyDescent="0.25">
      <c r="A102" s="48">
        <v>201</v>
      </c>
      <c r="B102" s="48">
        <v>10</v>
      </c>
      <c r="C102" s="48" t="s">
        <v>84</v>
      </c>
      <c r="D102" s="49">
        <v>44745</v>
      </c>
      <c r="E102" s="49" t="s">
        <v>11</v>
      </c>
      <c r="F102" s="49" t="s">
        <v>47</v>
      </c>
      <c r="G102" s="49" t="s">
        <v>81</v>
      </c>
      <c r="H102" s="50">
        <v>9</v>
      </c>
      <c r="I102" s="51">
        <v>0</v>
      </c>
      <c r="J102" s="52">
        <v>0.28999999999999998</v>
      </c>
      <c r="K102" s="52">
        <v>0.23</v>
      </c>
      <c r="L102" s="53">
        <v>0.22</v>
      </c>
      <c r="M102" s="54">
        <f t="shared" si="1"/>
        <v>0.8928571428571429</v>
      </c>
      <c r="N102" s="54" t="e">
        <f t="shared" si="2"/>
        <v>#DIV/0!</v>
      </c>
      <c r="O102" s="54" t="e">
        <f t="shared" si="2"/>
        <v>#DIV/0!</v>
      </c>
      <c r="P102" s="54">
        <f t="shared" si="2"/>
        <v>0.90243902439024393</v>
      </c>
      <c r="Q102" s="54">
        <f t="shared" si="2"/>
        <v>0.75</v>
      </c>
      <c r="R102" s="54">
        <f t="shared" si="2"/>
        <v>-1</v>
      </c>
      <c r="S102" s="54">
        <f t="shared" si="2"/>
        <v>0.5714285714285714</v>
      </c>
      <c r="T102" s="54">
        <f t="shared" si="2"/>
        <v>0.5</v>
      </c>
      <c r="U102" s="54" t="e">
        <f t="shared" si="2"/>
        <v>#DIV/0!</v>
      </c>
      <c r="V102" s="54">
        <f t="shared" si="2"/>
        <v>1</v>
      </c>
      <c r="W102" s="54">
        <f t="shared" si="2"/>
        <v>0.86746987951807231</v>
      </c>
      <c r="X102" s="54">
        <f t="shared" si="2"/>
        <v>0.89610389610389607</v>
      </c>
      <c r="Y102" s="48">
        <v>0</v>
      </c>
    </row>
    <row r="103" spans="1:25" x14ac:dyDescent="0.25">
      <c r="A103" s="48">
        <v>301</v>
      </c>
      <c r="B103" s="48">
        <v>10</v>
      </c>
      <c r="C103" s="48" t="s">
        <v>84</v>
      </c>
      <c r="D103" s="49">
        <v>44745</v>
      </c>
      <c r="E103" s="49" t="s">
        <v>11</v>
      </c>
      <c r="F103" s="49" t="s">
        <v>47</v>
      </c>
      <c r="G103" s="49" t="s">
        <v>81</v>
      </c>
      <c r="H103" s="50">
        <v>9</v>
      </c>
      <c r="I103" s="51">
        <v>0</v>
      </c>
      <c r="J103" s="52">
        <v>0.33</v>
      </c>
      <c r="K103" s="52">
        <v>0.31</v>
      </c>
      <c r="L103" s="53">
        <v>0.05</v>
      </c>
      <c r="M103" s="54">
        <f t="shared" si="1"/>
        <v>0.98838559814169569</v>
      </c>
      <c r="N103" s="54">
        <f t="shared" si="2"/>
        <v>1</v>
      </c>
      <c r="O103" s="54" t="e">
        <f t="shared" si="2"/>
        <v>#DIV/0!</v>
      </c>
      <c r="P103" s="54">
        <f t="shared" si="2"/>
        <v>1</v>
      </c>
      <c r="Q103" s="54">
        <f t="shared" si="2"/>
        <v>0.66666666666666663</v>
      </c>
      <c r="R103" s="54">
        <f t="shared" si="2"/>
        <v>0.77777777777777779</v>
      </c>
      <c r="S103" s="54">
        <f t="shared" si="2"/>
        <v>0.66666666666666663</v>
      </c>
      <c r="T103" s="54">
        <f t="shared" si="2"/>
        <v>0.73333333333333328</v>
      </c>
      <c r="U103" s="54">
        <f t="shared" si="2"/>
        <v>1</v>
      </c>
      <c r="V103" s="54" t="e">
        <f t="shared" si="2"/>
        <v>#DIV/0!</v>
      </c>
      <c r="W103" s="54">
        <f t="shared" si="2"/>
        <v>0.98434004474272929</v>
      </c>
      <c r="X103" s="54">
        <f t="shared" si="2"/>
        <v>0.98862343572241185</v>
      </c>
      <c r="Y103" s="48">
        <v>0</v>
      </c>
    </row>
    <row r="104" spans="1:25" x14ac:dyDescent="0.25">
      <c r="A104" s="48">
        <v>111</v>
      </c>
      <c r="B104" s="48">
        <v>11</v>
      </c>
      <c r="C104" s="48" t="s">
        <v>84</v>
      </c>
      <c r="D104" s="49">
        <v>44745</v>
      </c>
      <c r="E104" s="49" t="s">
        <v>11</v>
      </c>
      <c r="F104" s="48" t="s">
        <v>48</v>
      </c>
      <c r="G104" s="49" t="s">
        <v>81</v>
      </c>
      <c r="H104" s="50">
        <v>11.5</v>
      </c>
      <c r="I104" s="51">
        <v>1</v>
      </c>
      <c r="J104" s="52">
        <v>0.33</v>
      </c>
      <c r="K104" s="52">
        <v>0.23</v>
      </c>
      <c r="L104" s="53">
        <v>0.3</v>
      </c>
      <c r="M104" s="54">
        <f t="shared" si="1"/>
        <v>0.5625</v>
      </c>
      <c r="N104" s="54">
        <f t="shared" si="2"/>
        <v>0.25</v>
      </c>
      <c r="O104" s="54" t="e">
        <f t="shared" si="2"/>
        <v>#DIV/0!</v>
      </c>
      <c r="P104" s="54">
        <f t="shared" si="2"/>
        <v>0.79166666666666663</v>
      </c>
      <c r="Q104" s="54">
        <f t="shared" si="2"/>
        <v>0.7142857142857143</v>
      </c>
      <c r="R104" s="54">
        <f t="shared" si="2"/>
        <v>-0.4</v>
      </c>
      <c r="S104" s="54">
        <f t="shared" si="2"/>
        <v>0</v>
      </c>
      <c r="T104" s="54">
        <f t="shared" si="2"/>
        <v>0.2</v>
      </c>
      <c r="U104" s="54">
        <f t="shared" si="2"/>
        <v>-0.32786885245901637</v>
      </c>
      <c r="V104" s="54">
        <f t="shared" si="2"/>
        <v>1</v>
      </c>
      <c r="W104" s="54">
        <f t="shared" si="2"/>
        <v>0.14285714285714285</v>
      </c>
      <c r="X104" s="54">
        <f t="shared" si="2"/>
        <v>0.13513513513513514</v>
      </c>
      <c r="Y104" s="48">
        <v>0</v>
      </c>
    </row>
    <row r="105" spans="1:25" x14ac:dyDescent="0.25">
      <c r="A105" s="48">
        <v>210</v>
      </c>
      <c r="B105" s="48">
        <v>11</v>
      </c>
      <c r="C105" s="48" t="s">
        <v>84</v>
      </c>
      <c r="D105" s="49">
        <v>44745</v>
      </c>
      <c r="E105" s="49" t="s">
        <v>11</v>
      </c>
      <c r="F105" s="49" t="s">
        <v>48</v>
      </c>
      <c r="G105" s="49" t="s">
        <v>81</v>
      </c>
      <c r="H105" s="50">
        <v>11.5</v>
      </c>
      <c r="I105" s="51">
        <v>1</v>
      </c>
      <c r="J105" s="52">
        <v>0.28999999999999998</v>
      </c>
      <c r="K105" s="52">
        <v>0.27</v>
      </c>
      <c r="L105" s="53">
        <v>7.0000000000000007E-2</v>
      </c>
      <c r="M105" s="54">
        <f t="shared" si="1"/>
        <v>0.9570815450643777</v>
      </c>
      <c r="N105" s="54" t="e">
        <f t="shared" si="2"/>
        <v>#DIV/0!</v>
      </c>
      <c r="O105" s="54" t="e">
        <f t="shared" si="2"/>
        <v>#DIV/0!</v>
      </c>
      <c r="P105" s="54">
        <f t="shared" si="2"/>
        <v>1</v>
      </c>
      <c r="Q105" s="54">
        <f t="shared" si="2"/>
        <v>0</v>
      </c>
      <c r="R105" s="54">
        <f t="shared" si="2"/>
        <v>0.53846153846153844</v>
      </c>
      <c r="S105" s="54">
        <f t="shared" si="2"/>
        <v>0.65384615384615385</v>
      </c>
      <c r="T105" s="54">
        <f t="shared" si="2"/>
        <v>0.54545454545454541</v>
      </c>
      <c r="U105" s="54">
        <f t="shared" si="2"/>
        <v>1</v>
      </c>
      <c r="V105" s="54" t="e">
        <f t="shared" si="2"/>
        <v>#DIV/0!</v>
      </c>
      <c r="W105" s="54">
        <f t="shared" si="2"/>
        <v>0.91267605633802817</v>
      </c>
      <c r="X105" s="54">
        <f t="shared" si="2"/>
        <v>0.96463022508038587</v>
      </c>
      <c r="Y105" s="48">
        <v>0</v>
      </c>
    </row>
    <row r="106" spans="1:25" x14ac:dyDescent="0.25">
      <c r="A106" s="48">
        <v>305</v>
      </c>
      <c r="B106" s="48">
        <v>11</v>
      </c>
      <c r="C106" s="48" t="s">
        <v>84</v>
      </c>
      <c r="D106" s="49">
        <v>44745</v>
      </c>
      <c r="E106" s="49" t="s">
        <v>11</v>
      </c>
      <c r="F106" s="48" t="s">
        <v>47</v>
      </c>
      <c r="G106" s="49" t="s">
        <v>81</v>
      </c>
      <c r="H106" s="50">
        <v>11.5</v>
      </c>
      <c r="I106" s="51">
        <v>1</v>
      </c>
      <c r="J106" s="52">
        <v>0.31</v>
      </c>
      <c r="K106" s="52">
        <v>0.28999999999999998</v>
      </c>
      <c r="L106" s="53">
        <v>0.06</v>
      </c>
      <c r="M106" s="54">
        <f t="shared" si="1"/>
        <v>0.8851774530271399</v>
      </c>
      <c r="N106" s="54" t="e">
        <f t="shared" si="2"/>
        <v>#DIV/0!</v>
      </c>
      <c r="O106" s="54" t="e">
        <f t="shared" si="2"/>
        <v>#DIV/0!</v>
      </c>
      <c r="P106" s="54">
        <f t="shared" si="2"/>
        <v>0.83333333333333337</v>
      </c>
      <c r="Q106" s="54" t="e">
        <f t="shared" si="2"/>
        <v>#DIV/0!</v>
      </c>
      <c r="R106" s="54">
        <f t="shared" si="2"/>
        <v>1</v>
      </c>
      <c r="S106" s="54" t="e">
        <f t="shared" si="2"/>
        <v>#DIV/0!</v>
      </c>
      <c r="T106" s="54">
        <f t="shared" si="2"/>
        <v>1</v>
      </c>
      <c r="U106" s="54">
        <f t="shared" si="2"/>
        <v>1</v>
      </c>
      <c r="V106" s="54">
        <f t="shared" si="2"/>
        <v>1</v>
      </c>
      <c r="W106" s="54">
        <f t="shared" si="2"/>
        <v>0.88329979879275655</v>
      </c>
      <c r="X106" s="54">
        <f t="shared" si="2"/>
        <v>0.88306451612903225</v>
      </c>
      <c r="Y106" s="48">
        <v>0</v>
      </c>
    </row>
    <row r="107" spans="1:25" x14ac:dyDescent="0.25">
      <c r="A107" s="48">
        <v>112</v>
      </c>
      <c r="B107" s="48">
        <v>12</v>
      </c>
      <c r="C107" s="48" t="s">
        <v>84</v>
      </c>
      <c r="D107" s="49">
        <v>44745</v>
      </c>
      <c r="E107" s="49" t="s">
        <v>11</v>
      </c>
      <c r="F107" s="49" t="s">
        <v>47</v>
      </c>
      <c r="G107" s="49" t="s">
        <v>81</v>
      </c>
      <c r="H107" s="50">
        <v>11.5</v>
      </c>
      <c r="I107" s="51">
        <v>0</v>
      </c>
      <c r="J107" s="52">
        <v>0.35</v>
      </c>
      <c r="K107" s="52">
        <v>0.26</v>
      </c>
      <c r="L107" s="53">
        <v>0.26</v>
      </c>
      <c r="M107" s="54">
        <f t="shared" si="1"/>
        <v>0.52173913043478259</v>
      </c>
      <c r="N107" s="54">
        <f t="shared" si="2"/>
        <v>-0.2</v>
      </c>
      <c r="O107" s="54" t="e">
        <f t="shared" si="2"/>
        <v>#DIV/0!</v>
      </c>
      <c r="P107" s="54">
        <f t="shared" si="2"/>
        <v>0.63157894736842102</v>
      </c>
      <c r="Q107" s="54">
        <f t="shared" si="2"/>
        <v>0.5</v>
      </c>
      <c r="R107" s="54">
        <f t="shared" si="2"/>
        <v>-1</v>
      </c>
      <c r="S107" s="54" t="e">
        <f t="shared" si="2"/>
        <v>#DIV/0!</v>
      </c>
      <c r="T107" s="54">
        <f t="shared" si="2"/>
        <v>-0.33333333333333331</v>
      </c>
      <c r="U107" s="54">
        <f t="shared" si="2"/>
        <v>0</v>
      </c>
      <c r="V107" s="54" t="e">
        <f t="shared" si="2"/>
        <v>#DIV/0!</v>
      </c>
      <c r="W107" s="54">
        <f t="shared" si="2"/>
        <v>0.44</v>
      </c>
      <c r="X107" s="54">
        <f t="shared" si="2"/>
        <v>0.47222222222222221</v>
      </c>
      <c r="Y107" s="48">
        <v>4</v>
      </c>
    </row>
    <row r="108" spans="1:25" x14ac:dyDescent="0.25">
      <c r="A108" s="48">
        <v>206</v>
      </c>
      <c r="B108" s="48">
        <v>12</v>
      </c>
      <c r="C108" s="48" t="s">
        <v>84</v>
      </c>
      <c r="D108" s="49">
        <v>44745</v>
      </c>
      <c r="E108" s="49" t="s">
        <v>11</v>
      </c>
      <c r="F108" s="48" t="s">
        <v>47</v>
      </c>
      <c r="G108" s="49" t="s">
        <v>81</v>
      </c>
      <c r="H108" s="50">
        <v>11.5</v>
      </c>
      <c r="I108" s="51">
        <v>0</v>
      </c>
      <c r="J108" s="52">
        <v>0.32</v>
      </c>
      <c r="K108" s="52">
        <v>0.28000000000000003</v>
      </c>
      <c r="L108" s="53">
        <v>0.11</v>
      </c>
      <c r="M108" s="54">
        <f t="shared" si="1"/>
        <v>0.92443324937027704</v>
      </c>
      <c r="N108" s="54">
        <f t="shared" si="2"/>
        <v>1</v>
      </c>
      <c r="O108" s="54">
        <f t="shared" si="2"/>
        <v>0.5</v>
      </c>
      <c r="P108" s="54">
        <f t="shared" si="2"/>
        <v>0.89473684210526316</v>
      </c>
      <c r="Q108" s="54" t="e">
        <f t="shared" si="2"/>
        <v>#DIV/0!</v>
      </c>
      <c r="R108" s="54" t="e">
        <f t="shared" si="2"/>
        <v>#DIV/0!</v>
      </c>
      <c r="S108" s="54" t="e">
        <f t="shared" si="2"/>
        <v>#DIV/0!</v>
      </c>
      <c r="T108" s="54" t="e">
        <f t="shared" si="2"/>
        <v>#DIV/0!</v>
      </c>
      <c r="U108" s="54">
        <f t="shared" si="2"/>
        <v>0.83919597989949746</v>
      </c>
      <c r="V108" s="54" t="e">
        <f t="shared" si="2"/>
        <v>#DIV/0!</v>
      </c>
      <c r="W108" s="54">
        <f t="shared" si="2"/>
        <v>0.88958990536277605</v>
      </c>
      <c r="X108" s="54">
        <f t="shared" si="2"/>
        <v>0.88958990536277605</v>
      </c>
      <c r="Y108" s="48">
        <v>0</v>
      </c>
    </row>
    <row r="109" spans="1:25" x14ac:dyDescent="0.25">
      <c r="A109" s="61">
        <v>302</v>
      </c>
      <c r="B109" s="61">
        <v>12</v>
      </c>
      <c r="C109" s="61" t="s">
        <v>84</v>
      </c>
      <c r="D109" s="62">
        <v>44745</v>
      </c>
      <c r="E109" s="62" t="s">
        <v>11</v>
      </c>
      <c r="F109" s="61" t="s">
        <v>48</v>
      </c>
      <c r="G109" s="62" t="s">
        <v>81</v>
      </c>
      <c r="H109" s="63">
        <v>11.5</v>
      </c>
      <c r="I109" s="64">
        <v>0</v>
      </c>
      <c r="J109" s="65">
        <v>0.31</v>
      </c>
      <c r="K109" s="65">
        <v>0.23</v>
      </c>
      <c r="L109" s="66">
        <v>0.26</v>
      </c>
      <c r="M109" s="67">
        <f t="shared" si="1"/>
        <v>0.47368421052631576</v>
      </c>
      <c r="N109" s="67">
        <f t="shared" si="2"/>
        <v>1</v>
      </c>
      <c r="O109" s="67" t="e">
        <f t="shared" si="2"/>
        <v>#DIV/0!</v>
      </c>
      <c r="P109" s="67">
        <f t="shared" si="2"/>
        <v>0.75</v>
      </c>
      <c r="Q109" s="67" t="e">
        <f t="shared" si="2"/>
        <v>#DIV/0!</v>
      </c>
      <c r="R109" s="67" t="e">
        <f t="shared" si="2"/>
        <v>#DIV/0!</v>
      </c>
      <c r="S109" s="67" t="e">
        <f t="shared" si="2"/>
        <v>#DIV/0!</v>
      </c>
      <c r="T109" s="67" t="e">
        <f t="shared" si="2"/>
        <v>#DIV/0!</v>
      </c>
      <c r="U109" s="67">
        <f t="shared" si="2"/>
        <v>1</v>
      </c>
      <c r="V109" s="67" t="e">
        <f t="shared" si="2"/>
        <v>#DIV/0!</v>
      </c>
      <c r="W109" s="67">
        <f t="shared" si="2"/>
        <v>0.58620689655172409</v>
      </c>
      <c r="X109" s="67">
        <f t="shared" si="2"/>
        <v>0.58620689655172409</v>
      </c>
      <c r="Y109" s="61">
        <v>3</v>
      </c>
    </row>
    <row r="151" spans="1:1" x14ac:dyDescent="0.25">
      <c r="A151" t="s">
        <v>77</v>
      </c>
    </row>
  </sheetData>
  <autoFilter ref="A1:Y73" xr:uid="{448B7D1B-074D-4815-B478-0DC49AD12F6D}">
    <sortState xmlns:xlrd2="http://schemas.microsoft.com/office/spreadsheetml/2017/richdata2" ref="A2:Y73">
      <sortCondition ref="C2:C73"/>
      <sortCondition ref="B2:B73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855A-2247-48D8-B895-1E81F9AD78AB}">
  <dimension ref="A1:F12"/>
  <sheetViews>
    <sheetView workbookViewId="0">
      <selection activeCell="D10" sqref="D10"/>
    </sheetView>
  </sheetViews>
  <sheetFormatPr defaultRowHeight="15" x14ac:dyDescent="0.25"/>
  <cols>
    <col min="2" max="2" width="51.140625" bestFit="1" customWidth="1"/>
    <col min="4" max="4" width="26" bestFit="1" customWidth="1"/>
    <col min="6" max="6" width="36.7109375" bestFit="1" customWidth="1"/>
  </cols>
  <sheetData>
    <row r="1" spans="1:6" x14ac:dyDescent="0.25">
      <c r="A1" t="s">
        <v>67</v>
      </c>
    </row>
    <row r="3" spans="1:6" ht="23.25" x14ac:dyDescent="0.35">
      <c r="D3" s="23" t="s">
        <v>68</v>
      </c>
    </row>
    <row r="5" spans="1:6" x14ac:dyDescent="0.25">
      <c r="A5" s="24" t="s">
        <v>69</v>
      </c>
      <c r="D5" s="25" t="s">
        <v>70</v>
      </c>
      <c r="F5" s="26" t="s">
        <v>32</v>
      </c>
    </row>
    <row r="6" spans="1:6" x14ac:dyDescent="0.25">
      <c r="A6" t="s">
        <v>71</v>
      </c>
      <c r="D6" t="s">
        <v>72</v>
      </c>
      <c r="F6" t="s">
        <v>49</v>
      </c>
    </row>
    <row r="7" spans="1:6" x14ac:dyDescent="0.25">
      <c r="A7" t="s">
        <v>73</v>
      </c>
      <c r="D7" t="s">
        <v>74</v>
      </c>
      <c r="F7" t="s">
        <v>50</v>
      </c>
    </row>
    <row r="8" spans="1:6" x14ac:dyDescent="0.25">
      <c r="B8" t="s">
        <v>2</v>
      </c>
      <c r="D8" t="s">
        <v>75</v>
      </c>
    </row>
    <row r="9" spans="1:6" x14ac:dyDescent="0.25">
      <c r="B9" t="s">
        <v>3</v>
      </c>
      <c r="D9" t="s">
        <v>78</v>
      </c>
    </row>
    <row r="10" spans="1:6" x14ac:dyDescent="0.25">
      <c r="B10" t="s">
        <v>4</v>
      </c>
    </row>
    <row r="11" spans="1:6" x14ac:dyDescent="0.25">
      <c r="B11" t="s">
        <v>5</v>
      </c>
    </row>
    <row r="12" spans="1:6" x14ac:dyDescent="0.25">
      <c r="B1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Weed Counts</vt:lpstr>
      <vt:lpstr>Total Weed Density by Specie</vt:lpstr>
      <vt:lpstr>Interpreting the Headings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Vagedes, Rose V</dc:creator>
  <cp:lastModifiedBy>Young, Bryan G</cp:lastModifiedBy>
  <dcterms:created xsi:type="dcterms:W3CDTF">2022-06-16T19:13:53Z</dcterms:created>
  <dcterms:modified xsi:type="dcterms:W3CDTF">2022-07-12T23:31:14Z</dcterms:modified>
</cp:coreProperties>
</file>