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Young\Cooperators\CNH\CNH Data Share\"/>
    </mc:Choice>
  </mc:AlternateContent>
  <xr:revisionPtr revIDLastSave="0" documentId="13_ncr:1_{102C2724-EA02-4478-A1EB-BC4A85F1876C}" xr6:coauthVersionLast="47" xr6:coauthVersionMax="47" xr10:uidLastSave="{00000000-0000-0000-0000-000000000000}"/>
  <bookViews>
    <workbookView xWindow="-120" yWindow="-120" windowWidth="29040" windowHeight="15840" activeTab="1" xr2:uid="{E1566B03-10BE-4316-BEB2-9F6077E971A7}"/>
  </bookViews>
  <sheets>
    <sheet name="Raw Weed Counts" sheetId="1" r:id="rId1"/>
    <sheet name="Total Weed Density by Specie" sheetId="5" r:id="rId2"/>
    <sheet name="Interpreting the Headings" sheetId="2" r:id="rId3"/>
  </sheets>
  <definedNames>
    <definedName name="_xlnm._FilterDatabase" localSheetId="0" hidden="1">'Raw Weed Counts'!$A$1:$BR$75</definedName>
    <definedName name="_xlnm._FilterDatabase" localSheetId="1" hidden="1">'Total Weed Density by Specie'!$A$1:$Z$112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5" l="1"/>
  <c r="P74" i="5"/>
  <c r="Q74" i="5"/>
  <c r="R74" i="5"/>
  <c r="S74" i="5"/>
  <c r="T74" i="5"/>
  <c r="U74" i="5"/>
  <c r="V74" i="5"/>
  <c r="W74" i="5"/>
  <c r="X74" i="5"/>
  <c r="Y74" i="5"/>
  <c r="O75" i="5"/>
  <c r="P75" i="5"/>
  <c r="Q75" i="5"/>
  <c r="R75" i="5"/>
  <c r="S75" i="5"/>
  <c r="T75" i="5"/>
  <c r="U75" i="5"/>
  <c r="V75" i="5"/>
  <c r="W75" i="5"/>
  <c r="X75" i="5"/>
  <c r="Y75" i="5"/>
  <c r="O76" i="5"/>
  <c r="P76" i="5"/>
  <c r="Q76" i="5"/>
  <c r="R76" i="5"/>
  <c r="S76" i="5"/>
  <c r="T76" i="5"/>
  <c r="U76" i="5"/>
  <c r="V76" i="5"/>
  <c r="W76" i="5"/>
  <c r="X76" i="5"/>
  <c r="Y76" i="5"/>
  <c r="O77" i="5"/>
  <c r="P77" i="5"/>
  <c r="Q77" i="5"/>
  <c r="R77" i="5"/>
  <c r="S77" i="5"/>
  <c r="T77" i="5"/>
  <c r="U77" i="5"/>
  <c r="V77" i="5"/>
  <c r="W77" i="5"/>
  <c r="X77" i="5"/>
  <c r="Y77" i="5"/>
  <c r="O78" i="5"/>
  <c r="P78" i="5"/>
  <c r="Q78" i="5"/>
  <c r="R78" i="5"/>
  <c r="S78" i="5"/>
  <c r="T78" i="5"/>
  <c r="U78" i="5"/>
  <c r="V78" i="5"/>
  <c r="W78" i="5"/>
  <c r="X78" i="5"/>
  <c r="Y78" i="5"/>
  <c r="O79" i="5"/>
  <c r="P79" i="5"/>
  <c r="Q79" i="5"/>
  <c r="R79" i="5"/>
  <c r="S79" i="5"/>
  <c r="T79" i="5"/>
  <c r="U79" i="5"/>
  <c r="V79" i="5"/>
  <c r="W79" i="5"/>
  <c r="X79" i="5"/>
  <c r="Y79" i="5"/>
  <c r="O80" i="5"/>
  <c r="P80" i="5"/>
  <c r="Q80" i="5"/>
  <c r="R80" i="5"/>
  <c r="S80" i="5"/>
  <c r="T80" i="5"/>
  <c r="U80" i="5"/>
  <c r="V80" i="5"/>
  <c r="W80" i="5"/>
  <c r="X80" i="5"/>
  <c r="Y80" i="5"/>
  <c r="O81" i="5"/>
  <c r="P81" i="5"/>
  <c r="Q81" i="5"/>
  <c r="R81" i="5"/>
  <c r="S81" i="5"/>
  <c r="T81" i="5"/>
  <c r="U81" i="5"/>
  <c r="V81" i="5"/>
  <c r="W81" i="5"/>
  <c r="X81" i="5"/>
  <c r="Y81" i="5"/>
  <c r="O82" i="5"/>
  <c r="P82" i="5"/>
  <c r="Q82" i="5"/>
  <c r="R82" i="5"/>
  <c r="S82" i="5"/>
  <c r="T82" i="5"/>
  <c r="U82" i="5"/>
  <c r="V82" i="5"/>
  <c r="W82" i="5"/>
  <c r="X82" i="5"/>
  <c r="Y82" i="5"/>
  <c r="O83" i="5"/>
  <c r="P83" i="5"/>
  <c r="Q83" i="5"/>
  <c r="R83" i="5"/>
  <c r="S83" i="5"/>
  <c r="T83" i="5"/>
  <c r="U83" i="5"/>
  <c r="V83" i="5"/>
  <c r="W83" i="5"/>
  <c r="X83" i="5"/>
  <c r="Y83" i="5"/>
  <c r="O84" i="5"/>
  <c r="P84" i="5"/>
  <c r="Q84" i="5"/>
  <c r="R84" i="5"/>
  <c r="S84" i="5"/>
  <c r="T84" i="5"/>
  <c r="U84" i="5"/>
  <c r="V84" i="5"/>
  <c r="W84" i="5"/>
  <c r="X84" i="5"/>
  <c r="Y84" i="5"/>
  <c r="O85" i="5"/>
  <c r="P85" i="5"/>
  <c r="Q85" i="5"/>
  <c r="R85" i="5"/>
  <c r="S85" i="5"/>
  <c r="T85" i="5"/>
  <c r="U85" i="5"/>
  <c r="V85" i="5"/>
  <c r="W85" i="5"/>
  <c r="X85" i="5"/>
  <c r="Y85" i="5"/>
  <c r="O86" i="5"/>
  <c r="P86" i="5"/>
  <c r="Q86" i="5"/>
  <c r="R86" i="5"/>
  <c r="S86" i="5"/>
  <c r="T86" i="5"/>
  <c r="U86" i="5"/>
  <c r="V86" i="5"/>
  <c r="W86" i="5"/>
  <c r="X86" i="5"/>
  <c r="Y86" i="5"/>
  <c r="O87" i="5"/>
  <c r="P87" i="5"/>
  <c r="Q87" i="5"/>
  <c r="R87" i="5"/>
  <c r="S87" i="5"/>
  <c r="T87" i="5"/>
  <c r="U87" i="5"/>
  <c r="V87" i="5"/>
  <c r="W87" i="5"/>
  <c r="X87" i="5"/>
  <c r="Y87" i="5"/>
  <c r="O88" i="5"/>
  <c r="P88" i="5"/>
  <c r="Q88" i="5"/>
  <c r="R88" i="5"/>
  <c r="S88" i="5"/>
  <c r="T88" i="5"/>
  <c r="U88" i="5"/>
  <c r="V88" i="5"/>
  <c r="W88" i="5"/>
  <c r="X88" i="5"/>
  <c r="Y88" i="5"/>
  <c r="O89" i="5"/>
  <c r="P89" i="5"/>
  <c r="Q89" i="5"/>
  <c r="R89" i="5"/>
  <c r="S89" i="5"/>
  <c r="T89" i="5"/>
  <c r="U89" i="5"/>
  <c r="V89" i="5"/>
  <c r="W89" i="5"/>
  <c r="X89" i="5"/>
  <c r="Y89" i="5"/>
  <c r="O90" i="5"/>
  <c r="P90" i="5"/>
  <c r="Q90" i="5"/>
  <c r="R90" i="5"/>
  <c r="S90" i="5"/>
  <c r="T90" i="5"/>
  <c r="U90" i="5"/>
  <c r="V90" i="5"/>
  <c r="W90" i="5"/>
  <c r="X90" i="5"/>
  <c r="Y90" i="5"/>
  <c r="O91" i="5"/>
  <c r="P91" i="5"/>
  <c r="Q91" i="5"/>
  <c r="R91" i="5"/>
  <c r="S91" i="5"/>
  <c r="T91" i="5"/>
  <c r="U91" i="5"/>
  <c r="V91" i="5"/>
  <c r="W91" i="5"/>
  <c r="X91" i="5"/>
  <c r="Y91" i="5"/>
  <c r="O92" i="5"/>
  <c r="P92" i="5"/>
  <c r="Q92" i="5"/>
  <c r="R92" i="5"/>
  <c r="S92" i="5"/>
  <c r="T92" i="5"/>
  <c r="U92" i="5"/>
  <c r="V92" i="5"/>
  <c r="W92" i="5"/>
  <c r="X92" i="5"/>
  <c r="Y92" i="5"/>
  <c r="O93" i="5"/>
  <c r="P93" i="5"/>
  <c r="Q93" i="5"/>
  <c r="R93" i="5"/>
  <c r="S93" i="5"/>
  <c r="T93" i="5"/>
  <c r="U93" i="5"/>
  <c r="V93" i="5"/>
  <c r="W93" i="5"/>
  <c r="X93" i="5"/>
  <c r="Y93" i="5"/>
  <c r="O94" i="5"/>
  <c r="P94" i="5"/>
  <c r="Q94" i="5"/>
  <c r="R94" i="5"/>
  <c r="S94" i="5"/>
  <c r="T94" i="5"/>
  <c r="U94" i="5"/>
  <c r="V94" i="5"/>
  <c r="W94" i="5"/>
  <c r="X94" i="5"/>
  <c r="Y94" i="5"/>
  <c r="O95" i="5"/>
  <c r="P95" i="5"/>
  <c r="Q95" i="5"/>
  <c r="R95" i="5"/>
  <c r="S95" i="5"/>
  <c r="T95" i="5"/>
  <c r="U95" i="5"/>
  <c r="V95" i="5"/>
  <c r="W95" i="5"/>
  <c r="X95" i="5"/>
  <c r="Y95" i="5"/>
  <c r="O96" i="5"/>
  <c r="P96" i="5"/>
  <c r="Q96" i="5"/>
  <c r="R96" i="5"/>
  <c r="S96" i="5"/>
  <c r="T96" i="5"/>
  <c r="U96" i="5"/>
  <c r="V96" i="5"/>
  <c r="W96" i="5"/>
  <c r="X96" i="5"/>
  <c r="Y96" i="5"/>
  <c r="O97" i="5"/>
  <c r="P97" i="5"/>
  <c r="Q97" i="5"/>
  <c r="R97" i="5"/>
  <c r="S97" i="5"/>
  <c r="T97" i="5"/>
  <c r="U97" i="5"/>
  <c r="V97" i="5"/>
  <c r="W97" i="5"/>
  <c r="X97" i="5"/>
  <c r="Y97" i="5"/>
  <c r="O98" i="5"/>
  <c r="P98" i="5"/>
  <c r="Q98" i="5"/>
  <c r="R98" i="5"/>
  <c r="S98" i="5"/>
  <c r="T98" i="5"/>
  <c r="U98" i="5"/>
  <c r="V98" i="5"/>
  <c r="W98" i="5"/>
  <c r="X98" i="5"/>
  <c r="Y98" i="5"/>
  <c r="O99" i="5"/>
  <c r="P99" i="5"/>
  <c r="Q99" i="5"/>
  <c r="R99" i="5"/>
  <c r="S99" i="5"/>
  <c r="T99" i="5"/>
  <c r="U99" i="5"/>
  <c r="V99" i="5"/>
  <c r="W99" i="5"/>
  <c r="X99" i="5"/>
  <c r="Y99" i="5"/>
  <c r="O100" i="5"/>
  <c r="P100" i="5"/>
  <c r="Q100" i="5"/>
  <c r="R100" i="5"/>
  <c r="S100" i="5"/>
  <c r="T100" i="5"/>
  <c r="U100" i="5"/>
  <c r="V100" i="5"/>
  <c r="W100" i="5"/>
  <c r="X100" i="5"/>
  <c r="Y100" i="5"/>
  <c r="O101" i="5"/>
  <c r="P101" i="5"/>
  <c r="Q101" i="5"/>
  <c r="R101" i="5"/>
  <c r="S101" i="5"/>
  <c r="T101" i="5"/>
  <c r="U101" i="5"/>
  <c r="V101" i="5"/>
  <c r="W101" i="5"/>
  <c r="X101" i="5"/>
  <c r="Y101" i="5"/>
  <c r="O102" i="5"/>
  <c r="P102" i="5"/>
  <c r="Q102" i="5"/>
  <c r="R102" i="5"/>
  <c r="S102" i="5"/>
  <c r="T102" i="5"/>
  <c r="U102" i="5"/>
  <c r="V102" i="5"/>
  <c r="W102" i="5"/>
  <c r="X102" i="5"/>
  <c r="Y102" i="5"/>
  <c r="O103" i="5"/>
  <c r="P103" i="5"/>
  <c r="Q103" i="5"/>
  <c r="R103" i="5"/>
  <c r="S103" i="5"/>
  <c r="T103" i="5"/>
  <c r="U103" i="5"/>
  <c r="V103" i="5"/>
  <c r="W103" i="5"/>
  <c r="X103" i="5"/>
  <c r="Y103" i="5"/>
  <c r="O104" i="5"/>
  <c r="P104" i="5"/>
  <c r="Q104" i="5"/>
  <c r="R104" i="5"/>
  <c r="S104" i="5"/>
  <c r="T104" i="5"/>
  <c r="U104" i="5"/>
  <c r="V104" i="5"/>
  <c r="W104" i="5"/>
  <c r="X104" i="5"/>
  <c r="Y104" i="5"/>
  <c r="O105" i="5"/>
  <c r="P105" i="5"/>
  <c r="Q105" i="5"/>
  <c r="R105" i="5"/>
  <c r="S105" i="5"/>
  <c r="T105" i="5"/>
  <c r="U105" i="5"/>
  <c r="V105" i="5"/>
  <c r="W105" i="5"/>
  <c r="X105" i="5"/>
  <c r="Y105" i="5"/>
  <c r="O106" i="5"/>
  <c r="P106" i="5"/>
  <c r="Q106" i="5"/>
  <c r="R106" i="5"/>
  <c r="S106" i="5"/>
  <c r="T106" i="5"/>
  <c r="U106" i="5"/>
  <c r="V106" i="5"/>
  <c r="W106" i="5"/>
  <c r="X106" i="5"/>
  <c r="Y106" i="5"/>
  <c r="O107" i="5"/>
  <c r="P107" i="5"/>
  <c r="Q107" i="5"/>
  <c r="R107" i="5"/>
  <c r="S107" i="5"/>
  <c r="T107" i="5"/>
  <c r="U107" i="5"/>
  <c r="V107" i="5"/>
  <c r="W107" i="5"/>
  <c r="X107" i="5"/>
  <c r="Y107" i="5"/>
  <c r="O108" i="5"/>
  <c r="P108" i="5"/>
  <c r="Q108" i="5"/>
  <c r="R108" i="5"/>
  <c r="S108" i="5"/>
  <c r="T108" i="5"/>
  <c r="U108" i="5"/>
  <c r="V108" i="5"/>
  <c r="W108" i="5"/>
  <c r="X108" i="5"/>
  <c r="Y108" i="5"/>
  <c r="O109" i="5"/>
  <c r="P109" i="5"/>
  <c r="Q109" i="5"/>
  <c r="R109" i="5"/>
  <c r="S109" i="5"/>
  <c r="T109" i="5"/>
  <c r="U109" i="5"/>
  <c r="V109" i="5"/>
  <c r="W109" i="5"/>
  <c r="X109" i="5"/>
  <c r="Y109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74" i="5"/>
  <c r="BQ7" i="1"/>
  <c r="BQ9" i="1"/>
  <c r="BQ11" i="1"/>
  <c r="BQ17" i="1"/>
  <c r="BQ21" i="1"/>
  <c r="BQ23" i="1"/>
  <c r="BQ27" i="1"/>
  <c r="BQ33" i="1"/>
  <c r="BQ35" i="1"/>
  <c r="BQ37" i="1"/>
  <c r="BQ39" i="1"/>
  <c r="BQ41" i="1"/>
  <c r="BQ43" i="1"/>
  <c r="BQ45" i="1"/>
  <c r="BQ47" i="1"/>
  <c r="BQ51" i="1"/>
  <c r="BQ59" i="1"/>
  <c r="BQ60" i="1"/>
  <c r="BQ61" i="1"/>
  <c r="BQ62" i="1"/>
  <c r="BQ63" i="1"/>
  <c r="BQ64" i="1"/>
  <c r="BQ65" i="1"/>
  <c r="BQ67" i="1"/>
  <c r="BQ69" i="1"/>
  <c r="BQ70" i="1"/>
  <c r="BQ71" i="1"/>
  <c r="BQ73" i="1"/>
  <c r="BQ25" i="1"/>
  <c r="AM7" i="1"/>
  <c r="AM9" i="1"/>
  <c r="AM11" i="1"/>
  <c r="AM13" i="1"/>
  <c r="AM15" i="1"/>
  <c r="AM16" i="1"/>
  <c r="AM17" i="1"/>
  <c r="AM18" i="1"/>
  <c r="AM19" i="1"/>
  <c r="AM21" i="1"/>
  <c r="AM22" i="1"/>
  <c r="AM23" i="1"/>
  <c r="AM25" i="1"/>
  <c r="AM27" i="1"/>
  <c r="AM28" i="1"/>
  <c r="AM29" i="1"/>
  <c r="AM30" i="1"/>
  <c r="AM31" i="1"/>
  <c r="AM32" i="1"/>
  <c r="AM33" i="1"/>
  <c r="AM34" i="1"/>
  <c r="AM35" i="1"/>
  <c r="AM37" i="1"/>
  <c r="AM38" i="1"/>
  <c r="AM39" i="1"/>
  <c r="AM41" i="1"/>
  <c r="AM42" i="1"/>
  <c r="AM43" i="1"/>
  <c r="AM45" i="1"/>
  <c r="AM46" i="1"/>
  <c r="AM47" i="1"/>
  <c r="AM48" i="1"/>
  <c r="AM49" i="1"/>
  <c r="AM50" i="1"/>
  <c r="AM51" i="1"/>
  <c r="AM52" i="1"/>
  <c r="AM53" i="1"/>
  <c r="AM54" i="1"/>
  <c r="AM55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F2" i="1"/>
  <c r="AF3" i="1"/>
  <c r="AF4" i="1"/>
  <c r="AF5" i="1"/>
  <c r="AF6" i="1"/>
  <c r="AF7" i="1"/>
  <c r="AF8" i="1"/>
  <c r="AF9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25" i="1"/>
  <c r="Y3" i="1"/>
  <c r="Y5" i="1"/>
  <c r="Y7" i="1"/>
  <c r="Y9" i="1"/>
  <c r="Y11" i="1"/>
  <c r="Y17" i="1"/>
  <c r="Y21" i="1"/>
  <c r="Y23" i="1"/>
  <c r="Y25" i="1"/>
  <c r="Y27" i="1"/>
  <c r="Y33" i="1"/>
  <c r="Y35" i="1"/>
  <c r="Y37" i="1"/>
  <c r="Y39" i="1"/>
  <c r="Y40" i="1"/>
  <c r="Y41" i="1"/>
  <c r="Y43" i="1"/>
  <c r="Y44" i="1"/>
  <c r="Y45" i="1"/>
  <c r="Y46" i="1"/>
  <c r="Y47" i="1"/>
  <c r="Y51" i="1"/>
  <c r="Y56" i="1"/>
  <c r="Y57" i="1"/>
  <c r="Y59" i="1"/>
  <c r="Y60" i="1"/>
  <c r="Y61" i="1"/>
  <c r="Y62" i="1"/>
  <c r="Y63" i="1"/>
  <c r="Y64" i="1"/>
  <c r="Y65" i="1"/>
  <c r="Y67" i="1"/>
  <c r="Y69" i="1"/>
  <c r="Y70" i="1"/>
  <c r="Y71" i="1"/>
  <c r="Y73" i="1"/>
  <c r="Y2" i="1"/>
  <c r="R3" i="1"/>
  <c r="R5" i="1"/>
  <c r="R7" i="1"/>
  <c r="R9" i="1"/>
  <c r="R11" i="1"/>
  <c r="R13" i="1"/>
  <c r="R15" i="1"/>
  <c r="R16" i="1"/>
  <c r="R17" i="1"/>
  <c r="R18" i="1"/>
  <c r="R19" i="1"/>
  <c r="R21" i="1"/>
  <c r="R22" i="1"/>
  <c r="R23" i="1"/>
  <c r="R25" i="1"/>
  <c r="R26" i="1"/>
  <c r="R27" i="1"/>
  <c r="R28" i="1"/>
  <c r="R29" i="1"/>
  <c r="R30" i="1"/>
  <c r="R31" i="1"/>
  <c r="R33" i="1"/>
  <c r="R35" i="1"/>
  <c r="R36" i="1"/>
  <c r="R37" i="1"/>
  <c r="R38" i="1"/>
  <c r="R39" i="1"/>
  <c r="R41" i="1"/>
  <c r="R42" i="1"/>
  <c r="R43" i="1"/>
  <c r="R45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T53" i="1"/>
  <c r="S53" i="1"/>
  <c r="BQ53" i="1" s="1"/>
  <c r="S49" i="1"/>
  <c r="BQ49" i="1" s="1"/>
  <c r="S19" i="1"/>
  <c r="Y19" i="1" s="1"/>
  <c r="W55" i="1"/>
  <c r="V55" i="1"/>
  <c r="T55" i="1"/>
  <c r="S55" i="1"/>
  <c r="BQ55" i="1" s="1"/>
  <c r="V31" i="1"/>
  <c r="T31" i="1"/>
  <c r="S31" i="1"/>
  <c r="S29" i="1"/>
  <c r="BQ29" i="1" s="1"/>
  <c r="AG5" i="1"/>
  <c r="AM5" i="1" s="1"/>
  <c r="S5" i="1"/>
  <c r="BQ5" i="1" s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5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T3" i="1"/>
  <c r="AT4" i="1"/>
  <c r="AT5" i="1"/>
  <c r="AT6" i="1"/>
  <c r="AT7" i="1"/>
  <c r="AT8" i="1"/>
  <c r="AT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Q3" i="1"/>
  <c r="AQ4" i="1"/>
  <c r="AQ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S72" i="1"/>
  <c r="BQ72" i="1" s="1"/>
  <c r="S58" i="1"/>
  <c r="BQ58" i="1" s="1"/>
  <c r="S52" i="1"/>
  <c r="BQ52" i="1" s="1"/>
  <c r="S50" i="1"/>
  <c r="BQ50" i="1" s="1"/>
  <c r="S48" i="1"/>
  <c r="BQ48" i="1" s="1"/>
  <c r="AG36" i="1"/>
  <c r="AM36" i="1" s="1"/>
  <c r="S36" i="1"/>
  <c r="BQ36" i="1" s="1"/>
  <c r="AG26" i="1"/>
  <c r="AM26" i="1" s="1"/>
  <c r="S26" i="1"/>
  <c r="BQ26" i="1" s="1"/>
  <c r="S22" i="1"/>
  <c r="Y22" i="1" s="1"/>
  <c r="S18" i="1"/>
  <c r="Y18" i="1" s="1"/>
  <c r="S68" i="1"/>
  <c r="BQ68" i="1" s="1"/>
  <c r="S66" i="1"/>
  <c r="BQ66" i="1" s="1"/>
  <c r="S54" i="1"/>
  <c r="BQ54" i="1" s="1"/>
  <c r="BN42" i="1"/>
  <c r="AA42" i="1"/>
  <c r="Z42" i="1"/>
  <c r="AF42" i="1" s="1"/>
  <c r="S42" i="1"/>
  <c r="S38" i="1"/>
  <c r="BQ38" i="1" s="1"/>
  <c r="L34" i="1"/>
  <c r="BQ34" i="1" s="1"/>
  <c r="S34" i="1"/>
  <c r="Y34" i="1" s="1"/>
  <c r="S32" i="1"/>
  <c r="Y32" i="1" s="1"/>
  <c r="M32" i="1"/>
  <c r="L32" i="1"/>
  <c r="S30" i="1"/>
  <c r="BQ30" i="1" s="1"/>
  <c r="S28" i="1"/>
  <c r="BQ28" i="1" s="1"/>
  <c r="S16" i="1"/>
  <c r="Y16" i="1" s="1"/>
  <c r="AG4" i="1"/>
  <c r="AM4" i="1" s="1"/>
  <c r="S4" i="1"/>
  <c r="Y4" i="1" s="1"/>
  <c r="L4" i="1"/>
  <c r="R4" i="1" s="1"/>
  <c r="S15" i="1"/>
  <c r="Y15" i="1" s="1"/>
  <c r="S13" i="1"/>
  <c r="BQ13" i="1" s="1"/>
  <c r="AG3" i="1"/>
  <c r="AM3" i="1" s="1"/>
  <c r="Y53" i="1" l="1"/>
  <c r="BQ42" i="1"/>
  <c r="Y13" i="1"/>
  <c r="BQ31" i="1"/>
  <c r="BQ32" i="1"/>
  <c r="Y29" i="1"/>
  <c r="BQ4" i="1"/>
  <c r="Y49" i="1"/>
  <c r="BQ16" i="1"/>
  <c r="R32" i="1"/>
  <c r="Y72" i="1"/>
  <c r="Y48" i="1"/>
  <c r="BQ15" i="1"/>
  <c r="Y55" i="1"/>
  <c r="Y31" i="1"/>
  <c r="BQ22" i="1"/>
  <c r="Y54" i="1"/>
  <c r="Y38" i="1"/>
  <c r="Y30" i="1"/>
  <c r="Y68" i="1"/>
  <c r="Y52" i="1"/>
  <c r="Y36" i="1"/>
  <c r="Y28" i="1"/>
  <c r="BQ19" i="1"/>
  <c r="BQ3" i="1"/>
  <c r="BQ18" i="1"/>
  <c r="R34" i="1"/>
  <c r="Y66" i="1"/>
  <c r="Y58" i="1"/>
  <c r="Y50" i="1"/>
  <c r="Y42" i="1"/>
  <c r="Y26" i="1"/>
  <c r="AG57" i="1"/>
  <c r="BL2" i="1"/>
  <c r="BH2" i="1"/>
  <c r="BE2" i="1"/>
  <c r="BB2" i="1"/>
  <c r="AX2" i="1"/>
  <c r="AT2" i="1"/>
  <c r="AG20" i="1"/>
  <c r="L6" i="1"/>
  <c r="AG14" i="1"/>
  <c r="L14" i="1"/>
  <c r="S14" i="1"/>
  <c r="Y14" i="1" s="1"/>
  <c r="S12" i="1"/>
  <c r="Y12" i="1" s="1"/>
  <c r="L12" i="1"/>
  <c r="AG10" i="1"/>
  <c r="AM10" i="1" s="1"/>
  <c r="AH56" i="1"/>
  <c r="AG56" i="1"/>
  <c r="AR10" i="1"/>
  <c r="AS46" i="1"/>
  <c r="AR46" i="1"/>
  <c r="AS10" i="1"/>
  <c r="AZ44" i="1"/>
  <c r="AY44" i="1"/>
  <c r="BA46" i="1"/>
  <c r="AZ46" i="1"/>
  <c r="AY46" i="1"/>
  <c r="BA44" i="1"/>
  <c r="AP6" i="1"/>
  <c r="AO6" i="1"/>
  <c r="AN6" i="1"/>
  <c r="AN2" i="1"/>
  <c r="AQ2" i="1" s="1"/>
  <c r="AG6" i="1"/>
  <c r="AH44" i="1"/>
  <c r="AG44" i="1"/>
  <c r="AM44" i="1" s="1"/>
  <c r="AI40" i="1"/>
  <c r="AH40" i="1"/>
  <c r="AG40" i="1"/>
  <c r="AI24" i="1"/>
  <c r="AH24" i="1"/>
  <c r="AG24" i="1"/>
  <c r="AI20" i="1"/>
  <c r="AH20" i="1"/>
  <c r="AH14" i="1"/>
  <c r="AI14" i="1"/>
  <c r="AH12" i="1"/>
  <c r="AG12" i="1"/>
  <c r="AM12" i="1" s="1"/>
  <c r="AI10" i="1"/>
  <c r="AH10" i="1"/>
  <c r="AI8" i="1"/>
  <c r="AH8" i="1"/>
  <c r="AG8" i="1"/>
  <c r="AM8" i="1" s="1"/>
  <c r="AI6" i="1"/>
  <c r="AH6" i="1"/>
  <c r="AI2" i="1"/>
  <c r="AH2" i="1"/>
  <c r="AG2" i="1"/>
  <c r="Z12" i="1"/>
  <c r="AF12" i="1" s="1"/>
  <c r="AB10" i="1"/>
  <c r="AA10" i="1"/>
  <c r="Z10" i="1"/>
  <c r="AF10" i="1" s="1"/>
  <c r="L8" i="1"/>
  <c r="S24" i="1"/>
  <c r="Y24" i="1" s="1"/>
  <c r="S20" i="1"/>
  <c r="Y20" i="1" s="1"/>
  <c r="S10" i="1"/>
  <c r="Y10" i="1" s="1"/>
  <c r="S8" i="1"/>
  <c r="Y8" i="1" s="1"/>
  <c r="S6" i="1"/>
  <c r="Y6" i="1" s="1"/>
  <c r="L56" i="1"/>
  <c r="L46" i="1"/>
  <c r="L44" i="1"/>
  <c r="L40" i="1"/>
  <c r="L24" i="1"/>
  <c r="L20" i="1"/>
  <c r="L10" i="1"/>
  <c r="AM56" i="1" l="1"/>
  <c r="BQ40" i="1"/>
  <c r="R40" i="1"/>
  <c r="BQ44" i="1"/>
  <c r="R44" i="1"/>
  <c r="R8" i="1"/>
  <c r="BQ8" i="1"/>
  <c r="AM40" i="1"/>
  <c r="R24" i="1"/>
  <c r="BQ24" i="1"/>
  <c r="R12" i="1"/>
  <c r="BQ12" i="1"/>
  <c r="BQ46" i="1"/>
  <c r="R46" i="1"/>
  <c r="AM14" i="1"/>
  <c r="BQ56" i="1"/>
  <c r="R56" i="1"/>
  <c r="R14" i="1"/>
  <c r="BQ14" i="1"/>
  <c r="R10" i="1"/>
  <c r="BQ10" i="1"/>
  <c r="R6" i="1"/>
  <c r="BQ6" i="1"/>
  <c r="BQ57" i="1"/>
  <c r="AM57" i="1"/>
  <c r="R20" i="1"/>
  <c r="BQ20" i="1"/>
  <c r="AM2" i="1"/>
  <c r="BQ2" i="1"/>
  <c r="AM24" i="1"/>
  <c r="AM6" i="1"/>
  <c r="AM20" i="1"/>
  <c r="BB46" i="1"/>
  <c r="AQ6" i="1"/>
  <c r="AT10" i="1"/>
  <c r="BB44" i="1"/>
  <c r="AT46" i="1"/>
  <c r="AM74" i="1" l="1"/>
</calcChain>
</file>

<file path=xl/sharedStrings.xml><?xml version="1.0" encoding="utf-8"?>
<sst xmlns="http://schemas.openxmlformats.org/spreadsheetml/2006/main" count="670" uniqueCount="107">
  <si>
    <t>Plot</t>
  </si>
  <si>
    <t>Date</t>
  </si>
  <si>
    <t>SICAN_1in</t>
  </si>
  <si>
    <t>SICAN_2in</t>
  </si>
  <si>
    <t>SICAN_3in</t>
  </si>
  <si>
    <t>RANAB_1in</t>
  </si>
  <si>
    <t>RANAB_2in</t>
  </si>
  <si>
    <t>RANAB_3in</t>
  </si>
  <si>
    <t>WA_1in</t>
  </si>
  <si>
    <t>WA_2in</t>
  </si>
  <si>
    <t>WA_3in</t>
  </si>
  <si>
    <t>GRASSES_1in</t>
  </si>
  <si>
    <t>GRASSES_2in</t>
  </si>
  <si>
    <t>DATST_1in</t>
  </si>
  <si>
    <t>DATST_2in</t>
  </si>
  <si>
    <t>ERICA_2in</t>
  </si>
  <si>
    <t>ERICA_3in</t>
  </si>
  <si>
    <t>WA= winter annuals</t>
  </si>
  <si>
    <t>ERICA (Erigeron canadensis) = horseweed</t>
  </si>
  <si>
    <t>RANAB (Ranunculus abortivus) = smallflower buttercup</t>
  </si>
  <si>
    <r>
      <t>SICAN (</t>
    </r>
    <r>
      <rPr>
        <i/>
        <sz val="11"/>
        <color theme="1"/>
        <rFont val="Calibri"/>
        <family val="2"/>
        <scheme val="minor"/>
      </rPr>
      <t>Siycos angulantus)</t>
    </r>
    <r>
      <rPr>
        <sz val="11"/>
        <color theme="1"/>
        <rFont val="Calibri"/>
        <family val="2"/>
        <scheme val="minor"/>
      </rPr>
      <t xml:space="preserve"> = burcucumber</t>
    </r>
  </si>
  <si>
    <r>
      <t>IPOSS (</t>
    </r>
    <r>
      <rPr>
        <i/>
        <sz val="11"/>
        <color theme="1"/>
        <rFont val="Calibri"/>
        <family val="2"/>
        <scheme val="minor"/>
      </rPr>
      <t>Ipomoea spp.</t>
    </r>
    <r>
      <rPr>
        <sz val="11"/>
        <color theme="1"/>
        <rFont val="Calibri"/>
        <family val="2"/>
        <scheme val="minor"/>
      </rPr>
      <t xml:space="preserve">) = morningglory spp. </t>
    </r>
  </si>
  <si>
    <r>
      <t>CHEAL (</t>
    </r>
    <r>
      <rPr>
        <i/>
        <sz val="11"/>
        <color theme="1"/>
        <rFont val="Calibri"/>
        <family val="2"/>
        <scheme val="minor"/>
      </rPr>
      <t>Chenopodium album</t>
    </r>
    <r>
      <rPr>
        <sz val="11"/>
        <color theme="1"/>
        <rFont val="Calibri"/>
        <family val="2"/>
        <scheme val="minor"/>
      </rPr>
      <t>) = common lambsquarters</t>
    </r>
  </si>
  <si>
    <r>
      <t>SIDSP (</t>
    </r>
    <r>
      <rPr>
        <i/>
        <sz val="11"/>
        <color theme="1"/>
        <rFont val="Calibri"/>
        <family val="2"/>
        <scheme val="minor"/>
      </rPr>
      <t>Sida spinosa</t>
    </r>
    <r>
      <rPr>
        <sz val="11"/>
        <color theme="1"/>
        <rFont val="Calibri"/>
        <family val="2"/>
        <scheme val="minor"/>
      </rPr>
      <t>) = prickly sida</t>
    </r>
  </si>
  <si>
    <r>
      <t>ABUTH (</t>
    </r>
    <r>
      <rPr>
        <i/>
        <sz val="11"/>
        <color theme="1"/>
        <rFont val="Calibri"/>
        <family val="2"/>
        <scheme val="minor"/>
      </rPr>
      <t>Abutilion theophrasti)</t>
    </r>
    <r>
      <rPr>
        <sz val="11"/>
        <color theme="1"/>
        <rFont val="Calibri"/>
        <family val="2"/>
        <scheme val="minor"/>
      </rPr>
      <t xml:space="preserve"> = velvetleaf</t>
    </r>
  </si>
  <si>
    <t>AMBAR_2in</t>
  </si>
  <si>
    <t>AMBAR_3in</t>
  </si>
  <si>
    <r>
      <t>CYPES (Cyperus esculentus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= yellow nutsedge</t>
    </r>
  </si>
  <si>
    <t>CYPES_3in</t>
  </si>
  <si>
    <t>TOTAL</t>
  </si>
  <si>
    <t>ABUTH_TOTAL</t>
  </si>
  <si>
    <t>SIDSP_TOTAL</t>
  </si>
  <si>
    <t>CHEAL_TOTAL</t>
  </si>
  <si>
    <t>IPOSS_TOTAL</t>
  </si>
  <si>
    <t>SICAN_TOTAL</t>
  </si>
  <si>
    <t>GRASSES_TOTAL</t>
  </si>
  <si>
    <t>WA_TOTAL</t>
  </si>
  <si>
    <t>RANAB_TOTAL</t>
  </si>
  <si>
    <t>DATST_TOTAL</t>
  </si>
  <si>
    <t>ERICA_TOTAL</t>
  </si>
  <si>
    <t>AMBAR_TOTAL</t>
  </si>
  <si>
    <t>Sprayer System</t>
  </si>
  <si>
    <t>Red</t>
  </si>
  <si>
    <t>Blue</t>
  </si>
  <si>
    <t>Scanned Area</t>
  </si>
  <si>
    <t>Sprayed Area</t>
  </si>
  <si>
    <t>Gain (%)</t>
  </si>
  <si>
    <t>Size</t>
  </si>
  <si>
    <t>Speed</t>
  </si>
  <si>
    <t>DAA</t>
  </si>
  <si>
    <t>FALSE_POSITIVES</t>
  </si>
  <si>
    <t>OTHER_1in</t>
  </si>
  <si>
    <t>OTHER_2in</t>
  </si>
  <si>
    <t>OTHER_3in</t>
  </si>
  <si>
    <t>AMBAR_1in</t>
  </si>
  <si>
    <t>Spray Direction</t>
  </si>
  <si>
    <t>east</t>
  </si>
  <si>
    <t>west</t>
  </si>
  <si>
    <t>ABUTH_1in_C</t>
  </si>
  <si>
    <t>ABUTH_2in_C</t>
  </si>
  <si>
    <t>ABUTH_3in_C</t>
  </si>
  <si>
    <t>Location of weeds</t>
  </si>
  <si>
    <t>SIDSP_1in_C</t>
  </si>
  <si>
    <t>SIDSP_2in_C</t>
  </si>
  <si>
    <t>SIDSP_3in_C</t>
  </si>
  <si>
    <t>CHEAL_1in_C</t>
  </si>
  <si>
    <t>CHEAL_2in_C</t>
  </si>
  <si>
    <t>CHEAL_3in_C</t>
  </si>
  <si>
    <t>IPOSS_1in_C</t>
  </si>
  <si>
    <t>IPOSS_2in_C</t>
  </si>
  <si>
    <t>IPOSS_3in_C</t>
  </si>
  <si>
    <t>ABUTH_1in_M</t>
  </si>
  <si>
    <t>ABUTH_2in_M</t>
  </si>
  <si>
    <t>ABUTH_3in_M</t>
  </si>
  <si>
    <t>SIDSP_1in_M</t>
  </si>
  <si>
    <t>SIDSP_2in_M</t>
  </si>
  <si>
    <t>SIDSP_3in_M</t>
  </si>
  <si>
    <t>CHEAL_1in_M</t>
  </si>
  <si>
    <t>CHEAL_2in_M</t>
  </si>
  <si>
    <t>CHEAL_3in_M</t>
  </si>
  <si>
    <t>IPOSS_1in_M</t>
  </si>
  <si>
    <t>IPOSS_2in_M</t>
  </si>
  <si>
    <t>IPOSS_3in_M</t>
  </si>
  <si>
    <t>M=Middle (area between the crop rows</t>
  </si>
  <si>
    <t>C= Crop  (within crop rows)</t>
  </si>
  <si>
    <t>DAA= Days after application</t>
  </si>
  <si>
    <t>Treatment</t>
  </si>
  <si>
    <t>BC</t>
  </si>
  <si>
    <t xml:space="preserve">BC= Broadcast </t>
  </si>
  <si>
    <t>Interpreting the CODING</t>
  </si>
  <si>
    <t>Weed Species</t>
  </si>
  <si>
    <t xml:space="preserve">Example: </t>
  </si>
  <si>
    <t xml:space="preserve">*the first three letters are the genius; two letters are the specie </t>
  </si>
  <si>
    <t xml:space="preserve">Other: </t>
  </si>
  <si>
    <t>Size of Weeds</t>
  </si>
  <si>
    <t>2in = 2-inches</t>
  </si>
  <si>
    <t>1in = 1-inch</t>
  </si>
  <si>
    <t>Weeds were approximately</t>
  </si>
  <si>
    <r>
      <rPr>
        <sz val="18"/>
        <color rgb="FFFF0000"/>
        <rFont val="Calibri"/>
        <family val="2"/>
        <scheme val="minor"/>
      </rPr>
      <t>ABUTH</t>
    </r>
    <r>
      <rPr>
        <sz val="18"/>
        <color theme="1"/>
        <rFont val="Calibri"/>
        <family val="2"/>
        <scheme val="minor"/>
      </rPr>
      <t>_1in_</t>
    </r>
    <r>
      <rPr>
        <sz val="18"/>
        <color theme="4"/>
        <rFont val="Calibri"/>
        <family val="2"/>
        <scheme val="minor"/>
      </rPr>
      <t>M</t>
    </r>
  </si>
  <si>
    <t>3in = 3-inches or greater</t>
  </si>
  <si>
    <t>V2/3</t>
  </si>
  <si>
    <t>Corn Stage</t>
  </si>
  <si>
    <t>V5/6</t>
  </si>
  <si>
    <t>Column for total across species excludes "other" species category.</t>
  </si>
  <si>
    <t>%Red 0 to 5DAA</t>
  </si>
  <si>
    <t>n/a</t>
  </si>
  <si>
    <t>%Red 0 to 5DAA = Percent reduction from day of application to 5 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</si>
</sst>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9" fontId="0" fillId="0" borderId="1" xfId="0" applyNumberFormat="1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9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9" fontId="0" fillId="0" borderId="0" xfId="0" applyNumberFormat="1" applyFill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/>
    <xf numFmtId="164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/>
    <xf numFmtId="14" fontId="0" fillId="0" borderId="1" xfId="0" applyNumberFormat="1" applyFill="1" applyBorder="1"/>
    <xf numFmtId="0" fontId="0" fillId="0" borderId="1" xfId="0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ont="1" applyFill="1" applyBorder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2" fontId="1" fillId="2" borderId="0" xfId="0" applyNumberFormat="1" applyFont="1" applyFill="1"/>
    <xf numFmtId="9" fontId="1" fillId="2" borderId="0" xfId="0" applyNumberFormat="1" applyFont="1" applyFill="1"/>
    <xf numFmtId="9" fontId="1" fillId="2" borderId="0" xfId="1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1" fontId="1" fillId="2" borderId="0" xfId="0" applyNumberFormat="1" applyFont="1" applyFill="1" applyBorder="1"/>
    <xf numFmtId="2" fontId="1" fillId="2" borderId="0" xfId="0" applyNumberFormat="1" applyFont="1" applyFill="1" applyBorder="1"/>
    <xf numFmtId="9" fontId="1" fillId="2" borderId="0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2" fontId="1" fillId="2" borderId="1" xfId="0" applyNumberFormat="1" applyFont="1" applyFill="1" applyBorder="1"/>
    <xf numFmtId="9" fontId="1" fillId="2" borderId="1" xfId="0" applyNumberFormat="1" applyFont="1" applyFill="1" applyBorder="1"/>
    <xf numFmtId="9" fontId="1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D1B-074D-4815-B478-0DC49AD12F6D}">
  <dimension ref="A1:BR75"/>
  <sheetViews>
    <sheetView zoomScale="70" zoomScaleNormal="70" workbookViewId="0">
      <pane xSplit="3" ySplit="1" topLeftCell="S47" activePane="bottomRight" state="frozen"/>
      <selection pane="topRight" activeCell="C1" sqref="C1"/>
      <selection pane="bottomLeft" activeCell="A2" sqref="A2"/>
      <selection pane="bottomRight" activeCell="AM74" sqref="AM74"/>
    </sheetView>
  </sheetViews>
  <sheetFormatPr defaultRowHeight="15" x14ac:dyDescent="0.25"/>
  <cols>
    <col min="2" max="2" width="11" bestFit="1" customWidth="1"/>
    <col min="4" max="4" width="11.140625" bestFit="1" customWidth="1"/>
    <col min="5" max="5" width="15.85546875" bestFit="1" customWidth="1"/>
    <col min="6" max="6" width="15.85546875" customWidth="1"/>
    <col min="7" max="7" width="9.140625" style="26" customWidth="1"/>
    <col min="8" max="8" width="5.5703125" style="4" customWidth="1"/>
    <col min="9" max="9" width="13.140625" style="2" bestFit="1" customWidth="1"/>
    <col min="10" max="10" width="12.7109375" style="2" bestFit="1" customWidth="1"/>
    <col min="11" max="11" width="9.7109375" style="3" customWidth="1"/>
    <col min="12" max="12" width="14.85546875" bestFit="1" customWidth="1"/>
    <col min="13" max="14" width="15.28515625" bestFit="1" customWidth="1"/>
    <col min="15" max="15" width="14.5703125" bestFit="1" customWidth="1"/>
    <col min="16" max="17" width="15" bestFit="1" customWidth="1"/>
    <col min="18" max="18" width="13.7109375" style="1" bestFit="1" customWidth="1"/>
    <col min="19" max="24" width="12.28515625" bestFit="1" customWidth="1"/>
    <col min="25" max="25" width="12.5703125" style="1" bestFit="1" customWidth="1"/>
    <col min="26" max="30" width="12.5703125" bestFit="1" customWidth="1"/>
    <col min="31" max="31" width="10.28515625" customWidth="1"/>
    <col min="32" max="32" width="13.28515625" style="1" bestFit="1" customWidth="1"/>
    <col min="33" max="35" width="9.85546875" bestFit="1" customWidth="1"/>
    <col min="36" max="38" width="9.85546875" customWidth="1"/>
    <col min="39" max="39" width="12.7109375" style="1" bestFit="1" customWidth="1"/>
    <col min="40" max="42" width="10.140625" bestFit="1" customWidth="1"/>
    <col min="43" max="43" width="13.140625" style="1" bestFit="1" customWidth="1"/>
    <col min="44" max="45" width="12.42578125" bestFit="1" customWidth="1"/>
    <col min="46" max="46" width="15.42578125" style="1" bestFit="1" customWidth="1"/>
    <col min="50" max="50" width="10.85546875" style="1" bestFit="1" customWidth="1"/>
    <col min="51" max="53" width="11" bestFit="1" customWidth="1"/>
    <col min="54" max="54" width="14" style="1" bestFit="1" customWidth="1"/>
    <col min="55" max="56" width="10.28515625" bestFit="1" customWidth="1"/>
    <col min="57" max="57" width="13.28515625" style="1" bestFit="1" customWidth="1"/>
    <col min="58" max="59" width="9.85546875" bestFit="1" customWidth="1"/>
    <col min="60" max="60" width="12.7109375" style="1" bestFit="1" customWidth="1"/>
    <col min="61" max="61" width="12.7109375" style="22" customWidth="1"/>
    <col min="62" max="63" width="11.28515625" bestFit="1" customWidth="1"/>
    <col min="64" max="64" width="14.42578125" style="1" bestFit="1" customWidth="1"/>
    <col min="65" max="65" width="10" bestFit="1" customWidth="1"/>
    <col min="66" max="68" width="11.5703125" bestFit="1" customWidth="1"/>
    <col min="70" max="70" width="16.28515625" bestFit="1" customWidth="1"/>
  </cols>
  <sheetData>
    <row r="1" spans="1:70" s="11" customFormat="1" x14ac:dyDescent="0.25">
      <c r="A1" s="5" t="s">
        <v>0</v>
      </c>
      <c r="B1" s="5" t="s">
        <v>86</v>
      </c>
      <c r="C1" s="5" t="s">
        <v>49</v>
      </c>
      <c r="D1" s="5" t="s">
        <v>1</v>
      </c>
      <c r="E1" s="5" t="s">
        <v>41</v>
      </c>
      <c r="F1" s="5" t="s">
        <v>55</v>
      </c>
      <c r="G1" s="23" t="s">
        <v>48</v>
      </c>
      <c r="H1" s="6" t="s">
        <v>47</v>
      </c>
      <c r="I1" s="7" t="s">
        <v>44</v>
      </c>
      <c r="J1" s="7" t="s">
        <v>45</v>
      </c>
      <c r="K1" s="8" t="s">
        <v>46</v>
      </c>
      <c r="L1" s="28" t="s">
        <v>71</v>
      </c>
      <c r="M1" s="28" t="s">
        <v>72</v>
      </c>
      <c r="N1" s="28" t="s">
        <v>73</v>
      </c>
      <c r="O1" s="28" t="s">
        <v>58</v>
      </c>
      <c r="P1" s="28" t="s">
        <v>59</v>
      </c>
      <c r="Q1" s="28" t="s">
        <v>60</v>
      </c>
      <c r="R1" s="9" t="s">
        <v>30</v>
      </c>
      <c r="S1" s="28" t="s">
        <v>74</v>
      </c>
      <c r="T1" s="28" t="s">
        <v>75</v>
      </c>
      <c r="U1" s="28" t="s">
        <v>76</v>
      </c>
      <c r="V1" s="28" t="s">
        <v>62</v>
      </c>
      <c r="W1" s="28" t="s">
        <v>63</v>
      </c>
      <c r="X1" s="28" t="s">
        <v>64</v>
      </c>
      <c r="Y1" s="9" t="s">
        <v>31</v>
      </c>
      <c r="Z1" s="28" t="s">
        <v>77</v>
      </c>
      <c r="AA1" s="28" t="s">
        <v>78</v>
      </c>
      <c r="AB1" s="28" t="s">
        <v>79</v>
      </c>
      <c r="AC1" s="28" t="s">
        <v>65</v>
      </c>
      <c r="AD1" s="28" t="s">
        <v>66</v>
      </c>
      <c r="AE1" s="28" t="s">
        <v>67</v>
      </c>
      <c r="AF1" s="9" t="s">
        <v>32</v>
      </c>
      <c r="AG1" s="28" t="s">
        <v>80</v>
      </c>
      <c r="AH1" s="28" t="s">
        <v>81</v>
      </c>
      <c r="AI1" s="28" t="s">
        <v>82</v>
      </c>
      <c r="AJ1" s="28" t="s">
        <v>68</v>
      </c>
      <c r="AK1" s="28" t="s">
        <v>69</v>
      </c>
      <c r="AL1" s="28" t="s">
        <v>70</v>
      </c>
      <c r="AM1" s="9" t="s">
        <v>33</v>
      </c>
      <c r="AN1" s="5" t="s">
        <v>2</v>
      </c>
      <c r="AO1" s="5" t="s">
        <v>3</v>
      </c>
      <c r="AP1" s="5" t="s">
        <v>4</v>
      </c>
      <c r="AQ1" s="9" t="s">
        <v>34</v>
      </c>
      <c r="AR1" s="5" t="s">
        <v>11</v>
      </c>
      <c r="AS1" s="5" t="s">
        <v>12</v>
      </c>
      <c r="AT1" s="9" t="s">
        <v>35</v>
      </c>
      <c r="AU1" s="5" t="s">
        <v>8</v>
      </c>
      <c r="AV1" s="5" t="s">
        <v>9</v>
      </c>
      <c r="AW1" s="5" t="s">
        <v>10</v>
      </c>
      <c r="AX1" s="9" t="s">
        <v>36</v>
      </c>
      <c r="AY1" s="5" t="s">
        <v>5</v>
      </c>
      <c r="AZ1" s="5" t="s">
        <v>6</v>
      </c>
      <c r="BA1" s="5" t="s">
        <v>7</v>
      </c>
      <c r="BB1" s="9" t="s">
        <v>37</v>
      </c>
      <c r="BC1" s="5" t="s">
        <v>13</v>
      </c>
      <c r="BD1" s="5" t="s">
        <v>14</v>
      </c>
      <c r="BE1" s="9" t="s">
        <v>38</v>
      </c>
      <c r="BF1" s="5" t="s">
        <v>15</v>
      </c>
      <c r="BG1" s="5" t="s">
        <v>16</v>
      </c>
      <c r="BH1" s="9" t="s">
        <v>39</v>
      </c>
      <c r="BI1" s="20" t="s">
        <v>54</v>
      </c>
      <c r="BJ1" s="5" t="s">
        <v>25</v>
      </c>
      <c r="BK1" s="5" t="s">
        <v>26</v>
      </c>
      <c r="BL1" s="9" t="s">
        <v>40</v>
      </c>
      <c r="BM1" s="5" t="s">
        <v>28</v>
      </c>
      <c r="BN1" s="5" t="s">
        <v>51</v>
      </c>
      <c r="BO1" s="5" t="s">
        <v>52</v>
      </c>
      <c r="BP1" s="5" t="s">
        <v>53</v>
      </c>
      <c r="BQ1" s="9" t="s">
        <v>29</v>
      </c>
      <c r="BR1" s="10" t="s">
        <v>50</v>
      </c>
    </row>
    <row r="2" spans="1:70" s="11" customFormat="1" x14ac:dyDescent="0.25">
      <c r="A2" s="11">
        <v>101</v>
      </c>
      <c r="B2" s="11">
        <v>1</v>
      </c>
      <c r="C2" s="11">
        <v>0</v>
      </c>
      <c r="D2" s="12">
        <v>44728</v>
      </c>
      <c r="E2" s="12" t="s">
        <v>42</v>
      </c>
      <c r="F2" s="12" t="s">
        <v>56</v>
      </c>
      <c r="G2" s="24"/>
      <c r="H2" s="13">
        <v>1</v>
      </c>
      <c r="I2" s="14">
        <v>0.33</v>
      </c>
      <c r="J2" s="14">
        <v>0.11</v>
      </c>
      <c r="K2" s="15">
        <v>0.71</v>
      </c>
      <c r="L2" s="11">
        <v>8</v>
      </c>
      <c r="M2" s="11">
        <v>1</v>
      </c>
      <c r="N2" s="11">
        <v>1</v>
      </c>
      <c r="O2" s="11">
        <v>0</v>
      </c>
      <c r="P2" s="11">
        <v>0</v>
      </c>
      <c r="Q2" s="11">
        <v>0</v>
      </c>
      <c r="R2" s="10">
        <f>SUM(L2:Q2)</f>
        <v>10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0">
        <f>SUM(S2:X2)</f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0">
        <f t="shared" ref="AF2:AF24" si="0">SUM(Z2:AE2)</f>
        <v>0</v>
      </c>
      <c r="AG2" s="11">
        <f>30+17+20+19+20</f>
        <v>106</v>
      </c>
      <c r="AH2" s="11">
        <f>7+3+8+5</f>
        <v>23</v>
      </c>
      <c r="AI2" s="11">
        <f>6+5+19</f>
        <v>30</v>
      </c>
      <c r="AJ2" s="11">
        <v>0</v>
      </c>
      <c r="AK2" s="11">
        <v>0</v>
      </c>
      <c r="AL2" s="11">
        <v>0</v>
      </c>
      <c r="AM2" s="10">
        <f>SUM(AG2:AL2)</f>
        <v>159</v>
      </c>
      <c r="AN2" s="11">
        <f>1</f>
        <v>1</v>
      </c>
      <c r="AO2" s="11">
        <v>0</v>
      </c>
      <c r="AP2" s="11">
        <v>3</v>
      </c>
      <c r="AQ2" s="10">
        <f>SUM(AN2:AP2)</f>
        <v>4</v>
      </c>
      <c r="AR2" s="11">
        <v>0</v>
      </c>
      <c r="AS2" s="11">
        <v>0</v>
      </c>
      <c r="AT2" s="10">
        <f>SUM(AR2,AS2)</f>
        <v>0</v>
      </c>
      <c r="AU2" s="11">
        <v>2</v>
      </c>
      <c r="AV2" s="11">
        <v>0</v>
      </c>
      <c r="AW2" s="11">
        <v>1</v>
      </c>
      <c r="AX2" s="10">
        <f>SUM(AU2:AW2)</f>
        <v>3</v>
      </c>
      <c r="AY2" s="11">
        <v>0</v>
      </c>
      <c r="AZ2" s="11">
        <v>0</v>
      </c>
      <c r="BA2" s="11">
        <v>0</v>
      </c>
      <c r="BB2" s="10">
        <f>SUM(AY2:BA2)</f>
        <v>0</v>
      </c>
      <c r="BC2" s="11">
        <v>0</v>
      </c>
      <c r="BD2" s="11">
        <v>0</v>
      </c>
      <c r="BE2" s="10">
        <f>SUM(BC2:BD2)</f>
        <v>0</v>
      </c>
      <c r="BF2" s="11">
        <v>0</v>
      </c>
      <c r="BG2" s="11">
        <v>0</v>
      </c>
      <c r="BH2" s="10">
        <f>SUM(BF2:BG2)</f>
        <v>0</v>
      </c>
      <c r="BI2" s="21">
        <v>0</v>
      </c>
      <c r="BJ2" s="11">
        <v>0</v>
      </c>
      <c r="BK2" s="11">
        <v>0</v>
      </c>
      <c r="BL2" s="10">
        <f>SUM(BJ2:BK2)</f>
        <v>0</v>
      </c>
      <c r="BM2" s="11">
        <v>0</v>
      </c>
      <c r="BN2" s="11">
        <v>0</v>
      </c>
      <c r="BO2" s="11">
        <v>0</v>
      </c>
      <c r="BP2" s="11">
        <v>0</v>
      </c>
      <c r="BQ2" s="11">
        <f t="shared" ref="BQ2:BQ24" si="1">SUM(L2:Q2,S2:X2,Z2:AE2,AG2:AL2,AN2:AP2,AR2:AS2,AU2:AW2,AY2:BA2,BC2:BD2,BF2:BG2,BI2:BK2,BM2,BN2:BP2)</f>
        <v>176</v>
      </c>
    </row>
    <row r="3" spans="1:70" s="11" customFormat="1" x14ac:dyDescent="0.25">
      <c r="A3" s="11">
        <v>101</v>
      </c>
      <c r="B3" s="11">
        <v>1</v>
      </c>
      <c r="C3" s="11">
        <v>5</v>
      </c>
      <c r="D3" s="12">
        <v>44733</v>
      </c>
      <c r="E3" s="12" t="s">
        <v>42</v>
      </c>
      <c r="F3" s="12" t="s">
        <v>56</v>
      </c>
      <c r="G3" s="24"/>
      <c r="H3" s="13">
        <v>1</v>
      </c>
      <c r="I3" s="14">
        <v>0.33</v>
      </c>
      <c r="J3" s="14">
        <v>0.11</v>
      </c>
      <c r="K3" s="15">
        <v>0.71</v>
      </c>
      <c r="L3" s="11">
        <v>2</v>
      </c>
      <c r="M3" s="11">
        <v>2</v>
      </c>
      <c r="N3" s="11">
        <v>0</v>
      </c>
      <c r="O3" s="11">
        <v>0</v>
      </c>
      <c r="P3" s="11">
        <v>0</v>
      </c>
      <c r="Q3" s="11">
        <v>0</v>
      </c>
      <c r="R3" s="10">
        <f t="shared" ref="R3:R66" si="2">SUM(L3:Q3)</f>
        <v>4</v>
      </c>
      <c r="S3" s="11">
        <v>1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0">
        <f t="shared" ref="Y3:Y66" si="3">SUM(S3:X3)</f>
        <v>1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0">
        <f t="shared" si="0"/>
        <v>0</v>
      </c>
      <c r="AG3" s="11">
        <f>SUM(6+21+22+13+1)</f>
        <v>63</v>
      </c>
      <c r="AH3" s="11">
        <v>17</v>
      </c>
      <c r="AI3" s="11">
        <v>0</v>
      </c>
      <c r="AJ3" s="11">
        <v>0</v>
      </c>
      <c r="AK3" s="11">
        <v>0</v>
      </c>
      <c r="AL3" s="11">
        <v>0</v>
      </c>
      <c r="AM3" s="10">
        <f t="shared" ref="AM3:AM66" si="4">SUM(AG3:AL3)</f>
        <v>80</v>
      </c>
      <c r="AN3" s="11">
        <v>0</v>
      </c>
      <c r="AO3" s="11">
        <v>0</v>
      </c>
      <c r="AP3" s="11">
        <v>0</v>
      </c>
      <c r="AQ3" s="10">
        <f t="shared" ref="AQ3:AQ66" si="5">SUM(AN3:AP3)</f>
        <v>0</v>
      </c>
      <c r="AR3" s="11">
        <v>0</v>
      </c>
      <c r="AS3" s="11">
        <v>0</v>
      </c>
      <c r="AT3" s="10">
        <f t="shared" ref="AT3:AT66" si="6">SUM(AR3,AS3)</f>
        <v>0</v>
      </c>
      <c r="AU3" s="11">
        <v>0</v>
      </c>
      <c r="AV3" s="11">
        <v>0</v>
      </c>
      <c r="AW3" s="11">
        <v>0</v>
      </c>
      <c r="AX3" s="10">
        <f t="shared" ref="AX3:AX66" si="7">SUM(AU3:AW3)</f>
        <v>0</v>
      </c>
      <c r="AY3" s="11">
        <v>0</v>
      </c>
      <c r="AZ3" s="11">
        <v>0</v>
      </c>
      <c r="BA3" s="11">
        <v>0</v>
      </c>
      <c r="BB3" s="10">
        <f t="shared" ref="BB3:BB66" si="8">SUM(AY3:BA3)</f>
        <v>0</v>
      </c>
      <c r="BC3" s="11">
        <v>0</v>
      </c>
      <c r="BD3" s="11">
        <v>0</v>
      </c>
      <c r="BE3" s="10">
        <f t="shared" ref="BE3:BE66" si="9">SUM(BC3:BD3)</f>
        <v>0</v>
      </c>
      <c r="BF3" s="11">
        <v>0</v>
      </c>
      <c r="BG3" s="11">
        <v>0</v>
      </c>
      <c r="BH3" s="10">
        <f t="shared" ref="BH3:BH66" si="10">SUM(BF3:BG3)</f>
        <v>0</v>
      </c>
      <c r="BI3" s="21">
        <v>0</v>
      </c>
      <c r="BJ3" s="11">
        <v>0</v>
      </c>
      <c r="BK3" s="11">
        <v>0</v>
      </c>
      <c r="BL3" s="10">
        <f t="shared" ref="BL3:BL66" si="11">SUM(BJ3:BK3)</f>
        <v>0</v>
      </c>
      <c r="BM3" s="11">
        <v>0</v>
      </c>
      <c r="BN3" s="11">
        <v>0</v>
      </c>
      <c r="BO3" s="11">
        <v>0</v>
      </c>
      <c r="BP3" s="11">
        <v>1</v>
      </c>
      <c r="BQ3" s="11">
        <f t="shared" si="1"/>
        <v>86</v>
      </c>
      <c r="BR3" s="11">
        <v>0</v>
      </c>
    </row>
    <row r="4" spans="1:70" s="11" customFormat="1" x14ac:dyDescent="0.25">
      <c r="A4" s="11">
        <v>102</v>
      </c>
      <c r="B4" s="11">
        <v>6</v>
      </c>
      <c r="C4" s="11">
        <v>0</v>
      </c>
      <c r="D4" s="12">
        <v>44734</v>
      </c>
      <c r="E4" s="12" t="s">
        <v>42</v>
      </c>
      <c r="F4" s="11" t="s">
        <v>56</v>
      </c>
      <c r="G4" s="24"/>
      <c r="H4" s="13">
        <v>5</v>
      </c>
      <c r="I4" s="14">
        <v>0.35</v>
      </c>
      <c r="J4" s="14">
        <v>0.14000000000000001</v>
      </c>
      <c r="K4" s="15">
        <v>0.59</v>
      </c>
      <c r="L4" s="11">
        <f>SUM(2+6)</f>
        <v>8</v>
      </c>
      <c r="M4" s="11">
        <v>9</v>
      </c>
      <c r="N4" s="11">
        <v>0</v>
      </c>
      <c r="O4" s="11">
        <v>0</v>
      </c>
      <c r="P4" s="11">
        <v>0</v>
      </c>
      <c r="Q4" s="11">
        <v>0</v>
      </c>
      <c r="R4" s="10">
        <f t="shared" si="2"/>
        <v>17</v>
      </c>
      <c r="S4" s="11">
        <f>SUM(4+12+11+3+5+1+5)</f>
        <v>41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0">
        <f t="shared" si="3"/>
        <v>41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0">
        <f t="shared" si="0"/>
        <v>0</v>
      </c>
      <c r="AG4" s="11">
        <f>SUM(10)</f>
        <v>10</v>
      </c>
      <c r="AH4" s="11">
        <v>27</v>
      </c>
      <c r="AJ4" s="11">
        <v>0</v>
      </c>
      <c r="AK4" s="11">
        <v>0</v>
      </c>
      <c r="AL4" s="11">
        <v>0</v>
      </c>
      <c r="AM4" s="10">
        <f t="shared" si="4"/>
        <v>37</v>
      </c>
      <c r="AN4" s="11">
        <v>0</v>
      </c>
      <c r="AO4" s="11">
        <v>0</v>
      </c>
      <c r="AP4" s="11">
        <v>0</v>
      </c>
      <c r="AQ4" s="10">
        <f t="shared" si="5"/>
        <v>0</v>
      </c>
      <c r="AR4" s="11">
        <v>0</v>
      </c>
      <c r="AS4" s="11">
        <v>0</v>
      </c>
      <c r="AT4" s="10">
        <f t="shared" si="6"/>
        <v>0</v>
      </c>
      <c r="AU4" s="11">
        <v>0</v>
      </c>
      <c r="AV4" s="11">
        <v>0</v>
      </c>
      <c r="AW4" s="11">
        <v>0</v>
      </c>
      <c r="AX4" s="10">
        <f t="shared" si="7"/>
        <v>0</v>
      </c>
      <c r="AY4" s="11">
        <v>0</v>
      </c>
      <c r="AZ4" s="11">
        <v>0</v>
      </c>
      <c r="BA4" s="11">
        <v>0</v>
      </c>
      <c r="BB4" s="10">
        <f t="shared" si="8"/>
        <v>0</v>
      </c>
      <c r="BC4" s="11">
        <v>0</v>
      </c>
      <c r="BD4" s="11">
        <v>0</v>
      </c>
      <c r="BE4" s="10">
        <f t="shared" si="9"/>
        <v>0</v>
      </c>
      <c r="BF4" s="11">
        <v>0</v>
      </c>
      <c r="BG4" s="11">
        <v>0</v>
      </c>
      <c r="BH4" s="10">
        <f t="shared" si="10"/>
        <v>0</v>
      </c>
      <c r="BI4" s="11">
        <v>0</v>
      </c>
      <c r="BJ4" s="11">
        <v>0</v>
      </c>
      <c r="BK4" s="11">
        <v>0</v>
      </c>
      <c r="BL4" s="10">
        <f t="shared" si="11"/>
        <v>0</v>
      </c>
      <c r="BM4" s="11">
        <v>0</v>
      </c>
      <c r="BN4" s="11">
        <v>0</v>
      </c>
      <c r="BO4" s="11">
        <v>0</v>
      </c>
      <c r="BP4" s="11">
        <v>0</v>
      </c>
      <c r="BQ4" s="11">
        <f t="shared" si="1"/>
        <v>95</v>
      </c>
    </row>
    <row r="5" spans="1:70" s="11" customFormat="1" x14ac:dyDescent="0.25">
      <c r="A5" s="11">
        <v>102</v>
      </c>
      <c r="B5" s="11">
        <v>6</v>
      </c>
      <c r="C5" s="11">
        <v>5</v>
      </c>
      <c r="D5" s="12">
        <v>44739</v>
      </c>
      <c r="E5" s="12" t="s">
        <v>42</v>
      </c>
      <c r="F5" s="11" t="s">
        <v>56</v>
      </c>
      <c r="G5" s="24"/>
      <c r="H5" s="13">
        <v>5</v>
      </c>
      <c r="I5" s="14">
        <v>0.35</v>
      </c>
      <c r="J5" s="14">
        <v>0.14000000000000001</v>
      </c>
      <c r="K5" s="15">
        <v>0.59</v>
      </c>
      <c r="L5" s="11">
        <v>9</v>
      </c>
      <c r="M5" s="11">
        <v>8</v>
      </c>
      <c r="N5" s="11">
        <v>3</v>
      </c>
      <c r="O5" s="11">
        <v>0</v>
      </c>
      <c r="P5" s="11">
        <v>0</v>
      </c>
      <c r="Q5" s="11">
        <v>0</v>
      </c>
      <c r="R5" s="10">
        <f t="shared" si="2"/>
        <v>20</v>
      </c>
      <c r="S5" s="11">
        <f>SUM(12+3+13+3)</f>
        <v>31</v>
      </c>
      <c r="T5" s="11">
        <v>10</v>
      </c>
      <c r="U5" s="11">
        <v>1</v>
      </c>
      <c r="V5" s="11">
        <v>2</v>
      </c>
      <c r="W5" s="11">
        <v>0</v>
      </c>
      <c r="X5" s="11">
        <v>0</v>
      </c>
      <c r="Y5" s="10">
        <f t="shared" si="3"/>
        <v>44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0">
        <f t="shared" si="0"/>
        <v>0</v>
      </c>
      <c r="AG5" s="11">
        <f>SUM(6+1)</f>
        <v>7</v>
      </c>
      <c r="AH5" s="11">
        <v>9</v>
      </c>
      <c r="AI5" s="11">
        <v>10</v>
      </c>
      <c r="AJ5" s="11">
        <v>0</v>
      </c>
      <c r="AK5" s="11">
        <v>0</v>
      </c>
      <c r="AL5" s="11">
        <v>1</v>
      </c>
      <c r="AM5" s="10">
        <f t="shared" si="4"/>
        <v>27</v>
      </c>
      <c r="AN5" s="11">
        <v>0</v>
      </c>
      <c r="AO5" s="11">
        <v>0</v>
      </c>
      <c r="AP5" s="11">
        <v>0</v>
      </c>
      <c r="AQ5" s="10">
        <f t="shared" si="5"/>
        <v>0</v>
      </c>
      <c r="AR5" s="11">
        <v>0</v>
      </c>
      <c r="AS5" s="11">
        <v>0</v>
      </c>
      <c r="AT5" s="10">
        <f t="shared" si="6"/>
        <v>0</v>
      </c>
      <c r="AU5" s="11">
        <v>0</v>
      </c>
      <c r="AV5" s="11">
        <v>0</v>
      </c>
      <c r="AW5" s="11">
        <v>0</v>
      </c>
      <c r="AX5" s="10">
        <f t="shared" si="7"/>
        <v>0</v>
      </c>
      <c r="AY5" s="11">
        <v>0</v>
      </c>
      <c r="AZ5" s="11">
        <v>0</v>
      </c>
      <c r="BA5" s="11">
        <v>0</v>
      </c>
      <c r="BB5" s="10">
        <f t="shared" si="8"/>
        <v>0</v>
      </c>
      <c r="BC5" s="11">
        <v>0</v>
      </c>
      <c r="BD5" s="11">
        <v>0</v>
      </c>
      <c r="BE5" s="10">
        <f t="shared" si="9"/>
        <v>0</v>
      </c>
      <c r="BF5" s="11">
        <v>0</v>
      </c>
      <c r="BG5" s="11">
        <v>0</v>
      </c>
      <c r="BH5" s="10">
        <f t="shared" si="10"/>
        <v>0</v>
      </c>
      <c r="BI5" s="11">
        <v>0</v>
      </c>
      <c r="BJ5" s="11">
        <v>0</v>
      </c>
      <c r="BK5" s="11">
        <v>0</v>
      </c>
      <c r="BL5" s="10">
        <f t="shared" si="11"/>
        <v>0</v>
      </c>
      <c r="BM5" s="11">
        <v>0</v>
      </c>
      <c r="BN5" s="11">
        <v>0</v>
      </c>
      <c r="BO5" s="11">
        <v>0</v>
      </c>
      <c r="BP5" s="11">
        <v>0</v>
      </c>
      <c r="BQ5" s="11">
        <f t="shared" si="1"/>
        <v>91</v>
      </c>
      <c r="BR5" s="11">
        <v>3</v>
      </c>
    </row>
    <row r="6" spans="1:70" s="11" customFormat="1" x14ac:dyDescent="0.25">
      <c r="A6" s="11">
        <v>103</v>
      </c>
      <c r="B6" s="11">
        <v>3</v>
      </c>
      <c r="C6" s="11">
        <v>0</v>
      </c>
      <c r="D6" s="12">
        <v>44728</v>
      </c>
      <c r="E6" s="12" t="s">
        <v>43</v>
      </c>
      <c r="F6" s="12" t="s">
        <v>57</v>
      </c>
      <c r="G6" s="24">
        <v>6</v>
      </c>
      <c r="H6" s="13"/>
      <c r="I6" s="14"/>
      <c r="J6" s="14"/>
      <c r="K6" s="15"/>
      <c r="L6" s="11">
        <f>184+91+83</f>
        <v>358</v>
      </c>
      <c r="M6" s="11">
        <v>1</v>
      </c>
      <c r="N6" s="11">
        <v>0</v>
      </c>
      <c r="O6" s="11">
        <v>0</v>
      </c>
      <c r="P6" s="11">
        <v>0</v>
      </c>
      <c r="Q6" s="11">
        <v>0</v>
      </c>
      <c r="R6" s="10">
        <f t="shared" si="2"/>
        <v>359</v>
      </c>
      <c r="S6" s="11">
        <f>5+4</f>
        <v>9</v>
      </c>
      <c r="T6" s="11">
        <v>1</v>
      </c>
      <c r="U6" s="11">
        <v>0</v>
      </c>
      <c r="V6" s="11">
        <v>0</v>
      </c>
      <c r="W6" s="11">
        <v>0</v>
      </c>
      <c r="X6" s="11">
        <v>0</v>
      </c>
      <c r="Y6" s="10">
        <f t="shared" si="3"/>
        <v>10</v>
      </c>
      <c r="Z6" s="11">
        <v>0</v>
      </c>
      <c r="AA6" s="11">
        <v>1</v>
      </c>
      <c r="AB6" s="11">
        <v>0</v>
      </c>
      <c r="AC6" s="11">
        <v>0</v>
      </c>
      <c r="AD6" s="11">
        <v>0</v>
      </c>
      <c r="AE6" s="11">
        <v>0</v>
      </c>
      <c r="AF6" s="10">
        <f t="shared" si="0"/>
        <v>1</v>
      </c>
      <c r="AG6" s="11">
        <f>20+28+20+18+24+6+7</f>
        <v>123</v>
      </c>
      <c r="AH6" s="11">
        <f>7+15+4+10+13</f>
        <v>49</v>
      </c>
      <c r="AI6" s="11">
        <f>1+5+1+9</f>
        <v>16</v>
      </c>
      <c r="AJ6" s="11">
        <v>0</v>
      </c>
      <c r="AK6" s="11">
        <v>0</v>
      </c>
      <c r="AL6" s="11">
        <v>0</v>
      </c>
      <c r="AM6" s="10">
        <f t="shared" si="4"/>
        <v>188</v>
      </c>
      <c r="AN6" s="11">
        <f>3+9+13+9</f>
        <v>34</v>
      </c>
      <c r="AO6" s="11">
        <f>1+11+2+7</f>
        <v>21</v>
      </c>
      <c r="AP6" s="11">
        <f>1+5+6</f>
        <v>12</v>
      </c>
      <c r="AQ6" s="10">
        <f t="shared" si="5"/>
        <v>67</v>
      </c>
      <c r="AR6" s="11">
        <v>0</v>
      </c>
      <c r="AS6" s="11">
        <v>0</v>
      </c>
      <c r="AT6" s="10">
        <f t="shared" si="6"/>
        <v>0</v>
      </c>
      <c r="AU6" s="11">
        <v>0</v>
      </c>
      <c r="AV6" s="11">
        <v>0</v>
      </c>
      <c r="AW6" s="11">
        <v>2</v>
      </c>
      <c r="AX6" s="10">
        <f t="shared" si="7"/>
        <v>2</v>
      </c>
      <c r="AY6" s="11">
        <v>0</v>
      </c>
      <c r="AZ6" s="11">
        <v>0</v>
      </c>
      <c r="BA6" s="11">
        <v>0</v>
      </c>
      <c r="BB6" s="10">
        <f t="shared" si="8"/>
        <v>0</v>
      </c>
      <c r="BC6" s="11">
        <v>0</v>
      </c>
      <c r="BD6" s="11">
        <v>0</v>
      </c>
      <c r="BE6" s="10">
        <f t="shared" si="9"/>
        <v>0</v>
      </c>
      <c r="BF6" s="11">
        <v>0</v>
      </c>
      <c r="BG6" s="11">
        <v>0</v>
      </c>
      <c r="BH6" s="10">
        <f t="shared" si="10"/>
        <v>0</v>
      </c>
      <c r="BI6" s="21">
        <v>0</v>
      </c>
      <c r="BJ6" s="11">
        <v>0</v>
      </c>
      <c r="BK6" s="11">
        <v>0</v>
      </c>
      <c r="BL6" s="10">
        <f t="shared" si="11"/>
        <v>0</v>
      </c>
      <c r="BM6" s="11">
        <v>0</v>
      </c>
      <c r="BN6" s="11">
        <v>0</v>
      </c>
      <c r="BO6" s="11">
        <v>0</v>
      </c>
      <c r="BP6" s="11">
        <v>0</v>
      </c>
      <c r="BQ6" s="11">
        <f t="shared" si="1"/>
        <v>627</v>
      </c>
    </row>
    <row r="7" spans="1:70" s="11" customFormat="1" x14ac:dyDescent="0.25">
      <c r="A7" s="11">
        <v>103</v>
      </c>
      <c r="B7" s="11">
        <v>3</v>
      </c>
      <c r="C7" s="11">
        <v>5</v>
      </c>
      <c r="D7" s="12">
        <v>44733</v>
      </c>
      <c r="E7" s="12" t="s">
        <v>43</v>
      </c>
      <c r="F7" s="12" t="s">
        <v>57</v>
      </c>
      <c r="G7" s="24">
        <v>6</v>
      </c>
      <c r="H7" s="13"/>
      <c r="I7" s="14"/>
      <c r="J7" s="14"/>
      <c r="K7" s="15"/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0">
        <f t="shared" si="2"/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0">
        <f t="shared" si="3"/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0">
        <f t="shared" si="0"/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0">
        <f t="shared" si="4"/>
        <v>0</v>
      </c>
      <c r="AN7" s="11">
        <v>0</v>
      </c>
      <c r="AO7" s="11">
        <v>0</v>
      </c>
      <c r="AP7" s="11">
        <v>0</v>
      </c>
      <c r="AQ7" s="10">
        <f t="shared" si="5"/>
        <v>0</v>
      </c>
      <c r="AR7" s="11">
        <v>0</v>
      </c>
      <c r="AS7" s="11">
        <v>0</v>
      </c>
      <c r="AT7" s="10">
        <f t="shared" si="6"/>
        <v>0</v>
      </c>
      <c r="AU7" s="11">
        <v>0</v>
      </c>
      <c r="AV7" s="11">
        <v>0</v>
      </c>
      <c r="AW7" s="11">
        <v>0</v>
      </c>
      <c r="AX7" s="10">
        <f t="shared" si="7"/>
        <v>0</v>
      </c>
      <c r="AY7" s="11">
        <v>0</v>
      </c>
      <c r="AZ7" s="11">
        <v>0</v>
      </c>
      <c r="BA7" s="11">
        <v>0</v>
      </c>
      <c r="BB7" s="10">
        <f t="shared" si="8"/>
        <v>0</v>
      </c>
      <c r="BC7" s="11">
        <v>0</v>
      </c>
      <c r="BD7" s="11">
        <v>0</v>
      </c>
      <c r="BE7" s="10">
        <f t="shared" si="9"/>
        <v>0</v>
      </c>
      <c r="BF7" s="11">
        <v>0</v>
      </c>
      <c r="BG7" s="11">
        <v>0</v>
      </c>
      <c r="BH7" s="10">
        <f t="shared" si="10"/>
        <v>0</v>
      </c>
      <c r="BI7" s="21">
        <v>0</v>
      </c>
      <c r="BJ7" s="11">
        <v>0</v>
      </c>
      <c r="BK7" s="11">
        <v>0</v>
      </c>
      <c r="BL7" s="10">
        <f t="shared" si="11"/>
        <v>0</v>
      </c>
      <c r="BM7" s="11">
        <v>0</v>
      </c>
      <c r="BN7" s="11">
        <v>0</v>
      </c>
      <c r="BO7" s="11">
        <v>0</v>
      </c>
      <c r="BP7" s="11">
        <v>0</v>
      </c>
      <c r="BQ7" s="11">
        <f t="shared" si="1"/>
        <v>0</v>
      </c>
      <c r="BR7" s="11">
        <v>2</v>
      </c>
    </row>
    <row r="8" spans="1:70" s="11" customFormat="1" x14ac:dyDescent="0.25">
      <c r="A8" s="11">
        <v>104</v>
      </c>
      <c r="B8" s="11">
        <v>4</v>
      </c>
      <c r="C8" s="11">
        <v>0</v>
      </c>
      <c r="D8" s="12">
        <v>44728</v>
      </c>
      <c r="E8" s="12" t="s">
        <v>43</v>
      </c>
      <c r="F8" s="12" t="s">
        <v>57</v>
      </c>
      <c r="G8" s="24">
        <v>9</v>
      </c>
      <c r="H8" s="13"/>
      <c r="I8" s="14"/>
      <c r="J8" s="14"/>
      <c r="K8" s="15"/>
      <c r="L8" s="11">
        <f>205+25+4</f>
        <v>234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R8" s="10">
        <f t="shared" si="2"/>
        <v>235</v>
      </c>
      <c r="S8" s="11">
        <f>2+2+8+39+20</f>
        <v>71</v>
      </c>
      <c r="T8" s="11">
        <v>2</v>
      </c>
      <c r="U8" s="11">
        <v>0</v>
      </c>
      <c r="V8" s="11">
        <v>0</v>
      </c>
      <c r="W8" s="11">
        <v>0</v>
      </c>
      <c r="X8" s="11">
        <v>0</v>
      </c>
      <c r="Y8" s="10">
        <f t="shared" si="3"/>
        <v>73</v>
      </c>
      <c r="Z8" s="11">
        <v>2</v>
      </c>
      <c r="AA8" s="11">
        <v>4</v>
      </c>
      <c r="AB8" s="11">
        <v>2</v>
      </c>
      <c r="AC8" s="11">
        <v>0</v>
      </c>
      <c r="AD8" s="11">
        <v>0</v>
      </c>
      <c r="AE8" s="11">
        <v>0</v>
      </c>
      <c r="AF8" s="10">
        <f t="shared" si="0"/>
        <v>8</v>
      </c>
      <c r="AG8" s="11">
        <f>19+26+12+7+22</f>
        <v>86</v>
      </c>
      <c r="AH8" s="11">
        <f>5+8+2+4+8</f>
        <v>27</v>
      </c>
      <c r="AI8" s="11">
        <f>1+1+3+5</f>
        <v>10</v>
      </c>
      <c r="AJ8" s="11">
        <v>0</v>
      </c>
      <c r="AK8" s="11">
        <v>0</v>
      </c>
      <c r="AL8" s="11">
        <v>0</v>
      </c>
      <c r="AM8" s="10">
        <f t="shared" si="4"/>
        <v>123</v>
      </c>
      <c r="AN8" s="11">
        <v>0</v>
      </c>
      <c r="AO8" s="11">
        <v>0</v>
      </c>
      <c r="AP8" s="11">
        <v>0</v>
      </c>
      <c r="AQ8" s="10">
        <f t="shared" si="5"/>
        <v>0</v>
      </c>
      <c r="AR8" s="11">
        <v>0</v>
      </c>
      <c r="AS8" s="11">
        <v>0</v>
      </c>
      <c r="AT8" s="10">
        <f t="shared" si="6"/>
        <v>0</v>
      </c>
      <c r="AU8" s="11">
        <v>0</v>
      </c>
      <c r="AV8" s="11">
        <v>0</v>
      </c>
      <c r="AW8" s="11">
        <v>2</v>
      </c>
      <c r="AX8" s="10">
        <f t="shared" si="7"/>
        <v>2</v>
      </c>
      <c r="AY8" s="11">
        <v>0</v>
      </c>
      <c r="AZ8" s="11">
        <v>0</v>
      </c>
      <c r="BA8" s="11">
        <v>0</v>
      </c>
      <c r="BB8" s="10">
        <f t="shared" si="8"/>
        <v>0</v>
      </c>
      <c r="BC8" s="11">
        <v>1</v>
      </c>
      <c r="BD8" s="11">
        <v>1</v>
      </c>
      <c r="BE8" s="10">
        <f t="shared" si="9"/>
        <v>2</v>
      </c>
      <c r="BF8" s="11">
        <v>1</v>
      </c>
      <c r="BG8" s="11">
        <v>0</v>
      </c>
      <c r="BH8" s="10">
        <f t="shared" si="10"/>
        <v>1</v>
      </c>
      <c r="BI8" s="21">
        <v>0</v>
      </c>
      <c r="BJ8" s="11">
        <v>0</v>
      </c>
      <c r="BK8" s="11">
        <v>0</v>
      </c>
      <c r="BL8" s="10">
        <f t="shared" si="11"/>
        <v>0</v>
      </c>
      <c r="BM8" s="11">
        <v>0</v>
      </c>
      <c r="BN8" s="11">
        <v>0</v>
      </c>
      <c r="BO8" s="11">
        <v>0</v>
      </c>
      <c r="BP8" s="11">
        <v>0</v>
      </c>
      <c r="BQ8" s="11">
        <f t="shared" si="1"/>
        <v>444</v>
      </c>
    </row>
    <row r="9" spans="1:70" s="11" customFormat="1" x14ac:dyDescent="0.25">
      <c r="A9" s="11">
        <v>104</v>
      </c>
      <c r="B9" s="11">
        <v>4</v>
      </c>
      <c r="C9" s="11">
        <v>5</v>
      </c>
      <c r="D9" s="12">
        <v>44733</v>
      </c>
      <c r="E9" s="12" t="s">
        <v>43</v>
      </c>
      <c r="F9" s="12" t="s">
        <v>57</v>
      </c>
      <c r="G9" s="24">
        <v>9</v>
      </c>
      <c r="H9" s="13"/>
      <c r="I9" s="14"/>
      <c r="J9" s="14"/>
      <c r="K9" s="15"/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0">
        <f t="shared" si="2"/>
        <v>0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0">
        <f t="shared" si="3"/>
        <v>1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0">
        <f t="shared" si="0"/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0">
        <f t="shared" si="4"/>
        <v>0</v>
      </c>
      <c r="AN9" s="11">
        <v>0</v>
      </c>
      <c r="AO9" s="11">
        <v>0</v>
      </c>
      <c r="AP9" s="11">
        <v>0</v>
      </c>
      <c r="AQ9" s="10">
        <f t="shared" si="5"/>
        <v>0</v>
      </c>
      <c r="AR9" s="11">
        <v>0</v>
      </c>
      <c r="AS9" s="11">
        <v>0</v>
      </c>
      <c r="AT9" s="10">
        <f t="shared" si="6"/>
        <v>0</v>
      </c>
      <c r="AU9" s="11">
        <v>0</v>
      </c>
      <c r="AV9" s="11">
        <v>0</v>
      </c>
      <c r="AW9" s="11">
        <v>0</v>
      </c>
      <c r="AX9" s="10">
        <f t="shared" si="7"/>
        <v>0</v>
      </c>
      <c r="AY9" s="11">
        <v>0</v>
      </c>
      <c r="AZ9" s="11">
        <v>0</v>
      </c>
      <c r="BA9" s="11">
        <v>0</v>
      </c>
      <c r="BB9" s="10">
        <f t="shared" si="8"/>
        <v>0</v>
      </c>
      <c r="BC9" s="11">
        <v>0</v>
      </c>
      <c r="BD9" s="11">
        <v>0</v>
      </c>
      <c r="BE9" s="10">
        <f t="shared" si="9"/>
        <v>0</v>
      </c>
      <c r="BF9" s="11">
        <v>0</v>
      </c>
      <c r="BG9" s="11">
        <v>0</v>
      </c>
      <c r="BH9" s="10">
        <f t="shared" si="10"/>
        <v>0</v>
      </c>
      <c r="BI9" s="21">
        <v>0</v>
      </c>
      <c r="BJ9" s="11">
        <v>0</v>
      </c>
      <c r="BK9" s="11">
        <v>0</v>
      </c>
      <c r="BL9" s="10">
        <f t="shared" si="11"/>
        <v>0</v>
      </c>
      <c r="BM9" s="11">
        <v>0</v>
      </c>
      <c r="BN9" s="11">
        <v>0</v>
      </c>
      <c r="BO9" s="11">
        <v>0</v>
      </c>
      <c r="BP9" s="11">
        <v>0</v>
      </c>
      <c r="BQ9" s="11">
        <f t="shared" si="1"/>
        <v>1</v>
      </c>
      <c r="BR9" s="11">
        <v>2</v>
      </c>
    </row>
    <row r="10" spans="1:70" s="11" customFormat="1" x14ac:dyDescent="0.25">
      <c r="A10" s="11">
        <v>105</v>
      </c>
      <c r="B10" s="11">
        <v>2</v>
      </c>
      <c r="C10" s="11">
        <v>0</v>
      </c>
      <c r="D10" s="12">
        <v>44728</v>
      </c>
      <c r="E10" s="12" t="s">
        <v>42</v>
      </c>
      <c r="F10" s="12" t="s">
        <v>57</v>
      </c>
      <c r="G10" s="24"/>
      <c r="H10" s="13">
        <v>1</v>
      </c>
      <c r="I10" s="14">
        <v>0.41</v>
      </c>
      <c r="J10" s="14">
        <v>0.12</v>
      </c>
      <c r="K10" s="15">
        <v>0.72</v>
      </c>
      <c r="L10" s="11">
        <f>627+35+18+14+16+26+9</f>
        <v>745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0">
        <f t="shared" si="2"/>
        <v>746</v>
      </c>
      <c r="S10" s="11">
        <f>6+2+12+1-2</f>
        <v>19</v>
      </c>
      <c r="T10" s="11">
        <v>3</v>
      </c>
      <c r="U10" s="11">
        <v>0</v>
      </c>
      <c r="V10" s="11">
        <v>0</v>
      </c>
      <c r="W10" s="11">
        <v>0</v>
      </c>
      <c r="X10" s="11">
        <v>0</v>
      </c>
      <c r="Y10" s="10">
        <f t="shared" si="3"/>
        <v>22</v>
      </c>
      <c r="Z10" s="11">
        <f>6+3+6+2+3</f>
        <v>20</v>
      </c>
      <c r="AA10" s="11">
        <f>12+34+13+5+13</f>
        <v>77</v>
      </c>
      <c r="AB10" s="11">
        <f>28+50+9+21+14</f>
        <v>122</v>
      </c>
      <c r="AC10" s="11">
        <v>0</v>
      </c>
      <c r="AD10" s="11">
        <v>0</v>
      </c>
      <c r="AE10" s="11">
        <v>0</v>
      </c>
      <c r="AF10" s="10">
        <f t="shared" si="0"/>
        <v>219</v>
      </c>
      <c r="AG10" s="11">
        <f>7+23+23+15+21+14+20+10+15+20+5+28+20+31+50+15</f>
        <v>317</v>
      </c>
      <c r="AH10" s="11">
        <f>4+21+3+3+10</f>
        <v>41</v>
      </c>
      <c r="AI10" s="11">
        <f>2+5</f>
        <v>7</v>
      </c>
      <c r="AJ10" s="11">
        <v>0</v>
      </c>
      <c r="AK10" s="11">
        <v>0</v>
      </c>
      <c r="AL10" s="11">
        <v>0</v>
      </c>
      <c r="AM10" s="10">
        <f t="shared" si="4"/>
        <v>365</v>
      </c>
      <c r="AN10" s="11">
        <v>0</v>
      </c>
      <c r="AO10" s="11">
        <v>0</v>
      </c>
      <c r="AP10" s="11">
        <v>0</v>
      </c>
      <c r="AQ10" s="10">
        <f t="shared" si="5"/>
        <v>0</v>
      </c>
      <c r="AR10" s="11">
        <f>2+1+1</f>
        <v>4</v>
      </c>
      <c r="AS10" s="11">
        <f>2</f>
        <v>2</v>
      </c>
      <c r="AT10" s="10">
        <f t="shared" si="6"/>
        <v>6</v>
      </c>
      <c r="AU10" s="11">
        <v>0</v>
      </c>
      <c r="AV10" s="11">
        <v>0</v>
      </c>
      <c r="AW10" s="11">
        <v>0</v>
      </c>
      <c r="AX10" s="10">
        <f t="shared" si="7"/>
        <v>0</v>
      </c>
      <c r="AY10" s="11">
        <v>0</v>
      </c>
      <c r="AZ10" s="11">
        <v>0</v>
      </c>
      <c r="BA10" s="11">
        <v>0</v>
      </c>
      <c r="BB10" s="10">
        <f t="shared" si="8"/>
        <v>0</v>
      </c>
      <c r="BC10" s="11">
        <v>0</v>
      </c>
      <c r="BD10" s="11">
        <v>0</v>
      </c>
      <c r="BE10" s="10">
        <f t="shared" si="9"/>
        <v>0</v>
      </c>
      <c r="BF10" s="11">
        <v>0</v>
      </c>
      <c r="BG10" s="11">
        <v>1</v>
      </c>
      <c r="BH10" s="10">
        <f t="shared" si="10"/>
        <v>1</v>
      </c>
      <c r="BI10" s="21">
        <v>0</v>
      </c>
      <c r="BJ10" s="11">
        <v>0</v>
      </c>
      <c r="BK10" s="11">
        <v>0</v>
      </c>
      <c r="BL10" s="10">
        <f t="shared" si="11"/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f t="shared" si="1"/>
        <v>1359</v>
      </c>
    </row>
    <row r="11" spans="1:70" s="11" customFormat="1" x14ac:dyDescent="0.25">
      <c r="A11" s="11">
        <v>105</v>
      </c>
      <c r="B11" s="11">
        <v>2</v>
      </c>
      <c r="C11" s="11">
        <v>5</v>
      </c>
      <c r="D11" s="12">
        <v>44733</v>
      </c>
      <c r="E11" s="12" t="s">
        <v>42</v>
      </c>
      <c r="F11" s="12" t="s">
        <v>57</v>
      </c>
      <c r="G11" s="24"/>
      <c r="H11" s="13">
        <v>1</v>
      </c>
      <c r="I11" s="14">
        <v>0.41</v>
      </c>
      <c r="J11" s="14">
        <v>0.12</v>
      </c>
      <c r="K11" s="15">
        <v>0.72</v>
      </c>
      <c r="L11" s="11">
        <v>20</v>
      </c>
      <c r="M11" s="11">
        <v>4</v>
      </c>
      <c r="N11" s="11">
        <v>0</v>
      </c>
      <c r="O11" s="11">
        <v>0</v>
      </c>
      <c r="P11" s="11">
        <v>0</v>
      </c>
      <c r="Q11" s="11">
        <v>0</v>
      </c>
      <c r="R11" s="10">
        <f t="shared" si="2"/>
        <v>24</v>
      </c>
      <c r="S11" s="11">
        <v>10</v>
      </c>
      <c r="T11" s="11">
        <v>1</v>
      </c>
      <c r="U11" s="11">
        <v>0</v>
      </c>
      <c r="V11" s="11">
        <v>0</v>
      </c>
      <c r="W11" s="11">
        <v>0</v>
      </c>
      <c r="X11" s="11">
        <v>0</v>
      </c>
      <c r="Y11" s="10">
        <f t="shared" si="3"/>
        <v>11</v>
      </c>
      <c r="Z11" s="11">
        <v>7</v>
      </c>
      <c r="AA11" s="11">
        <v>12</v>
      </c>
      <c r="AB11" s="11">
        <v>12</v>
      </c>
      <c r="AC11" s="11">
        <v>0</v>
      </c>
      <c r="AD11" s="11">
        <v>0</v>
      </c>
      <c r="AE11" s="11">
        <v>0</v>
      </c>
      <c r="AF11" s="10">
        <f t="shared" si="0"/>
        <v>31</v>
      </c>
      <c r="AG11" s="11">
        <v>166</v>
      </c>
      <c r="AH11" s="11">
        <v>34</v>
      </c>
      <c r="AI11" s="11">
        <v>23</v>
      </c>
      <c r="AJ11" s="11">
        <v>0</v>
      </c>
      <c r="AK11" s="11">
        <v>0</v>
      </c>
      <c r="AL11" s="11">
        <v>0</v>
      </c>
      <c r="AM11" s="10">
        <f t="shared" si="4"/>
        <v>223</v>
      </c>
      <c r="AN11" s="11">
        <v>0</v>
      </c>
      <c r="AO11" s="11">
        <v>0</v>
      </c>
      <c r="AP11" s="11">
        <v>0</v>
      </c>
      <c r="AQ11" s="10">
        <f t="shared" si="5"/>
        <v>0</v>
      </c>
      <c r="AR11" s="11">
        <v>0</v>
      </c>
      <c r="AS11" s="11">
        <v>0</v>
      </c>
      <c r="AT11" s="10">
        <f t="shared" si="6"/>
        <v>0</v>
      </c>
      <c r="AU11" s="11">
        <v>0</v>
      </c>
      <c r="AV11" s="11">
        <v>0</v>
      </c>
      <c r="AW11" s="11">
        <v>0</v>
      </c>
      <c r="AX11" s="10">
        <f t="shared" si="7"/>
        <v>0</v>
      </c>
      <c r="AY11" s="11">
        <v>0</v>
      </c>
      <c r="AZ11" s="11">
        <v>0</v>
      </c>
      <c r="BA11" s="11">
        <v>0</v>
      </c>
      <c r="BB11" s="10">
        <f t="shared" si="8"/>
        <v>0</v>
      </c>
      <c r="BC11" s="11">
        <v>0</v>
      </c>
      <c r="BD11" s="11">
        <v>0</v>
      </c>
      <c r="BE11" s="10">
        <f t="shared" si="9"/>
        <v>0</v>
      </c>
      <c r="BF11" s="11">
        <v>0</v>
      </c>
      <c r="BG11" s="11">
        <v>0</v>
      </c>
      <c r="BH11" s="10">
        <f t="shared" si="10"/>
        <v>0</v>
      </c>
      <c r="BI11" s="21">
        <v>0</v>
      </c>
      <c r="BJ11" s="11">
        <v>0</v>
      </c>
      <c r="BK11" s="11">
        <v>0</v>
      </c>
      <c r="BL11" s="10">
        <f t="shared" si="11"/>
        <v>0</v>
      </c>
      <c r="BM11" s="11">
        <v>0</v>
      </c>
      <c r="BN11" s="11">
        <v>0</v>
      </c>
      <c r="BO11" s="11">
        <v>3</v>
      </c>
      <c r="BP11" s="11">
        <v>2</v>
      </c>
      <c r="BQ11" s="11">
        <f t="shared" si="1"/>
        <v>294</v>
      </c>
      <c r="BR11" s="11">
        <v>0</v>
      </c>
    </row>
    <row r="12" spans="1:70" s="11" customFormat="1" x14ac:dyDescent="0.25">
      <c r="A12" s="11">
        <v>106</v>
      </c>
      <c r="B12" s="11">
        <v>1</v>
      </c>
      <c r="C12" s="11">
        <v>0</v>
      </c>
      <c r="D12" s="12">
        <v>44728</v>
      </c>
      <c r="E12" s="12" t="s">
        <v>42</v>
      </c>
      <c r="F12" s="12" t="s">
        <v>56</v>
      </c>
      <c r="G12" s="24"/>
      <c r="H12" s="13">
        <v>5</v>
      </c>
      <c r="I12" s="14">
        <v>0.39</v>
      </c>
      <c r="J12" s="14">
        <v>0.12</v>
      </c>
      <c r="K12" s="15">
        <v>0.7</v>
      </c>
      <c r="L12" s="11">
        <f>16+122+63+23+1+63+24</f>
        <v>312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0">
        <f t="shared" si="2"/>
        <v>315</v>
      </c>
      <c r="S12" s="11">
        <f>2+7+22+85+45+26+49+16+19+27+88+20</f>
        <v>406</v>
      </c>
      <c r="T12" s="11">
        <v>4</v>
      </c>
      <c r="U12" s="11">
        <v>0</v>
      </c>
      <c r="V12" s="11">
        <v>0</v>
      </c>
      <c r="W12" s="11">
        <v>0</v>
      </c>
      <c r="X12" s="11">
        <v>0</v>
      </c>
      <c r="Y12" s="10">
        <f t="shared" si="3"/>
        <v>410</v>
      </c>
      <c r="Z12" s="11">
        <f>10+3</f>
        <v>13</v>
      </c>
      <c r="AA12" s="11">
        <v>14</v>
      </c>
      <c r="AB12" s="11">
        <v>11</v>
      </c>
      <c r="AC12" s="11">
        <v>0</v>
      </c>
      <c r="AD12" s="11">
        <v>0</v>
      </c>
      <c r="AE12" s="11">
        <v>0</v>
      </c>
      <c r="AF12" s="10">
        <f t="shared" si="0"/>
        <v>38</v>
      </c>
      <c r="AG12" s="11">
        <f>18+6+5+16+12</f>
        <v>57</v>
      </c>
      <c r="AH12" s="11">
        <f>4+1+2+1</f>
        <v>8</v>
      </c>
      <c r="AI12" s="11">
        <v>2</v>
      </c>
      <c r="AJ12" s="11">
        <v>0</v>
      </c>
      <c r="AK12" s="11">
        <v>0</v>
      </c>
      <c r="AL12" s="11">
        <v>0</v>
      </c>
      <c r="AM12" s="10">
        <f t="shared" si="4"/>
        <v>67</v>
      </c>
      <c r="AN12" s="11">
        <v>0</v>
      </c>
      <c r="AO12" s="11">
        <v>0</v>
      </c>
      <c r="AP12" s="11">
        <v>0</v>
      </c>
      <c r="AQ12" s="10">
        <f t="shared" si="5"/>
        <v>0</v>
      </c>
      <c r="AR12" s="11">
        <v>0</v>
      </c>
      <c r="AS12" s="11">
        <v>0</v>
      </c>
      <c r="AT12" s="10">
        <f t="shared" si="6"/>
        <v>0</v>
      </c>
      <c r="AU12" s="11">
        <v>0</v>
      </c>
      <c r="AV12" s="11">
        <v>1</v>
      </c>
      <c r="AW12" s="11">
        <v>2</v>
      </c>
      <c r="AX12" s="10">
        <f t="shared" si="7"/>
        <v>3</v>
      </c>
      <c r="AY12" s="11">
        <v>0</v>
      </c>
      <c r="AZ12" s="11">
        <v>0</v>
      </c>
      <c r="BA12" s="11">
        <v>0</v>
      </c>
      <c r="BB12" s="10">
        <f t="shared" si="8"/>
        <v>0</v>
      </c>
      <c r="BC12" s="11">
        <v>0</v>
      </c>
      <c r="BD12" s="11">
        <v>0</v>
      </c>
      <c r="BE12" s="10">
        <f t="shared" si="9"/>
        <v>0</v>
      </c>
      <c r="BF12" s="11">
        <v>0</v>
      </c>
      <c r="BG12" s="11">
        <v>0</v>
      </c>
      <c r="BH12" s="10">
        <f t="shared" si="10"/>
        <v>0</v>
      </c>
      <c r="BI12" s="21">
        <v>0</v>
      </c>
      <c r="BJ12" s="11">
        <v>0</v>
      </c>
      <c r="BK12" s="11">
        <v>0</v>
      </c>
      <c r="BL12" s="10">
        <f t="shared" si="11"/>
        <v>0</v>
      </c>
      <c r="BM12" s="11">
        <v>5</v>
      </c>
      <c r="BN12" s="11">
        <v>0</v>
      </c>
      <c r="BO12" s="11">
        <v>0</v>
      </c>
      <c r="BP12" s="11">
        <v>0</v>
      </c>
      <c r="BQ12" s="11">
        <f t="shared" si="1"/>
        <v>838</v>
      </c>
    </row>
    <row r="13" spans="1:70" s="11" customFormat="1" x14ac:dyDescent="0.25">
      <c r="A13" s="11">
        <v>106</v>
      </c>
      <c r="B13" s="11">
        <v>1</v>
      </c>
      <c r="C13" s="11">
        <v>5</v>
      </c>
      <c r="D13" s="12">
        <v>44733</v>
      </c>
      <c r="E13" s="12" t="s">
        <v>42</v>
      </c>
      <c r="F13" s="12" t="s">
        <v>56</v>
      </c>
      <c r="G13" s="24"/>
      <c r="H13" s="13">
        <v>5</v>
      </c>
      <c r="I13" s="14">
        <v>0.39</v>
      </c>
      <c r="J13" s="14">
        <v>0.12</v>
      </c>
      <c r="K13" s="15">
        <v>0.7</v>
      </c>
      <c r="L13" s="11">
        <v>75</v>
      </c>
      <c r="M13" s="11">
        <v>3</v>
      </c>
      <c r="N13" s="11">
        <v>0</v>
      </c>
      <c r="O13" s="11">
        <v>0</v>
      </c>
      <c r="P13" s="11">
        <v>0</v>
      </c>
      <c r="Q13" s="11">
        <v>0</v>
      </c>
      <c r="R13" s="10">
        <f t="shared" si="2"/>
        <v>78</v>
      </c>
      <c r="S13" s="11">
        <f>SUM(120+39+11+2+19+10+17+8+7+9+8+4)</f>
        <v>254</v>
      </c>
      <c r="T13" s="11">
        <v>12</v>
      </c>
      <c r="U13" s="11">
        <v>0</v>
      </c>
      <c r="V13" s="11">
        <v>0</v>
      </c>
      <c r="W13" s="11">
        <v>0</v>
      </c>
      <c r="X13" s="11">
        <v>0</v>
      </c>
      <c r="Y13" s="10">
        <f t="shared" si="3"/>
        <v>266</v>
      </c>
      <c r="Z13" s="11">
        <v>5</v>
      </c>
      <c r="AA13" s="11">
        <v>11</v>
      </c>
      <c r="AB13" s="11">
        <v>12</v>
      </c>
      <c r="AC13" s="11">
        <v>0</v>
      </c>
      <c r="AD13" s="11">
        <v>0</v>
      </c>
      <c r="AE13" s="11">
        <v>0</v>
      </c>
      <c r="AF13" s="10">
        <f t="shared" si="0"/>
        <v>28</v>
      </c>
      <c r="AG13" s="11">
        <v>14</v>
      </c>
      <c r="AH13" s="11">
        <v>23</v>
      </c>
      <c r="AI13" s="11">
        <v>4</v>
      </c>
      <c r="AJ13" s="11">
        <v>0</v>
      </c>
      <c r="AK13" s="11">
        <v>0</v>
      </c>
      <c r="AL13" s="11">
        <v>0</v>
      </c>
      <c r="AM13" s="10">
        <f t="shared" si="4"/>
        <v>41</v>
      </c>
      <c r="AN13" s="11">
        <v>0</v>
      </c>
      <c r="AO13" s="11">
        <v>0</v>
      </c>
      <c r="AP13" s="11">
        <v>0</v>
      </c>
      <c r="AQ13" s="10">
        <f t="shared" si="5"/>
        <v>0</v>
      </c>
      <c r="AR13" s="11">
        <v>0</v>
      </c>
      <c r="AS13" s="11">
        <v>0</v>
      </c>
      <c r="AT13" s="10">
        <f t="shared" si="6"/>
        <v>0</v>
      </c>
      <c r="AU13" s="11">
        <v>0</v>
      </c>
      <c r="AV13" s="11">
        <v>0</v>
      </c>
      <c r="AW13" s="11">
        <v>0</v>
      </c>
      <c r="AX13" s="10">
        <f t="shared" si="7"/>
        <v>0</v>
      </c>
      <c r="AY13" s="11">
        <v>0</v>
      </c>
      <c r="AZ13" s="11">
        <v>0</v>
      </c>
      <c r="BA13" s="11">
        <v>0</v>
      </c>
      <c r="BB13" s="10">
        <f t="shared" si="8"/>
        <v>0</v>
      </c>
      <c r="BC13" s="11">
        <v>0</v>
      </c>
      <c r="BD13" s="11">
        <v>0</v>
      </c>
      <c r="BE13" s="10">
        <f t="shared" si="9"/>
        <v>0</v>
      </c>
      <c r="BF13" s="11">
        <v>0</v>
      </c>
      <c r="BG13" s="11">
        <v>0</v>
      </c>
      <c r="BH13" s="10">
        <f t="shared" si="10"/>
        <v>0</v>
      </c>
      <c r="BI13" s="21">
        <v>0</v>
      </c>
      <c r="BJ13" s="11">
        <v>0</v>
      </c>
      <c r="BK13" s="11">
        <v>0</v>
      </c>
      <c r="BL13" s="10">
        <f t="shared" si="11"/>
        <v>0</v>
      </c>
      <c r="BM13" s="11">
        <v>0</v>
      </c>
      <c r="BN13" s="11">
        <v>0</v>
      </c>
      <c r="BO13" s="11">
        <v>0</v>
      </c>
      <c r="BP13" s="11">
        <v>1</v>
      </c>
      <c r="BQ13" s="11">
        <f t="shared" si="1"/>
        <v>414</v>
      </c>
      <c r="BR13" s="11">
        <v>0</v>
      </c>
    </row>
    <row r="14" spans="1:70" s="11" customFormat="1" x14ac:dyDescent="0.25">
      <c r="A14" s="11">
        <v>107</v>
      </c>
      <c r="B14" s="11">
        <v>4</v>
      </c>
      <c r="C14" s="11">
        <v>0</v>
      </c>
      <c r="D14" s="12">
        <v>44728</v>
      </c>
      <c r="E14" s="12" t="s">
        <v>43</v>
      </c>
      <c r="F14" s="12" t="s">
        <v>56</v>
      </c>
      <c r="G14" s="24">
        <v>9</v>
      </c>
      <c r="H14" s="13"/>
      <c r="I14" s="14"/>
      <c r="J14" s="14"/>
      <c r="K14" s="15"/>
      <c r="L14" s="11">
        <f>50+41+60+87+21+55+4</f>
        <v>318</v>
      </c>
      <c r="M14" s="11">
        <v>3</v>
      </c>
      <c r="N14" s="11">
        <v>0</v>
      </c>
      <c r="O14" s="11">
        <v>0</v>
      </c>
      <c r="P14" s="11">
        <v>0</v>
      </c>
      <c r="Q14" s="11">
        <v>0</v>
      </c>
      <c r="R14" s="10">
        <f t="shared" si="2"/>
        <v>321</v>
      </c>
      <c r="S14" s="11">
        <f>1+44+15+7+20+111+20+5+1+9</f>
        <v>233</v>
      </c>
      <c r="T14" s="11">
        <v>1</v>
      </c>
      <c r="U14" s="11">
        <v>0</v>
      </c>
      <c r="V14" s="11">
        <v>0</v>
      </c>
      <c r="W14" s="11">
        <v>0</v>
      </c>
      <c r="X14" s="11">
        <v>0</v>
      </c>
      <c r="Y14" s="10">
        <f t="shared" si="3"/>
        <v>234</v>
      </c>
      <c r="Z14" s="11">
        <v>1</v>
      </c>
      <c r="AA14" s="11">
        <v>2</v>
      </c>
      <c r="AB14" s="11">
        <v>1</v>
      </c>
      <c r="AC14" s="11">
        <v>0</v>
      </c>
      <c r="AD14" s="11">
        <v>0</v>
      </c>
      <c r="AE14" s="11">
        <v>0</v>
      </c>
      <c r="AF14" s="10">
        <f t="shared" si="0"/>
        <v>4</v>
      </c>
      <c r="AG14" s="11">
        <f>2+5+2+2+10+32</f>
        <v>53</v>
      </c>
      <c r="AH14" s="11">
        <f>3+9+4+4</f>
        <v>20</v>
      </c>
      <c r="AI14" s="11">
        <f>1+4</f>
        <v>5</v>
      </c>
      <c r="AJ14" s="11">
        <v>0</v>
      </c>
      <c r="AK14" s="11">
        <v>0</v>
      </c>
      <c r="AL14" s="11">
        <v>0</v>
      </c>
      <c r="AM14" s="10">
        <f t="shared" si="4"/>
        <v>78</v>
      </c>
      <c r="AN14" s="11">
        <v>0</v>
      </c>
      <c r="AO14" s="11">
        <v>0</v>
      </c>
      <c r="AP14" s="11">
        <v>0</v>
      </c>
      <c r="AQ14" s="10">
        <f t="shared" si="5"/>
        <v>0</v>
      </c>
      <c r="AR14" s="11">
        <v>0</v>
      </c>
      <c r="AS14" s="11">
        <v>0</v>
      </c>
      <c r="AT14" s="10">
        <f t="shared" si="6"/>
        <v>0</v>
      </c>
      <c r="AU14" s="11">
        <v>0</v>
      </c>
      <c r="AV14" s="11">
        <v>0</v>
      </c>
      <c r="AW14" s="11">
        <v>0</v>
      </c>
      <c r="AX14" s="10">
        <f t="shared" si="7"/>
        <v>0</v>
      </c>
      <c r="AY14" s="11">
        <v>0</v>
      </c>
      <c r="AZ14" s="11">
        <v>0</v>
      </c>
      <c r="BA14" s="11">
        <v>0</v>
      </c>
      <c r="BB14" s="10">
        <f t="shared" si="8"/>
        <v>0</v>
      </c>
      <c r="BC14" s="11">
        <v>0</v>
      </c>
      <c r="BD14" s="11">
        <v>0</v>
      </c>
      <c r="BE14" s="10">
        <f t="shared" si="9"/>
        <v>0</v>
      </c>
      <c r="BF14" s="11">
        <v>0</v>
      </c>
      <c r="BG14" s="11">
        <v>0</v>
      </c>
      <c r="BH14" s="10">
        <f t="shared" si="10"/>
        <v>0</v>
      </c>
      <c r="BI14" s="21">
        <v>0</v>
      </c>
      <c r="BJ14" s="11">
        <v>4</v>
      </c>
      <c r="BK14" s="11">
        <v>1</v>
      </c>
      <c r="BL14" s="10">
        <f t="shared" si="11"/>
        <v>5</v>
      </c>
      <c r="BM14" s="11">
        <v>0</v>
      </c>
      <c r="BN14" s="11">
        <v>0</v>
      </c>
      <c r="BO14" s="11">
        <v>0</v>
      </c>
      <c r="BP14" s="11">
        <v>0</v>
      </c>
      <c r="BQ14" s="11">
        <f t="shared" si="1"/>
        <v>642</v>
      </c>
    </row>
    <row r="15" spans="1:70" s="11" customFormat="1" x14ac:dyDescent="0.25">
      <c r="A15" s="11">
        <v>107</v>
      </c>
      <c r="B15" s="11">
        <v>4</v>
      </c>
      <c r="C15" s="11">
        <v>5</v>
      </c>
      <c r="D15" s="12">
        <v>44733</v>
      </c>
      <c r="E15" s="12" t="s">
        <v>43</v>
      </c>
      <c r="F15" s="12" t="s">
        <v>56</v>
      </c>
      <c r="G15" s="24">
        <v>9</v>
      </c>
      <c r="H15" s="13"/>
      <c r="I15" s="14"/>
      <c r="J15" s="14"/>
      <c r="K15" s="15"/>
      <c r="L15" s="11">
        <v>10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0">
        <f t="shared" si="2"/>
        <v>10</v>
      </c>
      <c r="S15" s="11">
        <f>SUM(8+2+2+39)</f>
        <v>51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0">
        <f t="shared" si="3"/>
        <v>51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0">
        <f t="shared" si="0"/>
        <v>0</v>
      </c>
      <c r="AG15" s="11">
        <v>0</v>
      </c>
      <c r="AH15" s="11">
        <v>1</v>
      </c>
      <c r="AI15" s="11">
        <v>0</v>
      </c>
      <c r="AJ15" s="11">
        <v>0</v>
      </c>
      <c r="AK15" s="11">
        <v>0</v>
      </c>
      <c r="AL15" s="11">
        <v>0</v>
      </c>
      <c r="AM15" s="10">
        <f t="shared" si="4"/>
        <v>1</v>
      </c>
      <c r="AN15" s="11">
        <v>0</v>
      </c>
      <c r="AO15" s="11">
        <v>0</v>
      </c>
      <c r="AP15" s="11">
        <v>0</v>
      </c>
      <c r="AQ15" s="10">
        <f t="shared" si="5"/>
        <v>0</v>
      </c>
      <c r="AR15" s="11">
        <v>0</v>
      </c>
      <c r="AS15" s="11">
        <v>0</v>
      </c>
      <c r="AT15" s="10">
        <f t="shared" si="6"/>
        <v>0</v>
      </c>
      <c r="AU15" s="11">
        <v>0</v>
      </c>
      <c r="AV15" s="11">
        <v>0</v>
      </c>
      <c r="AW15" s="11">
        <v>0</v>
      </c>
      <c r="AX15" s="10">
        <f t="shared" si="7"/>
        <v>0</v>
      </c>
      <c r="AY15" s="11">
        <v>0</v>
      </c>
      <c r="AZ15" s="11">
        <v>0</v>
      </c>
      <c r="BA15" s="11">
        <v>0</v>
      </c>
      <c r="BB15" s="10">
        <f t="shared" si="8"/>
        <v>0</v>
      </c>
      <c r="BC15" s="11">
        <v>0</v>
      </c>
      <c r="BD15" s="11">
        <v>0</v>
      </c>
      <c r="BE15" s="10">
        <f t="shared" si="9"/>
        <v>0</v>
      </c>
      <c r="BF15" s="11">
        <v>0</v>
      </c>
      <c r="BG15" s="11">
        <v>0</v>
      </c>
      <c r="BH15" s="10">
        <f t="shared" si="10"/>
        <v>0</v>
      </c>
      <c r="BI15" s="21">
        <v>0</v>
      </c>
      <c r="BJ15" s="11">
        <v>0</v>
      </c>
      <c r="BK15" s="11">
        <v>0</v>
      </c>
      <c r="BL15" s="10">
        <f t="shared" si="11"/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f t="shared" si="1"/>
        <v>62</v>
      </c>
      <c r="BR15" s="11">
        <v>2</v>
      </c>
    </row>
    <row r="16" spans="1:70" s="11" customFormat="1" x14ac:dyDescent="0.25">
      <c r="A16" s="11">
        <v>108</v>
      </c>
      <c r="B16" s="11">
        <v>8</v>
      </c>
      <c r="C16" s="11">
        <v>0</v>
      </c>
      <c r="D16" s="12">
        <v>44734</v>
      </c>
      <c r="E16" s="12" t="s">
        <v>43</v>
      </c>
      <c r="F16" s="11" t="s">
        <v>56</v>
      </c>
      <c r="G16" s="24"/>
      <c r="H16" s="13"/>
      <c r="I16" s="14"/>
      <c r="J16" s="14"/>
      <c r="K16" s="15"/>
      <c r="L16" s="11">
        <v>19</v>
      </c>
      <c r="M16" s="11">
        <v>7</v>
      </c>
      <c r="N16" s="11">
        <v>0</v>
      </c>
      <c r="O16" s="11">
        <v>0</v>
      </c>
      <c r="P16" s="11">
        <v>0</v>
      </c>
      <c r="Q16" s="11">
        <v>0</v>
      </c>
      <c r="R16" s="10">
        <f t="shared" si="2"/>
        <v>26</v>
      </c>
      <c r="S16" s="11">
        <f>SUM(106+5+10+26+33+26+36+10+20+107+80+138+70+9+11+28+20+43+32)</f>
        <v>810</v>
      </c>
      <c r="T16" s="11">
        <v>3</v>
      </c>
      <c r="U16" s="11">
        <v>2</v>
      </c>
      <c r="V16" s="11">
        <v>0</v>
      </c>
      <c r="W16" s="11">
        <v>0</v>
      </c>
      <c r="X16" s="11">
        <v>0</v>
      </c>
      <c r="Y16" s="10">
        <f t="shared" si="3"/>
        <v>815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0">
        <f t="shared" si="0"/>
        <v>0</v>
      </c>
      <c r="AG16" s="11">
        <v>0</v>
      </c>
      <c r="AH16" s="11">
        <v>1</v>
      </c>
      <c r="AI16" s="11">
        <v>0</v>
      </c>
      <c r="AJ16" s="11">
        <v>0</v>
      </c>
      <c r="AK16" s="11">
        <v>0</v>
      </c>
      <c r="AL16" s="11">
        <v>0</v>
      </c>
      <c r="AM16" s="10">
        <f t="shared" si="4"/>
        <v>1</v>
      </c>
      <c r="AN16" s="11">
        <v>0</v>
      </c>
      <c r="AO16" s="11">
        <v>0</v>
      </c>
      <c r="AP16" s="11">
        <v>0</v>
      </c>
      <c r="AQ16" s="10">
        <f t="shared" si="5"/>
        <v>0</v>
      </c>
      <c r="AR16" s="11">
        <v>0</v>
      </c>
      <c r="AS16" s="11">
        <v>0</v>
      </c>
      <c r="AT16" s="10">
        <f t="shared" si="6"/>
        <v>0</v>
      </c>
      <c r="AU16" s="11">
        <v>0</v>
      </c>
      <c r="AV16" s="11">
        <v>0</v>
      </c>
      <c r="AW16" s="11">
        <v>0</v>
      </c>
      <c r="AX16" s="10">
        <f t="shared" si="7"/>
        <v>0</v>
      </c>
      <c r="AY16" s="11">
        <v>0</v>
      </c>
      <c r="AZ16" s="11">
        <v>0</v>
      </c>
      <c r="BA16" s="11">
        <v>0</v>
      </c>
      <c r="BB16" s="10">
        <f t="shared" si="8"/>
        <v>0</v>
      </c>
      <c r="BC16" s="11">
        <v>0</v>
      </c>
      <c r="BD16" s="11">
        <v>0</v>
      </c>
      <c r="BE16" s="10">
        <f t="shared" si="9"/>
        <v>0</v>
      </c>
      <c r="BF16" s="11">
        <v>0</v>
      </c>
      <c r="BG16" s="11">
        <v>0</v>
      </c>
      <c r="BH16" s="10">
        <f t="shared" si="10"/>
        <v>0</v>
      </c>
      <c r="BI16" s="11">
        <v>0</v>
      </c>
      <c r="BJ16" s="11">
        <v>0</v>
      </c>
      <c r="BK16" s="11">
        <v>0</v>
      </c>
      <c r="BL16" s="10">
        <f t="shared" si="11"/>
        <v>0</v>
      </c>
      <c r="BM16" s="11">
        <v>0</v>
      </c>
      <c r="BN16" s="11">
        <v>10</v>
      </c>
      <c r="BO16" s="11">
        <v>0</v>
      </c>
      <c r="BP16" s="11">
        <v>0</v>
      </c>
      <c r="BQ16" s="11">
        <f t="shared" si="1"/>
        <v>852</v>
      </c>
    </row>
    <row r="17" spans="1:70" s="11" customFormat="1" x14ac:dyDescent="0.25">
      <c r="A17" s="11">
        <v>108</v>
      </c>
      <c r="B17" s="11">
        <v>8</v>
      </c>
      <c r="C17" s="11">
        <v>5</v>
      </c>
      <c r="D17" s="12">
        <v>44739</v>
      </c>
      <c r="E17" s="12" t="s">
        <v>43</v>
      </c>
      <c r="F17" s="11" t="s">
        <v>56</v>
      </c>
      <c r="G17" s="24"/>
      <c r="H17" s="13"/>
      <c r="I17" s="14"/>
      <c r="J17" s="14"/>
      <c r="K17" s="15"/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0">
        <f t="shared" si="2"/>
        <v>0</v>
      </c>
      <c r="S17" s="11">
        <v>1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0">
        <f t="shared" si="3"/>
        <v>1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0">
        <f t="shared" si="0"/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0">
        <f t="shared" si="4"/>
        <v>0</v>
      </c>
      <c r="AN17" s="11">
        <v>0</v>
      </c>
      <c r="AO17" s="11">
        <v>0</v>
      </c>
      <c r="AP17" s="11">
        <v>0</v>
      </c>
      <c r="AQ17" s="10">
        <f t="shared" si="5"/>
        <v>0</v>
      </c>
      <c r="AR17" s="11">
        <v>0</v>
      </c>
      <c r="AS17" s="11">
        <v>0</v>
      </c>
      <c r="AT17" s="10">
        <f t="shared" si="6"/>
        <v>0</v>
      </c>
      <c r="AU17" s="11">
        <v>0</v>
      </c>
      <c r="AV17" s="11">
        <v>0</v>
      </c>
      <c r="AW17" s="11">
        <v>0</v>
      </c>
      <c r="AX17" s="10">
        <f t="shared" si="7"/>
        <v>0</v>
      </c>
      <c r="AY17" s="11">
        <v>0</v>
      </c>
      <c r="AZ17" s="11">
        <v>0</v>
      </c>
      <c r="BA17" s="11">
        <v>0</v>
      </c>
      <c r="BB17" s="10">
        <f t="shared" si="8"/>
        <v>0</v>
      </c>
      <c r="BC17" s="11">
        <v>0</v>
      </c>
      <c r="BD17" s="11">
        <v>0</v>
      </c>
      <c r="BE17" s="10">
        <f t="shared" si="9"/>
        <v>0</v>
      </c>
      <c r="BF17" s="11">
        <v>0</v>
      </c>
      <c r="BG17" s="11">
        <v>0</v>
      </c>
      <c r="BH17" s="10">
        <f t="shared" si="10"/>
        <v>0</v>
      </c>
      <c r="BI17" s="11">
        <v>0</v>
      </c>
      <c r="BJ17" s="11">
        <v>0</v>
      </c>
      <c r="BK17" s="11">
        <v>0</v>
      </c>
      <c r="BL17" s="10">
        <f t="shared" si="11"/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f t="shared" si="1"/>
        <v>1</v>
      </c>
      <c r="BR17" s="11">
        <v>5</v>
      </c>
    </row>
    <row r="18" spans="1:70" s="11" customFormat="1" x14ac:dyDescent="0.25">
      <c r="A18" s="11">
        <v>109</v>
      </c>
      <c r="B18" s="11">
        <v>9</v>
      </c>
      <c r="C18" s="11">
        <v>0</v>
      </c>
      <c r="D18" s="12">
        <v>44734</v>
      </c>
      <c r="E18" s="12" t="s">
        <v>42</v>
      </c>
      <c r="F18" s="12" t="s">
        <v>57</v>
      </c>
      <c r="G18" s="24"/>
      <c r="H18" s="13">
        <v>1</v>
      </c>
      <c r="I18" s="14">
        <v>0.35</v>
      </c>
      <c r="J18" s="14">
        <v>0.25</v>
      </c>
      <c r="K18" s="15">
        <v>0.28999999999999998</v>
      </c>
      <c r="L18" s="11">
        <v>3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0">
        <f t="shared" si="2"/>
        <v>3</v>
      </c>
      <c r="S18" s="11">
        <f>SUM(9+38+31+29+42+27+37+23+26+88)</f>
        <v>350</v>
      </c>
      <c r="T18" s="11">
        <v>8</v>
      </c>
      <c r="U18" s="11">
        <v>0</v>
      </c>
      <c r="V18" s="11">
        <v>0</v>
      </c>
      <c r="W18" s="11">
        <v>0</v>
      </c>
      <c r="X18" s="11">
        <v>0</v>
      </c>
      <c r="Y18" s="10">
        <f t="shared" si="3"/>
        <v>358</v>
      </c>
      <c r="Z18" s="11">
        <v>0</v>
      </c>
      <c r="AA18" s="11">
        <v>2</v>
      </c>
      <c r="AB18" s="11">
        <v>0</v>
      </c>
      <c r="AC18" s="11">
        <v>0</v>
      </c>
      <c r="AD18" s="11">
        <v>0</v>
      </c>
      <c r="AE18" s="11">
        <v>0</v>
      </c>
      <c r="AF18" s="10">
        <f t="shared" si="0"/>
        <v>2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0">
        <f t="shared" si="4"/>
        <v>0</v>
      </c>
      <c r="AN18" s="11">
        <v>0</v>
      </c>
      <c r="AO18" s="11">
        <v>0</v>
      </c>
      <c r="AP18" s="11">
        <v>0</v>
      </c>
      <c r="AQ18" s="10">
        <f t="shared" si="5"/>
        <v>0</v>
      </c>
      <c r="AR18" s="11">
        <v>0</v>
      </c>
      <c r="AS18" s="11">
        <v>0</v>
      </c>
      <c r="AT18" s="10">
        <f t="shared" si="6"/>
        <v>0</v>
      </c>
      <c r="AU18" s="11">
        <v>0</v>
      </c>
      <c r="AV18" s="11">
        <v>0</v>
      </c>
      <c r="AW18" s="11">
        <v>0</v>
      </c>
      <c r="AX18" s="10">
        <f t="shared" si="7"/>
        <v>0</v>
      </c>
      <c r="AY18" s="11">
        <v>0</v>
      </c>
      <c r="AZ18" s="11">
        <v>0</v>
      </c>
      <c r="BA18" s="11">
        <v>0</v>
      </c>
      <c r="BB18" s="10">
        <f t="shared" si="8"/>
        <v>0</v>
      </c>
      <c r="BC18" s="11">
        <v>0</v>
      </c>
      <c r="BD18" s="11">
        <v>0</v>
      </c>
      <c r="BE18" s="10">
        <f t="shared" si="9"/>
        <v>0</v>
      </c>
      <c r="BF18" s="11">
        <v>0</v>
      </c>
      <c r="BG18" s="11">
        <v>0</v>
      </c>
      <c r="BH18" s="10">
        <f t="shared" si="10"/>
        <v>0</v>
      </c>
      <c r="BI18" s="11">
        <v>0</v>
      </c>
      <c r="BJ18" s="11">
        <v>0</v>
      </c>
      <c r="BK18" s="11">
        <v>0</v>
      </c>
      <c r="BL18" s="10">
        <f t="shared" si="11"/>
        <v>0</v>
      </c>
      <c r="BM18" s="11">
        <v>0</v>
      </c>
      <c r="BN18" s="11">
        <v>0</v>
      </c>
      <c r="BO18" s="11">
        <v>0</v>
      </c>
      <c r="BP18" s="11">
        <v>1</v>
      </c>
      <c r="BQ18" s="11">
        <f t="shared" si="1"/>
        <v>364</v>
      </c>
    </row>
    <row r="19" spans="1:70" s="11" customFormat="1" x14ac:dyDescent="0.25">
      <c r="A19" s="11">
        <v>109</v>
      </c>
      <c r="B19" s="11">
        <v>9</v>
      </c>
      <c r="C19" s="11">
        <v>5</v>
      </c>
      <c r="D19" s="12">
        <v>44739</v>
      </c>
      <c r="E19" s="12" t="s">
        <v>42</v>
      </c>
      <c r="F19" s="12" t="s">
        <v>57</v>
      </c>
      <c r="G19" s="24"/>
      <c r="H19" s="13">
        <v>1</v>
      </c>
      <c r="I19" s="14">
        <v>0.35</v>
      </c>
      <c r="J19" s="14">
        <v>0.25</v>
      </c>
      <c r="K19" s="15">
        <v>0.28999999999999998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0">
        <f t="shared" si="2"/>
        <v>1</v>
      </c>
      <c r="S19" s="11">
        <f>SUM(10+8+5+4)</f>
        <v>27</v>
      </c>
      <c r="T19" s="11">
        <v>12</v>
      </c>
      <c r="U19" s="11">
        <v>1</v>
      </c>
      <c r="V19" s="11">
        <v>6</v>
      </c>
      <c r="W19" s="11">
        <v>5</v>
      </c>
      <c r="X19" s="11">
        <v>0</v>
      </c>
      <c r="Y19" s="10">
        <f t="shared" si="3"/>
        <v>51</v>
      </c>
      <c r="Z19" s="11">
        <v>0</v>
      </c>
      <c r="AA19" s="11">
        <v>2</v>
      </c>
      <c r="AB19" s="11">
        <v>0</v>
      </c>
      <c r="AC19" s="11">
        <v>0</v>
      </c>
      <c r="AD19" s="11">
        <v>0</v>
      </c>
      <c r="AE19" s="11">
        <v>0</v>
      </c>
      <c r="AF19" s="10">
        <f t="shared" si="0"/>
        <v>2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0">
        <f t="shared" si="4"/>
        <v>0</v>
      </c>
      <c r="AN19" s="11">
        <v>0</v>
      </c>
      <c r="AO19" s="11">
        <v>0</v>
      </c>
      <c r="AP19" s="11">
        <v>0</v>
      </c>
      <c r="AQ19" s="10">
        <f t="shared" si="5"/>
        <v>0</v>
      </c>
      <c r="AR19" s="11">
        <v>0</v>
      </c>
      <c r="AS19" s="11">
        <v>0</v>
      </c>
      <c r="AT19" s="10">
        <f t="shared" si="6"/>
        <v>0</v>
      </c>
      <c r="AU19" s="11">
        <v>0</v>
      </c>
      <c r="AV19" s="11">
        <v>0</v>
      </c>
      <c r="AW19" s="11">
        <v>0</v>
      </c>
      <c r="AX19" s="10">
        <f t="shared" si="7"/>
        <v>0</v>
      </c>
      <c r="AY19" s="11">
        <v>0</v>
      </c>
      <c r="AZ19" s="11">
        <v>0</v>
      </c>
      <c r="BA19" s="11">
        <v>0</v>
      </c>
      <c r="BB19" s="10">
        <f t="shared" si="8"/>
        <v>0</v>
      </c>
      <c r="BC19" s="11">
        <v>0</v>
      </c>
      <c r="BD19" s="11">
        <v>0</v>
      </c>
      <c r="BE19" s="10">
        <f t="shared" si="9"/>
        <v>0</v>
      </c>
      <c r="BF19" s="11">
        <v>0</v>
      </c>
      <c r="BG19" s="11">
        <v>0</v>
      </c>
      <c r="BH19" s="10">
        <f t="shared" si="10"/>
        <v>0</v>
      </c>
      <c r="BI19" s="11">
        <v>0</v>
      </c>
      <c r="BJ19" s="11">
        <v>0</v>
      </c>
      <c r="BK19" s="11">
        <v>0</v>
      </c>
      <c r="BL19" s="10">
        <f t="shared" si="11"/>
        <v>0</v>
      </c>
      <c r="BM19" s="11">
        <v>0</v>
      </c>
      <c r="BN19" s="11">
        <v>5</v>
      </c>
      <c r="BO19" s="11">
        <v>0</v>
      </c>
      <c r="BP19" s="11">
        <v>0</v>
      </c>
      <c r="BQ19" s="11">
        <f t="shared" si="1"/>
        <v>59</v>
      </c>
      <c r="BR19" s="11">
        <v>9</v>
      </c>
    </row>
    <row r="20" spans="1:70" s="11" customFormat="1" x14ac:dyDescent="0.25">
      <c r="A20" s="11">
        <v>110</v>
      </c>
      <c r="B20" s="11">
        <v>3</v>
      </c>
      <c r="C20" s="11">
        <v>0</v>
      </c>
      <c r="D20" s="12">
        <v>44728</v>
      </c>
      <c r="E20" s="12" t="s">
        <v>43</v>
      </c>
      <c r="F20" s="12" t="s">
        <v>57</v>
      </c>
      <c r="G20" s="24">
        <v>6</v>
      </c>
      <c r="H20" s="13"/>
      <c r="I20" s="14"/>
      <c r="J20" s="14"/>
      <c r="K20" s="15"/>
      <c r="L20" s="11">
        <f>1+1+1+15</f>
        <v>18</v>
      </c>
      <c r="M20" s="11">
        <v>16</v>
      </c>
      <c r="N20" s="11">
        <v>2</v>
      </c>
      <c r="O20" s="11">
        <v>0</v>
      </c>
      <c r="P20" s="11">
        <v>0</v>
      </c>
      <c r="Q20" s="11">
        <v>0</v>
      </c>
      <c r="R20" s="10">
        <f t="shared" si="2"/>
        <v>36</v>
      </c>
      <c r="S20" s="11">
        <f>2+1</f>
        <v>3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0">
        <f t="shared" si="3"/>
        <v>3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0">
        <f t="shared" si="0"/>
        <v>0</v>
      </c>
      <c r="AG20" s="11">
        <f>90+14+12+14+12+21+39+27+34</f>
        <v>263</v>
      </c>
      <c r="AH20" s="11">
        <f>23+21+9+6+4</f>
        <v>63</v>
      </c>
      <c r="AI20" s="11">
        <f>3+1</f>
        <v>4</v>
      </c>
      <c r="AJ20" s="11">
        <v>0</v>
      </c>
      <c r="AK20" s="11">
        <v>0</v>
      </c>
      <c r="AL20" s="11">
        <v>0</v>
      </c>
      <c r="AM20" s="10">
        <f t="shared" si="4"/>
        <v>330</v>
      </c>
      <c r="AN20" s="11">
        <v>0</v>
      </c>
      <c r="AO20" s="11">
        <v>0</v>
      </c>
      <c r="AP20" s="11">
        <v>0</v>
      </c>
      <c r="AQ20" s="10">
        <f t="shared" si="5"/>
        <v>0</v>
      </c>
      <c r="AR20" s="11">
        <v>0</v>
      </c>
      <c r="AS20" s="11">
        <v>0</v>
      </c>
      <c r="AT20" s="10">
        <f t="shared" si="6"/>
        <v>0</v>
      </c>
      <c r="AU20" s="11">
        <v>0</v>
      </c>
      <c r="AV20" s="11">
        <v>0</v>
      </c>
      <c r="AW20" s="11">
        <v>0</v>
      </c>
      <c r="AX20" s="10">
        <f t="shared" si="7"/>
        <v>0</v>
      </c>
      <c r="AY20" s="11">
        <v>0</v>
      </c>
      <c r="AZ20" s="11">
        <v>0</v>
      </c>
      <c r="BA20" s="11">
        <v>0</v>
      </c>
      <c r="BB20" s="10">
        <f t="shared" si="8"/>
        <v>0</v>
      </c>
      <c r="BC20" s="11">
        <v>0</v>
      </c>
      <c r="BD20" s="11">
        <v>0</v>
      </c>
      <c r="BE20" s="10">
        <f t="shared" si="9"/>
        <v>0</v>
      </c>
      <c r="BF20" s="11">
        <v>0</v>
      </c>
      <c r="BG20" s="11">
        <v>0</v>
      </c>
      <c r="BH20" s="10">
        <f t="shared" si="10"/>
        <v>0</v>
      </c>
      <c r="BI20" s="11">
        <v>0</v>
      </c>
      <c r="BJ20" s="11">
        <v>0</v>
      </c>
      <c r="BK20" s="11">
        <v>0</v>
      </c>
      <c r="BL20" s="10">
        <f t="shared" si="11"/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f t="shared" si="1"/>
        <v>369</v>
      </c>
    </row>
    <row r="21" spans="1:70" s="11" customFormat="1" x14ac:dyDescent="0.25">
      <c r="A21" s="11">
        <v>110</v>
      </c>
      <c r="B21" s="11">
        <v>3</v>
      </c>
      <c r="C21" s="11">
        <v>5</v>
      </c>
      <c r="D21" s="12">
        <v>44733</v>
      </c>
      <c r="E21" s="12" t="s">
        <v>43</v>
      </c>
      <c r="F21" s="12" t="s">
        <v>57</v>
      </c>
      <c r="G21" s="24">
        <v>6</v>
      </c>
      <c r="H21" s="13"/>
      <c r="I21" s="14"/>
      <c r="J21" s="14"/>
      <c r="K21" s="15"/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0">
        <f t="shared" si="2"/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0">
        <f t="shared" si="3"/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0">
        <f t="shared" si="0"/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0">
        <f t="shared" si="4"/>
        <v>0</v>
      </c>
      <c r="AN21" s="11">
        <v>0</v>
      </c>
      <c r="AO21" s="11">
        <v>0</v>
      </c>
      <c r="AP21" s="11">
        <v>0</v>
      </c>
      <c r="AQ21" s="10">
        <f t="shared" si="5"/>
        <v>0</v>
      </c>
      <c r="AR21" s="11">
        <v>0</v>
      </c>
      <c r="AS21" s="11">
        <v>0</v>
      </c>
      <c r="AT21" s="10">
        <f t="shared" si="6"/>
        <v>0</v>
      </c>
      <c r="AU21" s="11">
        <v>0</v>
      </c>
      <c r="AV21" s="11">
        <v>0</v>
      </c>
      <c r="AW21" s="11">
        <v>0</v>
      </c>
      <c r="AX21" s="10">
        <f t="shared" si="7"/>
        <v>0</v>
      </c>
      <c r="AY21" s="11">
        <v>0</v>
      </c>
      <c r="AZ21" s="11">
        <v>0</v>
      </c>
      <c r="BA21" s="11">
        <v>0</v>
      </c>
      <c r="BB21" s="10">
        <f t="shared" si="8"/>
        <v>0</v>
      </c>
      <c r="BC21" s="11">
        <v>0</v>
      </c>
      <c r="BD21" s="11">
        <v>0</v>
      </c>
      <c r="BE21" s="10">
        <f t="shared" si="9"/>
        <v>0</v>
      </c>
      <c r="BF21" s="11">
        <v>0</v>
      </c>
      <c r="BG21" s="11">
        <v>0</v>
      </c>
      <c r="BH21" s="10">
        <f t="shared" si="10"/>
        <v>0</v>
      </c>
      <c r="BI21" s="11">
        <v>0</v>
      </c>
      <c r="BJ21" s="11">
        <v>0</v>
      </c>
      <c r="BK21" s="11">
        <v>0</v>
      </c>
      <c r="BL21" s="10">
        <f t="shared" si="11"/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f t="shared" si="1"/>
        <v>0</v>
      </c>
      <c r="BR21" s="11">
        <v>1</v>
      </c>
    </row>
    <row r="22" spans="1:70" s="11" customFormat="1" x14ac:dyDescent="0.25">
      <c r="A22" s="11">
        <v>111</v>
      </c>
      <c r="B22" s="11">
        <v>11</v>
      </c>
      <c r="C22" s="11">
        <v>0</v>
      </c>
      <c r="D22" s="12">
        <v>44734</v>
      </c>
      <c r="E22" s="12" t="s">
        <v>42</v>
      </c>
      <c r="F22" s="11" t="s">
        <v>56</v>
      </c>
      <c r="G22" s="24">
        <v>11.5</v>
      </c>
      <c r="H22" s="13">
        <v>1</v>
      </c>
      <c r="I22" s="14">
        <v>0.35</v>
      </c>
      <c r="J22" s="14">
        <v>0.15</v>
      </c>
      <c r="K22" s="15">
        <v>0.57999999999999996</v>
      </c>
      <c r="L22" s="11">
        <v>5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0">
        <f t="shared" si="2"/>
        <v>7</v>
      </c>
      <c r="S22" s="11">
        <f>SUM(4+7+6+8+6)</f>
        <v>31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0">
        <f t="shared" si="3"/>
        <v>31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0">
        <f t="shared" si="0"/>
        <v>0</v>
      </c>
      <c r="AG22" s="11">
        <v>15</v>
      </c>
      <c r="AH22" s="11">
        <v>14</v>
      </c>
      <c r="AI22" s="11">
        <v>1</v>
      </c>
      <c r="AJ22" s="11">
        <v>0</v>
      </c>
      <c r="AK22" s="11">
        <v>0</v>
      </c>
      <c r="AL22" s="11">
        <v>0</v>
      </c>
      <c r="AM22" s="10">
        <f t="shared" si="4"/>
        <v>30</v>
      </c>
      <c r="AN22" s="11">
        <v>0</v>
      </c>
      <c r="AO22" s="11">
        <v>0</v>
      </c>
      <c r="AP22" s="11">
        <v>0</v>
      </c>
      <c r="AQ22" s="10">
        <f t="shared" si="5"/>
        <v>0</v>
      </c>
      <c r="AR22" s="11">
        <v>0</v>
      </c>
      <c r="AS22" s="11">
        <v>0</v>
      </c>
      <c r="AT22" s="10">
        <f t="shared" si="6"/>
        <v>0</v>
      </c>
      <c r="AU22" s="11">
        <v>0</v>
      </c>
      <c r="AV22" s="11">
        <v>0</v>
      </c>
      <c r="AW22" s="11">
        <v>0</v>
      </c>
      <c r="AX22" s="10">
        <f t="shared" si="7"/>
        <v>0</v>
      </c>
      <c r="AY22" s="11">
        <v>0</v>
      </c>
      <c r="AZ22" s="11">
        <v>0</v>
      </c>
      <c r="BA22" s="11">
        <v>0</v>
      </c>
      <c r="BB22" s="10">
        <f t="shared" si="8"/>
        <v>0</v>
      </c>
      <c r="BC22" s="11">
        <v>0</v>
      </c>
      <c r="BD22" s="11">
        <v>0</v>
      </c>
      <c r="BE22" s="10">
        <f t="shared" si="9"/>
        <v>0</v>
      </c>
      <c r="BF22" s="11">
        <v>0</v>
      </c>
      <c r="BG22" s="11">
        <v>0</v>
      </c>
      <c r="BH22" s="10">
        <f t="shared" si="10"/>
        <v>0</v>
      </c>
      <c r="BI22" s="11">
        <v>0</v>
      </c>
      <c r="BJ22" s="11">
        <v>0</v>
      </c>
      <c r="BK22" s="11">
        <v>0</v>
      </c>
      <c r="BL22" s="10">
        <f t="shared" si="11"/>
        <v>0</v>
      </c>
      <c r="BM22" s="11">
        <v>0</v>
      </c>
      <c r="BN22" s="11">
        <v>1</v>
      </c>
      <c r="BO22" s="11">
        <v>0</v>
      </c>
      <c r="BP22" s="11">
        <v>0</v>
      </c>
      <c r="BQ22" s="11">
        <f t="shared" si="1"/>
        <v>69</v>
      </c>
    </row>
    <row r="23" spans="1:70" s="11" customFormat="1" x14ac:dyDescent="0.25">
      <c r="A23" s="11">
        <v>111</v>
      </c>
      <c r="B23" s="11">
        <v>11</v>
      </c>
      <c r="C23" s="11">
        <v>5</v>
      </c>
      <c r="D23" s="12">
        <v>44739</v>
      </c>
      <c r="E23" s="12" t="s">
        <v>42</v>
      </c>
      <c r="F23" s="11" t="s">
        <v>56</v>
      </c>
      <c r="G23" s="24">
        <v>11.5</v>
      </c>
      <c r="H23" s="13">
        <v>1</v>
      </c>
      <c r="I23" s="14">
        <v>0.35</v>
      </c>
      <c r="J23" s="14">
        <v>0.15</v>
      </c>
      <c r="K23" s="15">
        <v>0.57999999999999996</v>
      </c>
      <c r="L23" s="11">
        <v>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0">
        <f t="shared" si="2"/>
        <v>3</v>
      </c>
      <c r="S23" s="11">
        <v>17</v>
      </c>
      <c r="T23" s="11">
        <v>2</v>
      </c>
      <c r="U23" s="11">
        <v>0</v>
      </c>
      <c r="V23" s="11">
        <v>2</v>
      </c>
      <c r="W23" s="11">
        <v>0</v>
      </c>
      <c r="X23" s="11">
        <v>0</v>
      </c>
      <c r="Y23" s="10">
        <f t="shared" si="3"/>
        <v>21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0">
        <f t="shared" si="0"/>
        <v>0</v>
      </c>
      <c r="AG23" s="11">
        <v>8</v>
      </c>
      <c r="AH23" s="11">
        <v>2</v>
      </c>
      <c r="AI23" s="11">
        <v>4</v>
      </c>
      <c r="AJ23" s="11">
        <v>0</v>
      </c>
      <c r="AK23" s="11">
        <v>0</v>
      </c>
      <c r="AL23" s="11">
        <v>0</v>
      </c>
      <c r="AM23" s="10">
        <f t="shared" si="4"/>
        <v>14</v>
      </c>
      <c r="AN23" s="11">
        <v>0</v>
      </c>
      <c r="AO23" s="11">
        <v>0</v>
      </c>
      <c r="AP23" s="11">
        <v>0</v>
      </c>
      <c r="AQ23" s="10">
        <f t="shared" si="5"/>
        <v>0</v>
      </c>
      <c r="AR23" s="11">
        <v>0</v>
      </c>
      <c r="AS23" s="11">
        <v>0</v>
      </c>
      <c r="AT23" s="10">
        <f t="shared" si="6"/>
        <v>0</v>
      </c>
      <c r="AU23" s="11">
        <v>0</v>
      </c>
      <c r="AV23" s="11">
        <v>0</v>
      </c>
      <c r="AW23" s="11">
        <v>0</v>
      </c>
      <c r="AX23" s="10">
        <f t="shared" si="7"/>
        <v>0</v>
      </c>
      <c r="AY23" s="11">
        <v>0</v>
      </c>
      <c r="AZ23" s="11">
        <v>0</v>
      </c>
      <c r="BA23" s="11">
        <v>0</v>
      </c>
      <c r="BB23" s="10">
        <f t="shared" si="8"/>
        <v>0</v>
      </c>
      <c r="BC23" s="11">
        <v>0</v>
      </c>
      <c r="BD23" s="11">
        <v>0</v>
      </c>
      <c r="BE23" s="10">
        <f t="shared" si="9"/>
        <v>0</v>
      </c>
      <c r="BF23" s="11">
        <v>0</v>
      </c>
      <c r="BG23" s="11">
        <v>0</v>
      </c>
      <c r="BH23" s="10">
        <f t="shared" si="10"/>
        <v>0</v>
      </c>
      <c r="BI23" s="11">
        <v>0</v>
      </c>
      <c r="BJ23" s="11">
        <v>0</v>
      </c>
      <c r="BK23" s="11">
        <v>0</v>
      </c>
      <c r="BL23" s="10">
        <f t="shared" si="11"/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f t="shared" si="1"/>
        <v>38</v>
      </c>
      <c r="BR23" s="11">
        <v>7</v>
      </c>
    </row>
    <row r="24" spans="1:70" s="11" customFormat="1" x14ac:dyDescent="0.25">
      <c r="A24" s="11">
        <v>112</v>
      </c>
      <c r="B24" s="11">
        <v>2</v>
      </c>
      <c r="C24" s="11">
        <v>0</v>
      </c>
      <c r="D24" s="12">
        <v>44728</v>
      </c>
      <c r="E24" s="12" t="s">
        <v>42</v>
      </c>
      <c r="F24" s="12" t="s">
        <v>57</v>
      </c>
      <c r="G24" s="24"/>
      <c r="H24" s="13">
        <v>5</v>
      </c>
      <c r="I24" s="14">
        <v>0.31</v>
      </c>
      <c r="J24" s="14">
        <v>0.04</v>
      </c>
      <c r="K24" s="15">
        <v>0.99</v>
      </c>
      <c r="L24" s="11">
        <f>19+3+3+4+6</f>
        <v>35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0">
        <f t="shared" si="2"/>
        <v>35</v>
      </c>
      <c r="S24" s="11">
        <f>2+3+2</f>
        <v>7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0">
        <f t="shared" si="3"/>
        <v>7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0">
        <f t="shared" si="0"/>
        <v>0</v>
      </c>
      <c r="AG24" s="11">
        <f>22+22+23+16+12</f>
        <v>95</v>
      </c>
      <c r="AH24" s="11">
        <f>5+2+2+1</f>
        <v>10</v>
      </c>
      <c r="AI24" s="11">
        <f>1+2+2</f>
        <v>5</v>
      </c>
      <c r="AJ24" s="11">
        <v>0</v>
      </c>
      <c r="AK24" s="11">
        <v>0</v>
      </c>
      <c r="AL24" s="11">
        <v>0</v>
      </c>
      <c r="AM24" s="10">
        <f t="shared" si="4"/>
        <v>110</v>
      </c>
      <c r="AN24" s="11">
        <v>0</v>
      </c>
      <c r="AO24" s="11">
        <v>0</v>
      </c>
      <c r="AP24" s="11">
        <v>0</v>
      </c>
      <c r="AQ24" s="10">
        <f t="shared" si="5"/>
        <v>0</v>
      </c>
      <c r="AR24" s="11">
        <v>0</v>
      </c>
      <c r="AS24" s="11">
        <v>0</v>
      </c>
      <c r="AT24" s="10">
        <f t="shared" si="6"/>
        <v>0</v>
      </c>
      <c r="AU24" s="11">
        <v>0</v>
      </c>
      <c r="AV24" s="11">
        <v>0</v>
      </c>
      <c r="AW24" s="11">
        <v>0</v>
      </c>
      <c r="AX24" s="10">
        <f t="shared" si="7"/>
        <v>0</v>
      </c>
      <c r="AY24" s="11">
        <v>0</v>
      </c>
      <c r="AZ24" s="11">
        <v>0</v>
      </c>
      <c r="BA24" s="11">
        <v>0</v>
      </c>
      <c r="BB24" s="10">
        <f t="shared" si="8"/>
        <v>0</v>
      </c>
      <c r="BC24" s="11">
        <v>0</v>
      </c>
      <c r="BD24" s="11">
        <v>0</v>
      </c>
      <c r="BE24" s="10">
        <f t="shared" si="9"/>
        <v>0</v>
      </c>
      <c r="BF24" s="11">
        <v>0</v>
      </c>
      <c r="BG24" s="11">
        <v>0</v>
      </c>
      <c r="BH24" s="10">
        <f t="shared" si="10"/>
        <v>0</v>
      </c>
      <c r="BI24" s="11">
        <v>0</v>
      </c>
      <c r="BJ24" s="11">
        <v>0</v>
      </c>
      <c r="BK24" s="11">
        <v>0</v>
      </c>
      <c r="BL24" s="10">
        <f t="shared" si="11"/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f t="shared" si="1"/>
        <v>152</v>
      </c>
    </row>
    <row r="25" spans="1:70" s="11" customFormat="1" x14ac:dyDescent="0.25">
      <c r="A25" s="11">
        <v>112</v>
      </c>
      <c r="B25" s="11">
        <v>2</v>
      </c>
      <c r="C25" s="11">
        <v>5</v>
      </c>
      <c r="D25" s="12">
        <v>44733</v>
      </c>
      <c r="E25" s="12" t="s">
        <v>42</v>
      </c>
      <c r="F25" s="12" t="s">
        <v>57</v>
      </c>
      <c r="G25" s="24"/>
      <c r="H25" s="13">
        <v>5</v>
      </c>
      <c r="I25" s="14">
        <v>0.31</v>
      </c>
      <c r="J25" s="14">
        <v>0.04</v>
      </c>
      <c r="K25" s="15">
        <v>0.99</v>
      </c>
      <c r="L25" s="11">
        <v>3</v>
      </c>
      <c r="M25" s="11">
        <v>1</v>
      </c>
      <c r="N25" s="11">
        <v>0</v>
      </c>
      <c r="O25" s="11">
        <v>0</v>
      </c>
      <c r="P25" s="11">
        <v>0</v>
      </c>
      <c r="Q25" s="11">
        <v>0</v>
      </c>
      <c r="R25" s="10">
        <f t="shared" si="2"/>
        <v>4</v>
      </c>
      <c r="S25" s="11">
        <v>14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0">
        <f t="shared" si="3"/>
        <v>14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0">
        <f>SUM(Z25:AE25)</f>
        <v>0</v>
      </c>
      <c r="AG25" s="11">
        <v>29</v>
      </c>
      <c r="AH25" s="11">
        <v>23</v>
      </c>
      <c r="AI25" s="11">
        <v>0</v>
      </c>
      <c r="AJ25" s="11">
        <v>0</v>
      </c>
      <c r="AK25" s="11">
        <v>0</v>
      </c>
      <c r="AL25" s="11">
        <v>0</v>
      </c>
      <c r="AM25" s="10">
        <f t="shared" si="4"/>
        <v>52</v>
      </c>
      <c r="AN25" s="11">
        <v>0</v>
      </c>
      <c r="AO25" s="11">
        <v>0</v>
      </c>
      <c r="AP25" s="11">
        <v>0</v>
      </c>
      <c r="AQ25" s="10">
        <f t="shared" si="5"/>
        <v>0</v>
      </c>
      <c r="AR25" s="11">
        <v>0</v>
      </c>
      <c r="AS25" s="11">
        <v>0</v>
      </c>
      <c r="AT25" s="10">
        <f t="shared" si="6"/>
        <v>0</v>
      </c>
      <c r="AU25" s="11">
        <v>0</v>
      </c>
      <c r="AV25" s="11">
        <v>0</v>
      </c>
      <c r="AW25" s="11">
        <v>0</v>
      </c>
      <c r="AX25" s="10">
        <f t="shared" si="7"/>
        <v>0</v>
      </c>
      <c r="AY25" s="11">
        <v>0</v>
      </c>
      <c r="AZ25" s="11">
        <v>0</v>
      </c>
      <c r="BA25" s="11">
        <v>0</v>
      </c>
      <c r="BB25" s="10">
        <f t="shared" si="8"/>
        <v>0</v>
      </c>
      <c r="BC25" s="11">
        <v>0</v>
      </c>
      <c r="BD25" s="11">
        <v>0</v>
      </c>
      <c r="BE25" s="10">
        <f t="shared" si="9"/>
        <v>0</v>
      </c>
      <c r="BF25" s="11">
        <v>0</v>
      </c>
      <c r="BG25" s="11">
        <v>0</v>
      </c>
      <c r="BH25" s="10">
        <f t="shared" si="10"/>
        <v>0</v>
      </c>
      <c r="BI25" s="11">
        <v>0</v>
      </c>
      <c r="BJ25" s="11">
        <v>0</v>
      </c>
      <c r="BK25" s="11">
        <v>0</v>
      </c>
      <c r="BL25" s="10">
        <f t="shared" si="11"/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f>SUM(L25:Q25,S25:X25,Z25:AE25,AG25:AL25,AN25:AP25,AR25:AS25,AU25:AW25,AY25:BA25,BC25:BD25,BF25:BG25,BI25:BK25,BM25,BN25:BP25)</f>
        <v>70</v>
      </c>
      <c r="BR25" s="11">
        <v>0</v>
      </c>
    </row>
    <row r="26" spans="1:70" s="11" customFormat="1" x14ac:dyDescent="0.25">
      <c r="A26" s="11">
        <v>201</v>
      </c>
      <c r="B26" s="11" t="s">
        <v>87</v>
      </c>
      <c r="C26" s="11">
        <v>0</v>
      </c>
      <c r="D26" s="12">
        <v>44734</v>
      </c>
      <c r="E26" s="12" t="s">
        <v>42</v>
      </c>
      <c r="F26" s="12" t="s">
        <v>56</v>
      </c>
      <c r="G26" s="24"/>
      <c r="H26" s="13">
        <v>5</v>
      </c>
      <c r="I26" s="14">
        <v>0.32</v>
      </c>
      <c r="J26" s="14">
        <v>0.1</v>
      </c>
      <c r="K26" s="15">
        <v>0.68</v>
      </c>
      <c r="L26" s="11">
        <v>2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0">
        <f t="shared" si="2"/>
        <v>2</v>
      </c>
      <c r="S26" s="11">
        <f>SUM(24+32+3+3+5+12+6+11+7+9+27+32)</f>
        <v>171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0">
        <f t="shared" si="3"/>
        <v>172</v>
      </c>
      <c r="Z26" s="11">
        <v>0</v>
      </c>
      <c r="AA26" s="11">
        <v>1</v>
      </c>
      <c r="AB26" s="11">
        <v>0</v>
      </c>
      <c r="AC26" s="11">
        <v>0</v>
      </c>
      <c r="AD26" s="11">
        <v>0</v>
      </c>
      <c r="AE26" s="11">
        <v>0</v>
      </c>
      <c r="AF26" s="10">
        <f t="shared" ref="AF26:AF73" si="12">SUM(Z26:AE26)</f>
        <v>1</v>
      </c>
      <c r="AG26" s="11">
        <f>SUM(4+12+3+2+7)</f>
        <v>28</v>
      </c>
      <c r="AH26" s="11">
        <v>18</v>
      </c>
      <c r="AI26" s="11">
        <v>1</v>
      </c>
      <c r="AJ26" s="11">
        <v>0</v>
      </c>
      <c r="AK26" s="11">
        <v>0</v>
      </c>
      <c r="AL26" s="11">
        <v>0</v>
      </c>
      <c r="AM26" s="10">
        <f t="shared" si="4"/>
        <v>47</v>
      </c>
      <c r="AN26" s="11">
        <v>0</v>
      </c>
      <c r="AO26" s="11">
        <v>0</v>
      </c>
      <c r="AP26" s="11">
        <v>0</v>
      </c>
      <c r="AQ26" s="10">
        <f t="shared" si="5"/>
        <v>0</v>
      </c>
      <c r="AR26" s="11">
        <v>0</v>
      </c>
      <c r="AS26" s="11">
        <v>0</v>
      </c>
      <c r="AT26" s="10">
        <f t="shared" si="6"/>
        <v>0</v>
      </c>
      <c r="AU26" s="11">
        <v>0</v>
      </c>
      <c r="AV26" s="11">
        <v>0</v>
      </c>
      <c r="AW26" s="11">
        <v>0</v>
      </c>
      <c r="AX26" s="10">
        <f t="shared" si="7"/>
        <v>0</v>
      </c>
      <c r="AY26" s="11">
        <v>3</v>
      </c>
      <c r="AZ26" s="11">
        <v>0</v>
      </c>
      <c r="BA26" s="11">
        <v>0</v>
      </c>
      <c r="BB26" s="10">
        <f t="shared" si="8"/>
        <v>3</v>
      </c>
      <c r="BC26" s="11">
        <v>0</v>
      </c>
      <c r="BD26" s="11">
        <v>0</v>
      </c>
      <c r="BE26" s="10">
        <f t="shared" si="9"/>
        <v>0</v>
      </c>
      <c r="BF26" s="11">
        <v>0</v>
      </c>
      <c r="BG26" s="11">
        <v>0</v>
      </c>
      <c r="BH26" s="10">
        <f t="shared" si="10"/>
        <v>0</v>
      </c>
      <c r="BI26" s="11">
        <v>0</v>
      </c>
      <c r="BJ26" s="11">
        <v>0</v>
      </c>
      <c r="BK26" s="11">
        <v>0</v>
      </c>
      <c r="BL26" s="10">
        <f t="shared" si="11"/>
        <v>0</v>
      </c>
      <c r="BM26" s="11">
        <v>0</v>
      </c>
      <c r="BN26" s="11">
        <v>8</v>
      </c>
      <c r="BO26" s="11">
        <v>1</v>
      </c>
      <c r="BP26" s="11">
        <v>0</v>
      </c>
      <c r="BQ26" s="11">
        <f t="shared" ref="BQ26:BQ73" si="13">SUM(L26:Q26,S26:X26,Z26:AE26,AG26:AL26,AN26:AP26,AR26:AS26,AU26:AW26,AY26:BA26,BC26:BD26,BF26:BG26,BI26:BK26,BM26,BN26:BP26)</f>
        <v>234</v>
      </c>
    </row>
    <row r="27" spans="1:70" s="11" customFormat="1" x14ac:dyDescent="0.25">
      <c r="A27" s="11">
        <v>201</v>
      </c>
      <c r="B27" s="11" t="s">
        <v>87</v>
      </c>
      <c r="C27" s="11">
        <v>5</v>
      </c>
      <c r="D27" s="12">
        <v>44739</v>
      </c>
      <c r="E27" s="12" t="s">
        <v>42</v>
      </c>
      <c r="F27" s="12" t="s">
        <v>56</v>
      </c>
      <c r="G27" s="24"/>
      <c r="H27" s="13">
        <v>5</v>
      </c>
      <c r="I27" s="14">
        <v>0.32</v>
      </c>
      <c r="J27" s="14">
        <v>0.1</v>
      </c>
      <c r="K27" s="15">
        <v>0.68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0">
        <f t="shared" si="2"/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0">
        <f t="shared" si="3"/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0">
        <f t="shared" si="12"/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0">
        <f t="shared" si="4"/>
        <v>0</v>
      </c>
      <c r="AN27" s="11">
        <v>0</v>
      </c>
      <c r="AO27" s="11">
        <v>0</v>
      </c>
      <c r="AP27" s="11">
        <v>0</v>
      </c>
      <c r="AQ27" s="10">
        <f t="shared" si="5"/>
        <v>0</v>
      </c>
      <c r="AR27" s="11">
        <v>0</v>
      </c>
      <c r="AS27" s="11">
        <v>0</v>
      </c>
      <c r="AT27" s="10">
        <f t="shared" si="6"/>
        <v>0</v>
      </c>
      <c r="AU27" s="11">
        <v>0</v>
      </c>
      <c r="AV27" s="11">
        <v>0</v>
      </c>
      <c r="AW27" s="11">
        <v>0</v>
      </c>
      <c r="AX27" s="10">
        <f t="shared" si="7"/>
        <v>0</v>
      </c>
      <c r="AY27" s="11">
        <v>0</v>
      </c>
      <c r="AZ27" s="11">
        <v>0</v>
      </c>
      <c r="BA27" s="11">
        <v>0</v>
      </c>
      <c r="BB27" s="10">
        <f t="shared" si="8"/>
        <v>0</v>
      </c>
      <c r="BC27" s="11">
        <v>0</v>
      </c>
      <c r="BD27" s="11">
        <v>0</v>
      </c>
      <c r="BE27" s="10">
        <f t="shared" si="9"/>
        <v>0</v>
      </c>
      <c r="BF27" s="11">
        <v>0</v>
      </c>
      <c r="BG27" s="11">
        <v>0</v>
      </c>
      <c r="BH27" s="10">
        <f t="shared" si="10"/>
        <v>0</v>
      </c>
      <c r="BI27" s="11">
        <v>0</v>
      </c>
      <c r="BJ27" s="11">
        <v>0</v>
      </c>
      <c r="BK27" s="11">
        <v>0</v>
      </c>
      <c r="BL27" s="10">
        <f t="shared" si="11"/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f t="shared" si="13"/>
        <v>0</v>
      </c>
      <c r="BR27" s="11">
        <v>4</v>
      </c>
    </row>
    <row r="28" spans="1:70" s="11" customFormat="1" x14ac:dyDescent="0.25">
      <c r="A28" s="11">
        <v>202</v>
      </c>
      <c r="B28" s="11">
        <v>5</v>
      </c>
      <c r="C28" s="11">
        <v>0</v>
      </c>
      <c r="D28" s="12">
        <v>44734</v>
      </c>
      <c r="E28" s="12" t="s">
        <v>42</v>
      </c>
      <c r="F28" s="11" t="s">
        <v>57</v>
      </c>
      <c r="G28" s="24"/>
      <c r="H28" s="13">
        <v>1</v>
      </c>
      <c r="I28" s="14">
        <v>0.3</v>
      </c>
      <c r="J28" s="14">
        <v>0.19</v>
      </c>
      <c r="K28" s="15">
        <v>0.39</v>
      </c>
      <c r="L28" s="11">
        <v>1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0">
        <f t="shared" si="2"/>
        <v>1</v>
      </c>
      <c r="S28" s="11">
        <f>SUM(18+92+35+11+45+6+33+91+33)</f>
        <v>364</v>
      </c>
      <c r="T28" s="11">
        <v>2</v>
      </c>
      <c r="U28" s="11">
        <v>0</v>
      </c>
      <c r="V28" s="11">
        <v>0</v>
      </c>
      <c r="W28" s="11">
        <v>0</v>
      </c>
      <c r="X28" s="11">
        <v>0</v>
      </c>
      <c r="Y28" s="10">
        <f t="shared" si="3"/>
        <v>366</v>
      </c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0">
        <f t="shared" si="12"/>
        <v>1</v>
      </c>
      <c r="AG28" s="11">
        <v>1</v>
      </c>
      <c r="AH28" s="11">
        <v>4</v>
      </c>
      <c r="AI28" s="11">
        <v>0</v>
      </c>
      <c r="AJ28" s="11">
        <v>0</v>
      </c>
      <c r="AK28" s="11">
        <v>0</v>
      </c>
      <c r="AL28" s="11">
        <v>0</v>
      </c>
      <c r="AM28" s="10">
        <f t="shared" si="4"/>
        <v>5</v>
      </c>
      <c r="AN28" s="11">
        <v>0</v>
      </c>
      <c r="AO28" s="11">
        <v>0</v>
      </c>
      <c r="AP28" s="11">
        <v>0</v>
      </c>
      <c r="AQ28" s="10">
        <f t="shared" si="5"/>
        <v>0</v>
      </c>
      <c r="AR28" s="11">
        <v>0</v>
      </c>
      <c r="AS28" s="11">
        <v>0</v>
      </c>
      <c r="AT28" s="10">
        <f t="shared" si="6"/>
        <v>0</v>
      </c>
      <c r="AU28" s="11">
        <v>0</v>
      </c>
      <c r="AV28" s="11">
        <v>0</v>
      </c>
      <c r="AW28" s="11">
        <v>0</v>
      </c>
      <c r="AX28" s="10">
        <f t="shared" si="7"/>
        <v>0</v>
      </c>
      <c r="AY28" s="11">
        <v>0</v>
      </c>
      <c r="AZ28" s="11">
        <v>0</v>
      </c>
      <c r="BA28" s="11">
        <v>0</v>
      </c>
      <c r="BB28" s="10">
        <f t="shared" si="8"/>
        <v>0</v>
      </c>
      <c r="BC28" s="11">
        <v>0</v>
      </c>
      <c r="BD28" s="11">
        <v>0</v>
      </c>
      <c r="BE28" s="10">
        <f t="shared" si="9"/>
        <v>0</v>
      </c>
      <c r="BF28" s="11">
        <v>0</v>
      </c>
      <c r="BG28" s="11">
        <v>0</v>
      </c>
      <c r="BH28" s="10">
        <f t="shared" si="10"/>
        <v>0</v>
      </c>
      <c r="BI28" s="11">
        <v>0</v>
      </c>
      <c r="BJ28" s="11">
        <v>0</v>
      </c>
      <c r="BK28" s="11">
        <v>0</v>
      </c>
      <c r="BL28" s="10">
        <f t="shared" si="11"/>
        <v>0</v>
      </c>
      <c r="BM28" s="11">
        <v>0</v>
      </c>
      <c r="BN28" s="11">
        <v>18</v>
      </c>
      <c r="BO28" s="11">
        <v>4</v>
      </c>
      <c r="BP28" s="11">
        <v>0</v>
      </c>
      <c r="BQ28" s="11">
        <f t="shared" si="13"/>
        <v>395</v>
      </c>
    </row>
    <row r="29" spans="1:70" s="11" customFormat="1" x14ac:dyDescent="0.25">
      <c r="A29" s="11">
        <v>202</v>
      </c>
      <c r="B29" s="11">
        <v>5</v>
      </c>
      <c r="C29" s="11">
        <v>5</v>
      </c>
      <c r="D29" s="12">
        <v>44739</v>
      </c>
      <c r="E29" s="12" t="s">
        <v>42</v>
      </c>
      <c r="F29" s="11" t="s">
        <v>57</v>
      </c>
      <c r="G29" s="24"/>
      <c r="H29" s="13">
        <v>1</v>
      </c>
      <c r="I29" s="14">
        <v>0.3</v>
      </c>
      <c r="J29" s="14">
        <v>0.19</v>
      </c>
      <c r="K29" s="15">
        <v>0.39</v>
      </c>
      <c r="L29" s="11">
        <v>0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0">
        <f t="shared" si="2"/>
        <v>1</v>
      </c>
      <c r="S29" s="11">
        <f>SUM(12+10+7+29+10+1+8)</f>
        <v>77</v>
      </c>
      <c r="T29" s="11">
        <v>10</v>
      </c>
      <c r="U29" s="11">
        <v>0</v>
      </c>
      <c r="V29" s="11">
        <v>0</v>
      </c>
      <c r="W29" s="11">
        <v>2</v>
      </c>
      <c r="X29" s="11">
        <v>0</v>
      </c>
      <c r="Y29" s="10">
        <f t="shared" si="3"/>
        <v>89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0">
        <f t="shared" si="12"/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0">
        <f t="shared" si="4"/>
        <v>0</v>
      </c>
      <c r="AN29" s="11">
        <v>0</v>
      </c>
      <c r="AO29" s="11">
        <v>0</v>
      </c>
      <c r="AP29" s="11">
        <v>0</v>
      </c>
      <c r="AQ29" s="10">
        <f t="shared" si="5"/>
        <v>0</v>
      </c>
      <c r="AR29" s="11">
        <v>0</v>
      </c>
      <c r="AS29" s="11">
        <v>0</v>
      </c>
      <c r="AT29" s="10">
        <f t="shared" si="6"/>
        <v>0</v>
      </c>
      <c r="AU29" s="11">
        <v>0</v>
      </c>
      <c r="AV29" s="11">
        <v>0</v>
      </c>
      <c r="AW29" s="11">
        <v>0</v>
      </c>
      <c r="AX29" s="10">
        <f t="shared" si="7"/>
        <v>0</v>
      </c>
      <c r="AY29" s="11">
        <v>0</v>
      </c>
      <c r="AZ29" s="11">
        <v>0</v>
      </c>
      <c r="BA29" s="11">
        <v>0</v>
      </c>
      <c r="BB29" s="10">
        <f t="shared" si="8"/>
        <v>0</v>
      </c>
      <c r="BC29" s="11">
        <v>0</v>
      </c>
      <c r="BD29" s="11">
        <v>0</v>
      </c>
      <c r="BE29" s="10">
        <f t="shared" si="9"/>
        <v>0</v>
      </c>
      <c r="BF29" s="11">
        <v>0</v>
      </c>
      <c r="BG29" s="11">
        <v>0</v>
      </c>
      <c r="BH29" s="10">
        <f t="shared" si="10"/>
        <v>0</v>
      </c>
      <c r="BI29" s="11">
        <v>0</v>
      </c>
      <c r="BJ29" s="11">
        <v>0</v>
      </c>
      <c r="BK29" s="11">
        <v>0</v>
      </c>
      <c r="BL29" s="10">
        <f t="shared" si="11"/>
        <v>0</v>
      </c>
      <c r="BM29" s="11">
        <v>0</v>
      </c>
      <c r="BN29" s="11">
        <v>17</v>
      </c>
      <c r="BO29" s="11">
        <v>2</v>
      </c>
      <c r="BP29" s="11">
        <v>2</v>
      </c>
      <c r="BQ29" s="11">
        <f t="shared" si="13"/>
        <v>111</v>
      </c>
      <c r="BR29" s="11">
        <v>2</v>
      </c>
    </row>
    <row r="30" spans="1:70" s="11" customFormat="1" x14ac:dyDescent="0.25">
      <c r="A30" s="11">
        <v>203</v>
      </c>
      <c r="B30" s="11">
        <v>6</v>
      </c>
      <c r="C30" s="11">
        <v>0</v>
      </c>
      <c r="D30" s="12">
        <v>44734</v>
      </c>
      <c r="E30" s="12" t="s">
        <v>42</v>
      </c>
      <c r="F30" s="11" t="s">
        <v>56</v>
      </c>
      <c r="G30" s="24"/>
      <c r="H30" s="13">
        <v>5</v>
      </c>
      <c r="I30" s="14">
        <v>0.31</v>
      </c>
      <c r="J30" s="14">
        <v>7.0000000000000007E-2</v>
      </c>
      <c r="K30" s="15">
        <v>0.76</v>
      </c>
      <c r="L30" s="11">
        <v>2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0">
        <f t="shared" si="2"/>
        <v>2</v>
      </c>
      <c r="S30" s="11">
        <f>SUM(27+26+13+14+16+15+11)</f>
        <v>122</v>
      </c>
      <c r="T30" s="11">
        <v>1</v>
      </c>
      <c r="U30" s="11">
        <v>0</v>
      </c>
      <c r="V30" s="11">
        <v>0</v>
      </c>
      <c r="W30" s="11">
        <v>0</v>
      </c>
      <c r="X30" s="11">
        <v>0</v>
      </c>
      <c r="Y30" s="10">
        <f t="shared" si="3"/>
        <v>123</v>
      </c>
      <c r="Z30" s="11">
        <v>0</v>
      </c>
      <c r="AA30" s="11">
        <v>0</v>
      </c>
      <c r="AB30" s="11">
        <v>1</v>
      </c>
      <c r="AC30" s="11">
        <v>0</v>
      </c>
      <c r="AD30" s="11">
        <v>0</v>
      </c>
      <c r="AE30" s="11">
        <v>0</v>
      </c>
      <c r="AF30" s="10">
        <f t="shared" si="12"/>
        <v>1</v>
      </c>
      <c r="AG30" s="11">
        <v>7</v>
      </c>
      <c r="AH30" s="11">
        <v>6</v>
      </c>
      <c r="AI30" s="11">
        <v>3</v>
      </c>
      <c r="AJ30" s="11">
        <v>0</v>
      </c>
      <c r="AK30" s="11">
        <v>0</v>
      </c>
      <c r="AL30" s="11">
        <v>0</v>
      </c>
      <c r="AM30" s="10">
        <f t="shared" si="4"/>
        <v>16</v>
      </c>
      <c r="AN30" s="11">
        <v>0</v>
      </c>
      <c r="AO30" s="11">
        <v>0</v>
      </c>
      <c r="AP30" s="11">
        <v>0</v>
      </c>
      <c r="AQ30" s="10">
        <f t="shared" si="5"/>
        <v>0</v>
      </c>
      <c r="AR30" s="11">
        <v>0</v>
      </c>
      <c r="AS30" s="11">
        <v>1</v>
      </c>
      <c r="AT30" s="10">
        <f t="shared" si="6"/>
        <v>1</v>
      </c>
      <c r="AU30" s="11">
        <v>0</v>
      </c>
      <c r="AV30" s="11">
        <v>0</v>
      </c>
      <c r="AW30" s="11">
        <v>0</v>
      </c>
      <c r="AX30" s="10">
        <f t="shared" si="7"/>
        <v>0</v>
      </c>
      <c r="AY30" s="11">
        <v>0</v>
      </c>
      <c r="AZ30" s="11">
        <v>0</v>
      </c>
      <c r="BA30" s="11">
        <v>1</v>
      </c>
      <c r="BB30" s="10">
        <f t="shared" si="8"/>
        <v>1</v>
      </c>
      <c r="BC30" s="11">
        <v>0</v>
      </c>
      <c r="BD30" s="11">
        <v>0</v>
      </c>
      <c r="BE30" s="10">
        <f t="shared" si="9"/>
        <v>0</v>
      </c>
      <c r="BF30" s="11">
        <v>0</v>
      </c>
      <c r="BG30" s="11">
        <v>0</v>
      </c>
      <c r="BH30" s="10">
        <f t="shared" si="10"/>
        <v>0</v>
      </c>
      <c r="BI30" s="11">
        <v>0</v>
      </c>
      <c r="BJ30" s="11">
        <v>0</v>
      </c>
      <c r="BK30" s="11">
        <v>0</v>
      </c>
      <c r="BL30" s="10">
        <f t="shared" si="11"/>
        <v>0</v>
      </c>
      <c r="BM30" s="11">
        <v>0</v>
      </c>
      <c r="BN30" s="11">
        <v>7</v>
      </c>
      <c r="BO30" s="11">
        <v>2</v>
      </c>
      <c r="BP30" s="11">
        <v>0</v>
      </c>
      <c r="BQ30" s="11">
        <f t="shared" si="13"/>
        <v>153</v>
      </c>
    </row>
    <row r="31" spans="1:70" s="11" customFormat="1" x14ac:dyDescent="0.25">
      <c r="A31" s="11">
        <v>203</v>
      </c>
      <c r="B31" s="11">
        <v>6</v>
      </c>
      <c r="C31" s="11">
        <v>5</v>
      </c>
      <c r="D31" s="12">
        <v>44739</v>
      </c>
      <c r="E31" s="12" t="s">
        <v>42</v>
      </c>
      <c r="F31" s="11" t="s">
        <v>56</v>
      </c>
      <c r="G31" s="24"/>
      <c r="H31" s="13">
        <v>5</v>
      </c>
      <c r="I31" s="14">
        <v>0.31</v>
      </c>
      <c r="J31" s="14">
        <v>7.0000000000000007E-2</v>
      </c>
      <c r="K31" s="15">
        <v>0.76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0">
        <f t="shared" si="2"/>
        <v>0</v>
      </c>
      <c r="S31" s="11">
        <f>SUM(15+20+23+15)</f>
        <v>73</v>
      </c>
      <c r="T31" s="11">
        <f>SUM(23+1+2+20)</f>
        <v>46</v>
      </c>
      <c r="U31" s="11">
        <v>7</v>
      </c>
      <c r="V31" s="11">
        <f>SUM(4+1)</f>
        <v>5</v>
      </c>
      <c r="W31" s="11">
        <v>2</v>
      </c>
      <c r="X31" s="11">
        <v>0</v>
      </c>
      <c r="Y31" s="10">
        <f t="shared" si="3"/>
        <v>133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0">
        <f t="shared" si="12"/>
        <v>0</v>
      </c>
      <c r="AG31" s="11">
        <v>3</v>
      </c>
      <c r="AH31" s="11">
        <v>5</v>
      </c>
      <c r="AI31" s="11">
        <v>5</v>
      </c>
      <c r="AJ31" s="11">
        <v>0</v>
      </c>
      <c r="AK31" s="11">
        <v>0</v>
      </c>
      <c r="AL31" s="11">
        <v>0</v>
      </c>
      <c r="AM31" s="10">
        <f t="shared" si="4"/>
        <v>13</v>
      </c>
      <c r="AN31" s="11">
        <v>0</v>
      </c>
      <c r="AO31" s="11">
        <v>0</v>
      </c>
      <c r="AP31" s="11">
        <v>0</v>
      </c>
      <c r="AQ31" s="10">
        <f t="shared" si="5"/>
        <v>0</v>
      </c>
      <c r="AR31" s="11">
        <v>0</v>
      </c>
      <c r="AS31" s="11">
        <v>0</v>
      </c>
      <c r="AT31" s="10">
        <f t="shared" si="6"/>
        <v>0</v>
      </c>
      <c r="AU31" s="11">
        <v>0</v>
      </c>
      <c r="AV31" s="11">
        <v>0</v>
      </c>
      <c r="AW31" s="11">
        <v>0</v>
      </c>
      <c r="AX31" s="10">
        <f t="shared" si="7"/>
        <v>0</v>
      </c>
      <c r="AY31" s="11">
        <v>0</v>
      </c>
      <c r="AZ31" s="11">
        <v>0</v>
      </c>
      <c r="BA31" s="11">
        <v>0</v>
      </c>
      <c r="BB31" s="10">
        <f t="shared" si="8"/>
        <v>0</v>
      </c>
      <c r="BC31" s="11">
        <v>0</v>
      </c>
      <c r="BD31" s="11">
        <v>0</v>
      </c>
      <c r="BE31" s="10">
        <f t="shared" si="9"/>
        <v>0</v>
      </c>
      <c r="BF31" s="11">
        <v>0</v>
      </c>
      <c r="BG31" s="11">
        <v>0</v>
      </c>
      <c r="BH31" s="10">
        <f t="shared" si="10"/>
        <v>0</v>
      </c>
      <c r="BI31" s="11">
        <v>0</v>
      </c>
      <c r="BJ31" s="11">
        <v>0</v>
      </c>
      <c r="BK31" s="11">
        <v>0</v>
      </c>
      <c r="BL31" s="10">
        <f t="shared" si="11"/>
        <v>0</v>
      </c>
      <c r="BM31" s="11">
        <v>0</v>
      </c>
      <c r="BN31" s="11">
        <v>3</v>
      </c>
      <c r="BO31" s="11">
        <v>1</v>
      </c>
      <c r="BP31" s="11">
        <v>4</v>
      </c>
      <c r="BQ31" s="11">
        <f t="shared" si="13"/>
        <v>154</v>
      </c>
      <c r="BR31" s="11">
        <v>2</v>
      </c>
    </row>
    <row r="32" spans="1:70" s="11" customFormat="1" x14ac:dyDescent="0.25">
      <c r="A32" s="11">
        <v>204</v>
      </c>
      <c r="B32" s="11">
        <v>8</v>
      </c>
      <c r="C32" s="11">
        <v>0</v>
      </c>
      <c r="D32" s="12">
        <v>44734</v>
      </c>
      <c r="E32" s="12" t="s">
        <v>43</v>
      </c>
      <c r="F32" s="11" t="s">
        <v>56</v>
      </c>
      <c r="G32" s="24"/>
      <c r="H32" s="13"/>
      <c r="I32" s="14"/>
      <c r="J32" s="14"/>
      <c r="K32" s="15"/>
      <c r="L32" s="11">
        <f>SUM(19+5+3)</f>
        <v>27</v>
      </c>
      <c r="M32" s="11">
        <f>SUM(3+3+1+4+1)</f>
        <v>12</v>
      </c>
      <c r="N32" s="11">
        <v>1</v>
      </c>
      <c r="O32" s="11">
        <v>0</v>
      </c>
      <c r="P32" s="11">
        <v>0</v>
      </c>
      <c r="Q32" s="11">
        <v>0</v>
      </c>
      <c r="R32" s="10">
        <f t="shared" si="2"/>
        <v>40</v>
      </c>
      <c r="S32" s="11">
        <f>SUM(24+48+111+27+28+36+20+40)</f>
        <v>334</v>
      </c>
      <c r="T32" s="11">
        <v>4</v>
      </c>
      <c r="U32" s="11">
        <v>0</v>
      </c>
      <c r="V32" s="11">
        <v>0</v>
      </c>
      <c r="W32" s="11">
        <v>0</v>
      </c>
      <c r="X32" s="11">
        <v>0</v>
      </c>
      <c r="Y32" s="10">
        <f t="shared" si="3"/>
        <v>338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0">
        <f t="shared" si="12"/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0">
        <f t="shared" si="4"/>
        <v>0</v>
      </c>
      <c r="AN32" s="11">
        <v>0</v>
      </c>
      <c r="AO32" s="11">
        <v>0</v>
      </c>
      <c r="AP32" s="11">
        <v>0</v>
      </c>
      <c r="AQ32" s="10">
        <f t="shared" si="5"/>
        <v>0</v>
      </c>
      <c r="AR32" s="11">
        <v>1</v>
      </c>
      <c r="AS32" s="11">
        <v>0</v>
      </c>
      <c r="AT32" s="10">
        <f t="shared" si="6"/>
        <v>1</v>
      </c>
      <c r="AU32" s="11">
        <v>0</v>
      </c>
      <c r="AV32" s="11">
        <v>0</v>
      </c>
      <c r="AW32" s="11">
        <v>0</v>
      </c>
      <c r="AX32" s="10">
        <f t="shared" si="7"/>
        <v>0</v>
      </c>
      <c r="AY32" s="11">
        <v>0</v>
      </c>
      <c r="AZ32" s="11">
        <v>0</v>
      </c>
      <c r="BA32" s="11">
        <v>0</v>
      </c>
      <c r="BB32" s="10">
        <f t="shared" si="8"/>
        <v>0</v>
      </c>
      <c r="BC32" s="11">
        <v>0</v>
      </c>
      <c r="BD32" s="11">
        <v>0</v>
      </c>
      <c r="BE32" s="10">
        <f t="shared" si="9"/>
        <v>0</v>
      </c>
      <c r="BF32" s="11">
        <v>0</v>
      </c>
      <c r="BG32" s="11">
        <v>0</v>
      </c>
      <c r="BH32" s="10">
        <f t="shared" si="10"/>
        <v>0</v>
      </c>
      <c r="BI32" s="11">
        <v>0</v>
      </c>
      <c r="BJ32" s="11">
        <v>0</v>
      </c>
      <c r="BK32" s="11">
        <v>0</v>
      </c>
      <c r="BL32" s="10">
        <f t="shared" si="11"/>
        <v>0</v>
      </c>
      <c r="BM32" s="11">
        <v>0</v>
      </c>
      <c r="BN32" s="11">
        <v>3</v>
      </c>
      <c r="BO32" s="11">
        <v>0</v>
      </c>
      <c r="BP32" s="11">
        <v>1</v>
      </c>
      <c r="BQ32" s="11">
        <f t="shared" si="13"/>
        <v>383</v>
      </c>
    </row>
    <row r="33" spans="1:70" s="11" customFormat="1" x14ac:dyDescent="0.25">
      <c r="A33" s="11">
        <v>204</v>
      </c>
      <c r="B33" s="11">
        <v>8</v>
      </c>
      <c r="C33" s="11">
        <v>5</v>
      </c>
      <c r="D33" s="12">
        <v>44739</v>
      </c>
      <c r="E33" s="12" t="s">
        <v>43</v>
      </c>
      <c r="F33" s="11" t="s">
        <v>56</v>
      </c>
      <c r="G33" s="24"/>
      <c r="H33" s="13"/>
      <c r="I33" s="14"/>
      <c r="J33" s="14"/>
      <c r="K33" s="15"/>
      <c r="L33" s="11">
        <v>1</v>
      </c>
      <c r="M33" s="11">
        <v>0</v>
      </c>
      <c r="N33" s="11">
        <v>0</v>
      </c>
      <c r="O33" s="11">
        <v>1</v>
      </c>
      <c r="P33" s="11">
        <v>0</v>
      </c>
      <c r="Q33" s="11">
        <v>0</v>
      </c>
      <c r="R33" s="10">
        <f t="shared" si="2"/>
        <v>2</v>
      </c>
      <c r="S33" s="11">
        <v>4</v>
      </c>
      <c r="T33" s="11">
        <v>3</v>
      </c>
      <c r="U33" s="11">
        <v>0</v>
      </c>
      <c r="V33" s="11">
        <v>2</v>
      </c>
      <c r="W33" s="11">
        <v>0</v>
      </c>
      <c r="X33" s="11">
        <v>0</v>
      </c>
      <c r="Y33" s="10">
        <f t="shared" si="3"/>
        <v>9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0">
        <f t="shared" si="12"/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>
        <f t="shared" si="4"/>
        <v>0</v>
      </c>
      <c r="AN33" s="11">
        <v>0</v>
      </c>
      <c r="AO33" s="11">
        <v>0</v>
      </c>
      <c r="AP33" s="11">
        <v>0</v>
      </c>
      <c r="AQ33" s="10">
        <f t="shared" si="5"/>
        <v>0</v>
      </c>
      <c r="AR33" s="11">
        <v>0</v>
      </c>
      <c r="AS33" s="11">
        <v>0</v>
      </c>
      <c r="AT33" s="10">
        <f t="shared" si="6"/>
        <v>0</v>
      </c>
      <c r="AU33" s="11">
        <v>0</v>
      </c>
      <c r="AV33" s="11">
        <v>0</v>
      </c>
      <c r="AW33" s="11">
        <v>0</v>
      </c>
      <c r="AX33" s="10">
        <f t="shared" si="7"/>
        <v>0</v>
      </c>
      <c r="AY33" s="11">
        <v>0</v>
      </c>
      <c r="AZ33" s="11">
        <v>0</v>
      </c>
      <c r="BA33" s="11">
        <v>0</v>
      </c>
      <c r="BB33" s="10">
        <f t="shared" si="8"/>
        <v>0</v>
      </c>
      <c r="BC33" s="11">
        <v>0</v>
      </c>
      <c r="BD33" s="11">
        <v>0</v>
      </c>
      <c r="BE33" s="10">
        <f t="shared" si="9"/>
        <v>0</v>
      </c>
      <c r="BF33" s="11">
        <v>0</v>
      </c>
      <c r="BG33" s="11">
        <v>0</v>
      </c>
      <c r="BH33" s="10">
        <f t="shared" si="10"/>
        <v>0</v>
      </c>
      <c r="BI33" s="11">
        <v>0</v>
      </c>
      <c r="BJ33" s="11">
        <v>0</v>
      </c>
      <c r="BK33" s="11">
        <v>0</v>
      </c>
      <c r="BL33" s="10">
        <f t="shared" si="11"/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f t="shared" si="13"/>
        <v>11</v>
      </c>
      <c r="BR33" s="11">
        <v>7</v>
      </c>
    </row>
    <row r="34" spans="1:70" s="11" customFormat="1" x14ac:dyDescent="0.25">
      <c r="A34" s="11">
        <v>205</v>
      </c>
      <c r="B34" s="11">
        <v>7</v>
      </c>
      <c r="C34" s="11">
        <v>0</v>
      </c>
      <c r="D34" s="12">
        <v>44734</v>
      </c>
      <c r="E34" s="12" t="s">
        <v>43</v>
      </c>
      <c r="F34" s="11" t="s">
        <v>57</v>
      </c>
      <c r="G34" s="24"/>
      <c r="H34" s="13"/>
      <c r="I34" s="14"/>
      <c r="J34" s="14"/>
      <c r="K34" s="15"/>
      <c r="L34" s="11">
        <f>SUM(23+1+3)</f>
        <v>27</v>
      </c>
      <c r="M34" s="11">
        <v>2</v>
      </c>
      <c r="N34" s="11">
        <v>0</v>
      </c>
      <c r="O34" s="11">
        <v>0</v>
      </c>
      <c r="P34" s="11">
        <v>0</v>
      </c>
      <c r="Q34" s="11">
        <v>0</v>
      </c>
      <c r="R34" s="10">
        <f t="shared" si="2"/>
        <v>29</v>
      </c>
      <c r="S34" s="11">
        <f>SUM(24+29+58+27+38+48+29+42+24+32+35)</f>
        <v>386</v>
      </c>
      <c r="T34" s="11">
        <v>5</v>
      </c>
      <c r="U34" s="11">
        <v>0</v>
      </c>
      <c r="V34" s="11">
        <v>0</v>
      </c>
      <c r="W34" s="11">
        <v>0</v>
      </c>
      <c r="X34" s="11">
        <v>0</v>
      </c>
      <c r="Y34" s="10">
        <f t="shared" si="3"/>
        <v>391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0">
        <f t="shared" si="12"/>
        <v>0</v>
      </c>
      <c r="AG34" s="11">
        <v>2</v>
      </c>
      <c r="AH34" s="11">
        <v>6</v>
      </c>
      <c r="AI34" s="11">
        <v>0</v>
      </c>
      <c r="AJ34" s="11">
        <v>0</v>
      </c>
      <c r="AK34" s="11">
        <v>0</v>
      </c>
      <c r="AL34" s="11">
        <v>0</v>
      </c>
      <c r="AM34" s="10">
        <f t="shared" si="4"/>
        <v>8</v>
      </c>
      <c r="AN34" s="11">
        <v>0</v>
      </c>
      <c r="AO34" s="11">
        <v>0</v>
      </c>
      <c r="AP34" s="11">
        <v>0</v>
      </c>
      <c r="AQ34" s="10">
        <f t="shared" si="5"/>
        <v>0</v>
      </c>
      <c r="AR34" s="11">
        <v>0</v>
      </c>
      <c r="AS34" s="11">
        <v>0</v>
      </c>
      <c r="AT34" s="10">
        <f t="shared" si="6"/>
        <v>0</v>
      </c>
      <c r="AU34" s="11">
        <v>0</v>
      </c>
      <c r="AV34" s="11">
        <v>0</v>
      </c>
      <c r="AW34" s="11">
        <v>1</v>
      </c>
      <c r="AX34" s="10">
        <f t="shared" si="7"/>
        <v>1</v>
      </c>
      <c r="AY34" s="11">
        <v>0</v>
      </c>
      <c r="AZ34" s="11">
        <v>0</v>
      </c>
      <c r="BA34" s="11">
        <v>0</v>
      </c>
      <c r="BB34" s="10">
        <f t="shared" si="8"/>
        <v>0</v>
      </c>
      <c r="BC34" s="11">
        <v>0</v>
      </c>
      <c r="BD34" s="11">
        <v>0</v>
      </c>
      <c r="BE34" s="10">
        <f t="shared" si="9"/>
        <v>0</v>
      </c>
      <c r="BF34" s="11">
        <v>0</v>
      </c>
      <c r="BG34" s="11">
        <v>0</v>
      </c>
      <c r="BH34" s="10">
        <f t="shared" si="10"/>
        <v>0</v>
      </c>
      <c r="BI34" s="11">
        <v>0</v>
      </c>
      <c r="BJ34" s="11">
        <v>0</v>
      </c>
      <c r="BK34" s="11">
        <v>0</v>
      </c>
      <c r="BL34" s="10">
        <f t="shared" si="11"/>
        <v>0</v>
      </c>
      <c r="BM34" s="11">
        <v>0</v>
      </c>
      <c r="BN34" s="11">
        <v>2</v>
      </c>
      <c r="BO34" s="11">
        <v>0</v>
      </c>
      <c r="BP34" s="11">
        <v>0</v>
      </c>
      <c r="BQ34" s="11">
        <f t="shared" si="13"/>
        <v>431</v>
      </c>
    </row>
    <row r="35" spans="1:70" s="11" customFormat="1" x14ac:dyDescent="0.25">
      <c r="A35" s="11">
        <v>205</v>
      </c>
      <c r="B35" s="11">
        <v>7</v>
      </c>
      <c r="C35" s="11">
        <v>5</v>
      </c>
      <c r="D35" s="12">
        <v>44739</v>
      </c>
      <c r="E35" s="12" t="s">
        <v>43</v>
      </c>
      <c r="F35" s="11" t="s">
        <v>57</v>
      </c>
      <c r="G35" s="24"/>
      <c r="H35" s="13"/>
      <c r="I35" s="14"/>
      <c r="J35" s="14"/>
      <c r="K35" s="15"/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0">
        <f t="shared" si="2"/>
        <v>0</v>
      </c>
      <c r="S35" s="11">
        <v>1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0">
        <f t="shared" si="3"/>
        <v>1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0">
        <f t="shared" si="12"/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0">
        <f t="shared" si="4"/>
        <v>0</v>
      </c>
      <c r="AN35" s="11">
        <v>0</v>
      </c>
      <c r="AO35" s="11">
        <v>0</v>
      </c>
      <c r="AP35" s="11">
        <v>0</v>
      </c>
      <c r="AQ35" s="10">
        <f t="shared" si="5"/>
        <v>0</v>
      </c>
      <c r="AR35" s="11">
        <v>0</v>
      </c>
      <c r="AS35" s="11">
        <v>0</v>
      </c>
      <c r="AT35" s="10">
        <f t="shared" si="6"/>
        <v>0</v>
      </c>
      <c r="AU35" s="11">
        <v>0</v>
      </c>
      <c r="AV35" s="11">
        <v>0</v>
      </c>
      <c r="AW35" s="11">
        <v>0</v>
      </c>
      <c r="AX35" s="10">
        <f t="shared" si="7"/>
        <v>0</v>
      </c>
      <c r="AY35" s="11">
        <v>0</v>
      </c>
      <c r="AZ35" s="11">
        <v>0</v>
      </c>
      <c r="BA35" s="11">
        <v>0</v>
      </c>
      <c r="BB35" s="10">
        <f t="shared" si="8"/>
        <v>0</v>
      </c>
      <c r="BC35" s="11">
        <v>0</v>
      </c>
      <c r="BD35" s="11">
        <v>0</v>
      </c>
      <c r="BE35" s="10">
        <f t="shared" si="9"/>
        <v>0</v>
      </c>
      <c r="BF35" s="11">
        <v>0</v>
      </c>
      <c r="BG35" s="11">
        <v>0</v>
      </c>
      <c r="BH35" s="10">
        <f t="shared" si="10"/>
        <v>0</v>
      </c>
      <c r="BI35" s="11">
        <v>0</v>
      </c>
      <c r="BJ35" s="11">
        <v>0</v>
      </c>
      <c r="BK35" s="11">
        <v>0</v>
      </c>
      <c r="BL35" s="10">
        <f t="shared" si="11"/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f t="shared" si="13"/>
        <v>1</v>
      </c>
      <c r="BR35" s="11">
        <v>19</v>
      </c>
    </row>
    <row r="36" spans="1:70" s="11" customFormat="1" x14ac:dyDescent="0.25">
      <c r="A36" s="11">
        <v>206</v>
      </c>
      <c r="B36" s="11">
        <v>12</v>
      </c>
      <c r="C36" s="11">
        <v>0</v>
      </c>
      <c r="D36" s="12">
        <v>44734</v>
      </c>
      <c r="E36" s="12" t="s">
        <v>43</v>
      </c>
      <c r="F36" s="11" t="s">
        <v>56</v>
      </c>
      <c r="G36" s="24"/>
      <c r="H36" s="13"/>
      <c r="I36" s="14"/>
      <c r="J36" s="14"/>
      <c r="K36" s="15"/>
      <c r="L36" s="11">
        <v>0</v>
      </c>
      <c r="M36" s="11">
        <v>1</v>
      </c>
      <c r="N36" s="11">
        <v>0</v>
      </c>
      <c r="O36" s="11">
        <v>0</v>
      </c>
      <c r="P36" s="11">
        <v>0</v>
      </c>
      <c r="Q36" s="11">
        <v>0</v>
      </c>
      <c r="R36" s="10">
        <f t="shared" si="2"/>
        <v>1</v>
      </c>
      <c r="S36" s="11">
        <f>SUM(23+10+23+13+31+37+9+14+43+30+27+67)</f>
        <v>327</v>
      </c>
      <c r="T36" s="11">
        <v>3</v>
      </c>
      <c r="U36" s="11">
        <v>2</v>
      </c>
      <c r="V36" s="11">
        <v>0</v>
      </c>
      <c r="W36" s="11">
        <v>0</v>
      </c>
      <c r="X36" s="11">
        <v>0</v>
      </c>
      <c r="Y36" s="10">
        <f t="shared" si="3"/>
        <v>332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0">
        <f t="shared" si="12"/>
        <v>0</v>
      </c>
      <c r="AG36" s="11">
        <f>SUM(1)</f>
        <v>1</v>
      </c>
      <c r="AH36" s="11">
        <v>4</v>
      </c>
      <c r="AI36" s="11">
        <v>1</v>
      </c>
      <c r="AJ36" s="11">
        <v>0</v>
      </c>
      <c r="AK36" s="11">
        <v>0</v>
      </c>
      <c r="AL36" s="11">
        <v>0</v>
      </c>
      <c r="AM36" s="10">
        <f t="shared" si="4"/>
        <v>6</v>
      </c>
      <c r="AN36" s="11">
        <v>0</v>
      </c>
      <c r="AO36" s="11">
        <v>0</v>
      </c>
      <c r="AP36" s="11">
        <v>0</v>
      </c>
      <c r="AQ36" s="10">
        <f t="shared" si="5"/>
        <v>0</v>
      </c>
      <c r="AR36" s="11">
        <v>0</v>
      </c>
      <c r="AS36" s="11">
        <v>0</v>
      </c>
      <c r="AT36" s="10">
        <f t="shared" si="6"/>
        <v>0</v>
      </c>
      <c r="AU36" s="11">
        <v>0</v>
      </c>
      <c r="AV36" s="11">
        <v>0</v>
      </c>
      <c r="AW36" s="11">
        <v>0</v>
      </c>
      <c r="AX36" s="10">
        <f t="shared" si="7"/>
        <v>0</v>
      </c>
      <c r="AY36" s="11">
        <v>0</v>
      </c>
      <c r="AZ36" s="11">
        <v>0</v>
      </c>
      <c r="BA36" s="11">
        <v>0</v>
      </c>
      <c r="BB36" s="10">
        <f t="shared" si="8"/>
        <v>0</v>
      </c>
      <c r="BC36" s="11">
        <v>0</v>
      </c>
      <c r="BD36" s="11">
        <v>0</v>
      </c>
      <c r="BE36" s="10">
        <f t="shared" si="9"/>
        <v>0</v>
      </c>
      <c r="BF36" s="11">
        <v>0</v>
      </c>
      <c r="BG36" s="11">
        <v>0</v>
      </c>
      <c r="BH36" s="10">
        <f t="shared" si="10"/>
        <v>0</v>
      </c>
      <c r="BI36" s="21">
        <v>1</v>
      </c>
      <c r="BJ36" s="11">
        <v>0</v>
      </c>
      <c r="BK36" s="11">
        <v>0</v>
      </c>
      <c r="BL36" s="10">
        <f t="shared" si="11"/>
        <v>0</v>
      </c>
      <c r="BM36" s="11">
        <v>0</v>
      </c>
      <c r="BN36" s="11">
        <v>0</v>
      </c>
      <c r="BO36" s="11">
        <v>1</v>
      </c>
      <c r="BP36" s="11">
        <v>0</v>
      </c>
      <c r="BQ36" s="11">
        <f t="shared" si="13"/>
        <v>341</v>
      </c>
    </row>
    <row r="37" spans="1:70" s="11" customFormat="1" x14ac:dyDescent="0.25">
      <c r="A37" s="11">
        <v>206</v>
      </c>
      <c r="B37" s="11">
        <v>12</v>
      </c>
      <c r="C37" s="11">
        <v>5</v>
      </c>
      <c r="D37" s="12">
        <v>44739</v>
      </c>
      <c r="E37" s="12" t="s">
        <v>43</v>
      </c>
      <c r="F37" s="11" t="s">
        <v>56</v>
      </c>
      <c r="G37" s="24"/>
      <c r="H37" s="13"/>
      <c r="I37" s="14"/>
      <c r="J37" s="14"/>
      <c r="K37" s="15"/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0">
        <f t="shared" si="2"/>
        <v>0</v>
      </c>
      <c r="S37" s="11">
        <v>2</v>
      </c>
      <c r="T37" s="11">
        <v>0</v>
      </c>
      <c r="U37" s="11">
        <v>0</v>
      </c>
      <c r="V37" s="11">
        <v>1</v>
      </c>
      <c r="W37" s="11">
        <v>0</v>
      </c>
      <c r="X37" s="11">
        <v>0</v>
      </c>
      <c r="Y37" s="10">
        <f t="shared" si="3"/>
        <v>3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0">
        <f t="shared" si="12"/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0">
        <f t="shared" si="4"/>
        <v>0</v>
      </c>
      <c r="AN37" s="11">
        <v>0</v>
      </c>
      <c r="AO37" s="11">
        <v>0</v>
      </c>
      <c r="AP37" s="11">
        <v>0</v>
      </c>
      <c r="AQ37" s="10">
        <f t="shared" si="5"/>
        <v>0</v>
      </c>
      <c r="AR37" s="11">
        <v>0</v>
      </c>
      <c r="AS37" s="11">
        <v>0</v>
      </c>
      <c r="AT37" s="10">
        <f t="shared" si="6"/>
        <v>0</v>
      </c>
      <c r="AU37" s="11">
        <v>0</v>
      </c>
      <c r="AV37" s="11">
        <v>0</v>
      </c>
      <c r="AW37" s="11">
        <v>0</v>
      </c>
      <c r="AX37" s="10">
        <f t="shared" si="7"/>
        <v>0</v>
      </c>
      <c r="AY37" s="11">
        <v>0</v>
      </c>
      <c r="AZ37" s="11">
        <v>0</v>
      </c>
      <c r="BA37" s="11">
        <v>0</v>
      </c>
      <c r="BB37" s="10">
        <f t="shared" si="8"/>
        <v>0</v>
      </c>
      <c r="BC37" s="11">
        <v>0</v>
      </c>
      <c r="BD37" s="11">
        <v>0</v>
      </c>
      <c r="BE37" s="10">
        <f t="shared" si="9"/>
        <v>0</v>
      </c>
      <c r="BF37" s="11">
        <v>0</v>
      </c>
      <c r="BG37" s="11">
        <v>0</v>
      </c>
      <c r="BH37" s="10">
        <f t="shared" si="10"/>
        <v>0</v>
      </c>
      <c r="BI37" s="11">
        <v>0</v>
      </c>
      <c r="BJ37" s="11">
        <v>0</v>
      </c>
      <c r="BK37" s="11">
        <v>0</v>
      </c>
      <c r="BL37" s="10">
        <f t="shared" si="11"/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f t="shared" si="13"/>
        <v>3</v>
      </c>
      <c r="BR37" s="11">
        <v>13</v>
      </c>
    </row>
    <row r="38" spans="1:70" s="11" customFormat="1" x14ac:dyDescent="0.25">
      <c r="A38" s="11">
        <v>207</v>
      </c>
      <c r="B38" s="11">
        <v>7</v>
      </c>
      <c r="C38" s="11">
        <v>0</v>
      </c>
      <c r="D38" s="12">
        <v>44734</v>
      </c>
      <c r="E38" s="12" t="s">
        <v>43</v>
      </c>
      <c r="F38" s="11" t="s">
        <v>57</v>
      </c>
      <c r="G38" s="24"/>
      <c r="H38" s="13"/>
      <c r="I38" s="14"/>
      <c r="J38" s="14"/>
      <c r="K38" s="15"/>
      <c r="L38" s="11">
        <v>0</v>
      </c>
      <c r="M38" s="11">
        <v>2</v>
      </c>
      <c r="N38" s="11">
        <v>0</v>
      </c>
      <c r="O38" s="11">
        <v>0</v>
      </c>
      <c r="P38" s="11">
        <v>0</v>
      </c>
      <c r="Q38" s="11">
        <v>0</v>
      </c>
      <c r="R38" s="10">
        <f t="shared" si="2"/>
        <v>2</v>
      </c>
      <c r="S38" s="11">
        <f>SUM(4+6+1+3+1)</f>
        <v>15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0">
        <f t="shared" si="3"/>
        <v>15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0">
        <f t="shared" si="12"/>
        <v>0</v>
      </c>
      <c r="AG38" s="11">
        <v>0</v>
      </c>
      <c r="AH38" s="11">
        <v>5</v>
      </c>
      <c r="AI38" s="11">
        <v>0</v>
      </c>
      <c r="AJ38" s="11">
        <v>0</v>
      </c>
      <c r="AK38" s="11">
        <v>0</v>
      </c>
      <c r="AL38" s="11">
        <v>0</v>
      </c>
      <c r="AM38" s="10">
        <f t="shared" si="4"/>
        <v>5</v>
      </c>
      <c r="AN38" s="11">
        <v>0</v>
      </c>
      <c r="AO38" s="11">
        <v>0</v>
      </c>
      <c r="AP38" s="11">
        <v>0</v>
      </c>
      <c r="AQ38" s="10">
        <f t="shared" si="5"/>
        <v>0</v>
      </c>
      <c r="AR38" s="11">
        <v>0</v>
      </c>
      <c r="AS38" s="11">
        <v>0</v>
      </c>
      <c r="AT38" s="10">
        <f t="shared" si="6"/>
        <v>0</v>
      </c>
      <c r="AU38" s="11">
        <v>0</v>
      </c>
      <c r="AV38" s="11">
        <v>0</v>
      </c>
      <c r="AW38" s="11">
        <v>0</v>
      </c>
      <c r="AX38" s="10">
        <f t="shared" si="7"/>
        <v>0</v>
      </c>
      <c r="AY38" s="11">
        <v>0</v>
      </c>
      <c r="AZ38" s="11">
        <v>0</v>
      </c>
      <c r="BA38" s="11">
        <v>0</v>
      </c>
      <c r="BB38" s="10">
        <f t="shared" si="8"/>
        <v>0</v>
      </c>
      <c r="BC38" s="11">
        <v>0</v>
      </c>
      <c r="BD38" s="11">
        <v>0</v>
      </c>
      <c r="BE38" s="10">
        <f t="shared" si="9"/>
        <v>0</v>
      </c>
      <c r="BF38" s="11">
        <v>0</v>
      </c>
      <c r="BG38" s="11">
        <v>0</v>
      </c>
      <c r="BH38" s="10">
        <f t="shared" si="10"/>
        <v>0</v>
      </c>
      <c r="BI38" s="11">
        <v>0</v>
      </c>
      <c r="BJ38" s="11">
        <v>0</v>
      </c>
      <c r="BK38" s="11">
        <v>0</v>
      </c>
      <c r="BL38" s="10">
        <f t="shared" si="11"/>
        <v>0</v>
      </c>
      <c r="BM38" s="11">
        <v>0</v>
      </c>
      <c r="BN38" s="11">
        <v>0</v>
      </c>
      <c r="BO38" s="11">
        <v>0</v>
      </c>
      <c r="BP38" s="11">
        <v>1</v>
      </c>
      <c r="BQ38" s="11">
        <f t="shared" si="13"/>
        <v>23</v>
      </c>
    </row>
    <row r="39" spans="1:70" s="11" customFormat="1" x14ac:dyDescent="0.25">
      <c r="A39" s="11">
        <v>207</v>
      </c>
      <c r="B39" s="11">
        <v>7</v>
      </c>
      <c r="C39" s="11">
        <v>5</v>
      </c>
      <c r="D39" s="12">
        <v>44739</v>
      </c>
      <c r="E39" s="12" t="s">
        <v>43</v>
      </c>
      <c r="F39" s="11" t="s">
        <v>57</v>
      </c>
      <c r="G39" s="24"/>
      <c r="H39" s="13"/>
      <c r="I39" s="14"/>
      <c r="J39" s="14"/>
      <c r="K39" s="15"/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0">
        <f t="shared" si="2"/>
        <v>0</v>
      </c>
      <c r="S39" s="11">
        <v>1</v>
      </c>
      <c r="T39" s="11">
        <v>0</v>
      </c>
      <c r="U39" s="11">
        <v>0</v>
      </c>
      <c r="V39" s="11">
        <v>2</v>
      </c>
      <c r="W39" s="11">
        <v>0</v>
      </c>
      <c r="X39" s="11">
        <v>0</v>
      </c>
      <c r="Y39" s="10">
        <f t="shared" si="3"/>
        <v>3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0">
        <f t="shared" si="12"/>
        <v>0</v>
      </c>
      <c r="AG39" s="11">
        <v>0</v>
      </c>
      <c r="AH39" s="11">
        <v>0</v>
      </c>
      <c r="AI39" s="11">
        <v>1</v>
      </c>
      <c r="AJ39" s="11">
        <v>1</v>
      </c>
      <c r="AK39" s="11">
        <v>0</v>
      </c>
      <c r="AL39" s="11">
        <v>0</v>
      </c>
      <c r="AM39" s="10">
        <f t="shared" si="4"/>
        <v>2</v>
      </c>
      <c r="AN39" s="11">
        <v>0</v>
      </c>
      <c r="AO39" s="11">
        <v>0</v>
      </c>
      <c r="AP39" s="11">
        <v>0</v>
      </c>
      <c r="AQ39" s="10">
        <f t="shared" si="5"/>
        <v>0</v>
      </c>
      <c r="AR39" s="11">
        <v>0</v>
      </c>
      <c r="AS39" s="11">
        <v>0</v>
      </c>
      <c r="AT39" s="10">
        <f t="shared" si="6"/>
        <v>0</v>
      </c>
      <c r="AU39" s="11">
        <v>0</v>
      </c>
      <c r="AV39" s="11">
        <v>0</v>
      </c>
      <c r="AW39" s="11">
        <v>0</v>
      </c>
      <c r="AX39" s="10">
        <f t="shared" si="7"/>
        <v>0</v>
      </c>
      <c r="AY39" s="11">
        <v>0</v>
      </c>
      <c r="AZ39" s="11">
        <v>0</v>
      </c>
      <c r="BA39" s="11">
        <v>0</v>
      </c>
      <c r="BB39" s="10">
        <f t="shared" si="8"/>
        <v>0</v>
      </c>
      <c r="BC39" s="11">
        <v>0</v>
      </c>
      <c r="BD39" s="11">
        <v>0</v>
      </c>
      <c r="BE39" s="10">
        <f t="shared" si="9"/>
        <v>0</v>
      </c>
      <c r="BF39" s="11">
        <v>0</v>
      </c>
      <c r="BG39" s="11">
        <v>0</v>
      </c>
      <c r="BH39" s="10">
        <f t="shared" si="10"/>
        <v>0</v>
      </c>
      <c r="BI39" s="11">
        <v>0</v>
      </c>
      <c r="BJ39" s="11">
        <v>0</v>
      </c>
      <c r="BK39" s="11">
        <v>0</v>
      </c>
      <c r="BL39" s="10">
        <f t="shared" si="11"/>
        <v>0</v>
      </c>
      <c r="BM39" s="11">
        <v>0</v>
      </c>
      <c r="BN39" s="11">
        <v>1</v>
      </c>
      <c r="BO39" s="11">
        <v>0</v>
      </c>
      <c r="BP39" s="11">
        <v>0</v>
      </c>
      <c r="BQ39" s="11">
        <f t="shared" si="13"/>
        <v>6</v>
      </c>
      <c r="BR39" s="11">
        <v>4</v>
      </c>
    </row>
    <row r="40" spans="1:70" s="11" customFormat="1" x14ac:dyDescent="0.25">
      <c r="A40" s="11">
        <v>208</v>
      </c>
      <c r="B40" s="11">
        <v>4</v>
      </c>
      <c r="C40" s="11">
        <v>0</v>
      </c>
      <c r="D40" s="12">
        <v>44728</v>
      </c>
      <c r="E40" s="12" t="s">
        <v>43</v>
      </c>
      <c r="F40" s="12" t="s">
        <v>56</v>
      </c>
      <c r="G40" s="24">
        <v>9</v>
      </c>
      <c r="H40" s="13"/>
      <c r="I40" s="14"/>
      <c r="J40" s="14"/>
      <c r="K40" s="15"/>
      <c r="L40" s="11">
        <f>1+3+2</f>
        <v>6</v>
      </c>
      <c r="M40" s="11">
        <v>1</v>
      </c>
      <c r="N40" s="11">
        <v>0</v>
      </c>
      <c r="O40" s="11">
        <v>0</v>
      </c>
      <c r="P40" s="11">
        <v>0</v>
      </c>
      <c r="Q40" s="11">
        <v>0</v>
      </c>
      <c r="R40" s="10">
        <f t="shared" si="2"/>
        <v>7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0">
        <f t="shared" si="3"/>
        <v>0</v>
      </c>
      <c r="Z40" s="11">
        <v>1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0">
        <f t="shared" si="12"/>
        <v>1</v>
      </c>
      <c r="AG40" s="11">
        <f>1+9+5+15+2</f>
        <v>32</v>
      </c>
      <c r="AH40" s="11">
        <f>3+3+2</f>
        <v>8</v>
      </c>
      <c r="AI40" s="11">
        <f>2</f>
        <v>2</v>
      </c>
      <c r="AJ40" s="11">
        <v>0</v>
      </c>
      <c r="AK40" s="11">
        <v>0</v>
      </c>
      <c r="AL40" s="11">
        <v>0</v>
      </c>
      <c r="AM40" s="10">
        <f t="shared" si="4"/>
        <v>42</v>
      </c>
      <c r="AN40" s="11">
        <v>0</v>
      </c>
      <c r="AO40" s="11">
        <v>0</v>
      </c>
      <c r="AP40" s="11">
        <v>0</v>
      </c>
      <c r="AQ40" s="10">
        <f t="shared" si="5"/>
        <v>0</v>
      </c>
      <c r="AR40" s="11">
        <v>0</v>
      </c>
      <c r="AS40" s="11">
        <v>0</v>
      </c>
      <c r="AT40" s="10">
        <f t="shared" si="6"/>
        <v>0</v>
      </c>
      <c r="AU40" s="11">
        <v>1</v>
      </c>
      <c r="AV40" s="11">
        <v>1</v>
      </c>
      <c r="AW40" s="11">
        <v>0</v>
      </c>
      <c r="AX40" s="10">
        <f t="shared" si="7"/>
        <v>2</v>
      </c>
      <c r="AY40" s="11">
        <v>0</v>
      </c>
      <c r="AZ40" s="11">
        <v>0</v>
      </c>
      <c r="BA40" s="11">
        <v>0</v>
      </c>
      <c r="BB40" s="10">
        <f t="shared" si="8"/>
        <v>0</v>
      </c>
      <c r="BC40" s="11">
        <v>0</v>
      </c>
      <c r="BD40" s="11">
        <v>0</v>
      </c>
      <c r="BE40" s="10">
        <f t="shared" si="9"/>
        <v>0</v>
      </c>
      <c r="BF40" s="11">
        <v>0</v>
      </c>
      <c r="BG40" s="11">
        <v>0</v>
      </c>
      <c r="BH40" s="10">
        <f t="shared" si="10"/>
        <v>0</v>
      </c>
      <c r="BI40" s="11">
        <v>0</v>
      </c>
      <c r="BJ40" s="11">
        <v>0</v>
      </c>
      <c r="BK40" s="11">
        <v>0</v>
      </c>
      <c r="BL40" s="10">
        <f t="shared" si="11"/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f t="shared" si="13"/>
        <v>52</v>
      </c>
    </row>
    <row r="41" spans="1:70" s="11" customFormat="1" x14ac:dyDescent="0.25">
      <c r="A41" s="11">
        <v>208</v>
      </c>
      <c r="B41" s="11">
        <v>4</v>
      </c>
      <c r="C41" s="11">
        <v>5</v>
      </c>
      <c r="D41" s="12">
        <v>44733</v>
      </c>
      <c r="E41" s="12" t="s">
        <v>43</v>
      </c>
      <c r="F41" s="12" t="s">
        <v>56</v>
      </c>
      <c r="G41" s="24">
        <v>9</v>
      </c>
      <c r="H41" s="13"/>
      <c r="I41" s="14"/>
      <c r="J41" s="14"/>
      <c r="K41" s="15"/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0">
        <f t="shared" si="2"/>
        <v>0</v>
      </c>
      <c r="S41" s="11">
        <v>1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0">
        <f t="shared" si="3"/>
        <v>1</v>
      </c>
      <c r="Z41" s="11">
        <v>3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0">
        <f t="shared" si="12"/>
        <v>3</v>
      </c>
      <c r="AG41" s="11">
        <v>0</v>
      </c>
      <c r="AH41" s="11">
        <v>3</v>
      </c>
      <c r="AI41" s="11">
        <v>0</v>
      </c>
      <c r="AJ41" s="11">
        <v>0</v>
      </c>
      <c r="AK41" s="11">
        <v>0</v>
      </c>
      <c r="AL41" s="11">
        <v>0</v>
      </c>
      <c r="AM41" s="10">
        <f t="shared" si="4"/>
        <v>3</v>
      </c>
      <c r="AN41" s="11">
        <v>0</v>
      </c>
      <c r="AO41" s="11">
        <v>0</v>
      </c>
      <c r="AP41" s="11">
        <v>0</v>
      </c>
      <c r="AQ41" s="10">
        <f t="shared" si="5"/>
        <v>0</v>
      </c>
      <c r="AR41" s="11">
        <v>0</v>
      </c>
      <c r="AS41" s="11">
        <v>0</v>
      </c>
      <c r="AT41" s="10">
        <f t="shared" si="6"/>
        <v>0</v>
      </c>
      <c r="AU41" s="11">
        <v>0</v>
      </c>
      <c r="AV41" s="11">
        <v>0</v>
      </c>
      <c r="AW41" s="11">
        <v>0</v>
      </c>
      <c r="AX41" s="10">
        <f t="shared" si="7"/>
        <v>0</v>
      </c>
      <c r="AY41" s="11">
        <v>0</v>
      </c>
      <c r="AZ41" s="11">
        <v>0</v>
      </c>
      <c r="BA41" s="11">
        <v>0</v>
      </c>
      <c r="BB41" s="10">
        <f t="shared" si="8"/>
        <v>0</v>
      </c>
      <c r="BC41" s="11">
        <v>0</v>
      </c>
      <c r="BD41" s="11">
        <v>0</v>
      </c>
      <c r="BE41" s="10">
        <f t="shared" si="9"/>
        <v>0</v>
      </c>
      <c r="BF41" s="11">
        <v>0</v>
      </c>
      <c r="BG41" s="11">
        <v>0</v>
      </c>
      <c r="BH41" s="10">
        <f t="shared" si="10"/>
        <v>0</v>
      </c>
      <c r="BI41" s="11">
        <v>0</v>
      </c>
      <c r="BJ41" s="11">
        <v>0</v>
      </c>
      <c r="BK41" s="11">
        <v>0</v>
      </c>
      <c r="BL41" s="10">
        <f t="shared" si="11"/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f t="shared" si="13"/>
        <v>7</v>
      </c>
      <c r="BR41" s="11">
        <v>3</v>
      </c>
    </row>
    <row r="42" spans="1:70" s="11" customFormat="1" x14ac:dyDescent="0.25">
      <c r="A42" s="11">
        <v>209</v>
      </c>
      <c r="B42" s="11">
        <v>5</v>
      </c>
      <c r="C42" s="11">
        <v>0</v>
      </c>
      <c r="D42" s="12">
        <v>44734</v>
      </c>
      <c r="E42" s="12" t="s">
        <v>42</v>
      </c>
      <c r="F42" s="11" t="s">
        <v>56</v>
      </c>
      <c r="G42" s="24"/>
      <c r="H42" s="13">
        <v>1</v>
      </c>
      <c r="I42" s="14">
        <v>0.34</v>
      </c>
      <c r="J42" s="14">
        <v>0.15</v>
      </c>
      <c r="K42" s="15">
        <v>0.54</v>
      </c>
      <c r="L42" s="11">
        <v>2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0">
        <f t="shared" si="2"/>
        <v>2</v>
      </c>
      <c r="S42" s="11">
        <f>SUM(6+9+6+6+12)</f>
        <v>39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0">
        <f t="shared" si="3"/>
        <v>39</v>
      </c>
      <c r="Z42" s="11">
        <f>SUM(6+2+5+5+9)</f>
        <v>27</v>
      </c>
      <c r="AA42" s="11">
        <f>SUM(1+3+1+8)</f>
        <v>13</v>
      </c>
      <c r="AB42" s="11">
        <v>0</v>
      </c>
      <c r="AC42" s="11">
        <v>0</v>
      </c>
      <c r="AD42" s="11">
        <v>0</v>
      </c>
      <c r="AE42" s="11">
        <v>0</v>
      </c>
      <c r="AF42" s="10">
        <f t="shared" si="12"/>
        <v>40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0">
        <f t="shared" si="4"/>
        <v>0</v>
      </c>
      <c r="AN42" s="11">
        <v>0</v>
      </c>
      <c r="AO42" s="11">
        <v>0</v>
      </c>
      <c r="AP42" s="11">
        <v>0</v>
      </c>
      <c r="AQ42" s="10">
        <f t="shared" si="5"/>
        <v>0</v>
      </c>
      <c r="AR42" s="11">
        <v>0</v>
      </c>
      <c r="AS42" s="11">
        <v>0</v>
      </c>
      <c r="AT42" s="10">
        <f t="shared" si="6"/>
        <v>0</v>
      </c>
      <c r="AU42" s="11">
        <v>0</v>
      </c>
      <c r="AV42" s="11">
        <v>0</v>
      </c>
      <c r="AW42" s="11">
        <v>0</v>
      </c>
      <c r="AX42" s="10">
        <f t="shared" si="7"/>
        <v>0</v>
      </c>
      <c r="AY42" s="11">
        <v>0</v>
      </c>
      <c r="AZ42" s="11">
        <v>0</v>
      </c>
      <c r="BA42" s="11">
        <v>0</v>
      </c>
      <c r="BB42" s="10">
        <f t="shared" si="8"/>
        <v>0</v>
      </c>
      <c r="BC42" s="11">
        <v>0</v>
      </c>
      <c r="BD42" s="11">
        <v>0</v>
      </c>
      <c r="BE42" s="10">
        <f t="shared" si="9"/>
        <v>0</v>
      </c>
      <c r="BF42" s="11">
        <v>0</v>
      </c>
      <c r="BG42" s="11">
        <v>0</v>
      </c>
      <c r="BH42" s="10">
        <f t="shared" si="10"/>
        <v>0</v>
      </c>
      <c r="BI42" s="11">
        <v>0</v>
      </c>
      <c r="BJ42" s="11">
        <v>0</v>
      </c>
      <c r="BK42" s="11">
        <v>0</v>
      </c>
      <c r="BL42" s="10">
        <f t="shared" si="11"/>
        <v>0</v>
      </c>
      <c r="BM42" s="11">
        <v>0</v>
      </c>
      <c r="BN42" s="11">
        <f>SUM(5)</f>
        <v>5</v>
      </c>
      <c r="BO42" s="11">
        <v>1</v>
      </c>
      <c r="BP42" s="11">
        <v>1</v>
      </c>
      <c r="BQ42" s="11">
        <f t="shared" si="13"/>
        <v>88</v>
      </c>
    </row>
    <row r="43" spans="1:70" s="11" customFormat="1" x14ac:dyDescent="0.25">
      <c r="A43" s="11">
        <v>209</v>
      </c>
      <c r="B43" s="11">
        <v>5</v>
      </c>
      <c r="C43" s="11">
        <v>5</v>
      </c>
      <c r="D43" s="12">
        <v>44739</v>
      </c>
      <c r="E43" s="12" t="s">
        <v>42</v>
      </c>
      <c r="F43" s="11" t="s">
        <v>56</v>
      </c>
      <c r="G43" s="24"/>
      <c r="H43" s="13">
        <v>1</v>
      </c>
      <c r="I43" s="14">
        <v>0.34</v>
      </c>
      <c r="J43" s="14">
        <v>0.15</v>
      </c>
      <c r="K43" s="15">
        <v>0.54</v>
      </c>
      <c r="L43" s="11">
        <v>4</v>
      </c>
      <c r="M43" s="11">
        <v>2</v>
      </c>
      <c r="N43" s="11">
        <v>0</v>
      </c>
      <c r="O43" s="11">
        <v>0</v>
      </c>
      <c r="P43" s="11">
        <v>0</v>
      </c>
      <c r="Q43" s="11">
        <v>0</v>
      </c>
      <c r="R43" s="10">
        <f t="shared" si="2"/>
        <v>6</v>
      </c>
      <c r="S43" s="11">
        <v>19</v>
      </c>
      <c r="T43" s="11">
        <v>3</v>
      </c>
      <c r="U43" s="11">
        <v>0</v>
      </c>
      <c r="V43" s="11">
        <v>2</v>
      </c>
      <c r="W43" s="11">
        <v>0</v>
      </c>
      <c r="X43" s="11">
        <v>0</v>
      </c>
      <c r="Y43" s="10">
        <f t="shared" si="3"/>
        <v>24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0">
        <f t="shared" si="12"/>
        <v>0</v>
      </c>
      <c r="AG43" s="11">
        <v>12</v>
      </c>
      <c r="AH43" s="11">
        <v>7</v>
      </c>
      <c r="AI43" s="11">
        <v>4</v>
      </c>
      <c r="AJ43" s="11">
        <v>1</v>
      </c>
      <c r="AK43" s="11">
        <v>0</v>
      </c>
      <c r="AL43" s="11">
        <v>2</v>
      </c>
      <c r="AM43" s="10">
        <f t="shared" si="4"/>
        <v>26</v>
      </c>
      <c r="AN43" s="11">
        <v>0</v>
      </c>
      <c r="AO43" s="11">
        <v>0</v>
      </c>
      <c r="AP43" s="11">
        <v>0</v>
      </c>
      <c r="AQ43" s="10">
        <f t="shared" si="5"/>
        <v>0</v>
      </c>
      <c r="AR43" s="11">
        <v>0</v>
      </c>
      <c r="AS43" s="11">
        <v>0</v>
      </c>
      <c r="AT43" s="10">
        <f t="shared" si="6"/>
        <v>0</v>
      </c>
      <c r="AU43" s="11">
        <v>0</v>
      </c>
      <c r="AV43" s="11">
        <v>0</v>
      </c>
      <c r="AW43" s="11">
        <v>0</v>
      </c>
      <c r="AX43" s="10">
        <f t="shared" si="7"/>
        <v>0</v>
      </c>
      <c r="AY43" s="11">
        <v>0</v>
      </c>
      <c r="AZ43" s="11">
        <v>0</v>
      </c>
      <c r="BA43" s="11">
        <v>0</v>
      </c>
      <c r="BB43" s="10">
        <f t="shared" si="8"/>
        <v>0</v>
      </c>
      <c r="BC43" s="11">
        <v>0</v>
      </c>
      <c r="BD43" s="11">
        <v>0</v>
      </c>
      <c r="BE43" s="10">
        <f t="shared" si="9"/>
        <v>0</v>
      </c>
      <c r="BF43" s="11">
        <v>0</v>
      </c>
      <c r="BG43" s="11">
        <v>0</v>
      </c>
      <c r="BH43" s="10">
        <f t="shared" si="10"/>
        <v>0</v>
      </c>
      <c r="BI43" s="11">
        <v>0</v>
      </c>
      <c r="BJ43" s="11">
        <v>0</v>
      </c>
      <c r="BK43" s="11">
        <v>0</v>
      </c>
      <c r="BL43" s="10">
        <f t="shared" si="11"/>
        <v>0</v>
      </c>
      <c r="BM43" s="11">
        <v>0</v>
      </c>
      <c r="BN43" s="11">
        <v>1</v>
      </c>
      <c r="BO43" s="11">
        <v>0</v>
      </c>
      <c r="BP43" s="11">
        <v>1</v>
      </c>
      <c r="BQ43" s="11">
        <f t="shared" si="13"/>
        <v>58</v>
      </c>
      <c r="BR43" s="11">
        <v>12</v>
      </c>
    </row>
    <row r="44" spans="1:70" s="11" customFormat="1" x14ac:dyDescent="0.25">
      <c r="A44" s="11">
        <v>210</v>
      </c>
      <c r="B44" s="11">
        <v>2</v>
      </c>
      <c r="C44" s="11">
        <v>0</v>
      </c>
      <c r="D44" s="12">
        <v>44728</v>
      </c>
      <c r="E44" s="12" t="s">
        <v>42</v>
      </c>
      <c r="F44" s="12" t="s">
        <v>56</v>
      </c>
      <c r="G44" s="24"/>
      <c r="H44" s="13">
        <v>5</v>
      </c>
      <c r="I44" s="14">
        <v>0.37</v>
      </c>
      <c r="J44" s="14">
        <v>0.03</v>
      </c>
      <c r="K44" s="15">
        <v>0.93</v>
      </c>
      <c r="L44" s="11">
        <f>3+8+18+47</f>
        <v>76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0">
        <f t="shared" si="2"/>
        <v>76</v>
      </c>
      <c r="S44" s="11">
        <v>43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0">
        <f t="shared" si="3"/>
        <v>43</v>
      </c>
      <c r="Z44" s="11">
        <v>3</v>
      </c>
      <c r="AA44" s="11">
        <v>2</v>
      </c>
      <c r="AB44" s="11">
        <v>3</v>
      </c>
      <c r="AC44" s="11">
        <v>0</v>
      </c>
      <c r="AD44" s="11">
        <v>0</v>
      </c>
      <c r="AE44" s="11">
        <v>0</v>
      </c>
      <c r="AF44" s="10">
        <f t="shared" si="12"/>
        <v>8</v>
      </c>
      <c r="AG44" s="11">
        <f>25+23+13+22+17</f>
        <v>100</v>
      </c>
      <c r="AH44" s="11">
        <f>1+6+3+10+13</f>
        <v>33</v>
      </c>
      <c r="AI44" s="11">
        <v>3</v>
      </c>
      <c r="AJ44" s="11">
        <v>0</v>
      </c>
      <c r="AK44" s="11">
        <v>0</v>
      </c>
      <c r="AL44" s="11">
        <v>0</v>
      </c>
      <c r="AM44" s="10">
        <f t="shared" si="4"/>
        <v>136</v>
      </c>
      <c r="AN44" s="11">
        <v>0</v>
      </c>
      <c r="AO44" s="11">
        <v>0</v>
      </c>
      <c r="AP44" s="11">
        <v>0</v>
      </c>
      <c r="AQ44" s="10">
        <f t="shared" si="5"/>
        <v>0</v>
      </c>
      <c r="AR44" s="11">
        <v>0</v>
      </c>
      <c r="AS44" s="11">
        <v>0</v>
      </c>
      <c r="AT44" s="10">
        <f t="shared" si="6"/>
        <v>0</v>
      </c>
      <c r="AU44" s="11">
        <v>0</v>
      </c>
      <c r="AV44" s="11">
        <v>0</v>
      </c>
      <c r="AW44" s="11">
        <v>0</v>
      </c>
      <c r="AX44" s="10">
        <f t="shared" si="7"/>
        <v>0</v>
      </c>
      <c r="AY44" s="11">
        <f>4+25+11+33+24</f>
        <v>97</v>
      </c>
      <c r="AZ44" s="11">
        <f>5+14+4+10+14</f>
        <v>47</v>
      </c>
      <c r="BA44" s="11">
        <f>3+8+1</f>
        <v>12</v>
      </c>
      <c r="BB44" s="10">
        <f t="shared" si="8"/>
        <v>156</v>
      </c>
      <c r="BC44" s="11">
        <v>0</v>
      </c>
      <c r="BD44" s="11">
        <v>0</v>
      </c>
      <c r="BE44" s="10">
        <f t="shared" si="9"/>
        <v>0</v>
      </c>
      <c r="BF44" s="11">
        <v>0</v>
      </c>
      <c r="BG44" s="11">
        <v>0</v>
      </c>
      <c r="BH44" s="10">
        <f t="shared" si="10"/>
        <v>0</v>
      </c>
      <c r="BI44" s="11">
        <v>0</v>
      </c>
      <c r="BJ44" s="11">
        <v>0</v>
      </c>
      <c r="BK44" s="11">
        <v>0</v>
      </c>
      <c r="BL44" s="10">
        <f t="shared" si="11"/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f t="shared" si="13"/>
        <v>419</v>
      </c>
    </row>
    <row r="45" spans="1:70" s="11" customFormat="1" x14ac:dyDescent="0.25">
      <c r="A45" s="11">
        <v>210</v>
      </c>
      <c r="B45" s="11">
        <v>2</v>
      </c>
      <c r="C45" s="11">
        <v>5</v>
      </c>
      <c r="D45" s="12">
        <v>44733</v>
      </c>
      <c r="E45" s="12" t="s">
        <v>42</v>
      </c>
      <c r="F45" s="12" t="s">
        <v>56</v>
      </c>
      <c r="G45" s="24"/>
      <c r="H45" s="13">
        <v>5</v>
      </c>
      <c r="I45" s="14">
        <v>0.37</v>
      </c>
      <c r="J45" s="14">
        <v>0.03</v>
      </c>
      <c r="K45" s="15">
        <v>0.93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0">
        <f t="shared" si="2"/>
        <v>1</v>
      </c>
      <c r="S45" s="11">
        <v>9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0">
        <f t="shared" si="3"/>
        <v>9</v>
      </c>
      <c r="Z45" s="11">
        <v>7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0">
        <f t="shared" si="12"/>
        <v>7</v>
      </c>
      <c r="AG45" s="11">
        <v>0</v>
      </c>
      <c r="AH45" s="11">
        <v>8</v>
      </c>
      <c r="AI45" s="11">
        <v>0</v>
      </c>
      <c r="AJ45" s="11">
        <v>0</v>
      </c>
      <c r="AK45" s="11">
        <v>0</v>
      </c>
      <c r="AL45" s="11">
        <v>0</v>
      </c>
      <c r="AM45" s="10">
        <f t="shared" si="4"/>
        <v>8</v>
      </c>
      <c r="AN45" s="11">
        <v>0</v>
      </c>
      <c r="AO45" s="11">
        <v>0</v>
      </c>
      <c r="AP45" s="11">
        <v>0</v>
      </c>
      <c r="AQ45" s="10">
        <f t="shared" si="5"/>
        <v>0</v>
      </c>
      <c r="AR45" s="11">
        <v>0</v>
      </c>
      <c r="AS45" s="11">
        <v>0</v>
      </c>
      <c r="AT45" s="10">
        <f t="shared" si="6"/>
        <v>0</v>
      </c>
      <c r="AU45" s="11">
        <v>0</v>
      </c>
      <c r="AV45" s="11">
        <v>0</v>
      </c>
      <c r="AW45" s="11">
        <v>0</v>
      </c>
      <c r="AX45" s="10">
        <f t="shared" si="7"/>
        <v>0</v>
      </c>
      <c r="AY45" s="11">
        <v>0</v>
      </c>
      <c r="AZ45" s="11">
        <v>0</v>
      </c>
      <c r="BA45" s="11">
        <v>0</v>
      </c>
      <c r="BB45" s="10">
        <f t="shared" si="8"/>
        <v>0</v>
      </c>
      <c r="BC45" s="11">
        <v>0</v>
      </c>
      <c r="BD45" s="11">
        <v>0</v>
      </c>
      <c r="BE45" s="10">
        <f t="shared" si="9"/>
        <v>0</v>
      </c>
      <c r="BF45" s="11">
        <v>0</v>
      </c>
      <c r="BG45" s="11">
        <v>0</v>
      </c>
      <c r="BH45" s="10">
        <f t="shared" si="10"/>
        <v>0</v>
      </c>
      <c r="BI45" s="11">
        <v>0</v>
      </c>
      <c r="BJ45" s="11">
        <v>0</v>
      </c>
      <c r="BK45" s="11">
        <v>0</v>
      </c>
      <c r="BL45" s="10">
        <f t="shared" si="11"/>
        <v>0</v>
      </c>
      <c r="BM45" s="11">
        <v>0</v>
      </c>
      <c r="BN45" s="11">
        <v>2</v>
      </c>
      <c r="BO45" s="11">
        <v>0</v>
      </c>
      <c r="BP45" s="11">
        <v>0</v>
      </c>
      <c r="BQ45" s="11">
        <f t="shared" si="13"/>
        <v>27</v>
      </c>
      <c r="BR45" s="11">
        <v>0</v>
      </c>
    </row>
    <row r="46" spans="1:70" s="11" customFormat="1" x14ac:dyDescent="0.25">
      <c r="A46" s="11">
        <v>211</v>
      </c>
      <c r="B46" s="11">
        <v>3</v>
      </c>
      <c r="C46" s="11">
        <v>0</v>
      </c>
      <c r="D46" s="12">
        <v>44728</v>
      </c>
      <c r="E46" s="12" t="s">
        <v>43</v>
      </c>
      <c r="F46" s="12" t="s">
        <v>57</v>
      </c>
      <c r="G46" s="24">
        <v>6</v>
      </c>
      <c r="H46" s="13"/>
      <c r="I46" s="14"/>
      <c r="J46" s="14"/>
      <c r="K46" s="15"/>
      <c r="L46" s="11">
        <f>27+12+21+11+6+32+42</f>
        <v>151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0">
        <f t="shared" si="2"/>
        <v>151</v>
      </c>
      <c r="S46" s="11">
        <v>31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0">
        <f t="shared" si="3"/>
        <v>31</v>
      </c>
      <c r="Z46" s="11">
        <v>3</v>
      </c>
      <c r="AA46" s="11">
        <v>5</v>
      </c>
      <c r="AB46" s="11">
        <v>3</v>
      </c>
      <c r="AC46" s="11">
        <v>0</v>
      </c>
      <c r="AD46" s="11">
        <v>0</v>
      </c>
      <c r="AE46" s="11">
        <v>0</v>
      </c>
      <c r="AF46" s="10">
        <f t="shared" si="12"/>
        <v>11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0">
        <f t="shared" si="4"/>
        <v>0</v>
      </c>
      <c r="AN46" s="11">
        <v>0</v>
      </c>
      <c r="AO46" s="11">
        <v>0</v>
      </c>
      <c r="AP46" s="11">
        <v>0</v>
      </c>
      <c r="AQ46" s="10">
        <f t="shared" si="5"/>
        <v>0</v>
      </c>
      <c r="AR46" s="11">
        <f>3+6+5+15</f>
        <v>29</v>
      </c>
      <c r="AS46" s="11">
        <f>2+1+1+6+3</f>
        <v>13</v>
      </c>
      <c r="AT46" s="10">
        <f t="shared" si="6"/>
        <v>42</v>
      </c>
      <c r="AU46" s="11">
        <v>0</v>
      </c>
      <c r="AV46" s="11">
        <v>1</v>
      </c>
      <c r="AW46" s="11">
        <v>4</v>
      </c>
      <c r="AX46" s="10">
        <f t="shared" si="7"/>
        <v>5</v>
      </c>
      <c r="AY46" s="11">
        <f>6+10+23</f>
        <v>39</v>
      </c>
      <c r="AZ46" s="11">
        <f>2+2+15</f>
        <v>19</v>
      </c>
      <c r="BA46" s="11">
        <f>1+3+3</f>
        <v>7</v>
      </c>
      <c r="BB46" s="10">
        <f t="shared" si="8"/>
        <v>65</v>
      </c>
      <c r="BC46" s="11">
        <v>0</v>
      </c>
      <c r="BD46" s="11">
        <v>1</v>
      </c>
      <c r="BE46" s="10">
        <f t="shared" si="9"/>
        <v>1</v>
      </c>
      <c r="BF46" s="11">
        <v>1</v>
      </c>
      <c r="BG46" s="11">
        <v>1</v>
      </c>
      <c r="BH46" s="10">
        <f t="shared" si="10"/>
        <v>2</v>
      </c>
      <c r="BI46" s="21">
        <v>0</v>
      </c>
      <c r="BJ46" s="11">
        <v>1</v>
      </c>
      <c r="BK46" s="11">
        <v>5</v>
      </c>
      <c r="BL46" s="10">
        <f t="shared" si="11"/>
        <v>6</v>
      </c>
      <c r="BM46" s="11">
        <v>0</v>
      </c>
      <c r="BN46" s="11">
        <v>0</v>
      </c>
      <c r="BO46" s="11">
        <v>0</v>
      </c>
      <c r="BP46" s="11">
        <v>0</v>
      </c>
      <c r="BQ46" s="11">
        <f t="shared" si="13"/>
        <v>314</v>
      </c>
    </row>
    <row r="47" spans="1:70" s="11" customFormat="1" x14ac:dyDescent="0.25">
      <c r="A47" s="11">
        <v>211</v>
      </c>
      <c r="B47" s="11">
        <v>3</v>
      </c>
      <c r="C47" s="11">
        <v>5</v>
      </c>
      <c r="D47" s="12">
        <v>44733</v>
      </c>
      <c r="E47" s="12" t="s">
        <v>43</v>
      </c>
      <c r="F47" s="12" t="s">
        <v>57</v>
      </c>
      <c r="G47" s="24">
        <v>6</v>
      </c>
      <c r="H47" s="13"/>
      <c r="I47" s="14"/>
      <c r="J47" s="14"/>
      <c r="K47" s="15"/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0">
        <f t="shared" si="2"/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0">
        <f t="shared" si="3"/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0">
        <f t="shared" si="12"/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0">
        <f t="shared" si="4"/>
        <v>0</v>
      </c>
      <c r="AN47" s="11">
        <v>0</v>
      </c>
      <c r="AO47" s="11">
        <v>0</v>
      </c>
      <c r="AP47" s="11">
        <v>0</v>
      </c>
      <c r="AQ47" s="10">
        <f t="shared" si="5"/>
        <v>0</v>
      </c>
      <c r="AR47" s="11">
        <v>0</v>
      </c>
      <c r="AS47" s="11">
        <v>0</v>
      </c>
      <c r="AT47" s="10">
        <f t="shared" si="6"/>
        <v>0</v>
      </c>
      <c r="AU47" s="11">
        <v>0</v>
      </c>
      <c r="AV47" s="11">
        <v>0</v>
      </c>
      <c r="AW47" s="11">
        <v>0</v>
      </c>
      <c r="AX47" s="10">
        <f t="shared" si="7"/>
        <v>0</v>
      </c>
      <c r="AY47" s="11">
        <v>0</v>
      </c>
      <c r="AZ47" s="11">
        <v>0</v>
      </c>
      <c r="BA47" s="11">
        <v>0</v>
      </c>
      <c r="BB47" s="10">
        <f t="shared" si="8"/>
        <v>0</v>
      </c>
      <c r="BC47" s="11">
        <v>0</v>
      </c>
      <c r="BD47" s="11">
        <v>0</v>
      </c>
      <c r="BE47" s="10">
        <f t="shared" si="9"/>
        <v>0</v>
      </c>
      <c r="BF47" s="11">
        <v>0</v>
      </c>
      <c r="BG47" s="11">
        <v>0</v>
      </c>
      <c r="BH47" s="10">
        <f t="shared" si="10"/>
        <v>0</v>
      </c>
      <c r="BI47" s="11">
        <v>0</v>
      </c>
      <c r="BJ47" s="11">
        <v>0</v>
      </c>
      <c r="BK47" s="11">
        <v>0</v>
      </c>
      <c r="BL47" s="10">
        <f t="shared" si="11"/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f t="shared" si="13"/>
        <v>0</v>
      </c>
      <c r="BR47" s="11">
        <v>0</v>
      </c>
    </row>
    <row r="48" spans="1:70" s="11" customFormat="1" x14ac:dyDescent="0.25">
      <c r="A48" s="11">
        <v>212</v>
      </c>
      <c r="B48" s="11">
        <v>10</v>
      </c>
      <c r="C48" s="11">
        <v>0</v>
      </c>
      <c r="D48" s="12">
        <v>44734</v>
      </c>
      <c r="E48" s="12" t="s">
        <v>42</v>
      </c>
      <c r="F48" s="11" t="s">
        <v>57</v>
      </c>
      <c r="G48" s="24"/>
      <c r="H48" s="13">
        <v>5</v>
      </c>
      <c r="I48" s="14">
        <v>0.31</v>
      </c>
      <c r="J48" s="14">
        <v>0.13</v>
      </c>
      <c r="K48" s="15">
        <v>0.57999999999999996</v>
      </c>
      <c r="L48" s="11">
        <v>2</v>
      </c>
      <c r="M48" s="11">
        <v>0</v>
      </c>
      <c r="N48" s="11">
        <v>1</v>
      </c>
      <c r="O48" s="11">
        <v>0</v>
      </c>
      <c r="P48" s="11">
        <v>0</v>
      </c>
      <c r="Q48" s="11">
        <v>0</v>
      </c>
      <c r="R48" s="10">
        <f t="shared" si="2"/>
        <v>3</v>
      </c>
      <c r="S48" s="11">
        <f>SUM(14+5+6+12+12+5+4)</f>
        <v>58</v>
      </c>
      <c r="T48" s="11">
        <v>2</v>
      </c>
      <c r="U48" s="11">
        <v>0</v>
      </c>
      <c r="V48" s="11">
        <v>0</v>
      </c>
      <c r="W48" s="11">
        <v>0</v>
      </c>
      <c r="X48" s="11">
        <v>0</v>
      </c>
      <c r="Y48" s="10">
        <f t="shared" si="3"/>
        <v>60</v>
      </c>
      <c r="Z48" s="11">
        <v>0</v>
      </c>
      <c r="AA48" s="11">
        <v>0</v>
      </c>
      <c r="AB48" s="11">
        <v>1</v>
      </c>
      <c r="AC48" s="11">
        <v>0</v>
      </c>
      <c r="AD48" s="11">
        <v>0</v>
      </c>
      <c r="AE48" s="11">
        <v>0</v>
      </c>
      <c r="AF48" s="10">
        <f t="shared" si="12"/>
        <v>1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0">
        <f t="shared" si="4"/>
        <v>0</v>
      </c>
      <c r="AN48" s="11">
        <v>0</v>
      </c>
      <c r="AO48" s="11">
        <v>0</v>
      </c>
      <c r="AP48" s="11">
        <v>0</v>
      </c>
      <c r="AQ48" s="10">
        <f t="shared" si="5"/>
        <v>0</v>
      </c>
      <c r="AR48" s="11">
        <v>0</v>
      </c>
      <c r="AS48" s="11">
        <v>0</v>
      </c>
      <c r="AT48" s="10">
        <f t="shared" si="6"/>
        <v>0</v>
      </c>
      <c r="AU48" s="11">
        <v>0</v>
      </c>
      <c r="AV48" s="11">
        <v>0</v>
      </c>
      <c r="AW48" s="11">
        <v>0</v>
      </c>
      <c r="AX48" s="10">
        <f t="shared" si="7"/>
        <v>0</v>
      </c>
      <c r="AY48" s="11">
        <v>0</v>
      </c>
      <c r="AZ48" s="11">
        <v>0</v>
      </c>
      <c r="BA48" s="11">
        <v>0</v>
      </c>
      <c r="BB48" s="10">
        <f t="shared" si="8"/>
        <v>0</v>
      </c>
      <c r="BC48" s="11">
        <v>0</v>
      </c>
      <c r="BD48" s="11">
        <v>0</v>
      </c>
      <c r="BE48" s="10">
        <f t="shared" si="9"/>
        <v>0</v>
      </c>
      <c r="BF48" s="11">
        <v>0</v>
      </c>
      <c r="BG48" s="11">
        <v>0</v>
      </c>
      <c r="BH48" s="10">
        <f t="shared" si="10"/>
        <v>0</v>
      </c>
      <c r="BI48" s="11">
        <v>0</v>
      </c>
      <c r="BJ48" s="11">
        <v>0</v>
      </c>
      <c r="BK48" s="11">
        <v>0</v>
      </c>
      <c r="BL48" s="10">
        <f t="shared" si="11"/>
        <v>0</v>
      </c>
      <c r="BM48" s="11">
        <v>0</v>
      </c>
      <c r="BN48" s="11">
        <v>3</v>
      </c>
      <c r="BO48" s="11">
        <v>0</v>
      </c>
      <c r="BP48" s="11">
        <v>0</v>
      </c>
      <c r="BQ48" s="11">
        <f t="shared" si="13"/>
        <v>67</v>
      </c>
    </row>
    <row r="49" spans="1:70" s="11" customFormat="1" x14ac:dyDescent="0.25">
      <c r="A49" s="11">
        <v>212</v>
      </c>
      <c r="B49" s="11">
        <v>10</v>
      </c>
      <c r="C49" s="11">
        <v>5</v>
      </c>
      <c r="D49" s="12">
        <v>44739</v>
      </c>
      <c r="E49" s="12" t="s">
        <v>42</v>
      </c>
      <c r="F49" s="11" t="s">
        <v>57</v>
      </c>
      <c r="G49" s="24"/>
      <c r="H49" s="13">
        <v>5</v>
      </c>
      <c r="I49" s="14">
        <v>0.31</v>
      </c>
      <c r="J49" s="14">
        <v>0.13</v>
      </c>
      <c r="K49" s="15">
        <v>0.57999999999999996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0">
        <f t="shared" si="2"/>
        <v>0</v>
      </c>
      <c r="S49" s="11">
        <f>SUM(6+4+1+2)</f>
        <v>13</v>
      </c>
      <c r="T49" s="11">
        <v>4</v>
      </c>
      <c r="U49" s="11">
        <v>0</v>
      </c>
      <c r="V49" s="11">
        <v>1</v>
      </c>
      <c r="W49" s="11">
        <v>0</v>
      </c>
      <c r="X49" s="11">
        <v>1</v>
      </c>
      <c r="Y49" s="10">
        <f t="shared" si="3"/>
        <v>19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0">
        <f t="shared" si="12"/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0">
        <f t="shared" si="4"/>
        <v>0</v>
      </c>
      <c r="AN49" s="11">
        <v>0</v>
      </c>
      <c r="AO49" s="11">
        <v>0</v>
      </c>
      <c r="AP49" s="11">
        <v>0</v>
      </c>
      <c r="AQ49" s="10">
        <f t="shared" si="5"/>
        <v>0</v>
      </c>
      <c r="AR49" s="11">
        <v>0</v>
      </c>
      <c r="AS49" s="11">
        <v>0</v>
      </c>
      <c r="AT49" s="10">
        <f t="shared" si="6"/>
        <v>0</v>
      </c>
      <c r="AU49" s="11">
        <v>0</v>
      </c>
      <c r="AV49" s="11">
        <v>0</v>
      </c>
      <c r="AW49" s="11">
        <v>0</v>
      </c>
      <c r="AX49" s="10">
        <f t="shared" si="7"/>
        <v>0</v>
      </c>
      <c r="AY49" s="11">
        <v>0</v>
      </c>
      <c r="AZ49" s="11">
        <v>0</v>
      </c>
      <c r="BA49" s="11">
        <v>0</v>
      </c>
      <c r="BB49" s="10">
        <f t="shared" si="8"/>
        <v>0</v>
      </c>
      <c r="BC49" s="11">
        <v>0</v>
      </c>
      <c r="BD49" s="11">
        <v>0</v>
      </c>
      <c r="BE49" s="10">
        <f t="shared" si="9"/>
        <v>0</v>
      </c>
      <c r="BF49" s="11">
        <v>0</v>
      </c>
      <c r="BG49" s="11">
        <v>0</v>
      </c>
      <c r="BH49" s="10">
        <f t="shared" si="10"/>
        <v>0</v>
      </c>
      <c r="BI49" s="11">
        <v>0</v>
      </c>
      <c r="BJ49" s="11">
        <v>0</v>
      </c>
      <c r="BK49" s="11">
        <v>0</v>
      </c>
      <c r="BL49" s="10">
        <f t="shared" si="11"/>
        <v>0</v>
      </c>
      <c r="BM49" s="11">
        <v>0</v>
      </c>
      <c r="BN49" s="11">
        <v>0</v>
      </c>
      <c r="BO49" s="11">
        <v>1</v>
      </c>
      <c r="BP49" s="11">
        <v>1</v>
      </c>
      <c r="BQ49" s="11">
        <f t="shared" si="13"/>
        <v>21</v>
      </c>
      <c r="BR49" s="11">
        <v>16</v>
      </c>
    </row>
    <row r="50" spans="1:70" s="11" customFormat="1" x14ac:dyDescent="0.25">
      <c r="A50" s="11">
        <v>301</v>
      </c>
      <c r="B50" s="11">
        <v>12</v>
      </c>
      <c r="C50" s="11">
        <v>0</v>
      </c>
      <c r="D50" s="12">
        <v>44734</v>
      </c>
      <c r="E50" s="12" t="s">
        <v>43</v>
      </c>
      <c r="F50" s="11" t="s">
        <v>56</v>
      </c>
      <c r="G50" s="24"/>
      <c r="H50" s="13"/>
      <c r="I50" s="14"/>
      <c r="J50" s="14"/>
      <c r="K50" s="15"/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0">
        <f t="shared" si="2"/>
        <v>0</v>
      </c>
      <c r="S50" s="11">
        <f>SUM(14+11+10+29+15+13+4+29)</f>
        <v>125</v>
      </c>
      <c r="T50" s="11">
        <v>4</v>
      </c>
      <c r="U50" s="11">
        <v>0</v>
      </c>
      <c r="V50" s="11">
        <v>0</v>
      </c>
      <c r="W50" s="11">
        <v>0</v>
      </c>
      <c r="X50" s="11">
        <v>0</v>
      </c>
      <c r="Y50" s="10">
        <f t="shared" si="3"/>
        <v>129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0">
        <f t="shared" si="12"/>
        <v>0</v>
      </c>
      <c r="AG50" s="11">
        <v>1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0">
        <f t="shared" si="4"/>
        <v>1</v>
      </c>
      <c r="AN50" s="11">
        <v>0</v>
      </c>
      <c r="AO50" s="11">
        <v>0</v>
      </c>
      <c r="AP50" s="11">
        <v>0</v>
      </c>
      <c r="AQ50" s="10">
        <f t="shared" si="5"/>
        <v>0</v>
      </c>
      <c r="AR50" s="11">
        <v>4</v>
      </c>
      <c r="AS50" s="11">
        <v>0</v>
      </c>
      <c r="AT50" s="10">
        <f t="shared" si="6"/>
        <v>4</v>
      </c>
      <c r="AU50" s="11">
        <v>0</v>
      </c>
      <c r="AV50" s="11">
        <v>0</v>
      </c>
      <c r="AW50" s="11">
        <v>0</v>
      </c>
      <c r="AX50" s="10">
        <f t="shared" si="7"/>
        <v>0</v>
      </c>
      <c r="AY50" s="11">
        <v>0</v>
      </c>
      <c r="AZ50" s="11">
        <v>0</v>
      </c>
      <c r="BA50" s="11">
        <v>0</v>
      </c>
      <c r="BB50" s="10">
        <f t="shared" si="8"/>
        <v>0</v>
      </c>
      <c r="BC50" s="11">
        <v>0</v>
      </c>
      <c r="BD50" s="11">
        <v>0</v>
      </c>
      <c r="BE50" s="10">
        <f t="shared" si="9"/>
        <v>0</v>
      </c>
      <c r="BF50" s="11">
        <v>0</v>
      </c>
      <c r="BG50" s="11">
        <v>0</v>
      </c>
      <c r="BH50" s="10">
        <f t="shared" si="10"/>
        <v>0</v>
      </c>
      <c r="BI50" s="11">
        <v>0</v>
      </c>
      <c r="BJ50" s="11">
        <v>0</v>
      </c>
      <c r="BK50" s="11">
        <v>0</v>
      </c>
      <c r="BL50" s="10">
        <f t="shared" si="11"/>
        <v>0</v>
      </c>
      <c r="BM50" s="11">
        <v>0</v>
      </c>
      <c r="BN50" s="11">
        <v>17</v>
      </c>
      <c r="BO50" s="11">
        <v>0</v>
      </c>
      <c r="BP50" s="11">
        <v>0</v>
      </c>
      <c r="BQ50" s="11">
        <f t="shared" si="13"/>
        <v>151</v>
      </c>
    </row>
    <row r="51" spans="1:70" s="11" customFormat="1" x14ac:dyDescent="0.25">
      <c r="A51" s="11">
        <v>301</v>
      </c>
      <c r="B51" s="11">
        <v>12</v>
      </c>
      <c r="C51" s="11">
        <v>5</v>
      </c>
      <c r="D51" s="12">
        <v>44739</v>
      </c>
      <c r="E51" s="12" t="s">
        <v>43</v>
      </c>
      <c r="F51" s="11" t="s">
        <v>56</v>
      </c>
      <c r="G51" s="24"/>
      <c r="H51" s="13"/>
      <c r="I51" s="14"/>
      <c r="J51" s="14"/>
      <c r="K51" s="15"/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0">
        <f t="shared" si="2"/>
        <v>0</v>
      </c>
      <c r="S51" s="11">
        <v>26</v>
      </c>
      <c r="T51" s="11">
        <v>3</v>
      </c>
      <c r="U51" s="11">
        <v>1</v>
      </c>
      <c r="V51" s="11">
        <v>6</v>
      </c>
      <c r="W51" s="11">
        <v>0</v>
      </c>
      <c r="X51" s="11">
        <v>0</v>
      </c>
      <c r="Y51" s="10">
        <f t="shared" si="3"/>
        <v>36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0">
        <f t="shared" si="12"/>
        <v>0</v>
      </c>
      <c r="AG51" s="11">
        <v>0</v>
      </c>
      <c r="AH51" s="11">
        <v>0</v>
      </c>
      <c r="AI51" s="11">
        <v>1</v>
      </c>
      <c r="AJ51" s="11">
        <v>0</v>
      </c>
      <c r="AK51" s="11">
        <v>0</v>
      </c>
      <c r="AL51" s="11">
        <v>0</v>
      </c>
      <c r="AM51" s="10">
        <f t="shared" si="4"/>
        <v>1</v>
      </c>
      <c r="AN51" s="11">
        <v>0</v>
      </c>
      <c r="AO51" s="11">
        <v>0</v>
      </c>
      <c r="AP51" s="11">
        <v>0</v>
      </c>
      <c r="AQ51" s="10">
        <f t="shared" si="5"/>
        <v>0</v>
      </c>
      <c r="AR51" s="11">
        <v>0</v>
      </c>
      <c r="AS51" s="11">
        <v>0</v>
      </c>
      <c r="AT51" s="10">
        <f t="shared" si="6"/>
        <v>0</v>
      </c>
      <c r="AU51" s="11">
        <v>0</v>
      </c>
      <c r="AV51" s="11">
        <v>0</v>
      </c>
      <c r="AW51" s="11">
        <v>0</v>
      </c>
      <c r="AX51" s="10">
        <f t="shared" si="7"/>
        <v>0</v>
      </c>
      <c r="AY51" s="11">
        <v>0</v>
      </c>
      <c r="AZ51" s="11">
        <v>0</v>
      </c>
      <c r="BA51" s="11">
        <v>0</v>
      </c>
      <c r="BB51" s="10">
        <f t="shared" si="8"/>
        <v>0</v>
      </c>
      <c r="BC51" s="11">
        <v>0</v>
      </c>
      <c r="BD51" s="11">
        <v>0</v>
      </c>
      <c r="BE51" s="10">
        <f t="shared" si="9"/>
        <v>0</v>
      </c>
      <c r="BF51" s="11">
        <v>0</v>
      </c>
      <c r="BG51" s="11">
        <v>0</v>
      </c>
      <c r="BH51" s="10">
        <f t="shared" si="10"/>
        <v>0</v>
      </c>
      <c r="BI51" s="11">
        <v>0</v>
      </c>
      <c r="BJ51" s="11">
        <v>0</v>
      </c>
      <c r="BK51" s="11">
        <v>0</v>
      </c>
      <c r="BL51" s="10">
        <f t="shared" si="11"/>
        <v>0</v>
      </c>
      <c r="BM51" s="11">
        <v>0</v>
      </c>
      <c r="BN51" s="11">
        <v>4</v>
      </c>
      <c r="BO51" s="11">
        <v>3</v>
      </c>
      <c r="BP51" s="11">
        <v>2</v>
      </c>
      <c r="BQ51" s="11">
        <f t="shared" si="13"/>
        <v>46</v>
      </c>
      <c r="BR51" s="11">
        <v>7</v>
      </c>
    </row>
    <row r="52" spans="1:70" s="11" customFormat="1" x14ac:dyDescent="0.25">
      <c r="A52" s="11">
        <v>302</v>
      </c>
      <c r="B52" s="11">
        <v>9</v>
      </c>
      <c r="C52" s="11">
        <v>0</v>
      </c>
      <c r="D52" s="12">
        <v>44734</v>
      </c>
      <c r="E52" s="12" t="s">
        <v>42</v>
      </c>
      <c r="F52" s="11" t="s">
        <v>56</v>
      </c>
      <c r="G52" s="24"/>
      <c r="H52" s="13">
        <v>1</v>
      </c>
      <c r="I52" s="14">
        <v>0.32</v>
      </c>
      <c r="J52" s="14">
        <v>0.18</v>
      </c>
      <c r="K52" s="15">
        <v>0.44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0">
        <f t="shared" si="2"/>
        <v>0</v>
      </c>
      <c r="S52" s="11">
        <f>SUM(22+9+9+42+26+19+14+29+26+11+18+38)</f>
        <v>263</v>
      </c>
      <c r="T52" s="11">
        <v>3</v>
      </c>
      <c r="U52" s="11">
        <v>1</v>
      </c>
      <c r="V52" s="11">
        <v>0</v>
      </c>
      <c r="W52" s="11">
        <v>0</v>
      </c>
      <c r="X52" s="11">
        <v>0</v>
      </c>
      <c r="Y52" s="10">
        <f t="shared" si="3"/>
        <v>267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0">
        <f t="shared" si="12"/>
        <v>0</v>
      </c>
      <c r="AG52" s="11">
        <v>1</v>
      </c>
      <c r="AH52" s="11">
        <v>4</v>
      </c>
      <c r="AI52" s="11">
        <v>0</v>
      </c>
      <c r="AJ52" s="11">
        <v>0</v>
      </c>
      <c r="AK52" s="11">
        <v>0</v>
      </c>
      <c r="AL52" s="11">
        <v>0</v>
      </c>
      <c r="AM52" s="10">
        <f t="shared" si="4"/>
        <v>5</v>
      </c>
      <c r="AN52" s="11">
        <v>0</v>
      </c>
      <c r="AO52" s="11">
        <v>0</v>
      </c>
      <c r="AP52" s="11">
        <v>0</v>
      </c>
      <c r="AQ52" s="10">
        <f t="shared" si="5"/>
        <v>0</v>
      </c>
      <c r="AR52" s="11">
        <v>0</v>
      </c>
      <c r="AS52" s="11">
        <v>0</v>
      </c>
      <c r="AT52" s="10">
        <f t="shared" si="6"/>
        <v>0</v>
      </c>
      <c r="AU52" s="11">
        <v>0</v>
      </c>
      <c r="AV52" s="11">
        <v>0</v>
      </c>
      <c r="AW52" s="11">
        <v>0</v>
      </c>
      <c r="AX52" s="10">
        <f t="shared" si="7"/>
        <v>0</v>
      </c>
      <c r="AY52" s="11">
        <v>0</v>
      </c>
      <c r="AZ52" s="11">
        <v>0</v>
      </c>
      <c r="BA52" s="11">
        <v>0</v>
      </c>
      <c r="BB52" s="10">
        <f t="shared" si="8"/>
        <v>0</v>
      </c>
      <c r="BC52" s="11">
        <v>0</v>
      </c>
      <c r="BD52" s="11">
        <v>0</v>
      </c>
      <c r="BE52" s="10">
        <f t="shared" si="9"/>
        <v>0</v>
      </c>
      <c r="BF52" s="11">
        <v>0</v>
      </c>
      <c r="BG52" s="11">
        <v>0</v>
      </c>
      <c r="BH52" s="10">
        <f t="shared" si="10"/>
        <v>0</v>
      </c>
      <c r="BI52" s="11">
        <v>0</v>
      </c>
      <c r="BJ52" s="11">
        <v>0</v>
      </c>
      <c r="BK52" s="11">
        <v>0</v>
      </c>
      <c r="BL52" s="10">
        <f t="shared" si="11"/>
        <v>0</v>
      </c>
      <c r="BM52" s="11">
        <v>0</v>
      </c>
      <c r="BN52" s="11">
        <v>0</v>
      </c>
      <c r="BO52" s="11">
        <v>2</v>
      </c>
      <c r="BP52" s="11">
        <v>0</v>
      </c>
      <c r="BQ52" s="11">
        <f t="shared" si="13"/>
        <v>274</v>
      </c>
    </row>
    <row r="53" spans="1:70" s="11" customFormat="1" x14ac:dyDescent="0.25">
      <c r="A53" s="11">
        <v>302</v>
      </c>
      <c r="B53" s="11">
        <v>9</v>
      </c>
      <c r="C53" s="11">
        <v>5</v>
      </c>
      <c r="D53" s="12">
        <v>44739</v>
      </c>
      <c r="E53" s="12" t="s">
        <v>42</v>
      </c>
      <c r="F53" s="11" t="s">
        <v>56</v>
      </c>
      <c r="G53" s="24"/>
      <c r="H53" s="13">
        <v>1</v>
      </c>
      <c r="I53" s="14">
        <v>0.32</v>
      </c>
      <c r="J53" s="14">
        <v>0.18</v>
      </c>
      <c r="K53" s="15">
        <v>0.44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0">
        <f t="shared" si="2"/>
        <v>0</v>
      </c>
      <c r="S53" s="11">
        <f>SUM(18+18+10+8+47+16+16)</f>
        <v>133</v>
      </c>
      <c r="T53" s="11">
        <f>SUM(13+5+2+2)</f>
        <v>22</v>
      </c>
      <c r="U53" s="11">
        <v>3</v>
      </c>
      <c r="V53" s="11">
        <v>6</v>
      </c>
      <c r="W53" s="11">
        <v>2</v>
      </c>
      <c r="X53" s="11">
        <v>0</v>
      </c>
      <c r="Y53" s="10">
        <f t="shared" si="3"/>
        <v>166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0">
        <f t="shared" si="12"/>
        <v>0</v>
      </c>
      <c r="AG53" s="11">
        <v>1</v>
      </c>
      <c r="AH53" s="11">
        <v>0</v>
      </c>
      <c r="AI53" s="11">
        <v>1</v>
      </c>
      <c r="AJ53" s="11">
        <v>0</v>
      </c>
      <c r="AK53" s="11">
        <v>0</v>
      </c>
      <c r="AL53" s="11">
        <v>0</v>
      </c>
      <c r="AM53" s="10">
        <f t="shared" si="4"/>
        <v>2</v>
      </c>
      <c r="AN53" s="11">
        <v>0</v>
      </c>
      <c r="AO53" s="11">
        <v>0</v>
      </c>
      <c r="AP53" s="11">
        <v>0</v>
      </c>
      <c r="AQ53" s="10">
        <f t="shared" si="5"/>
        <v>0</v>
      </c>
      <c r="AR53" s="11">
        <v>0</v>
      </c>
      <c r="AS53" s="11">
        <v>0</v>
      </c>
      <c r="AT53" s="10">
        <f t="shared" si="6"/>
        <v>0</v>
      </c>
      <c r="AU53" s="11">
        <v>0</v>
      </c>
      <c r="AV53" s="11">
        <v>0</v>
      </c>
      <c r="AW53" s="11">
        <v>0</v>
      </c>
      <c r="AX53" s="10">
        <f t="shared" si="7"/>
        <v>0</v>
      </c>
      <c r="AY53" s="11">
        <v>0</v>
      </c>
      <c r="AZ53" s="11">
        <v>0</v>
      </c>
      <c r="BA53" s="11">
        <v>0</v>
      </c>
      <c r="BB53" s="10">
        <f t="shared" si="8"/>
        <v>0</v>
      </c>
      <c r="BC53" s="11">
        <v>0</v>
      </c>
      <c r="BD53" s="11">
        <v>0</v>
      </c>
      <c r="BE53" s="10">
        <f t="shared" si="9"/>
        <v>0</v>
      </c>
      <c r="BF53" s="11">
        <v>0</v>
      </c>
      <c r="BG53" s="11">
        <v>0</v>
      </c>
      <c r="BH53" s="10">
        <f t="shared" si="10"/>
        <v>0</v>
      </c>
      <c r="BI53" s="11">
        <v>0</v>
      </c>
      <c r="BJ53" s="11">
        <v>0</v>
      </c>
      <c r="BK53" s="11">
        <v>0</v>
      </c>
      <c r="BL53" s="10">
        <f t="shared" si="11"/>
        <v>0</v>
      </c>
      <c r="BM53" s="11">
        <v>0</v>
      </c>
      <c r="BN53" s="11">
        <v>2</v>
      </c>
      <c r="BO53" s="11">
        <v>2</v>
      </c>
      <c r="BP53" s="11">
        <v>0</v>
      </c>
      <c r="BQ53" s="11">
        <f t="shared" si="13"/>
        <v>172</v>
      </c>
      <c r="BR53" s="11">
        <v>3</v>
      </c>
    </row>
    <row r="54" spans="1:70" s="11" customFormat="1" x14ac:dyDescent="0.25">
      <c r="A54" s="11">
        <v>303</v>
      </c>
      <c r="B54" s="11">
        <v>6</v>
      </c>
      <c r="C54" s="11">
        <v>0</v>
      </c>
      <c r="D54" s="12">
        <v>44734</v>
      </c>
      <c r="E54" s="12" t="s">
        <v>42</v>
      </c>
      <c r="F54" s="11" t="s">
        <v>57</v>
      </c>
      <c r="G54" s="24"/>
      <c r="H54" s="13">
        <v>5</v>
      </c>
      <c r="I54" s="14">
        <v>0.32</v>
      </c>
      <c r="J54" s="14">
        <v>0.13</v>
      </c>
      <c r="K54" s="15">
        <v>0.6</v>
      </c>
      <c r="L54" s="11">
        <v>0</v>
      </c>
      <c r="M54" s="11">
        <v>1</v>
      </c>
      <c r="N54" s="11">
        <v>1</v>
      </c>
      <c r="O54" s="11">
        <v>0</v>
      </c>
      <c r="P54" s="11">
        <v>0</v>
      </c>
      <c r="Q54" s="11">
        <v>0</v>
      </c>
      <c r="R54" s="10">
        <f t="shared" si="2"/>
        <v>2</v>
      </c>
      <c r="S54" s="11">
        <f>SUM(46+58+65+43+72+86+10+43+18+28+75)</f>
        <v>544</v>
      </c>
      <c r="T54" s="11">
        <v>2</v>
      </c>
      <c r="U54" s="11">
        <v>2</v>
      </c>
      <c r="V54" s="11">
        <v>0</v>
      </c>
      <c r="W54" s="11">
        <v>0</v>
      </c>
      <c r="X54" s="11">
        <v>0</v>
      </c>
      <c r="Y54" s="10">
        <f t="shared" si="3"/>
        <v>548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0">
        <f t="shared" si="12"/>
        <v>0</v>
      </c>
      <c r="AG54" s="11">
        <v>2</v>
      </c>
      <c r="AH54" s="11">
        <v>1</v>
      </c>
      <c r="AI54" s="11">
        <v>0</v>
      </c>
      <c r="AJ54" s="11">
        <v>0</v>
      </c>
      <c r="AK54" s="11">
        <v>0</v>
      </c>
      <c r="AL54" s="11">
        <v>0</v>
      </c>
      <c r="AM54" s="10">
        <f t="shared" si="4"/>
        <v>3</v>
      </c>
      <c r="AN54" s="11">
        <v>0</v>
      </c>
      <c r="AO54" s="11">
        <v>0</v>
      </c>
      <c r="AP54" s="11">
        <v>0</v>
      </c>
      <c r="AQ54" s="10">
        <f t="shared" si="5"/>
        <v>0</v>
      </c>
      <c r="AR54" s="11">
        <v>2</v>
      </c>
      <c r="AS54" s="11">
        <v>2</v>
      </c>
      <c r="AT54" s="10">
        <f t="shared" si="6"/>
        <v>4</v>
      </c>
      <c r="AU54" s="11">
        <v>0</v>
      </c>
      <c r="AV54" s="11">
        <v>0</v>
      </c>
      <c r="AW54" s="11">
        <v>0</v>
      </c>
      <c r="AX54" s="10">
        <f t="shared" si="7"/>
        <v>0</v>
      </c>
      <c r="AY54" s="11">
        <v>0</v>
      </c>
      <c r="AZ54" s="11">
        <v>0</v>
      </c>
      <c r="BA54" s="11">
        <v>0</v>
      </c>
      <c r="BB54" s="10">
        <f t="shared" si="8"/>
        <v>0</v>
      </c>
      <c r="BC54" s="11">
        <v>0</v>
      </c>
      <c r="BD54" s="11">
        <v>0</v>
      </c>
      <c r="BE54" s="10">
        <f t="shared" si="9"/>
        <v>0</v>
      </c>
      <c r="BF54" s="11">
        <v>0</v>
      </c>
      <c r="BG54" s="11">
        <v>0</v>
      </c>
      <c r="BH54" s="10">
        <f t="shared" si="10"/>
        <v>0</v>
      </c>
      <c r="BI54" s="11">
        <v>0</v>
      </c>
      <c r="BJ54" s="11">
        <v>0</v>
      </c>
      <c r="BK54" s="11">
        <v>0</v>
      </c>
      <c r="BL54" s="10">
        <f t="shared" si="11"/>
        <v>0</v>
      </c>
      <c r="BM54" s="11">
        <v>0</v>
      </c>
      <c r="BN54" s="11">
        <v>1</v>
      </c>
      <c r="BO54" s="11">
        <v>0</v>
      </c>
      <c r="BP54" s="11">
        <v>0</v>
      </c>
      <c r="BQ54" s="11">
        <f t="shared" si="13"/>
        <v>558</v>
      </c>
    </row>
    <row r="55" spans="1:70" s="11" customFormat="1" x14ac:dyDescent="0.25">
      <c r="A55" s="11">
        <v>303</v>
      </c>
      <c r="B55" s="11">
        <v>6</v>
      </c>
      <c r="C55" s="11">
        <v>5</v>
      </c>
      <c r="D55" s="12">
        <v>44739</v>
      </c>
      <c r="E55" s="12" t="s">
        <v>42</v>
      </c>
      <c r="F55" s="11" t="s">
        <v>57</v>
      </c>
      <c r="G55" s="24"/>
      <c r="H55" s="13">
        <v>5</v>
      </c>
      <c r="I55" s="14">
        <v>0.32</v>
      </c>
      <c r="J55" s="14">
        <v>0.13</v>
      </c>
      <c r="K55" s="15">
        <v>0.6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0">
        <f t="shared" si="2"/>
        <v>0</v>
      </c>
      <c r="S55" s="11">
        <f>SUM(24+34+43+10+1+29+23)</f>
        <v>164</v>
      </c>
      <c r="T55" s="11">
        <f>SUM(11+1+21+15+8)</f>
        <v>56</v>
      </c>
      <c r="U55" s="11">
        <v>8</v>
      </c>
      <c r="V55" s="11">
        <f>SUM(8+5+5)</f>
        <v>18</v>
      </c>
      <c r="W55" s="11">
        <f>SUM(5+4)</f>
        <v>9</v>
      </c>
      <c r="X55" s="11">
        <v>0</v>
      </c>
      <c r="Y55" s="10">
        <f t="shared" si="3"/>
        <v>255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0">
        <f t="shared" si="12"/>
        <v>0</v>
      </c>
      <c r="AG55" s="11">
        <v>0</v>
      </c>
      <c r="AH55" s="11">
        <v>1</v>
      </c>
      <c r="AI55" s="11">
        <v>0</v>
      </c>
      <c r="AJ55" s="11">
        <v>0</v>
      </c>
      <c r="AK55" s="11">
        <v>0</v>
      </c>
      <c r="AL55" s="11">
        <v>0</v>
      </c>
      <c r="AM55" s="10">
        <f t="shared" si="4"/>
        <v>1</v>
      </c>
      <c r="AN55" s="11">
        <v>0</v>
      </c>
      <c r="AO55" s="11">
        <v>0</v>
      </c>
      <c r="AP55" s="11">
        <v>0</v>
      </c>
      <c r="AQ55" s="10">
        <f t="shared" si="5"/>
        <v>0</v>
      </c>
      <c r="AR55" s="11">
        <v>0</v>
      </c>
      <c r="AS55" s="11">
        <v>0</v>
      </c>
      <c r="AT55" s="10">
        <f t="shared" si="6"/>
        <v>0</v>
      </c>
      <c r="AU55" s="11">
        <v>0</v>
      </c>
      <c r="AV55" s="11">
        <v>0</v>
      </c>
      <c r="AW55" s="11">
        <v>0</v>
      </c>
      <c r="AX55" s="10">
        <f t="shared" si="7"/>
        <v>0</v>
      </c>
      <c r="AY55" s="11">
        <v>0</v>
      </c>
      <c r="AZ55" s="11">
        <v>0</v>
      </c>
      <c r="BA55" s="11">
        <v>0</v>
      </c>
      <c r="BB55" s="10">
        <f t="shared" si="8"/>
        <v>0</v>
      </c>
      <c r="BC55" s="11">
        <v>0</v>
      </c>
      <c r="BD55" s="11">
        <v>0</v>
      </c>
      <c r="BE55" s="10">
        <f t="shared" si="9"/>
        <v>0</v>
      </c>
      <c r="BF55" s="11">
        <v>0</v>
      </c>
      <c r="BG55" s="11">
        <v>0</v>
      </c>
      <c r="BH55" s="10">
        <f t="shared" si="10"/>
        <v>0</v>
      </c>
      <c r="BI55" s="11">
        <v>0</v>
      </c>
      <c r="BJ55" s="11">
        <v>0</v>
      </c>
      <c r="BK55" s="11">
        <v>0</v>
      </c>
      <c r="BL55" s="10">
        <f t="shared" si="11"/>
        <v>0</v>
      </c>
      <c r="BM55" s="11">
        <v>0</v>
      </c>
      <c r="BN55" s="11">
        <v>1</v>
      </c>
      <c r="BQ55" s="11">
        <f t="shared" si="13"/>
        <v>257</v>
      </c>
      <c r="BR55" s="11">
        <v>1</v>
      </c>
    </row>
    <row r="56" spans="1:70" s="11" customFormat="1" x14ac:dyDescent="0.25">
      <c r="A56" s="11">
        <v>304</v>
      </c>
      <c r="B56" s="11">
        <v>1</v>
      </c>
      <c r="C56" s="11">
        <v>0</v>
      </c>
      <c r="D56" s="12">
        <v>44728</v>
      </c>
      <c r="E56" s="12" t="s">
        <v>42</v>
      </c>
      <c r="F56" s="12" t="s">
        <v>56</v>
      </c>
      <c r="G56" s="24"/>
      <c r="H56" s="13">
        <v>1</v>
      </c>
      <c r="I56" s="14">
        <v>0.4</v>
      </c>
      <c r="J56" s="14">
        <v>0.02</v>
      </c>
      <c r="K56" s="15">
        <v>0.95</v>
      </c>
      <c r="L56" s="11">
        <f>5+2+2</f>
        <v>9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0">
        <f t="shared" si="2"/>
        <v>9</v>
      </c>
      <c r="S56" s="11">
        <v>8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0">
        <f t="shared" si="3"/>
        <v>8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0">
        <f t="shared" si="12"/>
        <v>0</v>
      </c>
      <c r="AG56" s="11">
        <f>1+2+4+2+18+18+23+4</f>
        <v>72</v>
      </c>
      <c r="AH56" s="11">
        <f>3+1+1+6+7+7+1</f>
        <v>26</v>
      </c>
      <c r="AI56" s="11">
        <v>0</v>
      </c>
      <c r="AJ56" s="11">
        <v>0</v>
      </c>
      <c r="AK56" s="11">
        <v>0</v>
      </c>
      <c r="AL56" s="11">
        <v>0</v>
      </c>
      <c r="AM56" s="10">
        <f t="shared" si="4"/>
        <v>98</v>
      </c>
      <c r="AN56" s="11">
        <v>0</v>
      </c>
      <c r="AO56" s="11">
        <v>0</v>
      </c>
      <c r="AP56" s="11">
        <v>0</v>
      </c>
      <c r="AQ56" s="10">
        <f t="shared" si="5"/>
        <v>0</v>
      </c>
      <c r="AR56" s="11">
        <v>0</v>
      </c>
      <c r="AS56" s="11">
        <v>0</v>
      </c>
      <c r="AT56" s="10">
        <f t="shared" si="6"/>
        <v>0</v>
      </c>
      <c r="AU56" s="11">
        <v>0</v>
      </c>
      <c r="AV56" s="11">
        <v>2</v>
      </c>
      <c r="AW56" s="11">
        <v>1</v>
      </c>
      <c r="AX56" s="10">
        <f t="shared" si="7"/>
        <v>3</v>
      </c>
      <c r="AY56" s="11">
        <v>1</v>
      </c>
      <c r="AZ56" s="11">
        <v>0</v>
      </c>
      <c r="BA56" s="11">
        <v>0</v>
      </c>
      <c r="BB56" s="10">
        <f t="shared" si="8"/>
        <v>1</v>
      </c>
      <c r="BC56" s="11">
        <v>0</v>
      </c>
      <c r="BD56" s="11">
        <v>0</v>
      </c>
      <c r="BE56" s="10">
        <f t="shared" si="9"/>
        <v>0</v>
      </c>
      <c r="BF56" s="11">
        <v>0</v>
      </c>
      <c r="BG56" s="11">
        <v>0</v>
      </c>
      <c r="BH56" s="10">
        <f t="shared" si="10"/>
        <v>0</v>
      </c>
      <c r="BI56" s="11">
        <v>0</v>
      </c>
      <c r="BJ56" s="11">
        <v>0</v>
      </c>
      <c r="BK56" s="11">
        <v>0</v>
      </c>
      <c r="BL56" s="10">
        <f t="shared" si="11"/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f t="shared" si="13"/>
        <v>119</v>
      </c>
    </row>
    <row r="57" spans="1:70" s="11" customFormat="1" x14ac:dyDescent="0.25">
      <c r="A57" s="11">
        <v>304</v>
      </c>
      <c r="B57" s="11">
        <v>1</v>
      </c>
      <c r="C57" s="11">
        <v>5</v>
      </c>
      <c r="D57" s="12">
        <v>44733</v>
      </c>
      <c r="E57" s="12" t="s">
        <v>42</v>
      </c>
      <c r="F57" s="12" t="s">
        <v>56</v>
      </c>
      <c r="G57" s="24"/>
      <c r="H57" s="13">
        <v>1</v>
      </c>
      <c r="I57" s="14">
        <v>0.4</v>
      </c>
      <c r="J57" s="14">
        <v>0.02</v>
      </c>
      <c r="K57" s="15">
        <v>0.95</v>
      </c>
      <c r="L57" s="11">
        <v>3</v>
      </c>
      <c r="M57" s="11">
        <v>1</v>
      </c>
      <c r="N57" s="11">
        <v>0</v>
      </c>
      <c r="O57" s="11">
        <v>0</v>
      </c>
      <c r="P57" s="11">
        <v>0</v>
      </c>
      <c r="Q57" s="11">
        <v>0</v>
      </c>
      <c r="R57" s="10">
        <f t="shared" si="2"/>
        <v>4</v>
      </c>
      <c r="S57" s="11">
        <v>12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0">
        <f t="shared" si="3"/>
        <v>12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0">
        <f t="shared" si="12"/>
        <v>0</v>
      </c>
      <c r="AG57" s="11">
        <f>SUM(7+6+2+16)</f>
        <v>31</v>
      </c>
      <c r="AH57" s="11">
        <v>19</v>
      </c>
      <c r="AI57" s="11">
        <v>0</v>
      </c>
      <c r="AJ57" s="11">
        <v>0</v>
      </c>
      <c r="AK57" s="11">
        <v>0</v>
      </c>
      <c r="AL57" s="11">
        <v>0</v>
      </c>
      <c r="AM57" s="10">
        <f t="shared" si="4"/>
        <v>50</v>
      </c>
      <c r="AN57" s="11">
        <v>0</v>
      </c>
      <c r="AO57" s="11">
        <v>0</v>
      </c>
      <c r="AP57" s="11">
        <v>0</v>
      </c>
      <c r="AQ57" s="10">
        <f t="shared" si="5"/>
        <v>0</v>
      </c>
      <c r="AR57" s="11">
        <v>0</v>
      </c>
      <c r="AS57" s="11">
        <v>0</v>
      </c>
      <c r="AT57" s="10">
        <f t="shared" si="6"/>
        <v>0</v>
      </c>
      <c r="AU57" s="11">
        <v>0</v>
      </c>
      <c r="AV57" s="11">
        <v>0</v>
      </c>
      <c r="AW57" s="11">
        <v>0</v>
      </c>
      <c r="AX57" s="10">
        <f t="shared" si="7"/>
        <v>0</v>
      </c>
      <c r="AY57" s="11">
        <v>0</v>
      </c>
      <c r="AZ57" s="11">
        <v>0</v>
      </c>
      <c r="BA57" s="11">
        <v>0</v>
      </c>
      <c r="BB57" s="10">
        <f t="shared" si="8"/>
        <v>0</v>
      </c>
      <c r="BC57" s="11">
        <v>0</v>
      </c>
      <c r="BD57" s="11">
        <v>0</v>
      </c>
      <c r="BE57" s="10">
        <f t="shared" si="9"/>
        <v>0</v>
      </c>
      <c r="BF57" s="11">
        <v>0</v>
      </c>
      <c r="BG57" s="11">
        <v>0</v>
      </c>
      <c r="BH57" s="10">
        <f t="shared" si="10"/>
        <v>0</v>
      </c>
      <c r="BI57" s="11">
        <v>0</v>
      </c>
      <c r="BJ57" s="11">
        <v>0</v>
      </c>
      <c r="BK57" s="11">
        <v>0</v>
      </c>
      <c r="BL57" s="10">
        <f t="shared" si="11"/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f t="shared" si="13"/>
        <v>66</v>
      </c>
      <c r="BR57" s="11">
        <v>0</v>
      </c>
    </row>
    <row r="58" spans="1:70" s="11" customFormat="1" x14ac:dyDescent="0.25">
      <c r="A58" s="11">
        <v>305</v>
      </c>
      <c r="B58" s="11">
        <v>11</v>
      </c>
      <c r="C58" s="11">
        <v>0</v>
      </c>
      <c r="D58" s="12">
        <v>44734</v>
      </c>
      <c r="E58" s="12" t="s">
        <v>42</v>
      </c>
      <c r="F58" s="11" t="s">
        <v>56</v>
      </c>
      <c r="G58" s="24">
        <v>11.5</v>
      </c>
      <c r="H58" s="13">
        <v>1</v>
      </c>
      <c r="I58" s="14">
        <v>0.35</v>
      </c>
      <c r="J58" s="14">
        <v>0.15</v>
      </c>
      <c r="K58" s="15">
        <v>0.57999999999999996</v>
      </c>
      <c r="L58" s="11">
        <v>7</v>
      </c>
      <c r="M58" s="11">
        <v>2</v>
      </c>
      <c r="N58" s="11">
        <v>1</v>
      </c>
      <c r="O58" s="11">
        <v>0</v>
      </c>
      <c r="P58" s="11">
        <v>0</v>
      </c>
      <c r="Q58" s="11">
        <v>0</v>
      </c>
      <c r="R58" s="10">
        <f t="shared" si="2"/>
        <v>10</v>
      </c>
      <c r="S58" s="11">
        <f>SUM(1+4+2+2)</f>
        <v>9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0">
        <f t="shared" si="3"/>
        <v>9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0">
        <f t="shared" si="12"/>
        <v>0</v>
      </c>
      <c r="AG58" s="11">
        <v>3</v>
      </c>
      <c r="AH58" s="11">
        <v>3</v>
      </c>
      <c r="AI58" s="11">
        <v>0</v>
      </c>
      <c r="AJ58" s="11">
        <v>0</v>
      </c>
      <c r="AK58" s="11">
        <v>0</v>
      </c>
      <c r="AL58" s="11">
        <v>0</v>
      </c>
      <c r="AM58" s="10">
        <f t="shared" si="4"/>
        <v>6</v>
      </c>
      <c r="AN58" s="11">
        <v>0</v>
      </c>
      <c r="AO58" s="11">
        <v>0</v>
      </c>
      <c r="AP58" s="11">
        <v>0</v>
      </c>
      <c r="AQ58" s="10">
        <f t="shared" si="5"/>
        <v>0</v>
      </c>
      <c r="AR58" s="11">
        <v>0</v>
      </c>
      <c r="AS58" s="11">
        <v>0</v>
      </c>
      <c r="AT58" s="10">
        <f t="shared" si="6"/>
        <v>0</v>
      </c>
      <c r="AU58" s="11">
        <v>0</v>
      </c>
      <c r="AV58" s="11">
        <v>0</v>
      </c>
      <c r="AW58" s="11">
        <v>0</v>
      </c>
      <c r="AX58" s="10">
        <f t="shared" si="7"/>
        <v>0</v>
      </c>
      <c r="AY58" s="11">
        <v>0</v>
      </c>
      <c r="AZ58" s="11">
        <v>0</v>
      </c>
      <c r="BA58" s="11">
        <v>0</v>
      </c>
      <c r="BB58" s="10">
        <f t="shared" si="8"/>
        <v>0</v>
      </c>
      <c r="BC58" s="11">
        <v>0</v>
      </c>
      <c r="BD58" s="11">
        <v>0</v>
      </c>
      <c r="BE58" s="10">
        <f t="shared" si="9"/>
        <v>0</v>
      </c>
      <c r="BF58" s="11">
        <v>0</v>
      </c>
      <c r="BG58" s="11">
        <v>0</v>
      </c>
      <c r="BH58" s="10">
        <f t="shared" si="10"/>
        <v>0</v>
      </c>
      <c r="BI58" s="16">
        <v>0</v>
      </c>
      <c r="BJ58" s="16">
        <v>0</v>
      </c>
      <c r="BK58" s="16">
        <v>0</v>
      </c>
      <c r="BL58" s="10">
        <f t="shared" si="11"/>
        <v>0</v>
      </c>
      <c r="BM58" s="16">
        <v>0</v>
      </c>
      <c r="BN58" s="11">
        <v>1</v>
      </c>
      <c r="BO58" s="11">
        <v>0</v>
      </c>
      <c r="BP58" s="11">
        <v>0</v>
      </c>
      <c r="BQ58" s="11">
        <f t="shared" si="13"/>
        <v>26</v>
      </c>
    </row>
    <row r="59" spans="1:70" s="11" customFormat="1" x14ac:dyDescent="0.25">
      <c r="A59" s="11">
        <v>305</v>
      </c>
      <c r="B59" s="11">
        <v>11</v>
      </c>
      <c r="C59" s="11">
        <v>5</v>
      </c>
      <c r="D59" s="12">
        <v>44739</v>
      </c>
      <c r="E59" s="12" t="s">
        <v>42</v>
      </c>
      <c r="F59" s="11" t="s">
        <v>56</v>
      </c>
      <c r="G59" s="24">
        <v>11.5</v>
      </c>
      <c r="H59" s="13">
        <v>1</v>
      </c>
      <c r="I59" s="14">
        <v>0.35</v>
      </c>
      <c r="J59" s="14">
        <v>0.15</v>
      </c>
      <c r="K59" s="15">
        <v>0.57999999999999996</v>
      </c>
      <c r="L59" s="11">
        <v>5</v>
      </c>
      <c r="M59" s="11">
        <v>4</v>
      </c>
      <c r="N59" s="11">
        <v>1</v>
      </c>
      <c r="O59" s="11">
        <v>0</v>
      </c>
      <c r="P59" s="11">
        <v>0</v>
      </c>
      <c r="Q59" s="11">
        <v>0</v>
      </c>
      <c r="R59" s="10">
        <f t="shared" si="2"/>
        <v>10</v>
      </c>
      <c r="S59" s="11">
        <v>1</v>
      </c>
      <c r="T59" s="11">
        <v>2</v>
      </c>
      <c r="U59" s="11">
        <v>0</v>
      </c>
      <c r="V59" s="11">
        <v>0</v>
      </c>
      <c r="W59" s="11">
        <v>0</v>
      </c>
      <c r="X59" s="11">
        <v>0</v>
      </c>
      <c r="Y59" s="10">
        <f t="shared" si="3"/>
        <v>3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0">
        <f t="shared" si="12"/>
        <v>0</v>
      </c>
      <c r="AG59" s="11">
        <v>1</v>
      </c>
      <c r="AH59" s="11">
        <v>0</v>
      </c>
      <c r="AI59" s="11">
        <v>1</v>
      </c>
      <c r="AJ59" s="11">
        <v>0</v>
      </c>
      <c r="AK59" s="11">
        <v>0</v>
      </c>
      <c r="AL59" s="11">
        <v>1</v>
      </c>
      <c r="AM59" s="10">
        <f t="shared" si="4"/>
        <v>3</v>
      </c>
      <c r="AN59" s="11">
        <v>0</v>
      </c>
      <c r="AO59" s="11">
        <v>0</v>
      </c>
      <c r="AP59" s="11">
        <v>0</v>
      </c>
      <c r="AQ59" s="10">
        <f t="shared" si="5"/>
        <v>0</v>
      </c>
      <c r="AR59" s="11">
        <v>0</v>
      </c>
      <c r="AS59" s="11">
        <v>0</v>
      </c>
      <c r="AT59" s="10">
        <f t="shared" si="6"/>
        <v>0</v>
      </c>
      <c r="AU59" s="11">
        <v>0</v>
      </c>
      <c r="AV59" s="11">
        <v>0</v>
      </c>
      <c r="AW59" s="11">
        <v>0</v>
      </c>
      <c r="AX59" s="10">
        <f t="shared" si="7"/>
        <v>0</v>
      </c>
      <c r="AY59" s="11">
        <v>0</v>
      </c>
      <c r="AZ59" s="11">
        <v>0</v>
      </c>
      <c r="BA59" s="11">
        <v>0</v>
      </c>
      <c r="BB59" s="10">
        <f t="shared" si="8"/>
        <v>0</v>
      </c>
      <c r="BC59" s="11">
        <v>0</v>
      </c>
      <c r="BD59" s="11">
        <v>0</v>
      </c>
      <c r="BE59" s="10">
        <f t="shared" si="9"/>
        <v>0</v>
      </c>
      <c r="BF59" s="11">
        <v>0</v>
      </c>
      <c r="BG59" s="11">
        <v>0</v>
      </c>
      <c r="BH59" s="10">
        <f t="shared" si="10"/>
        <v>0</v>
      </c>
      <c r="BI59" s="11">
        <v>0</v>
      </c>
      <c r="BJ59" s="11">
        <v>0</v>
      </c>
      <c r="BK59" s="11">
        <v>0</v>
      </c>
      <c r="BL59" s="10">
        <f t="shared" si="11"/>
        <v>0</v>
      </c>
      <c r="BM59" s="16">
        <v>0</v>
      </c>
      <c r="BN59" s="11">
        <v>1</v>
      </c>
      <c r="BO59" s="11">
        <v>0</v>
      </c>
      <c r="BP59" s="11">
        <v>0</v>
      </c>
      <c r="BQ59" s="11">
        <f t="shared" si="13"/>
        <v>17</v>
      </c>
      <c r="BR59" s="11">
        <v>23</v>
      </c>
    </row>
    <row r="60" spans="1:70" s="11" customFormat="1" x14ac:dyDescent="0.25">
      <c r="A60" s="11">
        <v>306</v>
      </c>
      <c r="B60" s="11">
        <v>7</v>
      </c>
      <c r="C60" s="11">
        <v>0</v>
      </c>
      <c r="D60" s="12">
        <v>44734</v>
      </c>
      <c r="E60" s="12" t="s">
        <v>43</v>
      </c>
      <c r="F60" s="11" t="s">
        <v>57</v>
      </c>
      <c r="G60" s="24"/>
      <c r="H60" s="13"/>
      <c r="I60" s="14"/>
      <c r="J60" s="14"/>
      <c r="K60" s="15"/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0">
        <f t="shared" si="2"/>
        <v>0</v>
      </c>
      <c r="S60" s="11">
        <v>35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0">
        <f t="shared" si="3"/>
        <v>35</v>
      </c>
      <c r="Z60" s="11">
        <v>0</v>
      </c>
      <c r="AA60" s="11">
        <v>1</v>
      </c>
      <c r="AB60" s="11">
        <v>0</v>
      </c>
      <c r="AC60" s="11">
        <v>0</v>
      </c>
      <c r="AD60" s="11">
        <v>0</v>
      </c>
      <c r="AE60" s="11">
        <v>0</v>
      </c>
      <c r="AF60" s="10">
        <f t="shared" si="12"/>
        <v>1</v>
      </c>
      <c r="AG60" s="11">
        <v>8</v>
      </c>
      <c r="AH60" s="11">
        <v>7</v>
      </c>
      <c r="AI60" s="11">
        <v>0</v>
      </c>
      <c r="AJ60" s="11">
        <v>0</v>
      </c>
      <c r="AK60" s="11">
        <v>0</v>
      </c>
      <c r="AL60" s="11">
        <v>0</v>
      </c>
      <c r="AM60" s="10">
        <f t="shared" si="4"/>
        <v>15</v>
      </c>
      <c r="AN60" s="11">
        <v>0</v>
      </c>
      <c r="AO60" s="11">
        <v>0</v>
      </c>
      <c r="AP60" s="11">
        <v>0</v>
      </c>
      <c r="AQ60" s="10">
        <f t="shared" si="5"/>
        <v>0</v>
      </c>
      <c r="AR60" s="11">
        <v>0</v>
      </c>
      <c r="AS60" s="11">
        <v>0</v>
      </c>
      <c r="AT60" s="10">
        <f t="shared" si="6"/>
        <v>0</v>
      </c>
      <c r="AU60" s="16">
        <v>0</v>
      </c>
      <c r="AV60" s="16">
        <v>0</v>
      </c>
      <c r="AW60" s="16">
        <v>0</v>
      </c>
      <c r="AX60" s="10">
        <f t="shared" si="7"/>
        <v>0</v>
      </c>
      <c r="AY60" s="16">
        <v>0</v>
      </c>
      <c r="AZ60" s="16">
        <v>0</v>
      </c>
      <c r="BA60" s="16">
        <v>0</v>
      </c>
      <c r="BB60" s="10">
        <f t="shared" si="8"/>
        <v>0</v>
      </c>
      <c r="BC60" s="11">
        <v>0</v>
      </c>
      <c r="BD60" s="11">
        <v>0</v>
      </c>
      <c r="BE60" s="10">
        <f t="shared" si="9"/>
        <v>0</v>
      </c>
      <c r="BF60" s="11">
        <v>0</v>
      </c>
      <c r="BG60" s="11">
        <v>0</v>
      </c>
      <c r="BH60" s="10">
        <f t="shared" si="10"/>
        <v>0</v>
      </c>
      <c r="BI60" s="16">
        <v>0</v>
      </c>
      <c r="BJ60" s="16">
        <v>0</v>
      </c>
      <c r="BK60" s="16">
        <v>0</v>
      </c>
      <c r="BL60" s="10">
        <f t="shared" si="11"/>
        <v>0</v>
      </c>
      <c r="BM60" s="16">
        <v>0</v>
      </c>
      <c r="BN60" s="11">
        <v>1</v>
      </c>
      <c r="BO60" s="11">
        <v>0</v>
      </c>
      <c r="BP60" s="11">
        <v>0</v>
      </c>
      <c r="BQ60" s="11">
        <f t="shared" si="13"/>
        <v>52</v>
      </c>
    </row>
    <row r="61" spans="1:70" s="11" customFormat="1" x14ac:dyDescent="0.25">
      <c r="A61" s="11">
        <v>306</v>
      </c>
      <c r="B61" s="11">
        <v>7</v>
      </c>
      <c r="C61" s="11">
        <v>5</v>
      </c>
      <c r="D61" s="12">
        <v>44739</v>
      </c>
      <c r="E61" s="12" t="s">
        <v>43</v>
      </c>
      <c r="F61" s="11" t="s">
        <v>57</v>
      </c>
      <c r="G61" s="24"/>
      <c r="H61" s="13"/>
      <c r="I61" s="14"/>
      <c r="J61" s="14"/>
      <c r="K61" s="15"/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0">
        <f t="shared" si="2"/>
        <v>0</v>
      </c>
      <c r="S61" s="11">
        <v>3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0">
        <f t="shared" si="3"/>
        <v>3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0">
        <f t="shared" si="12"/>
        <v>0</v>
      </c>
      <c r="AG61" s="11">
        <v>2</v>
      </c>
      <c r="AI61" s="11">
        <v>1</v>
      </c>
      <c r="AJ61" s="11">
        <v>0</v>
      </c>
      <c r="AK61" s="11">
        <v>0</v>
      </c>
      <c r="AL61" s="11">
        <v>0</v>
      </c>
      <c r="AM61" s="10">
        <f t="shared" si="4"/>
        <v>3</v>
      </c>
      <c r="AN61" s="11">
        <v>0</v>
      </c>
      <c r="AO61" s="11">
        <v>0</v>
      </c>
      <c r="AP61" s="11">
        <v>0</v>
      </c>
      <c r="AQ61" s="10">
        <f t="shared" si="5"/>
        <v>0</v>
      </c>
      <c r="AR61" s="11">
        <v>0</v>
      </c>
      <c r="AS61" s="11">
        <v>0</v>
      </c>
      <c r="AT61" s="10">
        <f t="shared" si="6"/>
        <v>0</v>
      </c>
      <c r="AU61" s="11">
        <v>0</v>
      </c>
      <c r="AV61" s="11">
        <v>0</v>
      </c>
      <c r="AW61" s="11">
        <v>0</v>
      </c>
      <c r="AX61" s="10">
        <f t="shared" si="7"/>
        <v>0</v>
      </c>
      <c r="AY61" s="11">
        <v>0</v>
      </c>
      <c r="AZ61" s="11">
        <v>0</v>
      </c>
      <c r="BA61" s="11">
        <v>0</v>
      </c>
      <c r="BB61" s="10">
        <f t="shared" si="8"/>
        <v>0</v>
      </c>
      <c r="BC61" s="11">
        <v>0</v>
      </c>
      <c r="BD61" s="11">
        <v>0</v>
      </c>
      <c r="BE61" s="10">
        <f t="shared" si="9"/>
        <v>0</v>
      </c>
      <c r="BF61" s="11">
        <v>0</v>
      </c>
      <c r="BG61" s="11">
        <v>0</v>
      </c>
      <c r="BH61" s="10">
        <f t="shared" si="10"/>
        <v>0</v>
      </c>
      <c r="BI61" s="11">
        <v>0</v>
      </c>
      <c r="BJ61" s="11">
        <v>0</v>
      </c>
      <c r="BK61" s="11">
        <v>0</v>
      </c>
      <c r="BL61" s="10">
        <f t="shared" si="11"/>
        <v>0</v>
      </c>
      <c r="BM61" s="16">
        <v>0</v>
      </c>
      <c r="BN61" s="11">
        <v>0</v>
      </c>
      <c r="BO61" s="11">
        <v>0</v>
      </c>
      <c r="BP61" s="11">
        <v>0</v>
      </c>
      <c r="BQ61" s="11">
        <f t="shared" si="13"/>
        <v>6</v>
      </c>
      <c r="BR61" s="11">
        <v>26</v>
      </c>
    </row>
    <row r="62" spans="1:70" s="11" customFormat="1" x14ac:dyDescent="0.25">
      <c r="A62" s="11">
        <v>307</v>
      </c>
      <c r="B62" s="11">
        <v>9</v>
      </c>
      <c r="C62" s="11">
        <v>0</v>
      </c>
      <c r="D62" s="12">
        <v>44734</v>
      </c>
      <c r="E62" s="12" t="s">
        <v>42</v>
      </c>
      <c r="F62" s="11" t="s">
        <v>56</v>
      </c>
      <c r="G62" s="24"/>
      <c r="H62" s="13">
        <v>1</v>
      </c>
      <c r="I62" s="14">
        <v>0.34</v>
      </c>
      <c r="J62" s="14">
        <v>0.08</v>
      </c>
      <c r="K62" s="15">
        <v>0.77</v>
      </c>
      <c r="L62" s="11">
        <v>3</v>
      </c>
      <c r="M62" s="11">
        <v>2</v>
      </c>
      <c r="N62" s="11">
        <v>0</v>
      </c>
      <c r="O62" s="11">
        <v>0</v>
      </c>
      <c r="P62" s="11">
        <v>0</v>
      </c>
      <c r="Q62" s="11">
        <v>0</v>
      </c>
      <c r="R62" s="10">
        <f t="shared" si="2"/>
        <v>5</v>
      </c>
      <c r="S62" s="11">
        <v>6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0">
        <f t="shared" si="3"/>
        <v>6</v>
      </c>
      <c r="Z62" s="11">
        <v>0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0">
        <f t="shared" si="12"/>
        <v>1</v>
      </c>
      <c r="AG62" s="11">
        <v>3</v>
      </c>
      <c r="AH62" s="11">
        <v>1</v>
      </c>
      <c r="AI62" s="11">
        <v>0</v>
      </c>
      <c r="AJ62" s="11">
        <v>0</v>
      </c>
      <c r="AK62" s="11">
        <v>0</v>
      </c>
      <c r="AL62" s="11">
        <v>0</v>
      </c>
      <c r="AM62" s="10">
        <f t="shared" si="4"/>
        <v>4</v>
      </c>
      <c r="AN62" s="16">
        <v>0</v>
      </c>
      <c r="AO62" s="16">
        <v>0</v>
      </c>
      <c r="AP62" s="16">
        <v>0</v>
      </c>
      <c r="AQ62" s="10">
        <f t="shared" si="5"/>
        <v>0</v>
      </c>
      <c r="AR62" s="11">
        <v>2</v>
      </c>
      <c r="AS62" s="11">
        <v>0</v>
      </c>
      <c r="AT62" s="10">
        <f t="shared" si="6"/>
        <v>2</v>
      </c>
      <c r="AU62" s="16">
        <v>0</v>
      </c>
      <c r="AV62" s="16">
        <v>0</v>
      </c>
      <c r="AW62" s="16">
        <v>0</v>
      </c>
      <c r="AX62" s="10">
        <f t="shared" si="7"/>
        <v>0</v>
      </c>
      <c r="AY62" s="16">
        <v>0</v>
      </c>
      <c r="AZ62" s="16">
        <v>0</v>
      </c>
      <c r="BA62" s="16">
        <v>0</v>
      </c>
      <c r="BB62" s="10">
        <f t="shared" si="8"/>
        <v>0</v>
      </c>
      <c r="BC62" s="11">
        <v>0</v>
      </c>
      <c r="BD62" s="11">
        <v>0</v>
      </c>
      <c r="BE62" s="10">
        <f t="shared" si="9"/>
        <v>0</v>
      </c>
      <c r="BF62" s="11">
        <v>0</v>
      </c>
      <c r="BG62" s="11">
        <v>0</v>
      </c>
      <c r="BH62" s="10">
        <f t="shared" si="10"/>
        <v>0</v>
      </c>
      <c r="BI62" s="16">
        <v>0</v>
      </c>
      <c r="BJ62" s="16">
        <v>0</v>
      </c>
      <c r="BK62" s="16">
        <v>0</v>
      </c>
      <c r="BL62" s="10">
        <f t="shared" si="11"/>
        <v>0</v>
      </c>
      <c r="BM62" s="16">
        <v>0</v>
      </c>
      <c r="BN62" s="16">
        <v>0</v>
      </c>
      <c r="BO62" s="16">
        <v>0</v>
      </c>
      <c r="BP62" s="16">
        <v>0</v>
      </c>
      <c r="BQ62" s="11">
        <f t="shared" si="13"/>
        <v>18</v>
      </c>
    </row>
    <row r="63" spans="1:70" s="11" customFormat="1" x14ac:dyDescent="0.25">
      <c r="A63" s="11">
        <v>307</v>
      </c>
      <c r="B63" s="11">
        <v>9</v>
      </c>
      <c r="C63" s="11">
        <v>5</v>
      </c>
      <c r="D63" s="12">
        <v>44739</v>
      </c>
      <c r="E63" s="12" t="s">
        <v>42</v>
      </c>
      <c r="F63" s="11" t="s">
        <v>56</v>
      </c>
      <c r="G63" s="24"/>
      <c r="H63" s="13">
        <v>1</v>
      </c>
      <c r="I63" s="14">
        <v>0.34</v>
      </c>
      <c r="J63" s="14">
        <v>0.08</v>
      </c>
      <c r="K63" s="15">
        <v>0.77</v>
      </c>
      <c r="L63" s="11">
        <v>5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0">
        <f t="shared" si="2"/>
        <v>5</v>
      </c>
      <c r="S63" s="11">
        <v>2</v>
      </c>
      <c r="T63" s="11">
        <v>1</v>
      </c>
      <c r="U63" s="11">
        <v>0</v>
      </c>
      <c r="V63" s="11">
        <v>0</v>
      </c>
      <c r="W63" s="11">
        <v>0</v>
      </c>
      <c r="X63" s="11">
        <v>0</v>
      </c>
      <c r="Y63" s="10">
        <f t="shared" si="3"/>
        <v>3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0">
        <f t="shared" si="12"/>
        <v>0</v>
      </c>
      <c r="AG63" s="11">
        <v>4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0">
        <f t="shared" si="4"/>
        <v>4</v>
      </c>
      <c r="AN63" s="11">
        <v>0</v>
      </c>
      <c r="AO63" s="11">
        <v>0</v>
      </c>
      <c r="AP63" s="11">
        <v>0</v>
      </c>
      <c r="AQ63" s="10">
        <f t="shared" si="5"/>
        <v>0</v>
      </c>
      <c r="AR63" s="11">
        <v>0</v>
      </c>
      <c r="AS63" s="11">
        <v>0</v>
      </c>
      <c r="AT63" s="10">
        <f t="shared" si="6"/>
        <v>0</v>
      </c>
      <c r="AU63" s="11">
        <v>0</v>
      </c>
      <c r="AV63" s="11">
        <v>0</v>
      </c>
      <c r="AW63" s="11">
        <v>0</v>
      </c>
      <c r="AX63" s="10">
        <f t="shared" si="7"/>
        <v>0</v>
      </c>
      <c r="AY63" s="11">
        <v>0</v>
      </c>
      <c r="AZ63" s="11">
        <v>0</v>
      </c>
      <c r="BA63" s="11">
        <v>0</v>
      </c>
      <c r="BB63" s="10">
        <f t="shared" si="8"/>
        <v>0</v>
      </c>
      <c r="BC63" s="11">
        <v>0</v>
      </c>
      <c r="BD63" s="11">
        <v>0</v>
      </c>
      <c r="BE63" s="10">
        <f t="shared" si="9"/>
        <v>0</v>
      </c>
      <c r="BF63" s="11">
        <v>0</v>
      </c>
      <c r="BG63" s="11">
        <v>0</v>
      </c>
      <c r="BH63" s="10">
        <f t="shared" si="10"/>
        <v>0</v>
      </c>
      <c r="BI63" s="11">
        <v>0</v>
      </c>
      <c r="BJ63" s="11">
        <v>0</v>
      </c>
      <c r="BK63" s="11">
        <v>0</v>
      </c>
      <c r="BL63" s="10">
        <f t="shared" si="11"/>
        <v>0</v>
      </c>
      <c r="BM63" s="16">
        <v>0</v>
      </c>
      <c r="BN63" s="16">
        <v>0</v>
      </c>
      <c r="BO63" s="16">
        <v>2</v>
      </c>
      <c r="BQ63" s="11">
        <f t="shared" si="13"/>
        <v>14</v>
      </c>
      <c r="BR63" s="11">
        <v>24</v>
      </c>
    </row>
    <row r="64" spans="1:70" s="11" customFormat="1" x14ac:dyDescent="0.25">
      <c r="A64" s="11">
        <v>308</v>
      </c>
      <c r="B64" s="11">
        <v>10</v>
      </c>
      <c r="C64" s="11">
        <v>0</v>
      </c>
      <c r="D64" s="12">
        <v>44734</v>
      </c>
      <c r="E64" s="12" t="s">
        <v>42</v>
      </c>
      <c r="F64" s="11" t="s">
        <v>57</v>
      </c>
      <c r="G64" s="24"/>
      <c r="H64" s="13">
        <v>5</v>
      </c>
      <c r="I64" s="14">
        <v>0.33</v>
      </c>
      <c r="J64" s="14">
        <v>0.09</v>
      </c>
      <c r="K64" s="15">
        <v>0.72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0">
        <f t="shared" si="2"/>
        <v>0</v>
      </c>
      <c r="S64" s="11">
        <v>4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0">
        <f t="shared" si="3"/>
        <v>4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0">
        <f t="shared" si="12"/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0">
        <f t="shared" si="4"/>
        <v>0</v>
      </c>
      <c r="AN64" s="11">
        <v>0</v>
      </c>
      <c r="AO64" s="11">
        <v>0</v>
      </c>
      <c r="AP64" s="11">
        <v>0</v>
      </c>
      <c r="AQ64" s="10">
        <f t="shared" si="5"/>
        <v>0</v>
      </c>
      <c r="AR64" s="11">
        <v>2</v>
      </c>
      <c r="AS64" s="11">
        <v>1</v>
      </c>
      <c r="AT64" s="10">
        <f t="shared" si="6"/>
        <v>3</v>
      </c>
      <c r="AU64" s="16">
        <v>0</v>
      </c>
      <c r="AV64" s="16">
        <v>0</v>
      </c>
      <c r="AW64" s="16">
        <v>0</v>
      </c>
      <c r="AX64" s="10">
        <f t="shared" si="7"/>
        <v>0</v>
      </c>
      <c r="AY64" s="16">
        <v>0</v>
      </c>
      <c r="AZ64" s="16">
        <v>0</v>
      </c>
      <c r="BA64" s="16">
        <v>0</v>
      </c>
      <c r="BB64" s="10">
        <f t="shared" si="8"/>
        <v>0</v>
      </c>
      <c r="BC64" s="11">
        <v>0</v>
      </c>
      <c r="BD64" s="11">
        <v>0</v>
      </c>
      <c r="BE64" s="10">
        <f t="shared" si="9"/>
        <v>0</v>
      </c>
      <c r="BF64" s="11">
        <v>0</v>
      </c>
      <c r="BG64" s="11">
        <v>0</v>
      </c>
      <c r="BH64" s="10">
        <f t="shared" si="10"/>
        <v>0</v>
      </c>
      <c r="BI64" s="16">
        <v>0</v>
      </c>
      <c r="BJ64" s="16">
        <v>0</v>
      </c>
      <c r="BK64" s="16">
        <v>0</v>
      </c>
      <c r="BL64" s="10">
        <f t="shared" si="11"/>
        <v>0</v>
      </c>
      <c r="BM64" s="16">
        <v>0</v>
      </c>
      <c r="BN64" s="16">
        <v>0</v>
      </c>
      <c r="BO64" s="16">
        <v>0</v>
      </c>
      <c r="BP64" s="16">
        <v>0</v>
      </c>
      <c r="BQ64" s="11">
        <f t="shared" si="13"/>
        <v>7</v>
      </c>
    </row>
    <row r="65" spans="1:70" s="11" customFormat="1" x14ac:dyDescent="0.25">
      <c r="A65" s="11">
        <v>308</v>
      </c>
      <c r="B65" s="11">
        <v>10</v>
      </c>
      <c r="C65" s="11">
        <v>5</v>
      </c>
      <c r="D65" s="12">
        <v>44739</v>
      </c>
      <c r="E65" s="12" t="s">
        <v>42</v>
      </c>
      <c r="F65" s="11" t="s">
        <v>57</v>
      </c>
      <c r="G65" s="24"/>
      <c r="H65" s="13">
        <v>5</v>
      </c>
      <c r="I65" s="14">
        <v>0.33</v>
      </c>
      <c r="J65" s="14">
        <v>0.09</v>
      </c>
      <c r="K65" s="15">
        <v>0.72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0">
        <f t="shared" si="2"/>
        <v>0</v>
      </c>
      <c r="S65" s="11">
        <v>5</v>
      </c>
      <c r="T65" s="11">
        <v>2</v>
      </c>
      <c r="U65" s="11">
        <v>0</v>
      </c>
      <c r="V65" s="11">
        <v>1</v>
      </c>
      <c r="W65" s="11">
        <v>0</v>
      </c>
      <c r="X65" s="11">
        <v>0</v>
      </c>
      <c r="Y65" s="10">
        <f t="shared" si="3"/>
        <v>8</v>
      </c>
      <c r="Z65" s="11">
        <v>0</v>
      </c>
      <c r="AA65" s="11">
        <v>0</v>
      </c>
      <c r="AB65" s="11">
        <v>2</v>
      </c>
      <c r="AC65" s="11">
        <v>0</v>
      </c>
      <c r="AD65" s="11">
        <v>0</v>
      </c>
      <c r="AE65" s="11">
        <v>0</v>
      </c>
      <c r="AF65" s="10">
        <f t="shared" si="12"/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0">
        <f t="shared" si="4"/>
        <v>0</v>
      </c>
      <c r="AN65" s="11">
        <v>0</v>
      </c>
      <c r="AO65" s="11">
        <v>0</v>
      </c>
      <c r="AP65" s="11">
        <v>0</v>
      </c>
      <c r="AQ65" s="10">
        <f t="shared" si="5"/>
        <v>0</v>
      </c>
      <c r="AR65" s="11">
        <v>0</v>
      </c>
      <c r="AS65" s="11">
        <v>0</v>
      </c>
      <c r="AT65" s="10">
        <f t="shared" si="6"/>
        <v>0</v>
      </c>
      <c r="AU65" s="11">
        <v>0</v>
      </c>
      <c r="AV65" s="11">
        <v>0</v>
      </c>
      <c r="AW65" s="11">
        <v>0</v>
      </c>
      <c r="AX65" s="10">
        <f t="shared" si="7"/>
        <v>0</v>
      </c>
      <c r="AY65" s="11">
        <v>0</v>
      </c>
      <c r="AZ65" s="11">
        <v>0</v>
      </c>
      <c r="BA65" s="11">
        <v>0</v>
      </c>
      <c r="BB65" s="10">
        <f t="shared" si="8"/>
        <v>0</v>
      </c>
      <c r="BC65" s="11">
        <v>0</v>
      </c>
      <c r="BD65" s="11">
        <v>0</v>
      </c>
      <c r="BE65" s="10">
        <f t="shared" si="9"/>
        <v>0</v>
      </c>
      <c r="BF65" s="11">
        <v>0</v>
      </c>
      <c r="BG65" s="11">
        <v>0</v>
      </c>
      <c r="BH65" s="10">
        <f t="shared" si="10"/>
        <v>0</v>
      </c>
      <c r="BI65" s="11">
        <v>0</v>
      </c>
      <c r="BJ65" s="11">
        <v>0</v>
      </c>
      <c r="BK65" s="11">
        <v>0</v>
      </c>
      <c r="BL65" s="10">
        <f t="shared" si="11"/>
        <v>0</v>
      </c>
      <c r="BM65" s="16">
        <v>0</v>
      </c>
      <c r="BN65" s="16">
        <v>1</v>
      </c>
      <c r="BQ65" s="11">
        <f t="shared" si="13"/>
        <v>11</v>
      </c>
      <c r="BR65" s="11">
        <v>14</v>
      </c>
    </row>
    <row r="66" spans="1:70" s="11" customFormat="1" x14ac:dyDescent="0.25">
      <c r="A66" s="11">
        <v>309</v>
      </c>
      <c r="B66" s="11">
        <v>8</v>
      </c>
      <c r="C66" s="11">
        <v>0</v>
      </c>
      <c r="D66" s="12">
        <v>44734</v>
      </c>
      <c r="E66" s="12" t="s">
        <v>43</v>
      </c>
      <c r="F66" s="11" t="s">
        <v>56</v>
      </c>
      <c r="G66" s="24"/>
      <c r="H66" s="13"/>
      <c r="I66" s="14"/>
      <c r="J66" s="14"/>
      <c r="K66" s="15"/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0">
        <f t="shared" si="2"/>
        <v>0</v>
      </c>
      <c r="S66" s="11">
        <f>SUM(11+11+11+15+15+7+7)</f>
        <v>77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0">
        <f t="shared" si="3"/>
        <v>77</v>
      </c>
      <c r="Z66" s="11">
        <v>0</v>
      </c>
      <c r="AA66" s="11">
        <v>0</v>
      </c>
      <c r="AB66" s="11">
        <v>1</v>
      </c>
      <c r="AC66" s="11">
        <v>0</v>
      </c>
      <c r="AD66" s="11">
        <v>0</v>
      </c>
      <c r="AE66" s="11">
        <v>0</v>
      </c>
      <c r="AF66" s="10">
        <f t="shared" si="12"/>
        <v>1</v>
      </c>
      <c r="AG66" s="11">
        <v>1</v>
      </c>
      <c r="AH66" s="11">
        <v>1</v>
      </c>
      <c r="AI66" s="11">
        <v>0</v>
      </c>
      <c r="AJ66" s="11">
        <v>0</v>
      </c>
      <c r="AK66" s="11">
        <v>0</v>
      </c>
      <c r="AL66" s="11">
        <v>0</v>
      </c>
      <c r="AM66" s="10">
        <f t="shared" si="4"/>
        <v>2</v>
      </c>
      <c r="AN66" s="16">
        <v>0</v>
      </c>
      <c r="AO66" s="16">
        <v>0</v>
      </c>
      <c r="AP66" s="16">
        <v>0</v>
      </c>
      <c r="AQ66" s="10">
        <f t="shared" si="5"/>
        <v>0</v>
      </c>
      <c r="AR66" s="16">
        <v>0</v>
      </c>
      <c r="AS66" s="11">
        <v>1</v>
      </c>
      <c r="AT66" s="10">
        <f t="shared" si="6"/>
        <v>1</v>
      </c>
      <c r="AU66" s="16">
        <v>0</v>
      </c>
      <c r="AV66" s="16">
        <v>0</v>
      </c>
      <c r="AW66" s="16">
        <v>0</v>
      </c>
      <c r="AX66" s="10">
        <f t="shared" si="7"/>
        <v>0</v>
      </c>
      <c r="AY66" s="16">
        <v>0</v>
      </c>
      <c r="AZ66" s="16">
        <v>0</v>
      </c>
      <c r="BA66" s="16">
        <v>0</v>
      </c>
      <c r="BB66" s="10">
        <f t="shared" si="8"/>
        <v>0</v>
      </c>
      <c r="BC66" s="11">
        <v>0</v>
      </c>
      <c r="BD66" s="11">
        <v>0</v>
      </c>
      <c r="BE66" s="10">
        <f t="shared" si="9"/>
        <v>0</v>
      </c>
      <c r="BF66" s="11">
        <v>0</v>
      </c>
      <c r="BG66" s="11">
        <v>0</v>
      </c>
      <c r="BH66" s="10">
        <f t="shared" si="10"/>
        <v>0</v>
      </c>
      <c r="BI66" s="16">
        <v>0</v>
      </c>
      <c r="BJ66" s="16">
        <v>0</v>
      </c>
      <c r="BK66" s="16">
        <v>0</v>
      </c>
      <c r="BL66" s="10">
        <f t="shared" si="11"/>
        <v>0</v>
      </c>
      <c r="BM66" s="16">
        <v>0</v>
      </c>
      <c r="BN66" s="16">
        <v>0</v>
      </c>
      <c r="BO66" s="16">
        <v>0</v>
      </c>
      <c r="BP66" s="16">
        <v>0</v>
      </c>
      <c r="BQ66" s="11">
        <f t="shared" si="13"/>
        <v>81</v>
      </c>
    </row>
    <row r="67" spans="1:70" s="11" customFormat="1" x14ac:dyDescent="0.25">
      <c r="A67" s="11">
        <v>309</v>
      </c>
      <c r="B67" s="11">
        <v>8</v>
      </c>
      <c r="C67" s="11">
        <v>5</v>
      </c>
      <c r="D67" s="12">
        <v>44739</v>
      </c>
      <c r="E67" s="12" t="s">
        <v>43</v>
      </c>
      <c r="F67" s="11" t="s">
        <v>56</v>
      </c>
      <c r="G67" s="24"/>
      <c r="H67" s="13"/>
      <c r="I67" s="14"/>
      <c r="J67" s="14"/>
      <c r="K67" s="15"/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0">
        <f t="shared" ref="R67:R73" si="14">SUM(L67:Q67)</f>
        <v>0</v>
      </c>
      <c r="S67" s="11">
        <v>14</v>
      </c>
      <c r="T67" s="11">
        <v>6</v>
      </c>
      <c r="U67" s="11">
        <v>0</v>
      </c>
      <c r="V67" s="11">
        <v>3</v>
      </c>
      <c r="W67" s="11">
        <v>0</v>
      </c>
      <c r="X67" s="11">
        <v>0</v>
      </c>
      <c r="Y67" s="10">
        <f t="shared" ref="Y67:Y73" si="15">SUM(S67:X67)</f>
        <v>23</v>
      </c>
      <c r="Z67" s="11">
        <v>1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0">
        <f t="shared" si="12"/>
        <v>1</v>
      </c>
      <c r="AG67" s="11">
        <v>0</v>
      </c>
      <c r="AH67" s="11">
        <v>0</v>
      </c>
      <c r="AI67" s="11">
        <v>2</v>
      </c>
      <c r="AJ67" s="11">
        <v>0</v>
      </c>
      <c r="AK67" s="11">
        <v>0</v>
      </c>
      <c r="AL67" s="11">
        <v>0</v>
      </c>
      <c r="AM67" s="10">
        <f t="shared" ref="AM67:AM73" si="16">SUM(AG67:AL67)</f>
        <v>2</v>
      </c>
      <c r="AN67" s="11">
        <v>0</v>
      </c>
      <c r="AO67" s="11">
        <v>0</v>
      </c>
      <c r="AP67" s="11">
        <v>0</v>
      </c>
      <c r="AQ67" s="10">
        <f t="shared" ref="AQ67:AQ73" si="17">SUM(AN67:AP67)</f>
        <v>0</v>
      </c>
      <c r="AR67" s="11">
        <v>0</v>
      </c>
      <c r="AS67" s="11">
        <v>0</v>
      </c>
      <c r="AT67" s="10">
        <f t="shared" ref="AT67:AT73" si="18">SUM(AR67,AS67)</f>
        <v>0</v>
      </c>
      <c r="AU67" s="11">
        <v>0</v>
      </c>
      <c r="AV67" s="11">
        <v>0</v>
      </c>
      <c r="AW67" s="11">
        <v>0</v>
      </c>
      <c r="AX67" s="10">
        <f t="shared" ref="AX67:AX73" si="19">SUM(AU67:AW67)</f>
        <v>0</v>
      </c>
      <c r="AY67" s="11">
        <v>0</v>
      </c>
      <c r="AZ67" s="11">
        <v>0</v>
      </c>
      <c r="BA67" s="11">
        <v>0</v>
      </c>
      <c r="BB67" s="10">
        <f t="shared" ref="BB67:BB73" si="20">SUM(AY67:BA67)</f>
        <v>0</v>
      </c>
      <c r="BC67" s="11">
        <v>0</v>
      </c>
      <c r="BD67" s="11">
        <v>0</v>
      </c>
      <c r="BE67" s="10">
        <f t="shared" ref="BE67:BE73" si="21">SUM(BC67:BD67)</f>
        <v>0</v>
      </c>
      <c r="BF67" s="11">
        <v>0</v>
      </c>
      <c r="BG67" s="11">
        <v>0</v>
      </c>
      <c r="BH67" s="10">
        <f t="shared" ref="BH67:BH73" si="22">SUM(BF67:BG67)</f>
        <v>0</v>
      </c>
      <c r="BI67" s="11">
        <v>0</v>
      </c>
      <c r="BJ67" s="11">
        <v>0</v>
      </c>
      <c r="BK67" s="11">
        <v>0</v>
      </c>
      <c r="BL67" s="10">
        <f t="shared" ref="BL67:BL73" si="23">SUM(BJ67:BK67)</f>
        <v>0</v>
      </c>
      <c r="BM67" s="16">
        <v>0</v>
      </c>
      <c r="BN67" s="16">
        <v>1</v>
      </c>
      <c r="BP67" s="16">
        <v>1</v>
      </c>
      <c r="BQ67" s="11">
        <f t="shared" si="13"/>
        <v>28</v>
      </c>
      <c r="BR67" s="11">
        <v>4</v>
      </c>
    </row>
    <row r="68" spans="1:70" s="11" customFormat="1" x14ac:dyDescent="0.25">
      <c r="A68" s="11">
        <v>310</v>
      </c>
      <c r="B68" s="11">
        <v>5</v>
      </c>
      <c r="C68" s="11">
        <v>0</v>
      </c>
      <c r="D68" s="12">
        <v>44734</v>
      </c>
      <c r="E68" s="12" t="s">
        <v>42</v>
      </c>
      <c r="F68" s="11" t="s">
        <v>56</v>
      </c>
      <c r="G68" s="24"/>
      <c r="H68" s="13">
        <v>1</v>
      </c>
      <c r="I68" s="14">
        <v>0.32</v>
      </c>
      <c r="J68" s="14">
        <v>0.1</v>
      </c>
      <c r="K68" s="15">
        <v>0.68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0">
        <f t="shared" si="14"/>
        <v>0</v>
      </c>
      <c r="S68" s="11">
        <f>SUM(4+6+6+6+2)</f>
        <v>24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0">
        <f t="shared" si="15"/>
        <v>24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0">
        <f t="shared" si="12"/>
        <v>0</v>
      </c>
      <c r="AG68" s="11">
        <v>1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0">
        <f t="shared" si="16"/>
        <v>1</v>
      </c>
      <c r="AN68" s="16">
        <v>0</v>
      </c>
      <c r="AO68" s="16">
        <v>0</v>
      </c>
      <c r="AP68" s="16">
        <v>0</v>
      </c>
      <c r="AQ68" s="10">
        <f t="shared" si="17"/>
        <v>0</v>
      </c>
      <c r="AR68" s="11">
        <v>0</v>
      </c>
      <c r="AS68" s="11">
        <v>0</v>
      </c>
      <c r="AT68" s="10">
        <f t="shared" si="18"/>
        <v>0</v>
      </c>
      <c r="AU68" s="16">
        <v>0</v>
      </c>
      <c r="AV68" s="16">
        <v>0</v>
      </c>
      <c r="AW68" s="16">
        <v>0</v>
      </c>
      <c r="AX68" s="10">
        <f t="shared" si="19"/>
        <v>0</v>
      </c>
      <c r="AY68" s="16">
        <v>0</v>
      </c>
      <c r="AZ68" s="16">
        <v>0</v>
      </c>
      <c r="BA68" s="16">
        <v>0</v>
      </c>
      <c r="BB68" s="10">
        <f t="shared" si="20"/>
        <v>0</v>
      </c>
      <c r="BC68" s="11">
        <v>0</v>
      </c>
      <c r="BD68" s="11">
        <v>0</v>
      </c>
      <c r="BE68" s="10">
        <f t="shared" si="21"/>
        <v>0</v>
      </c>
      <c r="BF68" s="11">
        <v>0</v>
      </c>
      <c r="BG68" s="11">
        <v>0</v>
      </c>
      <c r="BH68" s="10">
        <f t="shared" si="22"/>
        <v>0</v>
      </c>
      <c r="BI68" s="16">
        <v>0</v>
      </c>
      <c r="BJ68" s="16">
        <v>0</v>
      </c>
      <c r="BK68" s="16">
        <v>0</v>
      </c>
      <c r="BL68" s="10">
        <f t="shared" si="23"/>
        <v>0</v>
      </c>
      <c r="BM68" s="16">
        <v>0</v>
      </c>
      <c r="BN68" s="16">
        <v>0</v>
      </c>
      <c r="BO68" s="16">
        <v>0</v>
      </c>
      <c r="BP68" s="16">
        <v>0</v>
      </c>
      <c r="BQ68" s="11">
        <f t="shared" si="13"/>
        <v>25</v>
      </c>
    </row>
    <row r="69" spans="1:70" s="11" customFormat="1" x14ac:dyDescent="0.25">
      <c r="A69" s="11">
        <v>310</v>
      </c>
      <c r="B69" s="11">
        <v>5</v>
      </c>
      <c r="C69" s="11">
        <v>5</v>
      </c>
      <c r="D69" s="12">
        <v>44739</v>
      </c>
      <c r="E69" s="12" t="s">
        <v>42</v>
      </c>
      <c r="F69" s="11" t="s">
        <v>56</v>
      </c>
      <c r="G69" s="24"/>
      <c r="H69" s="13">
        <v>1</v>
      </c>
      <c r="I69" s="14">
        <v>0.32</v>
      </c>
      <c r="J69" s="14">
        <v>0.1</v>
      </c>
      <c r="K69" s="15">
        <v>0.68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0">
        <f t="shared" si="14"/>
        <v>0</v>
      </c>
      <c r="S69" s="11">
        <v>12</v>
      </c>
      <c r="T69" s="11">
        <v>2</v>
      </c>
      <c r="U69" s="11">
        <v>0</v>
      </c>
      <c r="V69" s="11">
        <v>0</v>
      </c>
      <c r="W69" s="11">
        <v>0</v>
      </c>
      <c r="X69" s="11">
        <v>0</v>
      </c>
      <c r="Y69" s="10">
        <f t="shared" si="15"/>
        <v>14</v>
      </c>
      <c r="Z69" s="11">
        <v>1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0">
        <f t="shared" si="12"/>
        <v>1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0">
        <f t="shared" si="16"/>
        <v>0</v>
      </c>
      <c r="AN69" s="11">
        <v>0</v>
      </c>
      <c r="AO69" s="11">
        <v>0</v>
      </c>
      <c r="AP69" s="11">
        <v>0</v>
      </c>
      <c r="AQ69" s="10">
        <f t="shared" si="17"/>
        <v>0</v>
      </c>
      <c r="AR69" s="11">
        <v>0</v>
      </c>
      <c r="AS69" s="11">
        <v>0</v>
      </c>
      <c r="AT69" s="10">
        <f t="shared" si="18"/>
        <v>0</v>
      </c>
      <c r="AU69" s="11">
        <v>0</v>
      </c>
      <c r="AV69" s="11">
        <v>0</v>
      </c>
      <c r="AW69" s="11">
        <v>0</v>
      </c>
      <c r="AX69" s="10">
        <f t="shared" si="19"/>
        <v>0</v>
      </c>
      <c r="AY69" s="11">
        <v>0</v>
      </c>
      <c r="AZ69" s="11">
        <v>0</v>
      </c>
      <c r="BA69" s="11">
        <v>0</v>
      </c>
      <c r="BB69" s="10">
        <f t="shared" si="20"/>
        <v>0</v>
      </c>
      <c r="BC69" s="11">
        <v>0</v>
      </c>
      <c r="BD69" s="11">
        <v>0</v>
      </c>
      <c r="BE69" s="10">
        <f t="shared" si="21"/>
        <v>0</v>
      </c>
      <c r="BF69" s="11">
        <v>0</v>
      </c>
      <c r="BG69" s="11">
        <v>0</v>
      </c>
      <c r="BH69" s="10">
        <f t="shared" si="22"/>
        <v>0</v>
      </c>
      <c r="BI69" s="11">
        <v>0</v>
      </c>
      <c r="BJ69" s="11">
        <v>0</v>
      </c>
      <c r="BK69" s="11">
        <v>0</v>
      </c>
      <c r="BL69" s="10">
        <f t="shared" si="23"/>
        <v>0</v>
      </c>
      <c r="BM69" s="16">
        <v>0</v>
      </c>
      <c r="BN69" s="11">
        <v>0</v>
      </c>
      <c r="BO69" s="11">
        <v>0</v>
      </c>
      <c r="BP69" s="11">
        <v>0</v>
      </c>
      <c r="BQ69" s="11">
        <f t="shared" si="13"/>
        <v>15</v>
      </c>
      <c r="BR69" s="11">
        <v>12</v>
      </c>
    </row>
    <row r="70" spans="1:70" s="11" customFormat="1" x14ac:dyDescent="0.25">
      <c r="A70" s="11">
        <v>311</v>
      </c>
      <c r="B70" s="11">
        <v>12</v>
      </c>
      <c r="C70" s="11">
        <v>0</v>
      </c>
      <c r="D70" s="12">
        <v>44734</v>
      </c>
      <c r="E70" s="12" t="s">
        <v>43</v>
      </c>
      <c r="F70" s="11" t="s">
        <v>56</v>
      </c>
      <c r="G70" s="24"/>
      <c r="H70" s="13"/>
      <c r="I70" s="14"/>
      <c r="J70" s="14"/>
      <c r="K70" s="15"/>
      <c r="L70" s="11">
        <v>1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0">
        <f t="shared" si="14"/>
        <v>1</v>
      </c>
      <c r="S70" s="11">
        <v>40</v>
      </c>
      <c r="T70" s="11">
        <v>0</v>
      </c>
      <c r="U70" s="11">
        <v>3</v>
      </c>
      <c r="V70" s="11">
        <v>0</v>
      </c>
      <c r="W70" s="11">
        <v>0</v>
      </c>
      <c r="X70" s="11">
        <v>0</v>
      </c>
      <c r="Y70" s="10">
        <f t="shared" si="15"/>
        <v>43</v>
      </c>
      <c r="Z70" s="11">
        <v>0</v>
      </c>
      <c r="AA70" s="11">
        <v>0</v>
      </c>
      <c r="AB70" s="11">
        <v>1</v>
      </c>
      <c r="AC70" s="11">
        <v>0</v>
      </c>
      <c r="AD70" s="11">
        <v>0</v>
      </c>
      <c r="AE70" s="11">
        <v>0</v>
      </c>
      <c r="AF70" s="10">
        <f t="shared" si="12"/>
        <v>1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0">
        <f t="shared" si="16"/>
        <v>0</v>
      </c>
      <c r="AN70" s="16">
        <v>0</v>
      </c>
      <c r="AO70" s="16">
        <v>0</v>
      </c>
      <c r="AP70" s="16">
        <v>0</v>
      </c>
      <c r="AQ70" s="10">
        <f t="shared" si="17"/>
        <v>0</v>
      </c>
      <c r="AR70" s="11">
        <v>0</v>
      </c>
      <c r="AS70" s="11">
        <v>0</v>
      </c>
      <c r="AT70" s="10">
        <f t="shared" si="18"/>
        <v>0</v>
      </c>
      <c r="AU70" s="16">
        <v>0</v>
      </c>
      <c r="AV70" s="16">
        <v>0</v>
      </c>
      <c r="AW70" s="16">
        <v>0</v>
      </c>
      <c r="AX70" s="10">
        <f t="shared" si="19"/>
        <v>0</v>
      </c>
      <c r="AY70" s="16">
        <v>0</v>
      </c>
      <c r="AZ70" s="16">
        <v>0</v>
      </c>
      <c r="BA70" s="16">
        <v>0</v>
      </c>
      <c r="BB70" s="10">
        <f t="shared" si="20"/>
        <v>0</v>
      </c>
      <c r="BC70" s="11">
        <v>0</v>
      </c>
      <c r="BD70" s="11">
        <v>0</v>
      </c>
      <c r="BE70" s="10">
        <f t="shared" si="21"/>
        <v>0</v>
      </c>
      <c r="BF70" s="11">
        <v>0</v>
      </c>
      <c r="BG70" s="11">
        <v>0</v>
      </c>
      <c r="BH70" s="10">
        <f t="shared" si="22"/>
        <v>0</v>
      </c>
      <c r="BI70" s="16">
        <v>0</v>
      </c>
      <c r="BJ70" s="16">
        <v>0</v>
      </c>
      <c r="BK70" s="16">
        <v>0</v>
      </c>
      <c r="BL70" s="10">
        <f t="shared" si="23"/>
        <v>0</v>
      </c>
      <c r="BM70" s="16">
        <v>0</v>
      </c>
      <c r="BN70" s="16">
        <v>0</v>
      </c>
      <c r="BO70" s="16">
        <v>0</v>
      </c>
      <c r="BP70" s="16">
        <v>0</v>
      </c>
      <c r="BQ70" s="11">
        <f t="shared" si="13"/>
        <v>45</v>
      </c>
    </row>
    <row r="71" spans="1:70" s="11" customFormat="1" x14ac:dyDescent="0.25">
      <c r="A71" s="11">
        <v>311</v>
      </c>
      <c r="B71" s="11">
        <v>12</v>
      </c>
      <c r="C71" s="11">
        <v>5</v>
      </c>
      <c r="D71" s="12">
        <v>44739</v>
      </c>
      <c r="E71" s="12" t="s">
        <v>43</v>
      </c>
      <c r="F71" s="11" t="s">
        <v>56</v>
      </c>
      <c r="G71" s="24"/>
      <c r="H71" s="13"/>
      <c r="I71" s="14"/>
      <c r="J71" s="14"/>
      <c r="K71" s="15"/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0">
        <f t="shared" si="14"/>
        <v>0</v>
      </c>
      <c r="S71" s="11">
        <v>4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0">
        <f t="shared" si="15"/>
        <v>4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0">
        <f t="shared" si="12"/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0">
        <f t="shared" si="16"/>
        <v>0</v>
      </c>
      <c r="AN71" s="11">
        <v>0</v>
      </c>
      <c r="AO71" s="11">
        <v>0</v>
      </c>
      <c r="AP71" s="11">
        <v>0</v>
      </c>
      <c r="AQ71" s="10">
        <f t="shared" si="17"/>
        <v>0</v>
      </c>
      <c r="AR71" s="11">
        <v>0</v>
      </c>
      <c r="AS71" s="11">
        <v>0</v>
      </c>
      <c r="AT71" s="10">
        <f t="shared" si="18"/>
        <v>0</v>
      </c>
      <c r="AU71" s="11">
        <v>0</v>
      </c>
      <c r="AV71" s="11">
        <v>0</v>
      </c>
      <c r="AW71" s="11">
        <v>0</v>
      </c>
      <c r="AX71" s="10">
        <f t="shared" si="19"/>
        <v>0</v>
      </c>
      <c r="AY71" s="11">
        <v>0</v>
      </c>
      <c r="AZ71" s="11">
        <v>0</v>
      </c>
      <c r="BA71" s="11">
        <v>0</v>
      </c>
      <c r="BB71" s="10">
        <f t="shared" si="20"/>
        <v>0</v>
      </c>
      <c r="BC71" s="11">
        <v>0</v>
      </c>
      <c r="BD71" s="11">
        <v>0</v>
      </c>
      <c r="BE71" s="10">
        <f t="shared" si="21"/>
        <v>0</v>
      </c>
      <c r="BF71" s="11">
        <v>0</v>
      </c>
      <c r="BG71" s="11">
        <v>0</v>
      </c>
      <c r="BH71" s="10">
        <f t="shared" si="22"/>
        <v>0</v>
      </c>
      <c r="BI71" s="11">
        <v>0</v>
      </c>
      <c r="BJ71" s="11">
        <v>0</v>
      </c>
      <c r="BK71" s="11">
        <v>0</v>
      </c>
      <c r="BL71" s="10">
        <f t="shared" si="23"/>
        <v>0</v>
      </c>
      <c r="BM71" s="16">
        <v>0</v>
      </c>
      <c r="BN71" s="16">
        <v>0</v>
      </c>
      <c r="BO71" s="16">
        <v>1</v>
      </c>
      <c r="BP71" s="16">
        <v>0</v>
      </c>
      <c r="BQ71" s="11">
        <f t="shared" si="13"/>
        <v>5</v>
      </c>
      <c r="BR71" s="11">
        <v>12</v>
      </c>
    </row>
    <row r="72" spans="1:70" s="11" customFormat="1" x14ac:dyDescent="0.25">
      <c r="A72" s="16">
        <v>312</v>
      </c>
      <c r="B72" s="16">
        <v>10</v>
      </c>
      <c r="C72" s="16">
        <v>0</v>
      </c>
      <c r="D72" s="12">
        <v>44734</v>
      </c>
      <c r="E72" s="12" t="s">
        <v>42</v>
      </c>
      <c r="F72" s="16" t="s">
        <v>57</v>
      </c>
      <c r="G72" s="25"/>
      <c r="H72" s="17">
        <v>5</v>
      </c>
      <c r="I72" s="18">
        <v>0.33</v>
      </c>
      <c r="J72" s="18">
        <v>0.17</v>
      </c>
      <c r="K72" s="19">
        <v>0.5</v>
      </c>
      <c r="L72" s="16">
        <v>0</v>
      </c>
      <c r="M72" s="16">
        <v>0</v>
      </c>
      <c r="N72" s="16">
        <v>1</v>
      </c>
      <c r="O72" s="11">
        <v>0</v>
      </c>
      <c r="P72" s="11">
        <v>0</v>
      </c>
      <c r="Q72" s="11">
        <v>0</v>
      </c>
      <c r="R72" s="10">
        <f t="shared" si="14"/>
        <v>1</v>
      </c>
      <c r="S72" s="16">
        <f>SUM(7+8+8+7)</f>
        <v>30</v>
      </c>
      <c r="T72" s="16">
        <v>0</v>
      </c>
      <c r="U72" s="16">
        <v>0</v>
      </c>
      <c r="V72" s="11">
        <v>0</v>
      </c>
      <c r="W72" s="11">
        <v>0</v>
      </c>
      <c r="X72" s="11">
        <v>0</v>
      </c>
      <c r="Y72" s="10">
        <f t="shared" si="15"/>
        <v>30</v>
      </c>
      <c r="Z72" s="16">
        <v>0</v>
      </c>
      <c r="AA72" s="16">
        <v>0</v>
      </c>
      <c r="AB72" s="16">
        <v>0</v>
      </c>
      <c r="AC72" s="11">
        <v>0</v>
      </c>
      <c r="AD72" s="11">
        <v>0</v>
      </c>
      <c r="AE72" s="11">
        <v>0</v>
      </c>
      <c r="AF72" s="10">
        <f t="shared" si="12"/>
        <v>0</v>
      </c>
      <c r="AG72" s="16">
        <v>0</v>
      </c>
      <c r="AH72" s="16">
        <v>0</v>
      </c>
      <c r="AI72" s="16">
        <v>0</v>
      </c>
      <c r="AJ72" s="11">
        <v>0</v>
      </c>
      <c r="AK72" s="11">
        <v>0</v>
      </c>
      <c r="AL72" s="11">
        <v>0</v>
      </c>
      <c r="AM72" s="10">
        <f t="shared" si="16"/>
        <v>0</v>
      </c>
      <c r="AN72" s="16">
        <v>0</v>
      </c>
      <c r="AO72" s="16">
        <v>0</v>
      </c>
      <c r="AP72" s="16">
        <v>0</v>
      </c>
      <c r="AQ72" s="10">
        <f t="shared" si="17"/>
        <v>0</v>
      </c>
      <c r="AR72" s="16">
        <v>1</v>
      </c>
      <c r="AS72" s="16">
        <v>0</v>
      </c>
      <c r="AT72" s="10">
        <f t="shared" si="18"/>
        <v>1</v>
      </c>
      <c r="AU72" s="16">
        <v>0</v>
      </c>
      <c r="AV72" s="16">
        <v>0</v>
      </c>
      <c r="AW72" s="16">
        <v>0</v>
      </c>
      <c r="AX72" s="10">
        <f t="shared" si="19"/>
        <v>0</v>
      </c>
      <c r="AY72" s="16">
        <v>0</v>
      </c>
      <c r="AZ72" s="16">
        <v>0</v>
      </c>
      <c r="BA72" s="16">
        <v>0</v>
      </c>
      <c r="BB72" s="10">
        <f t="shared" si="20"/>
        <v>0</v>
      </c>
      <c r="BC72" s="11">
        <v>0</v>
      </c>
      <c r="BD72" s="11">
        <v>0</v>
      </c>
      <c r="BE72" s="10">
        <f t="shared" si="21"/>
        <v>0</v>
      </c>
      <c r="BF72" s="11">
        <v>0</v>
      </c>
      <c r="BG72" s="11">
        <v>0</v>
      </c>
      <c r="BH72" s="10">
        <f t="shared" si="22"/>
        <v>0</v>
      </c>
      <c r="BI72" s="16">
        <v>0</v>
      </c>
      <c r="BJ72" s="16">
        <v>0</v>
      </c>
      <c r="BK72" s="16">
        <v>0</v>
      </c>
      <c r="BL72" s="10">
        <f t="shared" si="23"/>
        <v>0</v>
      </c>
      <c r="BM72" s="16">
        <v>0</v>
      </c>
      <c r="BN72" s="16">
        <v>2</v>
      </c>
      <c r="BO72" s="16">
        <v>0</v>
      </c>
      <c r="BP72" s="16">
        <v>0</v>
      </c>
      <c r="BQ72" s="11">
        <f t="shared" si="13"/>
        <v>34</v>
      </c>
      <c r="BR72" s="16"/>
    </row>
    <row r="73" spans="1:70" s="11" customFormat="1" x14ac:dyDescent="0.25">
      <c r="A73" s="5">
        <v>312</v>
      </c>
      <c r="B73" s="5">
        <v>10</v>
      </c>
      <c r="C73" s="5">
        <v>5</v>
      </c>
      <c r="D73" s="27">
        <v>44739</v>
      </c>
      <c r="E73" s="27" t="s">
        <v>42</v>
      </c>
      <c r="F73" s="5" t="s">
        <v>57</v>
      </c>
      <c r="G73" s="23"/>
      <c r="H73" s="6">
        <v>5</v>
      </c>
      <c r="I73" s="7">
        <v>0.33</v>
      </c>
      <c r="J73" s="7">
        <v>0.17</v>
      </c>
      <c r="K73" s="8">
        <v>0.5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9">
        <f t="shared" si="14"/>
        <v>0</v>
      </c>
      <c r="S73" s="5">
        <v>14</v>
      </c>
      <c r="T73" s="5">
        <v>2</v>
      </c>
      <c r="U73" s="5">
        <v>0</v>
      </c>
      <c r="V73" s="5">
        <v>0</v>
      </c>
      <c r="W73" s="5">
        <v>0</v>
      </c>
      <c r="X73" s="5">
        <v>0</v>
      </c>
      <c r="Y73" s="9">
        <f t="shared" si="15"/>
        <v>16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9">
        <f t="shared" si="12"/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9">
        <f t="shared" si="16"/>
        <v>0</v>
      </c>
      <c r="AN73" s="5">
        <v>0</v>
      </c>
      <c r="AO73" s="5">
        <v>0</v>
      </c>
      <c r="AP73" s="5">
        <v>0</v>
      </c>
      <c r="AQ73" s="9">
        <f t="shared" si="17"/>
        <v>0</v>
      </c>
      <c r="AR73" s="5">
        <v>0</v>
      </c>
      <c r="AS73" s="5">
        <v>0</v>
      </c>
      <c r="AT73" s="9">
        <f t="shared" si="18"/>
        <v>0</v>
      </c>
      <c r="AU73" s="5">
        <v>0</v>
      </c>
      <c r="AV73" s="5">
        <v>0</v>
      </c>
      <c r="AW73" s="5">
        <v>0</v>
      </c>
      <c r="AX73" s="9">
        <f t="shared" si="19"/>
        <v>0</v>
      </c>
      <c r="AY73" s="5">
        <v>0</v>
      </c>
      <c r="AZ73" s="5">
        <v>0</v>
      </c>
      <c r="BA73" s="5">
        <v>0</v>
      </c>
      <c r="BB73" s="9">
        <f t="shared" si="20"/>
        <v>0</v>
      </c>
      <c r="BC73" s="5">
        <v>0</v>
      </c>
      <c r="BD73" s="5">
        <v>0</v>
      </c>
      <c r="BE73" s="9">
        <f t="shared" si="21"/>
        <v>0</v>
      </c>
      <c r="BF73" s="5">
        <v>0</v>
      </c>
      <c r="BG73" s="5">
        <v>0</v>
      </c>
      <c r="BH73" s="9">
        <f t="shared" si="22"/>
        <v>0</v>
      </c>
      <c r="BI73" s="5">
        <v>0</v>
      </c>
      <c r="BJ73" s="5">
        <v>0</v>
      </c>
      <c r="BK73" s="5">
        <v>0</v>
      </c>
      <c r="BL73" s="9">
        <f t="shared" si="23"/>
        <v>0</v>
      </c>
      <c r="BM73" s="5">
        <v>0</v>
      </c>
      <c r="BN73" s="5">
        <v>1</v>
      </c>
      <c r="BO73" s="5">
        <v>0</v>
      </c>
      <c r="BP73" s="5">
        <v>0</v>
      </c>
      <c r="BQ73" s="5">
        <f t="shared" si="13"/>
        <v>17</v>
      </c>
      <c r="BR73" s="5">
        <v>16</v>
      </c>
    </row>
    <row r="74" spans="1:70" x14ac:dyDescent="0.25">
      <c r="A74" t="s">
        <v>85</v>
      </c>
      <c r="AM74" s="1">
        <f>SUM(AM2:AM73)</f>
        <v>2444</v>
      </c>
    </row>
    <row r="75" spans="1:70" x14ac:dyDescent="0.25">
      <c r="A75" t="s">
        <v>88</v>
      </c>
    </row>
  </sheetData>
  <autoFilter ref="A1:BR75" xr:uid="{448B7D1B-074D-4815-B478-0DC49AD12F6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8D4-D8F4-4922-A173-EBD7517C41A2}">
  <dimension ref="A1:Z116"/>
  <sheetViews>
    <sheetView tabSelected="1" zoomScale="70" zoomScaleNormal="70" workbookViewId="0">
      <pane xSplit="3" ySplit="1" topLeftCell="D59" activePane="bottomRight" state="frozen"/>
      <selection pane="topRight" activeCell="C1" sqref="C1"/>
      <selection pane="bottomLeft" activeCell="A2" sqref="A2"/>
      <selection pane="bottomRight" activeCell="C87" sqref="C87"/>
    </sheetView>
  </sheetViews>
  <sheetFormatPr defaultRowHeight="15" x14ac:dyDescent="0.25"/>
  <cols>
    <col min="2" max="2" width="11" bestFit="1" customWidth="1"/>
    <col min="3" max="3" width="23" customWidth="1"/>
    <col min="4" max="4" width="11.140625" bestFit="1" customWidth="1"/>
    <col min="5" max="5" width="15.85546875" bestFit="1" customWidth="1"/>
    <col min="6" max="7" width="15.85546875" customWidth="1"/>
    <col min="8" max="8" width="9.140625" style="26" customWidth="1"/>
    <col min="9" max="9" width="5.5703125" style="4" customWidth="1"/>
    <col min="10" max="10" width="13.140625" style="2" bestFit="1" customWidth="1"/>
    <col min="11" max="11" width="12.7109375" style="2" bestFit="1" customWidth="1"/>
    <col min="12" max="12" width="9.7109375" style="3" customWidth="1"/>
    <col min="13" max="13" width="13.7109375" style="1" customWidth="1"/>
    <col min="14" max="14" width="12.5703125" style="1" customWidth="1"/>
    <col min="15" max="15" width="13.28515625" style="1" customWidth="1"/>
    <col min="16" max="16" width="12.7109375" style="1" customWidth="1"/>
    <col min="17" max="17" width="13.140625" style="1" customWidth="1"/>
    <col min="18" max="18" width="15.42578125" style="1" customWidth="1"/>
    <col min="19" max="19" width="10.85546875" style="1" customWidth="1"/>
    <col min="20" max="20" width="14" style="1" customWidth="1"/>
    <col min="21" max="21" width="13.28515625" style="1" customWidth="1"/>
    <col min="22" max="22" width="12.7109375" style="1" customWidth="1"/>
    <col min="23" max="23" width="14.42578125" style="1" customWidth="1"/>
    <col min="24" max="24" width="10" bestFit="1" customWidth="1"/>
    <col min="26" max="26" width="23.85546875" customWidth="1"/>
  </cols>
  <sheetData>
    <row r="1" spans="1:26" s="11" customFormat="1" x14ac:dyDescent="0.25">
      <c r="A1" s="5" t="s">
        <v>0</v>
      </c>
      <c r="B1" s="5" t="s">
        <v>86</v>
      </c>
      <c r="C1" s="5" t="s">
        <v>49</v>
      </c>
      <c r="D1" s="5" t="s">
        <v>1</v>
      </c>
      <c r="E1" s="5" t="s">
        <v>41</v>
      </c>
      <c r="F1" s="5" t="s">
        <v>101</v>
      </c>
      <c r="G1" s="5" t="s">
        <v>55</v>
      </c>
      <c r="H1" s="23" t="s">
        <v>48</v>
      </c>
      <c r="I1" s="6" t="s">
        <v>47</v>
      </c>
      <c r="J1" s="7" t="s">
        <v>44</v>
      </c>
      <c r="K1" s="7" t="s">
        <v>45</v>
      </c>
      <c r="L1" s="8" t="s">
        <v>46</v>
      </c>
      <c r="M1" s="9" t="s">
        <v>30</v>
      </c>
      <c r="N1" s="9" t="s">
        <v>31</v>
      </c>
      <c r="O1" s="9" t="s">
        <v>32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37</v>
      </c>
      <c r="U1" s="9" t="s">
        <v>38</v>
      </c>
      <c r="V1" s="9" t="s">
        <v>39</v>
      </c>
      <c r="W1" s="9" t="s">
        <v>40</v>
      </c>
      <c r="X1" s="5" t="s">
        <v>28</v>
      </c>
      <c r="Y1" s="33" t="s">
        <v>29</v>
      </c>
      <c r="Z1" s="10" t="s">
        <v>50</v>
      </c>
    </row>
    <row r="2" spans="1:26" s="11" customFormat="1" x14ac:dyDescent="0.25">
      <c r="A2" s="11">
        <v>101</v>
      </c>
      <c r="B2" s="11">
        <v>1</v>
      </c>
      <c r="C2" s="11">
        <v>0</v>
      </c>
      <c r="D2" s="12">
        <v>44728</v>
      </c>
      <c r="E2" s="12" t="s">
        <v>42</v>
      </c>
      <c r="F2" s="12" t="s">
        <v>100</v>
      </c>
      <c r="G2" s="12" t="s">
        <v>56</v>
      </c>
      <c r="H2" s="24"/>
      <c r="I2" s="13">
        <v>1</v>
      </c>
      <c r="J2" s="14">
        <v>0.33</v>
      </c>
      <c r="K2" s="14">
        <v>0.11</v>
      </c>
      <c r="L2" s="15">
        <v>0.71</v>
      </c>
      <c r="M2" s="21">
        <v>10</v>
      </c>
      <c r="N2" s="21">
        <v>0</v>
      </c>
      <c r="O2" s="21">
        <v>0</v>
      </c>
      <c r="P2" s="21">
        <v>159</v>
      </c>
      <c r="Q2" s="21">
        <v>4</v>
      </c>
      <c r="R2" s="21">
        <v>0</v>
      </c>
      <c r="S2" s="21">
        <v>3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176</v>
      </c>
      <c r="Z2" s="21"/>
    </row>
    <row r="3" spans="1:26" s="11" customFormat="1" x14ac:dyDescent="0.25">
      <c r="A3" s="11">
        <v>106</v>
      </c>
      <c r="B3" s="11">
        <v>1</v>
      </c>
      <c r="C3" s="11">
        <v>0</v>
      </c>
      <c r="D3" s="12">
        <v>44728</v>
      </c>
      <c r="E3" s="12" t="s">
        <v>42</v>
      </c>
      <c r="F3" s="12" t="s">
        <v>100</v>
      </c>
      <c r="G3" s="12" t="s">
        <v>56</v>
      </c>
      <c r="H3" s="24"/>
      <c r="I3" s="13">
        <v>5</v>
      </c>
      <c r="J3" s="14">
        <v>0.39</v>
      </c>
      <c r="K3" s="14">
        <v>0.12</v>
      </c>
      <c r="L3" s="15">
        <v>0.7</v>
      </c>
      <c r="M3" s="21">
        <v>315</v>
      </c>
      <c r="N3" s="21">
        <v>410</v>
      </c>
      <c r="O3" s="21">
        <v>38</v>
      </c>
      <c r="P3" s="21">
        <v>67</v>
      </c>
      <c r="Q3" s="21">
        <v>0</v>
      </c>
      <c r="R3" s="21">
        <v>0</v>
      </c>
      <c r="S3" s="21">
        <v>3</v>
      </c>
      <c r="T3" s="21">
        <v>0</v>
      </c>
      <c r="U3" s="21">
        <v>0</v>
      </c>
      <c r="V3" s="21">
        <v>0</v>
      </c>
      <c r="W3" s="21">
        <v>0</v>
      </c>
      <c r="X3" s="21">
        <v>5</v>
      </c>
      <c r="Y3" s="21">
        <v>838</v>
      </c>
      <c r="Z3" s="21"/>
    </row>
    <row r="4" spans="1:26" s="11" customFormat="1" x14ac:dyDescent="0.25">
      <c r="A4" s="11">
        <v>304</v>
      </c>
      <c r="B4" s="11">
        <v>1</v>
      </c>
      <c r="C4" s="11">
        <v>0</v>
      </c>
      <c r="D4" s="12">
        <v>44728</v>
      </c>
      <c r="E4" s="12" t="s">
        <v>42</v>
      </c>
      <c r="F4" s="12" t="s">
        <v>100</v>
      </c>
      <c r="G4" s="12" t="s">
        <v>56</v>
      </c>
      <c r="H4" s="24"/>
      <c r="I4" s="13">
        <v>1</v>
      </c>
      <c r="J4" s="14">
        <v>0.4</v>
      </c>
      <c r="K4" s="14">
        <v>0.02</v>
      </c>
      <c r="L4" s="15">
        <v>0.95</v>
      </c>
      <c r="M4" s="21">
        <v>9</v>
      </c>
      <c r="N4" s="21">
        <v>8</v>
      </c>
      <c r="O4" s="21">
        <v>0</v>
      </c>
      <c r="P4" s="21">
        <v>98</v>
      </c>
      <c r="Q4" s="21">
        <v>0</v>
      </c>
      <c r="R4" s="21">
        <v>0</v>
      </c>
      <c r="S4" s="21">
        <v>3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119</v>
      </c>
      <c r="Z4" s="21"/>
    </row>
    <row r="5" spans="1:26" s="11" customFormat="1" x14ac:dyDescent="0.25">
      <c r="A5" s="11">
        <v>105</v>
      </c>
      <c r="B5" s="11">
        <v>2</v>
      </c>
      <c r="C5" s="11">
        <v>0</v>
      </c>
      <c r="D5" s="12">
        <v>44728</v>
      </c>
      <c r="E5" s="12" t="s">
        <v>42</v>
      </c>
      <c r="F5" s="12" t="s">
        <v>100</v>
      </c>
      <c r="G5" s="12" t="s">
        <v>57</v>
      </c>
      <c r="H5" s="24"/>
      <c r="I5" s="13">
        <v>1</v>
      </c>
      <c r="J5" s="14">
        <v>0.41</v>
      </c>
      <c r="K5" s="14">
        <v>0.12</v>
      </c>
      <c r="L5" s="15">
        <v>0.72</v>
      </c>
      <c r="M5" s="21">
        <v>746</v>
      </c>
      <c r="N5" s="21">
        <v>22</v>
      </c>
      <c r="O5" s="21">
        <v>219</v>
      </c>
      <c r="P5" s="21">
        <v>365</v>
      </c>
      <c r="Q5" s="21">
        <v>0</v>
      </c>
      <c r="R5" s="21">
        <v>6</v>
      </c>
      <c r="S5" s="21">
        <v>0</v>
      </c>
      <c r="T5" s="21">
        <v>0</v>
      </c>
      <c r="U5" s="21">
        <v>0</v>
      </c>
      <c r="V5" s="21">
        <v>1</v>
      </c>
      <c r="W5" s="21">
        <v>0</v>
      </c>
      <c r="X5" s="21">
        <v>0</v>
      </c>
      <c r="Y5" s="21">
        <v>1359</v>
      </c>
      <c r="Z5" s="21"/>
    </row>
    <row r="6" spans="1:26" s="11" customFormat="1" x14ac:dyDescent="0.25">
      <c r="A6" s="11">
        <v>112</v>
      </c>
      <c r="B6" s="11">
        <v>2</v>
      </c>
      <c r="C6" s="11">
        <v>0</v>
      </c>
      <c r="D6" s="12">
        <v>44728</v>
      </c>
      <c r="E6" s="12" t="s">
        <v>42</v>
      </c>
      <c r="F6" s="12" t="s">
        <v>100</v>
      </c>
      <c r="G6" s="12" t="s">
        <v>57</v>
      </c>
      <c r="H6" s="24"/>
      <c r="I6" s="13">
        <v>5</v>
      </c>
      <c r="J6" s="14">
        <v>0.31</v>
      </c>
      <c r="K6" s="14">
        <v>0.04</v>
      </c>
      <c r="L6" s="15">
        <v>0.99</v>
      </c>
      <c r="M6" s="21">
        <v>35</v>
      </c>
      <c r="N6" s="21">
        <v>7</v>
      </c>
      <c r="O6" s="21">
        <v>0</v>
      </c>
      <c r="P6" s="21">
        <v>110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152</v>
      </c>
      <c r="Z6" s="21"/>
    </row>
    <row r="7" spans="1:26" s="11" customFormat="1" x14ac:dyDescent="0.25">
      <c r="A7" s="11">
        <v>210</v>
      </c>
      <c r="B7" s="11">
        <v>2</v>
      </c>
      <c r="C7" s="11">
        <v>0</v>
      </c>
      <c r="D7" s="12">
        <v>44728</v>
      </c>
      <c r="E7" s="12" t="s">
        <v>42</v>
      </c>
      <c r="F7" s="12" t="s">
        <v>100</v>
      </c>
      <c r="G7" s="12" t="s">
        <v>56</v>
      </c>
      <c r="H7" s="24"/>
      <c r="I7" s="13">
        <v>5</v>
      </c>
      <c r="J7" s="14">
        <v>0.37</v>
      </c>
      <c r="K7" s="14">
        <v>0.03</v>
      </c>
      <c r="L7" s="15">
        <v>0.93</v>
      </c>
      <c r="M7" s="21">
        <v>76</v>
      </c>
      <c r="N7" s="21">
        <v>43</v>
      </c>
      <c r="O7" s="21">
        <v>8</v>
      </c>
      <c r="P7" s="21">
        <v>136</v>
      </c>
      <c r="Q7" s="21">
        <v>0</v>
      </c>
      <c r="R7" s="21">
        <v>0</v>
      </c>
      <c r="S7" s="21">
        <v>0</v>
      </c>
      <c r="T7" s="21">
        <v>156</v>
      </c>
      <c r="U7" s="21">
        <v>0</v>
      </c>
      <c r="V7" s="21">
        <v>0</v>
      </c>
      <c r="W7" s="21">
        <v>0</v>
      </c>
      <c r="X7" s="21">
        <v>0</v>
      </c>
      <c r="Y7" s="21">
        <v>419</v>
      </c>
      <c r="Z7" s="21"/>
    </row>
    <row r="8" spans="1:26" s="11" customFormat="1" x14ac:dyDescent="0.25">
      <c r="A8" s="11">
        <v>103</v>
      </c>
      <c r="B8" s="11">
        <v>3</v>
      </c>
      <c r="C8" s="11">
        <v>0</v>
      </c>
      <c r="D8" s="12">
        <v>44728</v>
      </c>
      <c r="E8" s="12" t="s">
        <v>43</v>
      </c>
      <c r="F8" s="12" t="s">
        <v>100</v>
      </c>
      <c r="G8" s="12" t="s">
        <v>57</v>
      </c>
      <c r="H8" s="24">
        <v>6</v>
      </c>
      <c r="I8" s="13"/>
      <c r="J8" s="14"/>
      <c r="K8" s="14"/>
      <c r="L8" s="15"/>
      <c r="M8" s="21">
        <v>359</v>
      </c>
      <c r="N8" s="21">
        <v>10</v>
      </c>
      <c r="O8" s="21">
        <v>1</v>
      </c>
      <c r="P8" s="21">
        <v>188</v>
      </c>
      <c r="Q8" s="21">
        <v>67</v>
      </c>
      <c r="R8" s="21">
        <v>0</v>
      </c>
      <c r="S8" s="21">
        <v>2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627</v>
      </c>
      <c r="Z8" s="21"/>
    </row>
    <row r="9" spans="1:26" s="11" customFormat="1" x14ac:dyDescent="0.25">
      <c r="A9" s="11">
        <v>110</v>
      </c>
      <c r="B9" s="11">
        <v>3</v>
      </c>
      <c r="C9" s="11">
        <v>0</v>
      </c>
      <c r="D9" s="12">
        <v>44728</v>
      </c>
      <c r="E9" s="12" t="s">
        <v>43</v>
      </c>
      <c r="F9" s="12" t="s">
        <v>100</v>
      </c>
      <c r="G9" s="12" t="s">
        <v>57</v>
      </c>
      <c r="H9" s="24">
        <v>6</v>
      </c>
      <c r="I9" s="13"/>
      <c r="J9" s="14"/>
      <c r="K9" s="14"/>
      <c r="L9" s="15"/>
      <c r="M9" s="21">
        <v>36</v>
      </c>
      <c r="N9" s="21">
        <v>3</v>
      </c>
      <c r="O9" s="21">
        <v>0</v>
      </c>
      <c r="P9" s="21">
        <v>330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369</v>
      </c>
      <c r="Z9" s="21"/>
    </row>
    <row r="10" spans="1:26" s="11" customFormat="1" x14ac:dyDescent="0.25">
      <c r="A10" s="11">
        <v>211</v>
      </c>
      <c r="B10" s="11">
        <v>3</v>
      </c>
      <c r="C10" s="11">
        <v>0</v>
      </c>
      <c r="D10" s="12">
        <v>44728</v>
      </c>
      <c r="E10" s="12" t="s">
        <v>43</v>
      </c>
      <c r="F10" s="12" t="s">
        <v>100</v>
      </c>
      <c r="G10" s="12" t="s">
        <v>57</v>
      </c>
      <c r="H10" s="24">
        <v>6</v>
      </c>
      <c r="I10" s="13"/>
      <c r="J10" s="14"/>
      <c r="K10" s="14"/>
      <c r="L10" s="15"/>
      <c r="M10" s="21">
        <v>151</v>
      </c>
      <c r="N10" s="21">
        <v>31</v>
      </c>
      <c r="O10" s="21">
        <v>11</v>
      </c>
      <c r="P10" s="21">
        <v>0</v>
      </c>
      <c r="Q10" s="21">
        <v>0</v>
      </c>
      <c r="R10" s="21">
        <v>42</v>
      </c>
      <c r="S10" s="21">
        <v>5</v>
      </c>
      <c r="T10" s="21">
        <v>65</v>
      </c>
      <c r="U10" s="21">
        <v>1</v>
      </c>
      <c r="V10" s="21">
        <v>2</v>
      </c>
      <c r="W10" s="21">
        <v>6</v>
      </c>
      <c r="X10" s="21">
        <v>0</v>
      </c>
      <c r="Y10" s="21">
        <v>314</v>
      </c>
      <c r="Z10" s="21"/>
    </row>
    <row r="11" spans="1:26" s="11" customFormat="1" x14ac:dyDescent="0.25">
      <c r="A11" s="11">
        <v>104</v>
      </c>
      <c r="B11" s="11">
        <v>4</v>
      </c>
      <c r="C11" s="11">
        <v>0</v>
      </c>
      <c r="D11" s="12">
        <v>44728</v>
      </c>
      <c r="E11" s="12" t="s">
        <v>43</v>
      </c>
      <c r="F11" s="12" t="s">
        <v>100</v>
      </c>
      <c r="G11" s="12" t="s">
        <v>57</v>
      </c>
      <c r="H11" s="24">
        <v>9</v>
      </c>
      <c r="I11" s="13"/>
      <c r="J11" s="14"/>
      <c r="K11" s="14"/>
      <c r="L11" s="15"/>
      <c r="M11" s="21">
        <v>235</v>
      </c>
      <c r="N11" s="21">
        <v>73</v>
      </c>
      <c r="O11" s="21">
        <v>8</v>
      </c>
      <c r="P11" s="21">
        <v>123</v>
      </c>
      <c r="Q11" s="21">
        <v>0</v>
      </c>
      <c r="R11" s="21">
        <v>0</v>
      </c>
      <c r="S11" s="21">
        <v>2</v>
      </c>
      <c r="T11" s="21">
        <v>0</v>
      </c>
      <c r="U11" s="21">
        <v>2</v>
      </c>
      <c r="V11" s="21">
        <v>1</v>
      </c>
      <c r="W11" s="21">
        <v>0</v>
      </c>
      <c r="X11" s="21">
        <v>0</v>
      </c>
      <c r="Y11" s="21">
        <v>444</v>
      </c>
      <c r="Z11" s="21"/>
    </row>
    <row r="12" spans="1:26" s="11" customFormat="1" x14ac:dyDescent="0.25">
      <c r="A12" s="11">
        <v>107</v>
      </c>
      <c r="B12" s="11">
        <v>4</v>
      </c>
      <c r="C12" s="11">
        <v>0</v>
      </c>
      <c r="D12" s="12">
        <v>44728</v>
      </c>
      <c r="E12" s="12" t="s">
        <v>43</v>
      </c>
      <c r="F12" s="12" t="s">
        <v>100</v>
      </c>
      <c r="G12" s="12" t="s">
        <v>56</v>
      </c>
      <c r="H12" s="24">
        <v>9</v>
      </c>
      <c r="I12" s="13"/>
      <c r="J12" s="14"/>
      <c r="K12" s="14"/>
      <c r="L12" s="15"/>
      <c r="M12" s="21">
        <v>321</v>
      </c>
      <c r="N12" s="21">
        <v>234</v>
      </c>
      <c r="O12" s="21">
        <v>4</v>
      </c>
      <c r="P12" s="21">
        <v>78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5</v>
      </c>
      <c r="X12" s="21">
        <v>0</v>
      </c>
      <c r="Y12" s="21">
        <v>642</v>
      </c>
      <c r="Z12" s="21"/>
    </row>
    <row r="13" spans="1:26" s="11" customFormat="1" x14ac:dyDescent="0.25">
      <c r="A13" s="11">
        <v>208</v>
      </c>
      <c r="B13" s="11">
        <v>4</v>
      </c>
      <c r="C13" s="11">
        <v>0</v>
      </c>
      <c r="D13" s="12">
        <v>44728</v>
      </c>
      <c r="E13" s="12" t="s">
        <v>43</v>
      </c>
      <c r="F13" s="12" t="s">
        <v>100</v>
      </c>
      <c r="G13" s="12" t="s">
        <v>56</v>
      </c>
      <c r="H13" s="24">
        <v>9</v>
      </c>
      <c r="I13" s="13"/>
      <c r="J13" s="14"/>
      <c r="K13" s="14"/>
      <c r="L13" s="15"/>
      <c r="M13" s="21">
        <v>7</v>
      </c>
      <c r="N13" s="21">
        <v>0</v>
      </c>
      <c r="O13" s="21">
        <v>1</v>
      </c>
      <c r="P13" s="21">
        <v>42</v>
      </c>
      <c r="Q13" s="21">
        <v>0</v>
      </c>
      <c r="R13" s="21">
        <v>0</v>
      </c>
      <c r="S13" s="21">
        <v>2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52</v>
      </c>
      <c r="Z13" s="21"/>
    </row>
    <row r="14" spans="1:26" s="11" customFormat="1" x14ac:dyDescent="0.25">
      <c r="A14" s="11">
        <v>202</v>
      </c>
      <c r="B14" s="11">
        <v>5</v>
      </c>
      <c r="C14" s="11">
        <v>0</v>
      </c>
      <c r="D14" s="12">
        <v>44734</v>
      </c>
      <c r="E14" s="12" t="s">
        <v>42</v>
      </c>
      <c r="F14" s="12" t="s">
        <v>102</v>
      </c>
      <c r="G14" s="11" t="s">
        <v>57</v>
      </c>
      <c r="H14" s="24"/>
      <c r="I14" s="13">
        <v>1</v>
      </c>
      <c r="J14" s="14">
        <v>0.3</v>
      </c>
      <c r="K14" s="14">
        <v>0.19</v>
      </c>
      <c r="L14" s="15">
        <v>0.39</v>
      </c>
      <c r="M14" s="21">
        <v>1</v>
      </c>
      <c r="N14" s="21">
        <v>366</v>
      </c>
      <c r="O14" s="21">
        <v>1</v>
      </c>
      <c r="P14" s="21">
        <v>5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395</v>
      </c>
      <c r="Z14" s="21"/>
    </row>
    <row r="15" spans="1:26" s="11" customFormat="1" x14ac:dyDescent="0.25">
      <c r="A15" s="11">
        <v>209</v>
      </c>
      <c r="B15" s="11">
        <v>5</v>
      </c>
      <c r="C15" s="11">
        <v>0</v>
      </c>
      <c r="D15" s="12">
        <v>44734</v>
      </c>
      <c r="E15" s="12" t="s">
        <v>42</v>
      </c>
      <c r="F15" s="12" t="s">
        <v>102</v>
      </c>
      <c r="G15" s="11" t="s">
        <v>56</v>
      </c>
      <c r="H15" s="24"/>
      <c r="I15" s="13">
        <v>1</v>
      </c>
      <c r="J15" s="14">
        <v>0.34</v>
      </c>
      <c r="K15" s="14">
        <v>0.15</v>
      </c>
      <c r="L15" s="15">
        <v>0.54</v>
      </c>
      <c r="M15" s="21">
        <v>2</v>
      </c>
      <c r="N15" s="21">
        <v>39</v>
      </c>
      <c r="O15" s="21">
        <v>40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88</v>
      </c>
      <c r="Z15" s="21"/>
    </row>
    <row r="16" spans="1:26" s="11" customFormat="1" x14ac:dyDescent="0.25">
      <c r="A16" s="11">
        <v>310</v>
      </c>
      <c r="B16" s="11">
        <v>5</v>
      </c>
      <c r="C16" s="11">
        <v>0</v>
      </c>
      <c r="D16" s="12">
        <v>44734</v>
      </c>
      <c r="E16" s="12" t="s">
        <v>42</v>
      </c>
      <c r="F16" s="12" t="s">
        <v>102</v>
      </c>
      <c r="G16" s="11" t="s">
        <v>56</v>
      </c>
      <c r="H16" s="24"/>
      <c r="I16" s="13">
        <v>1</v>
      </c>
      <c r="J16" s="14">
        <v>0.32</v>
      </c>
      <c r="K16" s="14">
        <v>0.1</v>
      </c>
      <c r="L16" s="15">
        <v>0.68</v>
      </c>
      <c r="M16" s="21">
        <v>0</v>
      </c>
      <c r="N16" s="21">
        <v>24</v>
      </c>
      <c r="O16" s="21">
        <v>0</v>
      </c>
      <c r="P16" s="21">
        <v>1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35">
        <v>0</v>
      </c>
      <c r="Y16" s="21">
        <v>25</v>
      </c>
      <c r="Z16" s="21"/>
    </row>
    <row r="17" spans="1:26" s="11" customFormat="1" x14ac:dyDescent="0.25">
      <c r="A17" s="11">
        <v>102</v>
      </c>
      <c r="B17" s="11">
        <v>6</v>
      </c>
      <c r="C17" s="11">
        <v>0</v>
      </c>
      <c r="D17" s="12">
        <v>44734</v>
      </c>
      <c r="E17" s="12" t="s">
        <v>42</v>
      </c>
      <c r="F17" s="12" t="s">
        <v>102</v>
      </c>
      <c r="G17" s="11" t="s">
        <v>56</v>
      </c>
      <c r="H17" s="24"/>
      <c r="I17" s="13">
        <v>5</v>
      </c>
      <c r="J17" s="14">
        <v>0.35</v>
      </c>
      <c r="K17" s="14">
        <v>0.14000000000000001</v>
      </c>
      <c r="L17" s="15">
        <v>0.59</v>
      </c>
      <c r="M17" s="21">
        <v>17</v>
      </c>
      <c r="N17" s="21">
        <v>41</v>
      </c>
      <c r="O17" s="21">
        <v>0</v>
      </c>
      <c r="P17" s="21">
        <v>37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95</v>
      </c>
      <c r="Z17" s="21"/>
    </row>
    <row r="18" spans="1:26" s="11" customFormat="1" x14ac:dyDescent="0.25">
      <c r="A18" s="11">
        <v>203</v>
      </c>
      <c r="B18" s="11">
        <v>6</v>
      </c>
      <c r="C18" s="11">
        <v>0</v>
      </c>
      <c r="D18" s="12">
        <v>44734</v>
      </c>
      <c r="E18" s="12" t="s">
        <v>42</v>
      </c>
      <c r="F18" s="12" t="s">
        <v>102</v>
      </c>
      <c r="G18" s="11" t="s">
        <v>56</v>
      </c>
      <c r="H18" s="24"/>
      <c r="I18" s="13">
        <v>5</v>
      </c>
      <c r="J18" s="14">
        <v>0.31</v>
      </c>
      <c r="K18" s="14">
        <v>7.0000000000000007E-2</v>
      </c>
      <c r="L18" s="15">
        <v>0.76</v>
      </c>
      <c r="M18" s="21">
        <v>2</v>
      </c>
      <c r="N18" s="21">
        <v>123</v>
      </c>
      <c r="O18" s="21">
        <v>1</v>
      </c>
      <c r="P18" s="21">
        <v>16</v>
      </c>
      <c r="Q18" s="21">
        <v>0</v>
      </c>
      <c r="R18" s="21">
        <v>1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0</v>
      </c>
      <c r="Y18" s="21">
        <v>153</v>
      </c>
      <c r="Z18" s="21"/>
    </row>
    <row r="19" spans="1:26" s="11" customFormat="1" x14ac:dyDescent="0.25">
      <c r="A19" s="11">
        <v>303</v>
      </c>
      <c r="B19" s="11">
        <v>6</v>
      </c>
      <c r="C19" s="11">
        <v>0</v>
      </c>
      <c r="D19" s="12">
        <v>44734</v>
      </c>
      <c r="E19" s="12" t="s">
        <v>42</v>
      </c>
      <c r="F19" s="12" t="s">
        <v>102</v>
      </c>
      <c r="G19" s="11" t="s">
        <v>57</v>
      </c>
      <c r="H19" s="24"/>
      <c r="I19" s="13">
        <v>5</v>
      </c>
      <c r="J19" s="14">
        <v>0.32</v>
      </c>
      <c r="K19" s="14">
        <v>0.13</v>
      </c>
      <c r="L19" s="15">
        <v>0.6</v>
      </c>
      <c r="M19" s="21">
        <v>2</v>
      </c>
      <c r="N19" s="21">
        <v>548</v>
      </c>
      <c r="O19" s="21">
        <v>0</v>
      </c>
      <c r="P19" s="21">
        <v>3</v>
      </c>
      <c r="Q19" s="21">
        <v>0</v>
      </c>
      <c r="R19" s="21">
        <v>4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558</v>
      </c>
      <c r="Z19" s="21"/>
    </row>
    <row r="20" spans="1:26" s="11" customFormat="1" x14ac:dyDescent="0.25">
      <c r="A20" s="11">
        <v>205</v>
      </c>
      <c r="B20" s="11">
        <v>7</v>
      </c>
      <c r="C20" s="11">
        <v>0</v>
      </c>
      <c r="D20" s="12">
        <v>44734</v>
      </c>
      <c r="E20" s="12" t="s">
        <v>43</v>
      </c>
      <c r="F20" s="12" t="s">
        <v>102</v>
      </c>
      <c r="G20" s="11" t="s">
        <v>57</v>
      </c>
      <c r="H20" s="24"/>
      <c r="I20" s="13"/>
      <c r="J20" s="14"/>
      <c r="K20" s="14"/>
      <c r="L20" s="15"/>
      <c r="M20" s="21">
        <v>29</v>
      </c>
      <c r="N20" s="21">
        <v>391</v>
      </c>
      <c r="O20" s="21">
        <v>0</v>
      </c>
      <c r="P20" s="21">
        <v>8</v>
      </c>
      <c r="Q20" s="21">
        <v>0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431</v>
      </c>
      <c r="Z20" s="21"/>
    </row>
    <row r="21" spans="1:26" s="11" customFormat="1" x14ac:dyDescent="0.25">
      <c r="A21" s="11">
        <v>207</v>
      </c>
      <c r="B21" s="11">
        <v>7</v>
      </c>
      <c r="C21" s="11">
        <v>0</v>
      </c>
      <c r="D21" s="12">
        <v>44734</v>
      </c>
      <c r="E21" s="12" t="s">
        <v>43</v>
      </c>
      <c r="F21" s="12" t="s">
        <v>102</v>
      </c>
      <c r="G21" s="11" t="s">
        <v>57</v>
      </c>
      <c r="H21" s="24"/>
      <c r="I21" s="13"/>
      <c r="J21" s="14"/>
      <c r="K21" s="14"/>
      <c r="L21" s="15"/>
      <c r="M21" s="21">
        <v>2</v>
      </c>
      <c r="N21" s="21">
        <v>15</v>
      </c>
      <c r="O21" s="21">
        <v>0</v>
      </c>
      <c r="P21" s="21">
        <v>5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23</v>
      </c>
      <c r="Z21" s="21"/>
    </row>
    <row r="22" spans="1:26" s="11" customFormat="1" x14ac:dyDescent="0.25">
      <c r="A22" s="11">
        <v>306</v>
      </c>
      <c r="B22" s="11">
        <v>7</v>
      </c>
      <c r="C22" s="11">
        <v>0</v>
      </c>
      <c r="D22" s="12">
        <v>44734</v>
      </c>
      <c r="E22" s="12" t="s">
        <v>43</v>
      </c>
      <c r="F22" s="12" t="s">
        <v>102</v>
      </c>
      <c r="G22" s="11" t="s">
        <v>57</v>
      </c>
      <c r="H22" s="24"/>
      <c r="I22" s="13"/>
      <c r="J22" s="14"/>
      <c r="K22" s="14"/>
      <c r="L22" s="15"/>
      <c r="M22" s="21">
        <v>0</v>
      </c>
      <c r="N22" s="21">
        <v>35</v>
      </c>
      <c r="O22" s="21">
        <v>1</v>
      </c>
      <c r="P22" s="21">
        <v>15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35">
        <v>0</v>
      </c>
      <c r="Y22" s="21">
        <v>52</v>
      </c>
      <c r="Z22" s="21"/>
    </row>
    <row r="23" spans="1:26" s="11" customFormat="1" x14ac:dyDescent="0.25">
      <c r="A23" s="11">
        <v>108</v>
      </c>
      <c r="B23" s="11">
        <v>8</v>
      </c>
      <c r="C23" s="11">
        <v>0</v>
      </c>
      <c r="D23" s="12">
        <v>44734</v>
      </c>
      <c r="E23" s="12" t="s">
        <v>43</v>
      </c>
      <c r="F23" s="12" t="s">
        <v>102</v>
      </c>
      <c r="G23" s="11" t="s">
        <v>56</v>
      </c>
      <c r="H23" s="24"/>
      <c r="I23" s="13"/>
      <c r="J23" s="14"/>
      <c r="K23" s="14"/>
      <c r="L23" s="15"/>
      <c r="M23" s="21">
        <v>26</v>
      </c>
      <c r="N23" s="21">
        <v>815</v>
      </c>
      <c r="O23" s="21">
        <v>0</v>
      </c>
      <c r="P23" s="21">
        <v>1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852</v>
      </c>
      <c r="Z23" s="21"/>
    </row>
    <row r="24" spans="1:26" s="11" customFormat="1" x14ac:dyDescent="0.25">
      <c r="A24" s="11">
        <v>204</v>
      </c>
      <c r="B24" s="11">
        <v>8</v>
      </c>
      <c r="C24" s="11">
        <v>0</v>
      </c>
      <c r="D24" s="12">
        <v>44734</v>
      </c>
      <c r="E24" s="12" t="s">
        <v>43</v>
      </c>
      <c r="F24" s="12" t="s">
        <v>102</v>
      </c>
      <c r="G24" s="11" t="s">
        <v>56</v>
      </c>
      <c r="H24" s="24"/>
      <c r="I24" s="13"/>
      <c r="J24" s="14"/>
      <c r="K24" s="14"/>
      <c r="L24" s="15"/>
      <c r="M24" s="21">
        <v>40</v>
      </c>
      <c r="N24" s="21">
        <v>338</v>
      </c>
      <c r="O24" s="21">
        <v>0</v>
      </c>
      <c r="P24" s="21">
        <v>0</v>
      </c>
      <c r="Q24" s="21">
        <v>0</v>
      </c>
      <c r="R24" s="21">
        <v>1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383</v>
      </c>
      <c r="Z24" s="21"/>
    </row>
    <row r="25" spans="1:26" s="11" customFormat="1" x14ac:dyDescent="0.25">
      <c r="A25" s="11">
        <v>309</v>
      </c>
      <c r="B25" s="11">
        <v>8</v>
      </c>
      <c r="C25" s="11">
        <v>0</v>
      </c>
      <c r="D25" s="12">
        <v>44734</v>
      </c>
      <c r="E25" s="12" t="s">
        <v>43</v>
      </c>
      <c r="F25" s="12" t="s">
        <v>102</v>
      </c>
      <c r="G25" s="11" t="s">
        <v>56</v>
      </c>
      <c r="H25" s="24"/>
      <c r="I25" s="13"/>
      <c r="J25" s="14"/>
      <c r="K25" s="14"/>
      <c r="L25" s="15"/>
      <c r="M25" s="21">
        <v>0</v>
      </c>
      <c r="N25" s="21">
        <v>77</v>
      </c>
      <c r="O25" s="21">
        <v>1</v>
      </c>
      <c r="P25" s="21">
        <v>2</v>
      </c>
      <c r="Q25" s="21">
        <v>0</v>
      </c>
      <c r="R25" s="21">
        <v>1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35">
        <v>0</v>
      </c>
      <c r="Y25" s="21">
        <v>81</v>
      </c>
      <c r="Z25" s="21"/>
    </row>
    <row r="26" spans="1:26" s="11" customFormat="1" x14ac:dyDescent="0.25">
      <c r="A26" s="11">
        <v>109</v>
      </c>
      <c r="B26" s="11">
        <v>9</v>
      </c>
      <c r="C26" s="11">
        <v>0</v>
      </c>
      <c r="D26" s="12">
        <v>44734</v>
      </c>
      <c r="E26" s="12" t="s">
        <v>42</v>
      </c>
      <c r="F26" s="12" t="s">
        <v>102</v>
      </c>
      <c r="G26" s="12" t="s">
        <v>57</v>
      </c>
      <c r="H26" s="24"/>
      <c r="I26" s="13">
        <v>1</v>
      </c>
      <c r="J26" s="14">
        <v>0.35</v>
      </c>
      <c r="K26" s="14">
        <v>0.25</v>
      </c>
      <c r="L26" s="15">
        <v>0.28999999999999998</v>
      </c>
      <c r="M26" s="21">
        <v>3</v>
      </c>
      <c r="N26" s="21">
        <v>358</v>
      </c>
      <c r="O26" s="21">
        <v>2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364</v>
      </c>
      <c r="Z26" s="21"/>
    </row>
    <row r="27" spans="1:26" s="11" customFormat="1" x14ac:dyDescent="0.25">
      <c r="A27" s="11">
        <v>302</v>
      </c>
      <c r="B27" s="11">
        <v>9</v>
      </c>
      <c r="C27" s="11">
        <v>0</v>
      </c>
      <c r="D27" s="12">
        <v>44734</v>
      </c>
      <c r="E27" s="12" t="s">
        <v>42</v>
      </c>
      <c r="F27" s="12" t="s">
        <v>102</v>
      </c>
      <c r="G27" s="11" t="s">
        <v>56</v>
      </c>
      <c r="H27" s="24"/>
      <c r="I27" s="13">
        <v>1</v>
      </c>
      <c r="J27" s="14">
        <v>0.32</v>
      </c>
      <c r="K27" s="14">
        <v>0.18</v>
      </c>
      <c r="L27" s="15">
        <v>0.44</v>
      </c>
      <c r="M27" s="21">
        <v>0</v>
      </c>
      <c r="N27" s="21">
        <v>267</v>
      </c>
      <c r="O27" s="21">
        <v>0</v>
      </c>
      <c r="P27" s="21">
        <v>5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274</v>
      </c>
      <c r="Z27" s="21"/>
    </row>
    <row r="28" spans="1:26" s="11" customFormat="1" x14ac:dyDescent="0.25">
      <c r="A28" s="11">
        <v>307</v>
      </c>
      <c r="B28" s="11">
        <v>9</v>
      </c>
      <c r="C28" s="11">
        <v>0</v>
      </c>
      <c r="D28" s="12">
        <v>44734</v>
      </c>
      <c r="E28" s="12" t="s">
        <v>42</v>
      </c>
      <c r="F28" s="12" t="s">
        <v>102</v>
      </c>
      <c r="G28" s="11" t="s">
        <v>56</v>
      </c>
      <c r="H28" s="24"/>
      <c r="I28" s="13">
        <v>1</v>
      </c>
      <c r="J28" s="14">
        <v>0.34</v>
      </c>
      <c r="K28" s="14">
        <v>0.08</v>
      </c>
      <c r="L28" s="15">
        <v>0.77</v>
      </c>
      <c r="M28" s="21">
        <v>5</v>
      </c>
      <c r="N28" s="21">
        <v>6</v>
      </c>
      <c r="O28" s="21">
        <v>1</v>
      </c>
      <c r="P28" s="21">
        <v>4</v>
      </c>
      <c r="Q28" s="21">
        <v>0</v>
      </c>
      <c r="R28" s="21">
        <v>2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35">
        <v>0</v>
      </c>
      <c r="Y28" s="21">
        <v>18</v>
      </c>
      <c r="Z28" s="21"/>
    </row>
    <row r="29" spans="1:26" s="11" customFormat="1" x14ac:dyDescent="0.25">
      <c r="A29" s="11">
        <v>212</v>
      </c>
      <c r="B29" s="11">
        <v>10</v>
      </c>
      <c r="C29" s="11">
        <v>0</v>
      </c>
      <c r="D29" s="12">
        <v>44734</v>
      </c>
      <c r="E29" s="12" t="s">
        <v>42</v>
      </c>
      <c r="F29" s="12" t="s">
        <v>102</v>
      </c>
      <c r="G29" s="11" t="s">
        <v>57</v>
      </c>
      <c r="H29" s="24"/>
      <c r="I29" s="13">
        <v>5</v>
      </c>
      <c r="J29" s="14">
        <v>0.31</v>
      </c>
      <c r="K29" s="14">
        <v>0.13</v>
      </c>
      <c r="L29" s="15">
        <v>0.57999999999999996</v>
      </c>
      <c r="M29" s="21">
        <v>3</v>
      </c>
      <c r="N29" s="21">
        <v>60</v>
      </c>
      <c r="O29" s="21">
        <v>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67</v>
      </c>
      <c r="Z29" s="21"/>
    </row>
    <row r="30" spans="1:26" s="11" customFormat="1" x14ac:dyDescent="0.25">
      <c r="A30" s="11">
        <v>308</v>
      </c>
      <c r="B30" s="11">
        <v>10</v>
      </c>
      <c r="C30" s="11">
        <v>0</v>
      </c>
      <c r="D30" s="12">
        <v>44734</v>
      </c>
      <c r="E30" s="12" t="s">
        <v>42</v>
      </c>
      <c r="F30" s="12" t="s">
        <v>102</v>
      </c>
      <c r="G30" s="11" t="s">
        <v>57</v>
      </c>
      <c r="H30" s="24"/>
      <c r="I30" s="13">
        <v>5</v>
      </c>
      <c r="J30" s="14">
        <v>0.33</v>
      </c>
      <c r="K30" s="14">
        <v>0.09</v>
      </c>
      <c r="L30" s="15">
        <v>0.72</v>
      </c>
      <c r="M30" s="21">
        <v>0</v>
      </c>
      <c r="N30" s="21">
        <v>4</v>
      </c>
      <c r="O30" s="21">
        <v>0</v>
      </c>
      <c r="P30" s="21">
        <v>0</v>
      </c>
      <c r="Q30" s="21">
        <v>0</v>
      </c>
      <c r="R30" s="21">
        <v>3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35">
        <v>0</v>
      </c>
      <c r="Y30" s="21">
        <v>7</v>
      </c>
      <c r="Z30" s="21"/>
    </row>
    <row r="31" spans="1:26" s="11" customFormat="1" x14ac:dyDescent="0.25">
      <c r="A31" s="16">
        <v>312</v>
      </c>
      <c r="B31" s="16">
        <v>10</v>
      </c>
      <c r="C31" s="16">
        <v>0</v>
      </c>
      <c r="D31" s="12">
        <v>44734</v>
      </c>
      <c r="E31" s="12" t="s">
        <v>42</v>
      </c>
      <c r="F31" s="12" t="s">
        <v>102</v>
      </c>
      <c r="G31" s="16" t="s">
        <v>57</v>
      </c>
      <c r="H31" s="25"/>
      <c r="I31" s="17">
        <v>5</v>
      </c>
      <c r="J31" s="18">
        <v>0.33</v>
      </c>
      <c r="K31" s="18">
        <v>0.17</v>
      </c>
      <c r="L31" s="19">
        <v>0.5</v>
      </c>
      <c r="M31" s="21">
        <v>1</v>
      </c>
      <c r="N31" s="21">
        <v>30</v>
      </c>
      <c r="O31" s="21">
        <v>0</v>
      </c>
      <c r="P31" s="21">
        <v>0</v>
      </c>
      <c r="Q31" s="21">
        <v>0</v>
      </c>
      <c r="R31" s="21">
        <v>1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35">
        <v>0</v>
      </c>
      <c r="Y31" s="21">
        <v>34</v>
      </c>
      <c r="Z31" s="35"/>
    </row>
    <row r="32" spans="1:26" s="11" customFormat="1" x14ac:dyDescent="0.25">
      <c r="A32" s="11">
        <v>111</v>
      </c>
      <c r="B32" s="11">
        <v>11</v>
      </c>
      <c r="C32" s="11">
        <v>0</v>
      </c>
      <c r="D32" s="12">
        <v>44734</v>
      </c>
      <c r="E32" s="12" t="s">
        <v>42</v>
      </c>
      <c r="F32" s="12" t="s">
        <v>102</v>
      </c>
      <c r="G32" s="11" t="s">
        <v>56</v>
      </c>
      <c r="H32" s="24">
        <v>11.5</v>
      </c>
      <c r="I32" s="13">
        <v>1</v>
      </c>
      <c r="J32" s="14">
        <v>0.35</v>
      </c>
      <c r="K32" s="14">
        <v>0.15</v>
      </c>
      <c r="L32" s="15">
        <v>0.57999999999999996</v>
      </c>
      <c r="M32" s="21">
        <v>7</v>
      </c>
      <c r="N32" s="21">
        <v>31</v>
      </c>
      <c r="O32" s="21">
        <v>0</v>
      </c>
      <c r="P32" s="21">
        <v>30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69</v>
      </c>
      <c r="Z32" s="21"/>
    </row>
    <row r="33" spans="1:26" s="11" customFormat="1" x14ac:dyDescent="0.25">
      <c r="A33" s="11">
        <v>305</v>
      </c>
      <c r="B33" s="11">
        <v>11</v>
      </c>
      <c r="C33" s="11">
        <v>0</v>
      </c>
      <c r="D33" s="12">
        <v>44734</v>
      </c>
      <c r="E33" s="12" t="s">
        <v>42</v>
      </c>
      <c r="F33" s="12" t="s">
        <v>102</v>
      </c>
      <c r="G33" s="11" t="s">
        <v>56</v>
      </c>
      <c r="H33" s="24">
        <v>11.5</v>
      </c>
      <c r="I33" s="13">
        <v>1</v>
      </c>
      <c r="J33" s="14">
        <v>0.35</v>
      </c>
      <c r="K33" s="14">
        <v>0.15</v>
      </c>
      <c r="L33" s="15">
        <v>0.57999999999999996</v>
      </c>
      <c r="M33" s="21">
        <v>10</v>
      </c>
      <c r="N33" s="21">
        <v>9</v>
      </c>
      <c r="O33" s="21">
        <v>0</v>
      </c>
      <c r="P33" s="21">
        <v>6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35">
        <v>0</v>
      </c>
      <c r="Y33" s="21">
        <v>26</v>
      </c>
      <c r="Z33" s="21"/>
    </row>
    <row r="34" spans="1:26" s="11" customFormat="1" x14ac:dyDescent="0.25">
      <c r="A34" s="11">
        <v>206</v>
      </c>
      <c r="B34" s="11">
        <v>12</v>
      </c>
      <c r="C34" s="11">
        <v>0</v>
      </c>
      <c r="D34" s="12">
        <v>44734</v>
      </c>
      <c r="E34" s="12" t="s">
        <v>43</v>
      </c>
      <c r="F34" s="12" t="s">
        <v>102</v>
      </c>
      <c r="G34" s="11" t="s">
        <v>56</v>
      </c>
      <c r="H34" s="24"/>
      <c r="I34" s="13"/>
      <c r="J34" s="14"/>
      <c r="K34" s="14"/>
      <c r="L34" s="15"/>
      <c r="M34" s="21">
        <v>1</v>
      </c>
      <c r="N34" s="21">
        <v>332</v>
      </c>
      <c r="O34" s="21">
        <v>0</v>
      </c>
      <c r="P34" s="21">
        <v>6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341</v>
      </c>
      <c r="Z34" s="21"/>
    </row>
    <row r="35" spans="1:26" s="11" customFormat="1" x14ac:dyDescent="0.25">
      <c r="A35" s="11">
        <v>301</v>
      </c>
      <c r="B35" s="11">
        <v>12</v>
      </c>
      <c r="C35" s="11">
        <v>0</v>
      </c>
      <c r="D35" s="12">
        <v>44734</v>
      </c>
      <c r="E35" s="12" t="s">
        <v>43</v>
      </c>
      <c r="F35" s="12" t="s">
        <v>102</v>
      </c>
      <c r="G35" s="11" t="s">
        <v>56</v>
      </c>
      <c r="H35" s="24"/>
      <c r="I35" s="13"/>
      <c r="J35" s="14"/>
      <c r="K35" s="14"/>
      <c r="L35" s="15"/>
      <c r="M35" s="21">
        <v>0</v>
      </c>
      <c r="N35" s="21">
        <v>129</v>
      </c>
      <c r="O35" s="21">
        <v>0</v>
      </c>
      <c r="P35" s="21">
        <v>1</v>
      </c>
      <c r="Q35" s="21">
        <v>0</v>
      </c>
      <c r="R35" s="21">
        <v>4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151</v>
      </c>
      <c r="Z35" s="21"/>
    </row>
    <row r="36" spans="1:26" s="11" customFormat="1" x14ac:dyDescent="0.25">
      <c r="A36" s="11">
        <v>311</v>
      </c>
      <c r="B36" s="11">
        <v>12</v>
      </c>
      <c r="C36" s="11">
        <v>0</v>
      </c>
      <c r="D36" s="12">
        <v>44734</v>
      </c>
      <c r="E36" s="12" t="s">
        <v>43</v>
      </c>
      <c r="F36" s="12" t="s">
        <v>102</v>
      </c>
      <c r="G36" s="11" t="s">
        <v>56</v>
      </c>
      <c r="H36" s="24"/>
      <c r="I36" s="13"/>
      <c r="J36" s="14"/>
      <c r="K36" s="14"/>
      <c r="L36" s="15"/>
      <c r="M36" s="21">
        <v>1</v>
      </c>
      <c r="N36" s="21">
        <v>43</v>
      </c>
      <c r="O36" s="21">
        <v>1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35">
        <v>0</v>
      </c>
      <c r="Y36" s="21">
        <v>45</v>
      </c>
      <c r="Z36" s="21"/>
    </row>
    <row r="37" spans="1:26" s="11" customFormat="1" x14ac:dyDescent="0.25">
      <c r="A37" s="11">
        <v>201</v>
      </c>
      <c r="B37" s="11" t="s">
        <v>87</v>
      </c>
      <c r="C37" s="11">
        <v>0</v>
      </c>
      <c r="D37" s="12">
        <v>44734</v>
      </c>
      <c r="E37" s="12" t="s">
        <v>42</v>
      </c>
      <c r="F37" s="12" t="s">
        <v>102</v>
      </c>
      <c r="G37" s="12" t="s">
        <v>56</v>
      </c>
      <c r="H37" s="24"/>
      <c r="I37" s="13">
        <v>5</v>
      </c>
      <c r="J37" s="14">
        <v>0.32</v>
      </c>
      <c r="K37" s="14">
        <v>0.1</v>
      </c>
      <c r="L37" s="15">
        <v>0.68</v>
      </c>
      <c r="M37" s="21">
        <v>2</v>
      </c>
      <c r="N37" s="21">
        <v>172</v>
      </c>
      <c r="O37" s="21">
        <v>1</v>
      </c>
      <c r="P37" s="21">
        <v>47</v>
      </c>
      <c r="Q37" s="21">
        <v>0</v>
      </c>
      <c r="R37" s="21">
        <v>0</v>
      </c>
      <c r="S37" s="21">
        <v>0</v>
      </c>
      <c r="T37" s="21">
        <v>3</v>
      </c>
      <c r="U37" s="21">
        <v>0</v>
      </c>
      <c r="V37" s="21">
        <v>0</v>
      </c>
      <c r="W37" s="21">
        <v>0</v>
      </c>
      <c r="X37" s="21">
        <v>0</v>
      </c>
      <c r="Y37" s="21">
        <v>234</v>
      </c>
      <c r="Z37" s="21"/>
    </row>
    <row r="38" spans="1:26" s="11" customFormat="1" x14ac:dyDescent="0.25">
      <c r="A38" s="11">
        <v>101</v>
      </c>
      <c r="B38" s="11">
        <v>1</v>
      </c>
      <c r="C38" s="11">
        <v>5</v>
      </c>
      <c r="D38" s="12">
        <v>44733</v>
      </c>
      <c r="E38" s="12" t="s">
        <v>42</v>
      </c>
      <c r="F38" s="12" t="s">
        <v>100</v>
      </c>
      <c r="G38" s="12" t="s">
        <v>56</v>
      </c>
      <c r="H38" s="24"/>
      <c r="I38" s="13">
        <v>1</v>
      </c>
      <c r="J38" s="14">
        <v>0.33</v>
      </c>
      <c r="K38" s="14">
        <v>0.11</v>
      </c>
      <c r="L38" s="15">
        <v>0.71</v>
      </c>
      <c r="M38" s="21">
        <v>4</v>
      </c>
      <c r="N38" s="21">
        <v>1</v>
      </c>
      <c r="O38" s="21">
        <v>0</v>
      </c>
      <c r="P38" s="21">
        <v>80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86</v>
      </c>
      <c r="Z38" s="21">
        <v>0</v>
      </c>
    </row>
    <row r="39" spans="1:26" s="11" customFormat="1" x14ac:dyDescent="0.25">
      <c r="A39" s="11">
        <v>106</v>
      </c>
      <c r="B39" s="11">
        <v>1</v>
      </c>
      <c r="C39" s="11">
        <v>5</v>
      </c>
      <c r="D39" s="12">
        <v>44733</v>
      </c>
      <c r="E39" s="12" t="s">
        <v>42</v>
      </c>
      <c r="F39" s="12" t="s">
        <v>100</v>
      </c>
      <c r="G39" s="12" t="s">
        <v>56</v>
      </c>
      <c r="H39" s="24"/>
      <c r="I39" s="13">
        <v>5</v>
      </c>
      <c r="J39" s="14">
        <v>0.39</v>
      </c>
      <c r="K39" s="14">
        <v>0.12</v>
      </c>
      <c r="L39" s="15">
        <v>0.7</v>
      </c>
      <c r="M39" s="21">
        <v>78</v>
      </c>
      <c r="N39" s="21">
        <v>266</v>
      </c>
      <c r="O39" s="21">
        <v>28</v>
      </c>
      <c r="P39" s="21">
        <v>41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414</v>
      </c>
      <c r="Z39" s="21">
        <v>0</v>
      </c>
    </row>
    <row r="40" spans="1:26" s="11" customFormat="1" x14ac:dyDescent="0.25">
      <c r="A40" s="11">
        <v>304</v>
      </c>
      <c r="B40" s="11">
        <v>1</v>
      </c>
      <c r="C40" s="11">
        <v>5</v>
      </c>
      <c r="D40" s="12">
        <v>44733</v>
      </c>
      <c r="E40" s="12" t="s">
        <v>42</v>
      </c>
      <c r="F40" s="12" t="s">
        <v>100</v>
      </c>
      <c r="G40" s="12" t="s">
        <v>56</v>
      </c>
      <c r="H40" s="24"/>
      <c r="I40" s="13">
        <v>1</v>
      </c>
      <c r="J40" s="14">
        <v>0.4</v>
      </c>
      <c r="K40" s="14">
        <v>0.02</v>
      </c>
      <c r="L40" s="15">
        <v>0.95</v>
      </c>
      <c r="M40" s="21">
        <v>4</v>
      </c>
      <c r="N40" s="21">
        <v>12</v>
      </c>
      <c r="O40" s="21">
        <v>0</v>
      </c>
      <c r="P40" s="21">
        <v>50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66</v>
      </c>
      <c r="Z40" s="21">
        <v>0</v>
      </c>
    </row>
    <row r="41" spans="1:26" s="11" customFormat="1" x14ac:dyDescent="0.25">
      <c r="A41" s="11">
        <v>105</v>
      </c>
      <c r="B41" s="11">
        <v>2</v>
      </c>
      <c r="C41" s="11">
        <v>5</v>
      </c>
      <c r="D41" s="12">
        <v>44733</v>
      </c>
      <c r="E41" s="12" t="s">
        <v>42</v>
      </c>
      <c r="F41" s="12" t="s">
        <v>100</v>
      </c>
      <c r="G41" s="12" t="s">
        <v>57</v>
      </c>
      <c r="H41" s="24"/>
      <c r="I41" s="13">
        <v>1</v>
      </c>
      <c r="J41" s="14">
        <v>0.41</v>
      </c>
      <c r="K41" s="14">
        <v>0.12</v>
      </c>
      <c r="L41" s="15">
        <v>0.72</v>
      </c>
      <c r="M41" s="21">
        <v>24</v>
      </c>
      <c r="N41" s="21">
        <v>11</v>
      </c>
      <c r="O41" s="21">
        <v>31</v>
      </c>
      <c r="P41" s="21">
        <v>223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294</v>
      </c>
      <c r="Z41" s="21">
        <v>0</v>
      </c>
    </row>
    <row r="42" spans="1:26" s="11" customFormat="1" x14ac:dyDescent="0.25">
      <c r="A42" s="11">
        <v>112</v>
      </c>
      <c r="B42" s="11">
        <v>2</v>
      </c>
      <c r="C42" s="11">
        <v>5</v>
      </c>
      <c r="D42" s="12">
        <v>44733</v>
      </c>
      <c r="E42" s="12" t="s">
        <v>42</v>
      </c>
      <c r="F42" s="12" t="s">
        <v>100</v>
      </c>
      <c r="G42" s="12" t="s">
        <v>57</v>
      </c>
      <c r="H42" s="24"/>
      <c r="I42" s="13">
        <v>5</v>
      </c>
      <c r="J42" s="14">
        <v>0.31</v>
      </c>
      <c r="K42" s="14">
        <v>0.04</v>
      </c>
      <c r="L42" s="15">
        <v>0.99</v>
      </c>
      <c r="M42" s="21">
        <v>4</v>
      </c>
      <c r="N42" s="21">
        <v>14</v>
      </c>
      <c r="O42" s="21">
        <v>0</v>
      </c>
      <c r="P42" s="21">
        <v>52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70</v>
      </c>
      <c r="Z42" s="21">
        <v>0</v>
      </c>
    </row>
    <row r="43" spans="1:26" s="11" customFormat="1" x14ac:dyDescent="0.25">
      <c r="A43" s="11">
        <v>210</v>
      </c>
      <c r="B43" s="11">
        <v>2</v>
      </c>
      <c r="C43" s="11">
        <v>5</v>
      </c>
      <c r="D43" s="12">
        <v>44733</v>
      </c>
      <c r="E43" s="12" t="s">
        <v>42</v>
      </c>
      <c r="F43" s="12" t="s">
        <v>100</v>
      </c>
      <c r="G43" s="12" t="s">
        <v>56</v>
      </c>
      <c r="H43" s="24"/>
      <c r="I43" s="13">
        <v>5</v>
      </c>
      <c r="J43" s="14">
        <v>0.37</v>
      </c>
      <c r="K43" s="14">
        <v>0.03</v>
      </c>
      <c r="L43" s="15">
        <v>0.93</v>
      </c>
      <c r="M43" s="21">
        <v>1</v>
      </c>
      <c r="N43" s="21">
        <v>9</v>
      </c>
      <c r="O43" s="21">
        <v>7</v>
      </c>
      <c r="P43" s="21">
        <v>8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27</v>
      </c>
      <c r="Z43" s="21">
        <v>0</v>
      </c>
    </row>
    <row r="44" spans="1:26" s="11" customFormat="1" x14ac:dyDescent="0.25">
      <c r="A44" s="11">
        <v>103</v>
      </c>
      <c r="B44" s="11">
        <v>3</v>
      </c>
      <c r="C44" s="11">
        <v>5</v>
      </c>
      <c r="D44" s="12">
        <v>44733</v>
      </c>
      <c r="E44" s="12" t="s">
        <v>43</v>
      </c>
      <c r="F44" s="12" t="s">
        <v>100</v>
      </c>
      <c r="G44" s="12" t="s">
        <v>57</v>
      </c>
      <c r="H44" s="24">
        <v>6</v>
      </c>
      <c r="I44" s="13"/>
      <c r="J44" s="14"/>
      <c r="K44" s="14"/>
      <c r="L44" s="15"/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2</v>
      </c>
    </row>
    <row r="45" spans="1:26" s="11" customFormat="1" x14ac:dyDescent="0.25">
      <c r="A45" s="11">
        <v>110</v>
      </c>
      <c r="B45" s="11">
        <v>3</v>
      </c>
      <c r="C45" s="11">
        <v>5</v>
      </c>
      <c r="D45" s="12">
        <v>44733</v>
      </c>
      <c r="E45" s="12" t="s">
        <v>43</v>
      </c>
      <c r="F45" s="12" t="s">
        <v>100</v>
      </c>
      <c r="G45" s="12" t="s">
        <v>57</v>
      </c>
      <c r="H45" s="24">
        <v>6</v>
      </c>
      <c r="I45" s="13"/>
      <c r="J45" s="14"/>
      <c r="K45" s="14"/>
      <c r="L45" s="15"/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1</v>
      </c>
    </row>
    <row r="46" spans="1:26" s="11" customFormat="1" x14ac:dyDescent="0.25">
      <c r="A46" s="11">
        <v>211</v>
      </c>
      <c r="B46" s="11">
        <v>3</v>
      </c>
      <c r="C46" s="11">
        <v>5</v>
      </c>
      <c r="D46" s="12">
        <v>44733</v>
      </c>
      <c r="E46" s="12" t="s">
        <v>43</v>
      </c>
      <c r="F46" s="12" t="s">
        <v>100</v>
      </c>
      <c r="G46" s="12" t="s">
        <v>57</v>
      </c>
      <c r="H46" s="24">
        <v>6</v>
      </c>
      <c r="I46" s="13"/>
      <c r="J46" s="14"/>
      <c r="K46" s="14"/>
      <c r="L46" s="15"/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</row>
    <row r="47" spans="1:26" s="11" customFormat="1" x14ac:dyDescent="0.25">
      <c r="A47" s="11">
        <v>104</v>
      </c>
      <c r="B47" s="11">
        <v>4</v>
      </c>
      <c r="C47" s="11">
        <v>5</v>
      </c>
      <c r="D47" s="12">
        <v>44733</v>
      </c>
      <c r="E47" s="12" t="s">
        <v>43</v>
      </c>
      <c r="F47" s="12" t="s">
        <v>100</v>
      </c>
      <c r="G47" s="12" t="s">
        <v>57</v>
      </c>
      <c r="H47" s="24">
        <v>9</v>
      </c>
      <c r="I47" s="13"/>
      <c r="J47" s="14"/>
      <c r="K47" s="14"/>
      <c r="L47" s="15"/>
      <c r="M47" s="21">
        <v>0</v>
      </c>
      <c r="N47" s="21">
        <v>1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1</v>
      </c>
      <c r="Z47" s="21">
        <v>2</v>
      </c>
    </row>
    <row r="48" spans="1:26" s="11" customFormat="1" x14ac:dyDescent="0.25">
      <c r="A48" s="11">
        <v>107</v>
      </c>
      <c r="B48" s="11">
        <v>4</v>
      </c>
      <c r="C48" s="11">
        <v>5</v>
      </c>
      <c r="D48" s="12">
        <v>44733</v>
      </c>
      <c r="E48" s="12" t="s">
        <v>43</v>
      </c>
      <c r="F48" s="12" t="s">
        <v>100</v>
      </c>
      <c r="G48" s="12" t="s">
        <v>56</v>
      </c>
      <c r="H48" s="24">
        <v>9</v>
      </c>
      <c r="I48" s="13"/>
      <c r="J48" s="14"/>
      <c r="K48" s="14"/>
      <c r="L48" s="15"/>
      <c r="M48" s="21">
        <v>10</v>
      </c>
      <c r="N48" s="21">
        <v>51</v>
      </c>
      <c r="O48" s="21">
        <v>0</v>
      </c>
      <c r="P48" s="21">
        <v>1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62</v>
      </c>
      <c r="Z48" s="21">
        <v>2</v>
      </c>
    </row>
    <row r="49" spans="1:26" s="11" customFormat="1" x14ac:dyDescent="0.25">
      <c r="A49" s="11">
        <v>208</v>
      </c>
      <c r="B49" s="11">
        <v>4</v>
      </c>
      <c r="C49" s="11">
        <v>5</v>
      </c>
      <c r="D49" s="12">
        <v>44733</v>
      </c>
      <c r="E49" s="12" t="s">
        <v>43</v>
      </c>
      <c r="F49" s="12" t="s">
        <v>100</v>
      </c>
      <c r="G49" s="12" t="s">
        <v>56</v>
      </c>
      <c r="H49" s="24">
        <v>9</v>
      </c>
      <c r="I49" s="13"/>
      <c r="J49" s="14"/>
      <c r="K49" s="14"/>
      <c r="L49" s="15"/>
      <c r="M49" s="21">
        <v>0</v>
      </c>
      <c r="N49" s="21">
        <v>1</v>
      </c>
      <c r="O49" s="21">
        <v>3</v>
      </c>
      <c r="P49" s="21">
        <v>3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7</v>
      </c>
      <c r="Z49" s="21">
        <v>3</v>
      </c>
    </row>
    <row r="50" spans="1:26" s="11" customFormat="1" x14ac:dyDescent="0.25">
      <c r="A50" s="11">
        <v>202</v>
      </c>
      <c r="B50" s="11">
        <v>5</v>
      </c>
      <c r="C50" s="11">
        <v>5</v>
      </c>
      <c r="D50" s="12">
        <v>44739</v>
      </c>
      <c r="E50" s="12" t="s">
        <v>42</v>
      </c>
      <c r="F50" s="12" t="s">
        <v>102</v>
      </c>
      <c r="G50" s="11" t="s">
        <v>57</v>
      </c>
      <c r="H50" s="24"/>
      <c r="I50" s="13">
        <v>1</v>
      </c>
      <c r="J50" s="14">
        <v>0.3</v>
      </c>
      <c r="K50" s="14">
        <v>0.19</v>
      </c>
      <c r="L50" s="15">
        <v>0.39</v>
      </c>
      <c r="M50" s="21">
        <v>1</v>
      </c>
      <c r="N50" s="21">
        <v>89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111</v>
      </c>
      <c r="Z50" s="21">
        <v>2</v>
      </c>
    </row>
    <row r="51" spans="1:26" s="11" customFormat="1" x14ac:dyDescent="0.25">
      <c r="A51" s="11">
        <v>209</v>
      </c>
      <c r="B51" s="11">
        <v>5</v>
      </c>
      <c r="C51" s="11">
        <v>5</v>
      </c>
      <c r="D51" s="12">
        <v>44739</v>
      </c>
      <c r="E51" s="12" t="s">
        <v>42</v>
      </c>
      <c r="F51" s="12" t="s">
        <v>102</v>
      </c>
      <c r="G51" s="11" t="s">
        <v>56</v>
      </c>
      <c r="H51" s="24"/>
      <c r="I51" s="13">
        <v>1</v>
      </c>
      <c r="J51" s="14">
        <v>0.34</v>
      </c>
      <c r="K51" s="14">
        <v>0.15</v>
      </c>
      <c r="L51" s="15">
        <v>0.54</v>
      </c>
      <c r="M51" s="21">
        <v>6</v>
      </c>
      <c r="N51" s="21">
        <v>24</v>
      </c>
      <c r="O51" s="21">
        <v>0</v>
      </c>
      <c r="P51" s="21">
        <v>26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58</v>
      </c>
      <c r="Z51" s="21">
        <v>12</v>
      </c>
    </row>
    <row r="52" spans="1:26" s="11" customFormat="1" x14ac:dyDescent="0.25">
      <c r="A52" s="11">
        <v>310</v>
      </c>
      <c r="B52" s="11">
        <v>5</v>
      </c>
      <c r="C52" s="11">
        <v>5</v>
      </c>
      <c r="D52" s="12">
        <v>44739</v>
      </c>
      <c r="E52" s="12" t="s">
        <v>42</v>
      </c>
      <c r="F52" s="12" t="s">
        <v>102</v>
      </c>
      <c r="G52" s="11" t="s">
        <v>56</v>
      </c>
      <c r="H52" s="24"/>
      <c r="I52" s="13">
        <v>1</v>
      </c>
      <c r="J52" s="14">
        <v>0.32</v>
      </c>
      <c r="K52" s="14">
        <v>0.1</v>
      </c>
      <c r="L52" s="15">
        <v>0.68</v>
      </c>
      <c r="M52" s="21">
        <v>0</v>
      </c>
      <c r="N52" s="21">
        <v>14</v>
      </c>
      <c r="O52" s="21">
        <v>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35">
        <v>0</v>
      </c>
      <c r="Y52" s="21">
        <v>15</v>
      </c>
      <c r="Z52" s="21">
        <v>12</v>
      </c>
    </row>
    <row r="53" spans="1:26" s="11" customFormat="1" x14ac:dyDescent="0.25">
      <c r="A53" s="11">
        <v>102</v>
      </c>
      <c r="B53" s="11">
        <v>6</v>
      </c>
      <c r="C53" s="11">
        <v>5</v>
      </c>
      <c r="D53" s="12">
        <v>44739</v>
      </c>
      <c r="E53" s="12" t="s">
        <v>42</v>
      </c>
      <c r="F53" s="12" t="s">
        <v>102</v>
      </c>
      <c r="G53" s="11" t="s">
        <v>56</v>
      </c>
      <c r="H53" s="24"/>
      <c r="I53" s="13">
        <v>5</v>
      </c>
      <c r="J53" s="14">
        <v>0.35</v>
      </c>
      <c r="K53" s="14">
        <v>0.14000000000000001</v>
      </c>
      <c r="L53" s="15">
        <v>0.59</v>
      </c>
      <c r="M53" s="21">
        <v>20</v>
      </c>
      <c r="N53" s="21">
        <v>44</v>
      </c>
      <c r="O53" s="21">
        <v>0</v>
      </c>
      <c r="P53" s="21">
        <v>27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91</v>
      </c>
      <c r="Z53" s="21">
        <v>3</v>
      </c>
    </row>
    <row r="54" spans="1:26" s="11" customFormat="1" x14ac:dyDescent="0.25">
      <c r="A54" s="11">
        <v>203</v>
      </c>
      <c r="B54" s="11">
        <v>6</v>
      </c>
      <c r="C54" s="11">
        <v>5</v>
      </c>
      <c r="D54" s="12">
        <v>44739</v>
      </c>
      <c r="E54" s="12" t="s">
        <v>42</v>
      </c>
      <c r="F54" s="12" t="s">
        <v>102</v>
      </c>
      <c r="G54" s="11" t="s">
        <v>56</v>
      </c>
      <c r="H54" s="24"/>
      <c r="I54" s="13">
        <v>5</v>
      </c>
      <c r="J54" s="14">
        <v>0.31</v>
      </c>
      <c r="K54" s="14">
        <v>7.0000000000000007E-2</v>
      </c>
      <c r="L54" s="15">
        <v>0.76</v>
      </c>
      <c r="M54" s="21">
        <v>0</v>
      </c>
      <c r="N54" s="21">
        <v>133</v>
      </c>
      <c r="O54" s="21">
        <v>0</v>
      </c>
      <c r="P54" s="21">
        <v>13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154</v>
      </c>
      <c r="Z54" s="21">
        <v>2</v>
      </c>
    </row>
    <row r="55" spans="1:26" s="11" customFormat="1" x14ac:dyDescent="0.25">
      <c r="A55" s="11">
        <v>303</v>
      </c>
      <c r="B55" s="11">
        <v>6</v>
      </c>
      <c r="C55" s="11">
        <v>5</v>
      </c>
      <c r="D55" s="12">
        <v>44739</v>
      </c>
      <c r="E55" s="12" t="s">
        <v>42</v>
      </c>
      <c r="F55" s="12" t="s">
        <v>102</v>
      </c>
      <c r="G55" s="11" t="s">
        <v>57</v>
      </c>
      <c r="H55" s="24"/>
      <c r="I55" s="13">
        <v>5</v>
      </c>
      <c r="J55" s="14">
        <v>0.32</v>
      </c>
      <c r="K55" s="14">
        <v>0.13</v>
      </c>
      <c r="L55" s="15">
        <v>0.6</v>
      </c>
      <c r="M55" s="21">
        <v>0</v>
      </c>
      <c r="N55" s="21">
        <v>255</v>
      </c>
      <c r="O55" s="21">
        <v>0</v>
      </c>
      <c r="P55" s="21">
        <v>1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257</v>
      </c>
      <c r="Z55" s="21">
        <v>1</v>
      </c>
    </row>
    <row r="56" spans="1:26" s="11" customFormat="1" x14ac:dyDescent="0.25">
      <c r="A56" s="11">
        <v>205</v>
      </c>
      <c r="B56" s="11">
        <v>7</v>
      </c>
      <c r="C56" s="11">
        <v>5</v>
      </c>
      <c r="D56" s="12">
        <v>44739</v>
      </c>
      <c r="E56" s="12" t="s">
        <v>43</v>
      </c>
      <c r="F56" s="12" t="s">
        <v>102</v>
      </c>
      <c r="G56" s="11" t="s">
        <v>57</v>
      </c>
      <c r="H56" s="24"/>
      <c r="I56" s="13"/>
      <c r="J56" s="14"/>
      <c r="K56" s="14"/>
      <c r="L56" s="15"/>
      <c r="M56" s="21">
        <v>0</v>
      </c>
      <c r="N56" s="21">
        <v>1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1</v>
      </c>
      <c r="Z56" s="21">
        <v>19</v>
      </c>
    </row>
    <row r="57" spans="1:26" s="11" customFormat="1" x14ac:dyDescent="0.25">
      <c r="A57" s="11">
        <v>207</v>
      </c>
      <c r="B57" s="11">
        <v>7</v>
      </c>
      <c r="C57" s="11">
        <v>5</v>
      </c>
      <c r="D57" s="12">
        <v>44739</v>
      </c>
      <c r="E57" s="12" t="s">
        <v>43</v>
      </c>
      <c r="F57" s="12" t="s">
        <v>102</v>
      </c>
      <c r="G57" s="11" t="s">
        <v>57</v>
      </c>
      <c r="H57" s="24"/>
      <c r="I57" s="13"/>
      <c r="J57" s="14"/>
      <c r="K57" s="14"/>
      <c r="L57" s="15"/>
      <c r="M57" s="21">
        <v>0</v>
      </c>
      <c r="N57" s="21">
        <v>3</v>
      </c>
      <c r="O57" s="21">
        <v>0</v>
      </c>
      <c r="P57" s="21">
        <v>2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6</v>
      </c>
      <c r="Z57" s="21">
        <v>4</v>
      </c>
    </row>
    <row r="58" spans="1:26" s="11" customFormat="1" x14ac:dyDescent="0.25">
      <c r="A58" s="11">
        <v>306</v>
      </c>
      <c r="B58" s="11">
        <v>7</v>
      </c>
      <c r="C58" s="11">
        <v>5</v>
      </c>
      <c r="D58" s="12">
        <v>44739</v>
      </c>
      <c r="E58" s="12" t="s">
        <v>43</v>
      </c>
      <c r="F58" s="12" t="s">
        <v>102</v>
      </c>
      <c r="G58" s="11" t="s">
        <v>57</v>
      </c>
      <c r="H58" s="24"/>
      <c r="I58" s="13"/>
      <c r="J58" s="14"/>
      <c r="K58" s="14"/>
      <c r="L58" s="15"/>
      <c r="M58" s="21">
        <v>0</v>
      </c>
      <c r="N58" s="21">
        <v>3</v>
      </c>
      <c r="O58" s="21">
        <v>0</v>
      </c>
      <c r="P58" s="21">
        <v>3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35">
        <v>0</v>
      </c>
      <c r="Y58" s="21">
        <v>6</v>
      </c>
      <c r="Z58" s="21">
        <v>26</v>
      </c>
    </row>
    <row r="59" spans="1:26" s="11" customFormat="1" x14ac:dyDescent="0.25">
      <c r="A59" s="11">
        <v>108</v>
      </c>
      <c r="B59" s="11">
        <v>8</v>
      </c>
      <c r="C59" s="11">
        <v>5</v>
      </c>
      <c r="D59" s="12">
        <v>44739</v>
      </c>
      <c r="E59" s="12" t="s">
        <v>43</v>
      </c>
      <c r="F59" s="12" t="s">
        <v>102</v>
      </c>
      <c r="G59" s="11" t="s">
        <v>56</v>
      </c>
      <c r="H59" s="24"/>
      <c r="I59" s="13"/>
      <c r="J59" s="14"/>
      <c r="K59" s="14"/>
      <c r="L59" s="15"/>
      <c r="M59" s="21">
        <v>0</v>
      </c>
      <c r="N59" s="21">
        <v>1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1</v>
      </c>
      <c r="Z59" s="21">
        <v>5</v>
      </c>
    </row>
    <row r="60" spans="1:26" s="11" customFormat="1" x14ac:dyDescent="0.25">
      <c r="A60" s="11">
        <v>204</v>
      </c>
      <c r="B60" s="11">
        <v>8</v>
      </c>
      <c r="C60" s="11">
        <v>5</v>
      </c>
      <c r="D60" s="12">
        <v>44739</v>
      </c>
      <c r="E60" s="12" t="s">
        <v>43</v>
      </c>
      <c r="F60" s="12" t="s">
        <v>102</v>
      </c>
      <c r="G60" s="11" t="s">
        <v>56</v>
      </c>
      <c r="H60" s="24"/>
      <c r="I60" s="13"/>
      <c r="J60" s="14"/>
      <c r="K60" s="14"/>
      <c r="L60" s="15"/>
      <c r="M60" s="21">
        <v>2</v>
      </c>
      <c r="N60" s="21">
        <v>9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11</v>
      </c>
      <c r="Z60" s="21">
        <v>7</v>
      </c>
    </row>
    <row r="61" spans="1:26" s="11" customFormat="1" x14ac:dyDescent="0.25">
      <c r="A61" s="11">
        <v>309</v>
      </c>
      <c r="B61" s="11">
        <v>8</v>
      </c>
      <c r="C61" s="11">
        <v>5</v>
      </c>
      <c r="D61" s="12">
        <v>44739</v>
      </c>
      <c r="E61" s="12" t="s">
        <v>43</v>
      </c>
      <c r="F61" s="12" t="s">
        <v>102</v>
      </c>
      <c r="G61" s="11" t="s">
        <v>56</v>
      </c>
      <c r="H61" s="24"/>
      <c r="I61" s="13"/>
      <c r="J61" s="14"/>
      <c r="K61" s="14"/>
      <c r="L61" s="15"/>
      <c r="M61" s="21">
        <v>0</v>
      </c>
      <c r="N61" s="21">
        <v>23</v>
      </c>
      <c r="O61" s="21">
        <v>1</v>
      </c>
      <c r="P61" s="21">
        <v>2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35">
        <v>0</v>
      </c>
      <c r="Y61" s="21">
        <v>28</v>
      </c>
      <c r="Z61" s="21">
        <v>4</v>
      </c>
    </row>
    <row r="62" spans="1:26" s="11" customFormat="1" x14ac:dyDescent="0.25">
      <c r="A62" s="11">
        <v>109</v>
      </c>
      <c r="B62" s="11">
        <v>9</v>
      </c>
      <c r="C62" s="11">
        <v>5</v>
      </c>
      <c r="D62" s="12">
        <v>44739</v>
      </c>
      <c r="E62" s="12" t="s">
        <v>42</v>
      </c>
      <c r="F62" s="12" t="s">
        <v>102</v>
      </c>
      <c r="G62" s="12" t="s">
        <v>57</v>
      </c>
      <c r="H62" s="24"/>
      <c r="I62" s="13">
        <v>1</v>
      </c>
      <c r="J62" s="14">
        <v>0.35</v>
      </c>
      <c r="K62" s="14">
        <v>0.25</v>
      </c>
      <c r="L62" s="15">
        <v>0.28999999999999998</v>
      </c>
      <c r="M62" s="21">
        <v>1</v>
      </c>
      <c r="N62" s="21">
        <v>51</v>
      </c>
      <c r="O62" s="21">
        <v>2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59</v>
      </c>
      <c r="Z62" s="21">
        <v>9</v>
      </c>
    </row>
    <row r="63" spans="1:26" s="11" customFormat="1" x14ac:dyDescent="0.25">
      <c r="A63" s="11">
        <v>302</v>
      </c>
      <c r="B63" s="11">
        <v>9</v>
      </c>
      <c r="C63" s="11">
        <v>5</v>
      </c>
      <c r="D63" s="12">
        <v>44739</v>
      </c>
      <c r="E63" s="12" t="s">
        <v>42</v>
      </c>
      <c r="F63" s="12" t="s">
        <v>102</v>
      </c>
      <c r="G63" s="11" t="s">
        <v>56</v>
      </c>
      <c r="H63" s="24"/>
      <c r="I63" s="13">
        <v>1</v>
      </c>
      <c r="J63" s="14">
        <v>0.32</v>
      </c>
      <c r="K63" s="14">
        <v>0.18</v>
      </c>
      <c r="L63" s="15">
        <v>0.44</v>
      </c>
      <c r="M63" s="21">
        <v>0</v>
      </c>
      <c r="N63" s="21">
        <v>166</v>
      </c>
      <c r="O63" s="21">
        <v>0</v>
      </c>
      <c r="P63" s="21">
        <v>2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172</v>
      </c>
      <c r="Z63" s="21">
        <v>3</v>
      </c>
    </row>
    <row r="64" spans="1:26" s="11" customFormat="1" x14ac:dyDescent="0.25">
      <c r="A64" s="11">
        <v>307</v>
      </c>
      <c r="B64" s="11">
        <v>9</v>
      </c>
      <c r="C64" s="11">
        <v>5</v>
      </c>
      <c r="D64" s="12">
        <v>44739</v>
      </c>
      <c r="E64" s="12" t="s">
        <v>42</v>
      </c>
      <c r="F64" s="12" t="s">
        <v>102</v>
      </c>
      <c r="G64" s="11" t="s">
        <v>56</v>
      </c>
      <c r="H64" s="24"/>
      <c r="I64" s="13">
        <v>1</v>
      </c>
      <c r="J64" s="14">
        <v>0.34</v>
      </c>
      <c r="K64" s="14">
        <v>0.08</v>
      </c>
      <c r="L64" s="15">
        <v>0.77</v>
      </c>
      <c r="M64" s="21">
        <v>5</v>
      </c>
      <c r="N64" s="21">
        <v>3</v>
      </c>
      <c r="O64" s="21">
        <v>0</v>
      </c>
      <c r="P64" s="21">
        <v>4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35">
        <v>0</v>
      </c>
      <c r="Y64" s="21">
        <v>14</v>
      </c>
      <c r="Z64" s="21">
        <v>24</v>
      </c>
    </row>
    <row r="65" spans="1:26" s="11" customFormat="1" x14ac:dyDescent="0.25">
      <c r="A65" s="11">
        <v>212</v>
      </c>
      <c r="B65" s="11">
        <v>10</v>
      </c>
      <c r="C65" s="11">
        <v>5</v>
      </c>
      <c r="D65" s="12">
        <v>44739</v>
      </c>
      <c r="E65" s="12" t="s">
        <v>42</v>
      </c>
      <c r="F65" s="12" t="s">
        <v>102</v>
      </c>
      <c r="G65" s="11" t="s">
        <v>57</v>
      </c>
      <c r="H65" s="24"/>
      <c r="I65" s="13">
        <v>5</v>
      </c>
      <c r="J65" s="14">
        <v>0.31</v>
      </c>
      <c r="K65" s="14">
        <v>0.13</v>
      </c>
      <c r="L65" s="15">
        <v>0.57999999999999996</v>
      </c>
      <c r="M65" s="21">
        <v>0</v>
      </c>
      <c r="N65" s="21">
        <v>19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21</v>
      </c>
      <c r="Z65" s="21">
        <v>16</v>
      </c>
    </row>
    <row r="66" spans="1:26" s="11" customFormat="1" x14ac:dyDescent="0.25">
      <c r="A66" s="11">
        <v>308</v>
      </c>
      <c r="B66" s="11">
        <v>10</v>
      </c>
      <c r="C66" s="11">
        <v>5</v>
      </c>
      <c r="D66" s="12">
        <v>44739</v>
      </c>
      <c r="E66" s="12" t="s">
        <v>42</v>
      </c>
      <c r="F66" s="12" t="s">
        <v>102</v>
      </c>
      <c r="G66" s="11" t="s">
        <v>57</v>
      </c>
      <c r="H66" s="24"/>
      <c r="I66" s="13">
        <v>5</v>
      </c>
      <c r="J66" s="14">
        <v>0.33</v>
      </c>
      <c r="K66" s="14">
        <v>0.09</v>
      </c>
      <c r="L66" s="15">
        <v>0.72</v>
      </c>
      <c r="M66" s="21">
        <v>0</v>
      </c>
      <c r="N66" s="21">
        <v>8</v>
      </c>
      <c r="O66" s="21">
        <v>2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35">
        <v>0</v>
      </c>
      <c r="Y66" s="21">
        <v>11</v>
      </c>
      <c r="Z66" s="21">
        <v>14</v>
      </c>
    </row>
    <row r="67" spans="1:26" s="11" customFormat="1" x14ac:dyDescent="0.25">
      <c r="A67" s="16">
        <v>312</v>
      </c>
      <c r="B67" s="16">
        <v>10</v>
      </c>
      <c r="C67" s="16">
        <v>5</v>
      </c>
      <c r="D67" s="34">
        <v>44739</v>
      </c>
      <c r="E67" s="34" t="s">
        <v>42</v>
      </c>
      <c r="F67" s="34" t="s">
        <v>102</v>
      </c>
      <c r="G67" s="16" t="s">
        <v>57</v>
      </c>
      <c r="H67" s="25"/>
      <c r="I67" s="17">
        <v>5</v>
      </c>
      <c r="J67" s="18">
        <v>0.33</v>
      </c>
      <c r="K67" s="18">
        <v>0.17</v>
      </c>
      <c r="L67" s="19">
        <v>0.5</v>
      </c>
      <c r="M67" s="35">
        <v>0</v>
      </c>
      <c r="N67" s="35">
        <v>16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17</v>
      </c>
      <c r="Z67" s="35">
        <v>16</v>
      </c>
    </row>
    <row r="68" spans="1:26" s="11" customFormat="1" x14ac:dyDescent="0.25">
      <c r="A68" s="11">
        <v>111</v>
      </c>
      <c r="B68" s="11">
        <v>11</v>
      </c>
      <c r="C68" s="11">
        <v>5</v>
      </c>
      <c r="D68" s="12">
        <v>44739</v>
      </c>
      <c r="E68" s="12" t="s">
        <v>42</v>
      </c>
      <c r="F68" s="12" t="s">
        <v>102</v>
      </c>
      <c r="G68" s="11" t="s">
        <v>56</v>
      </c>
      <c r="H68" s="24">
        <v>11.5</v>
      </c>
      <c r="I68" s="13">
        <v>1</v>
      </c>
      <c r="J68" s="14">
        <v>0.35</v>
      </c>
      <c r="K68" s="14">
        <v>0.15</v>
      </c>
      <c r="L68" s="15">
        <v>0.57999999999999996</v>
      </c>
      <c r="M68" s="21">
        <v>3</v>
      </c>
      <c r="N68" s="21">
        <v>21</v>
      </c>
      <c r="O68" s="21">
        <v>0</v>
      </c>
      <c r="P68" s="21">
        <v>14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38</v>
      </c>
      <c r="Z68" s="21">
        <v>7</v>
      </c>
    </row>
    <row r="69" spans="1:26" s="11" customFormat="1" x14ac:dyDescent="0.25">
      <c r="A69" s="11">
        <v>305</v>
      </c>
      <c r="B69" s="11">
        <v>11</v>
      </c>
      <c r="C69" s="11">
        <v>5</v>
      </c>
      <c r="D69" s="12">
        <v>44739</v>
      </c>
      <c r="E69" s="12" t="s">
        <v>42</v>
      </c>
      <c r="F69" s="12" t="s">
        <v>102</v>
      </c>
      <c r="G69" s="11" t="s">
        <v>56</v>
      </c>
      <c r="H69" s="24">
        <v>11.5</v>
      </c>
      <c r="I69" s="13">
        <v>1</v>
      </c>
      <c r="J69" s="14">
        <v>0.35</v>
      </c>
      <c r="K69" s="14">
        <v>0.15</v>
      </c>
      <c r="L69" s="15">
        <v>0.57999999999999996</v>
      </c>
      <c r="M69" s="21">
        <v>10</v>
      </c>
      <c r="N69" s="21">
        <v>3</v>
      </c>
      <c r="O69" s="21">
        <v>0</v>
      </c>
      <c r="P69" s="21">
        <v>3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35">
        <v>0</v>
      </c>
      <c r="Y69" s="21">
        <v>17</v>
      </c>
      <c r="Z69" s="21">
        <v>23</v>
      </c>
    </row>
    <row r="70" spans="1:26" s="11" customFormat="1" x14ac:dyDescent="0.25">
      <c r="A70" s="11">
        <v>206</v>
      </c>
      <c r="B70" s="11">
        <v>12</v>
      </c>
      <c r="C70" s="11">
        <v>5</v>
      </c>
      <c r="D70" s="12">
        <v>44739</v>
      </c>
      <c r="E70" s="12" t="s">
        <v>43</v>
      </c>
      <c r="F70" s="12" t="s">
        <v>102</v>
      </c>
      <c r="G70" s="11" t="s">
        <v>56</v>
      </c>
      <c r="H70" s="24"/>
      <c r="I70" s="13"/>
      <c r="J70" s="14"/>
      <c r="K70" s="14"/>
      <c r="L70" s="15"/>
      <c r="M70" s="21">
        <v>0</v>
      </c>
      <c r="N70" s="21">
        <v>3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3</v>
      </c>
      <c r="Z70" s="21">
        <v>13</v>
      </c>
    </row>
    <row r="71" spans="1:26" s="11" customFormat="1" x14ac:dyDescent="0.25">
      <c r="A71" s="11">
        <v>301</v>
      </c>
      <c r="B71" s="11">
        <v>12</v>
      </c>
      <c r="C71" s="11">
        <v>5</v>
      </c>
      <c r="D71" s="12">
        <v>44739</v>
      </c>
      <c r="E71" s="12" t="s">
        <v>43</v>
      </c>
      <c r="F71" s="12" t="s">
        <v>102</v>
      </c>
      <c r="G71" s="11" t="s">
        <v>56</v>
      </c>
      <c r="H71" s="24"/>
      <c r="I71" s="13"/>
      <c r="J71" s="14"/>
      <c r="K71" s="14"/>
      <c r="L71" s="15"/>
      <c r="M71" s="21">
        <v>0</v>
      </c>
      <c r="N71" s="21">
        <v>36</v>
      </c>
      <c r="O71" s="21">
        <v>0</v>
      </c>
      <c r="P71" s="21">
        <v>1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46</v>
      </c>
      <c r="Z71" s="21">
        <v>7</v>
      </c>
    </row>
    <row r="72" spans="1:26" s="11" customFormat="1" x14ac:dyDescent="0.25">
      <c r="A72" s="11">
        <v>311</v>
      </c>
      <c r="B72" s="11">
        <v>12</v>
      </c>
      <c r="C72" s="11">
        <v>5</v>
      </c>
      <c r="D72" s="12">
        <v>44739</v>
      </c>
      <c r="E72" s="12" t="s">
        <v>43</v>
      </c>
      <c r="F72" s="12" t="s">
        <v>102</v>
      </c>
      <c r="G72" s="11" t="s">
        <v>56</v>
      </c>
      <c r="H72" s="24"/>
      <c r="I72" s="13"/>
      <c r="J72" s="14"/>
      <c r="K72" s="14"/>
      <c r="L72" s="15"/>
      <c r="M72" s="21">
        <v>0</v>
      </c>
      <c r="N72" s="21">
        <v>4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35">
        <v>0</v>
      </c>
      <c r="Y72" s="21">
        <v>5</v>
      </c>
      <c r="Z72" s="21">
        <v>12</v>
      </c>
    </row>
    <row r="73" spans="1:26" s="11" customFormat="1" x14ac:dyDescent="0.25">
      <c r="A73" s="5">
        <v>201</v>
      </c>
      <c r="B73" s="5" t="s">
        <v>87</v>
      </c>
      <c r="C73" s="5">
        <v>5</v>
      </c>
      <c r="D73" s="27">
        <v>44739</v>
      </c>
      <c r="E73" s="27" t="s">
        <v>42</v>
      </c>
      <c r="F73" s="27" t="s">
        <v>102</v>
      </c>
      <c r="G73" s="27" t="s">
        <v>56</v>
      </c>
      <c r="H73" s="23"/>
      <c r="I73" s="6">
        <v>5</v>
      </c>
      <c r="J73" s="7">
        <v>0.32</v>
      </c>
      <c r="K73" s="7">
        <v>0.1</v>
      </c>
      <c r="L73" s="8">
        <v>0.68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4</v>
      </c>
    </row>
    <row r="74" spans="1:26" s="11" customFormat="1" x14ac:dyDescent="0.25">
      <c r="A74" s="36">
        <v>101</v>
      </c>
      <c r="B74" s="36">
        <v>1</v>
      </c>
      <c r="C74" s="36" t="s">
        <v>104</v>
      </c>
      <c r="D74" s="37" t="s">
        <v>105</v>
      </c>
      <c r="E74" s="37" t="s">
        <v>42</v>
      </c>
      <c r="F74" s="37" t="s">
        <v>100</v>
      </c>
      <c r="G74" s="37" t="s">
        <v>56</v>
      </c>
      <c r="H74" s="38"/>
      <c r="I74" s="39">
        <v>1</v>
      </c>
      <c r="J74" s="40">
        <v>0.33</v>
      </c>
      <c r="K74" s="40">
        <v>0.11</v>
      </c>
      <c r="L74" s="41">
        <v>0.71</v>
      </c>
      <c r="M74" s="42">
        <f>(M2-M38)/M2</f>
        <v>0.6</v>
      </c>
      <c r="N74" s="42" t="e">
        <f>(N2-N38)/N2</f>
        <v>#DIV/0!</v>
      </c>
      <c r="O74" s="42" t="e">
        <f t="shared" ref="O74:Y74" si="0">(O2-O38)/O2</f>
        <v>#DIV/0!</v>
      </c>
      <c r="P74" s="42">
        <f t="shared" si="0"/>
        <v>0.49685534591194969</v>
      </c>
      <c r="Q74" s="42">
        <f t="shared" si="0"/>
        <v>1</v>
      </c>
      <c r="R74" s="42" t="e">
        <f t="shared" si="0"/>
        <v>#DIV/0!</v>
      </c>
      <c r="S74" s="42">
        <f t="shared" si="0"/>
        <v>1</v>
      </c>
      <c r="T74" s="42" t="e">
        <f t="shared" si="0"/>
        <v>#DIV/0!</v>
      </c>
      <c r="U74" s="42" t="e">
        <f t="shared" si="0"/>
        <v>#DIV/0!</v>
      </c>
      <c r="V74" s="42" t="e">
        <f t="shared" si="0"/>
        <v>#DIV/0!</v>
      </c>
      <c r="W74" s="42" t="e">
        <f t="shared" si="0"/>
        <v>#DIV/0!</v>
      </c>
      <c r="X74" s="42" t="e">
        <f t="shared" si="0"/>
        <v>#DIV/0!</v>
      </c>
      <c r="Y74" s="42">
        <f t="shared" si="0"/>
        <v>0.51136363636363635</v>
      </c>
      <c r="Z74" s="36">
        <v>0</v>
      </c>
    </row>
    <row r="75" spans="1:26" s="11" customFormat="1" x14ac:dyDescent="0.25">
      <c r="A75" s="36">
        <v>106</v>
      </c>
      <c r="B75" s="36">
        <v>1</v>
      </c>
      <c r="C75" s="36" t="s">
        <v>104</v>
      </c>
      <c r="D75" s="37" t="s">
        <v>105</v>
      </c>
      <c r="E75" s="37" t="s">
        <v>42</v>
      </c>
      <c r="F75" s="37" t="s">
        <v>100</v>
      </c>
      <c r="G75" s="37" t="s">
        <v>56</v>
      </c>
      <c r="H75" s="38"/>
      <c r="I75" s="39">
        <v>5</v>
      </c>
      <c r="J75" s="40">
        <v>0.39</v>
      </c>
      <c r="K75" s="40">
        <v>0.12</v>
      </c>
      <c r="L75" s="41">
        <v>0.7</v>
      </c>
      <c r="M75" s="42">
        <f t="shared" ref="M75:N109" si="1">(M3-M39)/M3</f>
        <v>0.75238095238095237</v>
      </c>
      <c r="N75" s="42">
        <f t="shared" si="1"/>
        <v>0.35121951219512193</v>
      </c>
      <c r="O75" s="42">
        <f t="shared" ref="O75:Y75" si="2">(O3-O39)/O3</f>
        <v>0.26315789473684209</v>
      </c>
      <c r="P75" s="42">
        <f t="shared" si="2"/>
        <v>0.38805970149253732</v>
      </c>
      <c r="Q75" s="42" t="e">
        <f t="shared" si="2"/>
        <v>#DIV/0!</v>
      </c>
      <c r="R75" s="42" t="e">
        <f t="shared" si="2"/>
        <v>#DIV/0!</v>
      </c>
      <c r="S75" s="42">
        <f t="shared" si="2"/>
        <v>1</v>
      </c>
      <c r="T75" s="42" t="e">
        <f t="shared" si="2"/>
        <v>#DIV/0!</v>
      </c>
      <c r="U75" s="42" t="e">
        <f t="shared" si="2"/>
        <v>#DIV/0!</v>
      </c>
      <c r="V75" s="42" t="e">
        <f t="shared" si="2"/>
        <v>#DIV/0!</v>
      </c>
      <c r="W75" s="42" t="e">
        <f t="shared" si="2"/>
        <v>#DIV/0!</v>
      </c>
      <c r="X75" s="42">
        <f t="shared" si="2"/>
        <v>1</v>
      </c>
      <c r="Y75" s="42">
        <f t="shared" si="2"/>
        <v>0.5059665871121718</v>
      </c>
      <c r="Z75" s="36">
        <v>0</v>
      </c>
    </row>
    <row r="76" spans="1:26" s="11" customFormat="1" x14ac:dyDescent="0.25">
      <c r="A76" s="36">
        <v>304</v>
      </c>
      <c r="B76" s="36">
        <v>1</v>
      </c>
      <c r="C76" s="36" t="s">
        <v>104</v>
      </c>
      <c r="D76" s="37" t="s">
        <v>105</v>
      </c>
      <c r="E76" s="37" t="s">
        <v>42</v>
      </c>
      <c r="F76" s="37" t="s">
        <v>100</v>
      </c>
      <c r="G76" s="37" t="s">
        <v>56</v>
      </c>
      <c r="H76" s="38"/>
      <c r="I76" s="39">
        <v>1</v>
      </c>
      <c r="J76" s="40">
        <v>0.4</v>
      </c>
      <c r="K76" s="40">
        <v>0.02</v>
      </c>
      <c r="L76" s="41">
        <v>0.95</v>
      </c>
      <c r="M76" s="42">
        <f t="shared" si="1"/>
        <v>0.55555555555555558</v>
      </c>
      <c r="N76" s="42">
        <f t="shared" si="1"/>
        <v>-0.5</v>
      </c>
      <c r="O76" s="42" t="e">
        <f t="shared" ref="O76:Y76" si="3">(O4-O40)/O4</f>
        <v>#DIV/0!</v>
      </c>
      <c r="P76" s="42">
        <f t="shared" si="3"/>
        <v>0.48979591836734693</v>
      </c>
      <c r="Q76" s="42" t="e">
        <f t="shared" si="3"/>
        <v>#DIV/0!</v>
      </c>
      <c r="R76" s="42" t="e">
        <f t="shared" si="3"/>
        <v>#DIV/0!</v>
      </c>
      <c r="S76" s="42">
        <f t="shared" si="3"/>
        <v>1</v>
      </c>
      <c r="T76" s="42">
        <f t="shared" si="3"/>
        <v>1</v>
      </c>
      <c r="U76" s="42" t="e">
        <f t="shared" si="3"/>
        <v>#DIV/0!</v>
      </c>
      <c r="V76" s="42" t="e">
        <f t="shared" si="3"/>
        <v>#DIV/0!</v>
      </c>
      <c r="W76" s="42" t="e">
        <f t="shared" si="3"/>
        <v>#DIV/0!</v>
      </c>
      <c r="X76" s="42" t="e">
        <f t="shared" si="3"/>
        <v>#DIV/0!</v>
      </c>
      <c r="Y76" s="42">
        <f t="shared" si="3"/>
        <v>0.44537815126050423</v>
      </c>
      <c r="Z76" s="36">
        <v>0</v>
      </c>
    </row>
    <row r="77" spans="1:26" s="11" customFormat="1" x14ac:dyDescent="0.25">
      <c r="A77" s="36">
        <v>105</v>
      </c>
      <c r="B77" s="36">
        <v>2</v>
      </c>
      <c r="C77" s="36" t="s">
        <v>104</v>
      </c>
      <c r="D77" s="37" t="s">
        <v>105</v>
      </c>
      <c r="E77" s="37" t="s">
        <v>42</v>
      </c>
      <c r="F77" s="37" t="s">
        <v>100</v>
      </c>
      <c r="G77" s="37" t="s">
        <v>57</v>
      </c>
      <c r="H77" s="38"/>
      <c r="I77" s="39">
        <v>1</v>
      </c>
      <c r="J77" s="40">
        <v>0.41</v>
      </c>
      <c r="K77" s="40">
        <v>0.12</v>
      </c>
      <c r="L77" s="41">
        <v>0.72</v>
      </c>
      <c r="M77" s="42">
        <f t="shared" si="1"/>
        <v>0.96782841823056298</v>
      </c>
      <c r="N77" s="42">
        <f t="shared" si="1"/>
        <v>0.5</v>
      </c>
      <c r="O77" s="42">
        <f t="shared" ref="O77:Y77" si="4">(O5-O41)/O5</f>
        <v>0.85844748858447484</v>
      </c>
      <c r="P77" s="42">
        <f t="shared" si="4"/>
        <v>0.38904109589041097</v>
      </c>
      <c r="Q77" s="42" t="e">
        <f t="shared" si="4"/>
        <v>#DIV/0!</v>
      </c>
      <c r="R77" s="42">
        <f t="shared" si="4"/>
        <v>1</v>
      </c>
      <c r="S77" s="42" t="e">
        <f t="shared" si="4"/>
        <v>#DIV/0!</v>
      </c>
      <c r="T77" s="42" t="e">
        <f t="shared" si="4"/>
        <v>#DIV/0!</v>
      </c>
      <c r="U77" s="42" t="e">
        <f t="shared" si="4"/>
        <v>#DIV/0!</v>
      </c>
      <c r="V77" s="42">
        <f t="shared" si="4"/>
        <v>1</v>
      </c>
      <c r="W77" s="42" t="e">
        <f t="shared" si="4"/>
        <v>#DIV/0!</v>
      </c>
      <c r="X77" s="42" t="e">
        <f t="shared" si="4"/>
        <v>#DIV/0!</v>
      </c>
      <c r="Y77" s="42">
        <f t="shared" si="4"/>
        <v>0.78366445916114791</v>
      </c>
      <c r="Z77" s="36">
        <v>0</v>
      </c>
    </row>
    <row r="78" spans="1:26" s="11" customFormat="1" x14ac:dyDescent="0.25">
      <c r="A78" s="36">
        <v>112</v>
      </c>
      <c r="B78" s="36">
        <v>2</v>
      </c>
      <c r="C78" s="36" t="s">
        <v>104</v>
      </c>
      <c r="D78" s="37" t="s">
        <v>105</v>
      </c>
      <c r="E78" s="37" t="s">
        <v>42</v>
      </c>
      <c r="F78" s="37" t="s">
        <v>100</v>
      </c>
      <c r="G78" s="37" t="s">
        <v>57</v>
      </c>
      <c r="H78" s="38"/>
      <c r="I78" s="39">
        <v>5</v>
      </c>
      <c r="J78" s="40">
        <v>0.31</v>
      </c>
      <c r="K78" s="40">
        <v>0.04</v>
      </c>
      <c r="L78" s="41">
        <v>0.99</v>
      </c>
      <c r="M78" s="42">
        <f t="shared" si="1"/>
        <v>0.88571428571428568</v>
      </c>
      <c r="N78" s="42">
        <f t="shared" si="1"/>
        <v>-1</v>
      </c>
      <c r="O78" s="42" t="e">
        <f t="shared" ref="O78:Y78" si="5">(O6-O42)/O6</f>
        <v>#DIV/0!</v>
      </c>
      <c r="P78" s="42">
        <f t="shared" si="5"/>
        <v>0.52727272727272723</v>
      </c>
      <c r="Q78" s="42" t="e">
        <f t="shared" si="5"/>
        <v>#DIV/0!</v>
      </c>
      <c r="R78" s="42" t="e">
        <f t="shared" si="5"/>
        <v>#DIV/0!</v>
      </c>
      <c r="S78" s="42" t="e">
        <f t="shared" si="5"/>
        <v>#DIV/0!</v>
      </c>
      <c r="T78" s="42" t="e">
        <f t="shared" si="5"/>
        <v>#DIV/0!</v>
      </c>
      <c r="U78" s="42" t="e">
        <f t="shared" si="5"/>
        <v>#DIV/0!</v>
      </c>
      <c r="V78" s="42" t="e">
        <f t="shared" si="5"/>
        <v>#DIV/0!</v>
      </c>
      <c r="W78" s="42" t="e">
        <f t="shared" si="5"/>
        <v>#DIV/0!</v>
      </c>
      <c r="X78" s="42" t="e">
        <f t="shared" si="5"/>
        <v>#DIV/0!</v>
      </c>
      <c r="Y78" s="42">
        <f t="shared" si="5"/>
        <v>0.53947368421052633</v>
      </c>
      <c r="Z78" s="36">
        <v>0</v>
      </c>
    </row>
    <row r="79" spans="1:26" s="11" customFormat="1" x14ac:dyDescent="0.25">
      <c r="A79" s="36">
        <v>210</v>
      </c>
      <c r="B79" s="36">
        <v>2</v>
      </c>
      <c r="C79" s="36" t="s">
        <v>104</v>
      </c>
      <c r="D79" s="37" t="s">
        <v>105</v>
      </c>
      <c r="E79" s="37" t="s">
        <v>42</v>
      </c>
      <c r="F79" s="37" t="s">
        <v>100</v>
      </c>
      <c r="G79" s="37" t="s">
        <v>56</v>
      </c>
      <c r="H79" s="38"/>
      <c r="I79" s="39">
        <v>5</v>
      </c>
      <c r="J79" s="40">
        <v>0.37</v>
      </c>
      <c r="K79" s="40">
        <v>0.03</v>
      </c>
      <c r="L79" s="41">
        <v>0.93</v>
      </c>
      <c r="M79" s="42">
        <f t="shared" si="1"/>
        <v>0.98684210526315785</v>
      </c>
      <c r="N79" s="42">
        <f t="shared" si="1"/>
        <v>0.79069767441860461</v>
      </c>
      <c r="O79" s="42">
        <f t="shared" ref="O79:Y79" si="6">(O7-O43)/O7</f>
        <v>0.125</v>
      </c>
      <c r="P79" s="42">
        <f t="shared" si="6"/>
        <v>0.94117647058823528</v>
      </c>
      <c r="Q79" s="42" t="e">
        <f t="shared" si="6"/>
        <v>#DIV/0!</v>
      </c>
      <c r="R79" s="42" t="e">
        <f t="shared" si="6"/>
        <v>#DIV/0!</v>
      </c>
      <c r="S79" s="42" t="e">
        <f t="shared" si="6"/>
        <v>#DIV/0!</v>
      </c>
      <c r="T79" s="42">
        <f t="shared" si="6"/>
        <v>1</v>
      </c>
      <c r="U79" s="42" t="e">
        <f t="shared" si="6"/>
        <v>#DIV/0!</v>
      </c>
      <c r="V79" s="42" t="e">
        <f t="shared" si="6"/>
        <v>#DIV/0!</v>
      </c>
      <c r="W79" s="42" t="e">
        <f t="shared" si="6"/>
        <v>#DIV/0!</v>
      </c>
      <c r="X79" s="42" t="e">
        <f t="shared" si="6"/>
        <v>#DIV/0!</v>
      </c>
      <c r="Y79" s="42">
        <f t="shared" si="6"/>
        <v>0.93556085918854415</v>
      </c>
      <c r="Z79" s="36">
        <v>0</v>
      </c>
    </row>
    <row r="80" spans="1:26" s="11" customFormat="1" x14ac:dyDescent="0.25">
      <c r="A80" s="36">
        <v>103</v>
      </c>
      <c r="B80" s="36">
        <v>3</v>
      </c>
      <c r="C80" s="36" t="s">
        <v>104</v>
      </c>
      <c r="D80" s="37" t="s">
        <v>105</v>
      </c>
      <c r="E80" s="37" t="s">
        <v>43</v>
      </c>
      <c r="F80" s="37" t="s">
        <v>100</v>
      </c>
      <c r="G80" s="37" t="s">
        <v>57</v>
      </c>
      <c r="H80" s="38">
        <v>6</v>
      </c>
      <c r="I80" s="39"/>
      <c r="J80" s="40"/>
      <c r="K80" s="40"/>
      <c r="L80" s="41"/>
      <c r="M80" s="42">
        <f t="shared" si="1"/>
        <v>1</v>
      </c>
      <c r="N80" s="42">
        <f t="shared" si="1"/>
        <v>1</v>
      </c>
      <c r="O80" s="42">
        <f t="shared" ref="O80:Y80" si="7">(O8-O44)/O8</f>
        <v>1</v>
      </c>
      <c r="P80" s="42">
        <f t="shared" si="7"/>
        <v>1</v>
      </c>
      <c r="Q80" s="42">
        <f t="shared" si="7"/>
        <v>1</v>
      </c>
      <c r="R80" s="42" t="e">
        <f t="shared" si="7"/>
        <v>#DIV/0!</v>
      </c>
      <c r="S80" s="42">
        <f t="shared" si="7"/>
        <v>1</v>
      </c>
      <c r="T80" s="42" t="e">
        <f t="shared" si="7"/>
        <v>#DIV/0!</v>
      </c>
      <c r="U80" s="42" t="e">
        <f t="shared" si="7"/>
        <v>#DIV/0!</v>
      </c>
      <c r="V80" s="42" t="e">
        <f t="shared" si="7"/>
        <v>#DIV/0!</v>
      </c>
      <c r="W80" s="42" t="e">
        <f t="shared" si="7"/>
        <v>#DIV/0!</v>
      </c>
      <c r="X80" s="42" t="e">
        <f t="shared" si="7"/>
        <v>#DIV/0!</v>
      </c>
      <c r="Y80" s="42">
        <f t="shared" si="7"/>
        <v>1</v>
      </c>
      <c r="Z80" s="36">
        <v>2</v>
      </c>
    </row>
    <row r="81" spans="1:26" s="11" customFormat="1" x14ac:dyDescent="0.25">
      <c r="A81" s="36">
        <v>110</v>
      </c>
      <c r="B81" s="36">
        <v>3</v>
      </c>
      <c r="C81" s="36" t="s">
        <v>104</v>
      </c>
      <c r="D81" s="37" t="s">
        <v>105</v>
      </c>
      <c r="E81" s="37" t="s">
        <v>43</v>
      </c>
      <c r="F81" s="37" t="s">
        <v>100</v>
      </c>
      <c r="G81" s="37" t="s">
        <v>57</v>
      </c>
      <c r="H81" s="38">
        <v>6</v>
      </c>
      <c r="I81" s="39"/>
      <c r="J81" s="40"/>
      <c r="K81" s="40"/>
      <c r="L81" s="41"/>
      <c r="M81" s="42">
        <f t="shared" si="1"/>
        <v>1</v>
      </c>
      <c r="N81" s="42">
        <f t="shared" si="1"/>
        <v>1</v>
      </c>
      <c r="O81" s="42" t="e">
        <f t="shared" ref="O81:Y81" si="8">(O9-O45)/O9</f>
        <v>#DIV/0!</v>
      </c>
      <c r="P81" s="42">
        <f t="shared" si="8"/>
        <v>1</v>
      </c>
      <c r="Q81" s="42" t="e">
        <f t="shared" si="8"/>
        <v>#DIV/0!</v>
      </c>
      <c r="R81" s="42" t="e">
        <f t="shared" si="8"/>
        <v>#DIV/0!</v>
      </c>
      <c r="S81" s="42" t="e">
        <f t="shared" si="8"/>
        <v>#DIV/0!</v>
      </c>
      <c r="T81" s="42" t="e">
        <f t="shared" si="8"/>
        <v>#DIV/0!</v>
      </c>
      <c r="U81" s="42" t="e">
        <f t="shared" si="8"/>
        <v>#DIV/0!</v>
      </c>
      <c r="V81" s="42" t="e">
        <f t="shared" si="8"/>
        <v>#DIV/0!</v>
      </c>
      <c r="W81" s="42" t="e">
        <f t="shared" si="8"/>
        <v>#DIV/0!</v>
      </c>
      <c r="X81" s="42" t="e">
        <f t="shared" si="8"/>
        <v>#DIV/0!</v>
      </c>
      <c r="Y81" s="42">
        <f t="shared" si="8"/>
        <v>1</v>
      </c>
      <c r="Z81" s="36">
        <v>1</v>
      </c>
    </row>
    <row r="82" spans="1:26" s="11" customFormat="1" x14ac:dyDescent="0.25">
      <c r="A82" s="36">
        <v>211</v>
      </c>
      <c r="B82" s="36">
        <v>3</v>
      </c>
      <c r="C82" s="36" t="s">
        <v>104</v>
      </c>
      <c r="D82" s="37" t="s">
        <v>105</v>
      </c>
      <c r="E82" s="37" t="s">
        <v>43</v>
      </c>
      <c r="F82" s="37" t="s">
        <v>100</v>
      </c>
      <c r="G82" s="37" t="s">
        <v>57</v>
      </c>
      <c r="H82" s="38">
        <v>6</v>
      </c>
      <c r="I82" s="39"/>
      <c r="J82" s="40"/>
      <c r="K82" s="40"/>
      <c r="L82" s="41"/>
      <c r="M82" s="42">
        <f t="shared" si="1"/>
        <v>1</v>
      </c>
      <c r="N82" s="42">
        <f t="shared" si="1"/>
        <v>1</v>
      </c>
      <c r="O82" s="42">
        <f t="shared" ref="O82:Y82" si="9">(O10-O46)/O10</f>
        <v>1</v>
      </c>
      <c r="P82" s="42" t="e">
        <f t="shared" si="9"/>
        <v>#DIV/0!</v>
      </c>
      <c r="Q82" s="42" t="e">
        <f t="shared" si="9"/>
        <v>#DIV/0!</v>
      </c>
      <c r="R82" s="42">
        <f t="shared" si="9"/>
        <v>1</v>
      </c>
      <c r="S82" s="42">
        <f t="shared" si="9"/>
        <v>1</v>
      </c>
      <c r="T82" s="42">
        <f t="shared" si="9"/>
        <v>1</v>
      </c>
      <c r="U82" s="42">
        <f t="shared" si="9"/>
        <v>1</v>
      </c>
      <c r="V82" s="42">
        <f t="shared" si="9"/>
        <v>1</v>
      </c>
      <c r="W82" s="42">
        <f t="shared" si="9"/>
        <v>1</v>
      </c>
      <c r="X82" s="42" t="e">
        <f t="shared" si="9"/>
        <v>#DIV/0!</v>
      </c>
      <c r="Y82" s="42">
        <f t="shared" si="9"/>
        <v>1</v>
      </c>
      <c r="Z82" s="36">
        <v>0</v>
      </c>
    </row>
    <row r="83" spans="1:26" s="11" customFormat="1" x14ac:dyDescent="0.25">
      <c r="A83" s="36">
        <v>104</v>
      </c>
      <c r="B83" s="36">
        <v>4</v>
      </c>
      <c r="C83" s="36" t="s">
        <v>104</v>
      </c>
      <c r="D83" s="37" t="s">
        <v>105</v>
      </c>
      <c r="E83" s="37" t="s">
        <v>43</v>
      </c>
      <c r="F83" s="37" t="s">
        <v>100</v>
      </c>
      <c r="G83" s="37" t="s">
        <v>57</v>
      </c>
      <c r="H83" s="38">
        <v>9</v>
      </c>
      <c r="I83" s="39"/>
      <c r="J83" s="40"/>
      <c r="K83" s="40"/>
      <c r="L83" s="41"/>
      <c r="M83" s="42">
        <f t="shared" si="1"/>
        <v>1</v>
      </c>
      <c r="N83" s="42">
        <f t="shared" si="1"/>
        <v>0.98630136986301364</v>
      </c>
      <c r="O83" s="42">
        <f t="shared" ref="O83:Y83" si="10">(O11-O47)/O11</f>
        <v>1</v>
      </c>
      <c r="P83" s="42">
        <f t="shared" si="10"/>
        <v>1</v>
      </c>
      <c r="Q83" s="42" t="e">
        <f t="shared" si="10"/>
        <v>#DIV/0!</v>
      </c>
      <c r="R83" s="42" t="e">
        <f t="shared" si="10"/>
        <v>#DIV/0!</v>
      </c>
      <c r="S83" s="42">
        <f t="shared" si="10"/>
        <v>1</v>
      </c>
      <c r="T83" s="42" t="e">
        <f t="shared" si="10"/>
        <v>#DIV/0!</v>
      </c>
      <c r="U83" s="42">
        <f t="shared" si="10"/>
        <v>1</v>
      </c>
      <c r="V83" s="42">
        <f t="shared" si="10"/>
        <v>1</v>
      </c>
      <c r="W83" s="42" t="e">
        <f t="shared" si="10"/>
        <v>#DIV/0!</v>
      </c>
      <c r="X83" s="42" t="e">
        <f t="shared" si="10"/>
        <v>#DIV/0!</v>
      </c>
      <c r="Y83" s="42">
        <f t="shared" si="10"/>
        <v>0.99774774774774777</v>
      </c>
      <c r="Z83" s="36">
        <v>2</v>
      </c>
    </row>
    <row r="84" spans="1:26" s="11" customFormat="1" x14ac:dyDescent="0.25">
      <c r="A84" s="36">
        <v>107</v>
      </c>
      <c r="B84" s="36">
        <v>4</v>
      </c>
      <c r="C84" s="36" t="s">
        <v>104</v>
      </c>
      <c r="D84" s="37" t="s">
        <v>105</v>
      </c>
      <c r="E84" s="37" t="s">
        <v>43</v>
      </c>
      <c r="F84" s="37" t="s">
        <v>100</v>
      </c>
      <c r="G84" s="37" t="s">
        <v>56</v>
      </c>
      <c r="H84" s="38">
        <v>9</v>
      </c>
      <c r="I84" s="39"/>
      <c r="J84" s="40"/>
      <c r="K84" s="40"/>
      <c r="L84" s="41"/>
      <c r="M84" s="42">
        <f t="shared" si="1"/>
        <v>0.96884735202492211</v>
      </c>
      <c r="N84" s="42">
        <f t="shared" si="1"/>
        <v>0.78205128205128205</v>
      </c>
      <c r="O84" s="42">
        <f t="shared" ref="O84:Y84" si="11">(O12-O48)/O12</f>
        <v>1</v>
      </c>
      <c r="P84" s="42">
        <f t="shared" si="11"/>
        <v>0.98717948717948723</v>
      </c>
      <c r="Q84" s="42" t="e">
        <f t="shared" si="11"/>
        <v>#DIV/0!</v>
      </c>
      <c r="R84" s="42" t="e">
        <f t="shared" si="11"/>
        <v>#DIV/0!</v>
      </c>
      <c r="S84" s="42" t="e">
        <f t="shared" si="11"/>
        <v>#DIV/0!</v>
      </c>
      <c r="T84" s="42" t="e">
        <f t="shared" si="11"/>
        <v>#DIV/0!</v>
      </c>
      <c r="U84" s="42" t="e">
        <f t="shared" si="11"/>
        <v>#DIV/0!</v>
      </c>
      <c r="V84" s="42" t="e">
        <f t="shared" si="11"/>
        <v>#DIV/0!</v>
      </c>
      <c r="W84" s="42">
        <f t="shared" si="11"/>
        <v>1</v>
      </c>
      <c r="X84" s="42" t="e">
        <f t="shared" si="11"/>
        <v>#DIV/0!</v>
      </c>
      <c r="Y84" s="42">
        <f t="shared" si="11"/>
        <v>0.90342679127725856</v>
      </c>
      <c r="Z84" s="36">
        <v>2</v>
      </c>
    </row>
    <row r="85" spans="1:26" s="11" customFormat="1" x14ac:dyDescent="0.25">
      <c r="A85" s="36">
        <v>208</v>
      </c>
      <c r="B85" s="36">
        <v>4</v>
      </c>
      <c r="C85" s="36" t="s">
        <v>104</v>
      </c>
      <c r="D85" s="37" t="s">
        <v>105</v>
      </c>
      <c r="E85" s="37" t="s">
        <v>43</v>
      </c>
      <c r="F85" s="37" t="s">
        <v>100</v>
      </c>
      <c r="G85" s="37" t="s">
        <v>56</v>
      </c>
      <c r="H85" s="38">
        <v>9</v>
      </c>
      <c r="I85" s="39"/>
      <c r="J85" s="40"/>
      <c r="K85" s="40"/>
      <c r="L85" s="41"/>
      <c r="M85" s="42">
        <f t="shared" si="1"/>
        <v>1</v>
      </c>
      <c r="N85" s="42" t="e">
        <f t="shared" si="1"/>
        <v>#DIV/0!</v>
      </c>
      <c r="O85" s="42">
        <f t="shared" ref="O85:Y85" si="12">(O13-O49)/O13</f>
        <v>-2</v>
      </c>
      <c r="P85" s="42">
        <f t="shared" si="12"/>
        <v>0.9285714285714286</v>
      </c>
      <c r="Q85" s="42" t="e">
        <f t="shared" si="12"/>
        <v>#DIV/0!</v>
      </c>
      <c r="R85" s="42" t="e">
        <f t="shared" si="12"/>
        <v>#DIV/0!</v>
      </c>
      <c r="S85" s="42">
        <f t="shared" si="12"/>
        <v>1</v>
      </c>
      <c r="T85" s="42" t="e">
        <f t="shared" si="12"/>
        <v>#DIV/0!</v>
      </c>
      <c r="U85" s="42" t="e">
        <f t="shared" si="12"/>
        <v>#DIV/0!</v>
      </c>
      <c r="V85" s="42" t="e">
        <f t="shared" si="12"/>
        <v>#DIV/0!</v>
      </c>
      <c r="W85" s="42" t="e">
        <f t="shared" si="12"/>
        <v>#DIV/0!</v>
      </c>
      <c r="X85" s="42" t="e">
        <f t="shared" si="12"/>
        <v>#DIV/0!</v>
      </c>
      <c r="Y85" s="42">
        <f t="shared" si="12"/>
        <v>0.86538461538461542</v>
      </c>
      <c r="Z85" s="36">
        <v>3</v>
      </c>
    </row>
    <row r="86" spans="1:26" s="11" customFormat="1" x14ac:dyDescent="0.25">
      <c r="A86" s="36">
        <v>202</v>
      </c>
      <c r="B86" s="36">
        <v>5</v>
      </c>
      <c r="C86" s="36" t="s">
        <v>104</v>
      </c>
      <c r="D86" s="37" t="s">
        <v>105</v>
      </c>
      <c r="E86" s="37" t="s">
        <v>42</v>
      </c>
      <c r="F86" s="37" t="s">
        <v>102</v>
      </c>
      <c r="G86" s="36" t="s">
        <v>57</v>
      </c>
      <c r="H86" s="38"/>
      <c r="I86" s="39">
        <v>1</v>
      </c>
      <c r="J86" s="40">
        <v>0.3</v>
      </c>
      <c r="K86" s="40">
        <v>0.19</v>
      </c>
      <c r="L86" s="41">
        <v>0.39</v>
      </c>
      <c r="M86" s="42">
        <f t="shared" si="1"/>
        <v>0</v>
      </c>
      <c r="N86" s="42">
        <f t="shared" si="1"/>
        <v>0.75683060109289613</v>
      </c>
      <c r="O86" s="42">
        <f t="shared" ref="O86:Y86" si="13">(O14-O50)/O14</f>
        <v>1</v>
      </c>
      <c r="P86" s="42">
        <f t="shared" si="13"/>
        <v>1</v>
      </c>
      <c r="Q86" s="42" t="e">
        <f t="shared" si="13"/>
        <v>#DIV/0!</v>
      </c>
      <c r="R86" s="42" t="e">
        <f t="shared" si="13"/>
        <v>#DIV/0!</v>
      </c>
      <c r="S86" s="42" t="e">
        <f t="shared" si="13"/>
        <v>#DIV/0!</v>
      </c>
      <c r="T86" s="42" t="e">
        <f t="shared" si="13"/>
        <v>#DIV/0!</v>
      </c>
      <c r="U86" s="42" t="e">
        <f t="shared" si="13"/>
        <v>#DIV/0!</v>
      </c>
      <c r="V86" s="42" t="e">
        <f t="shared" si="13"/>
        <v>#DIV/0!</v>
      </c>
      <c r="W86" s="42" t="e">
        <f t="shared" si="13"/>
        <v>#DIV/0!</v>
      </c>
      <c r="X86" s="42" t="e">
        <f t="shared" si="13"/>
        <v>#DIV/0!</v>
      </c>
      <c r="Y86" s="42">
        <f t="shared" si="13"/>
        <v>0.71898734177215184</v>
      </c>
      <c r="Z86" s="36">
        <v>2</v>
      </c>
    </row>
    <row r="87" spans="1:26" s="11" customFormat="1" x14ac:dyDescent="0.25">
      <c r="A87" s="36">
        <v>209</v>
      </c>
      <c r="B87" s="36">
        <v>5</v>
      </c>
      <c r="C87" s="36" t="s">
        <v>104</v>
      </c>
      <c r="D87" s="37" t="s">
        <v>105</v>
      </c>
      <c r="E87" s="37" t="s">
        <v>42</v>
      </c>
      <c r="F87" s="37" t="s">
        <v>102</v>
      </c>
      <c r="G87" s="36" t="s">
        <v>56</v>
      </c>
      <c r="H87" s="38"/>
      <c r="I87" s="39">
        <v>1</v>
      </c>
      <c r="J87" s="40">
        <v>0.34</v>
      </c>
      <c r="K87" s="40">
        <v>0.15</v>
      </c>
      <c r="L87" s="41">
        <v>0.54</v>
      </c>
      <c r="M87" s="42">
        <f t="shared" si="1"/>
        <v>-2</v>
      </c>
      <c r="N87" s="42">
        <f t="shared" si="1"/>
        <v>0.38461538461538464</v>
      </c>
      <c r="O87" s="42">
        <f t="shared" ref="O87:Y87" si="14">(O15-O51)/O15</f>
        <v>1</v>
      </c>
      <c r="P87" s="42" t="e">
        <f t="shared" si="14"/>
        <v>#DIV/0!</v>
      </c>
      <c r="Q87" s="42" t="e">
        <f t="shared" si="14"/>
        <v>#DIV/0!</v>
      </c>
      <c r="R87" s="42" t="e">
        <f t="shared" si="14"/>
        <v>#DIV/0!</v>
      </c>
      <c r="S87" s="42" t="e">
        <f t="shared" si="14"/>
        <v>#DIV/0!</v>
      </c>
      <c r="T87" s="42" t="e">
        <f t="shared" si="14"/>
        <v>#DIV/0!</v>
      </c>
      <c r="U87" s="42" t="e">
        <f t="shared" si="14"/>
        <v>#DIV/0!</v>
      </c>
      <c r="V87" s="42" t="e">
        <f t="shared" si="14"/>
        <v>#DIV/0!</v>
      </c>
      <c r="W87" s="42" t="e">
        <f t="shared" si="14"/>
        <v>#DIV/0!</v>
      </c>
      <c r="X87" s="42" t="e">
        <f t="shared" si="14"/>
        <v>#DIV/0!</v>
      </c>
      <c r="Y87" s="42">
        <f t="shared" si="14"/>
        <v>0.34090909090909088</v>
      </c>
      <c r="Z87" s="36">
        <v>12</v>
      </c>
    </row>
    <row r="88" spans="1:26" s="11" customFormat="1" x14ac:dyDescent="0.25">
      <c r="A88" s="36">
        <v>310</v>
      </c>
      <c r="B88" s="36">
        <v>5</v>
      </c>
      <c r="C88" s="36" t="s">
        <v>104</v>
      </c>
      <c r="D88" s="37" t="s">
        <v>105</v>
      </c>
      <c r="E88" s="37" t="s">
        <v>42</v>
      </c>
      <c r="F88" s="37" t="s">
        <v>102</v>
      </c>
      <c r="G88" s="36" t="s">
        <v>56</v>
      </c>
      <c r="H88" s="38"/>
      <c r="I88" s="39">
        <v>1</v>
      </c>
      <c r="J88" s="40">
        <v>0.32</v>
      </c>
      <c r="K88" s="40">
        <v>0.1</v>
      </c>
      <c r="L88" s="41">
        <v>0.68</v>
      </c>
      <c r="M88" s="42" t="e">
        <f t="shared" si="1"/>
        <v>#DIV/0!</v>
      </c>
      <c r="N88" s="42">
        <f t="shared" si="1"/>
        <v>0.41666666666666669</v>
      </c>
      <c r="O88" s="42" t="e">
        <f t="shared" ref="O88:Y88" si="15">(O16-O52)/O16</f>
        <v>#DIV/0!</v>
      </c>
      <c r="P88" s="42">
        <f t="shared" si="15"/>
        <v>1</v>
      </c>
      <c r="Q88" s="42" t="e">
        <f t="shared" si="15"/>
        <v>#DIV/0!</v>
      </c>
      <c r="R88" s="42" t="e">
        <f t="shared" si="15"/>
        <v>#DIV/0!</v>
      </c>
      <c r="S88" s="42" t="e">
        <f t="shared" si="15"/>
        <v>#DIV/0!</v>
      </c>
      <c r="T88" s="42" t="e">
        <f t="shared" si="15"/>
        <v>#DIV/0!</v>
      </c>
      <c r="U88" s="42" t="e">
        <f t="shared" si="15"/>
        <v>#DIV/0!</v>
      </c>
      <c r="V88" s="42" t="e">
        <f t="shared" si="15"/>
        <v>#DIV/0!</v>
      </c>
      <c r="W88" s="42" t="e">
        <f t="shared" si="15"/>
        <v>#DIV/0!</v>
      </c>
      <c r="X88" s="42" t="e">
        <f t="shared" si="15"/>
        <v>#DIV/0!</v>
      </c>
      <c r="Y88" s="42">
        <f t="shared" si="15"/>
        <v>0.4</v>
      </c>
      <c r="Z88" s="36">
        <v>12</v>
      </c>
    </row>
    <row r="89" spans="1:26" s="11" customFormat="1" x14ac:dyDescent="0.25">
      <c r="A89" s="36">
        <v>102</v>
      </c>
      <c r="B89" s="36">
        <v>6</v>
      </c>
      <c r="C89" s="36" t="s">
        <v>104</v>
      </c>
      <c r="D89" s="37" t="s">
        <v>105</v>
      </c>
      <c r="E89" s="37" t="s">
        <v>42</v>
      </c>
      <c r="F89" s="37" t="s">
        <v>102</v>
      </c>
      <c r="G89" s="36" t="s">
        <v>56</v>
      </c>
      <c r="H89" s="38"/>
      <c r="I89" s="39">
        <v>5</v>
      </c>
      <c r="J89" s="40">
        <v>0.35</v>
      </c>
      <c r="K89" s="40">
        <v>0.14000000000000001</v>
      </c>
      <c r="L89" s="41">
        <v>0.59</v>
      </c>
      <c r="M89" s="42">
        <f t="shared" si="1"/>
        <v>-0.17647058823529413</v>
      </c>
      <c r="N89" s="42">
        <f t="shared" si="1"/>
        <v>-7.3170731707317069E-2</v>
      </c>
      <c r="O89" s="42" t="e">
        <f t="shared" ref="O89:Y89" si="16">(O17-O53)/O17</f>
        <v>#DIV/0!</v>
      </c>
      <c r="P89" s="42">
        <f t="shared" si="16"/>
        <v>0.27027027027027029</v>
      </c>
      <c r="Q89" s="42" t="e">
        <f t="shared" si="16"/>
        <v>#DIV/0!</v>
      </c>
      <c r="R89" s="42" t="e">
        <f t="shared" si="16"/>
        <v>#DIV/0!</v>
      </c>
      <c r="S89" s="42" t="e">
        <f t="shared" si="16"/>
        <v>#DIV/0!</v>
      </c>
      <c r="T89" s="42" t="e">
        <f t="shared" si="16"/>
        <v>#DIV/0!</v>
      </c>
      <c r="U89" s="42" t="e">
        <f t="shared" si="16"/>
        <v>#DIV/0!</v>
      </c>
      <c r="V89" s="42" t="e">
        <f t="shared" si="16"/>
        <v>#DIV/0!</v>
      </c>
      <c r="W89" s="42" t="e">
        <f t="shared" si="16"/>
        <v>#DIV/0!</v>
      </c>
      <c r="X89" s="42" t="e">
        <f t="shared" si="16"/>
        <v>#DIV/0!</v>
      </c>
      <c r="Y89" s="42">
        <f t="shared" si="16"/>
        <v>4.2105263157894736E-2</v>
      </c>
      <c r="Z89" s="36">
        <v>3</v>
      </c>
    </row>
    <row r="90" spans="1:26" s="11" customFormat="1" x14ac:dyDescent="0.25">
      <c r="A90" s="36">
        <v>203</v>
      </c>
      <c r="B90" s="36">
        <v>6</v>
      </c>
      <c r="C90" s="36" t="s">
        <v>104</v>
      </c>
      <c r="D90" s="37" t="s">
        <v>105</v>
      </c>
      <c r="E90" s="37" t="s">
        <v>42</v>
      </c>
      <c r="F90" s="37" t="s">
        <v>102</v>
      </c>
      <c r="G90" s="36" t="s">
        <v>56</v>
      </c>
      <c r="H90" s="38"/>
      <c r="I90" s="39">
        <v>5</v>
      </c>
      <c r="J90" s="40">
        <v>0.31</v>
      </c>
      <c r="K90" s="40">
        <v>7.0000000000000007E-2</v>
      </c>
      <c r="L90" s="41">
        <v>0.76</v>
      </c>
      <c r="M90" s="42">
        <f t="shared" si="1"/>
        <v>1</v>
      </c>
      <c r="N90" s="42">
        <f t="shared" si="1"/>
        <v>-8.1300813008130079E-2</v>
      </c>
      <c r="O90" s="42">
        <f t="shared" ref="O90:Y90" si="17">(O18-O54)/O18</f>
        <v>1</v>
      </c>
      <c r="P90" s="42">
        <f t="shared" si="17"/>
        <v>0.1875</v>
      </c>
      <c r="Q90" s="42" t="e">
        <f t="shared" si="17"/>
        <v>#DIV/0!</v>
      </c>
      <c r="R90" s="42">
        <f t="shared" si="17"/>
        <v>1</v>
      </c>
      <c r="S90" s="42" t="e">
        <f t="shared" si="17"/>
        <v>#DIV/0!</v>
      </c>
      <c r="T90" s="42">
        <f t="shared" si="17"/>
        <v>1</v>
      </c>
      <c r="U90" s="42" t="e">
        <f t="shared" si="17"/>
        <v>#DIV/0!</v>
      </c>
      <c r="V90" s="42" t="e">
        <f t="shared" si="17"/>
        <v>#DIV/0!</v>
      </c>
      <c r="W90" s="42" t="e">
        <f t="shared" si="17"/>
        <v>#DIV/0!</v>
      </c>
      <c r="X90" s="42" t="e">
        <f t="shared" si="17"/>
        <v>#DIV/0!</v>
      </c>
      <c r="Y90" s="42">
        <f t="shared" si="17"/>
        <v>-6.5359477124183009E-3</v>
      </c>
      <c r="Z90" s="36">
        <v>2</v>
      </c>
    </row>
    <row r="91" spans="1:26" s="11" customFormat="1" x14ac:dyDescent="0.25">
      <c r="A91" s="36">
        <v>303</v>
      </c>
      <c r="B91" s="36">
        <v>6</v>
      </c>
      <c r="C91" s="36" t="s">
        <v>104</v>
      </c>
      <c r="D91" s="37" t="s">
        <v>105</v>
      </c>
      <c r="E91" s="37" t="s">
        <v>42</v>
      </c>
      <c r="F91" s="37" t="s">
        <v>102</v>
      </c>
      <c r="G91" s="36" t="s">
        <v>57</v>
      </c>
      <c r="H91" s="38"/>
      <c r="I91" s="39">
        <v>5</v>
      </c>
      <c r="J91" s="40">
        <v>0.32</v>
      </c>
      <c r="K91" s="40">
        <v>0.13</v>
      </c>
      <c r="L91" s="41">
        <v>0.6</v>
      </c>
      <c r="M91" s="42">
        <f t="shared" si="1"/>
        <v>1</v>
      </c>
      <c r="N91" s="42">
        <f t="shared" si="1"/>
        <v>0.53467153284671531</v>
      </c>
      <c r="O91" s="42" t="e">
        <f t="shared" ref="O91:Y91" si="18">(O19-O55)/O19</f>
        <v>#DIV/0!</v>
      </c>
      <c r="P91" s="42">
        <f t="shared" si="18"/>
        <v>0.66666666666666663</v>
      </c>
      <c r="Q91" s="42" t="e">
        <f t="shared" si="18"/>
        <v>#DIV/0!</v>
      </c>
      <c r="R91" s="42">
        <f t="shared" si="18"/>
        <v>1</v>
      </c>
      <c r="S91" s="42" t="e">
        <f t="shared" si="18"/>
        <v>#DIV/0!</v>
      </c>
      <c r="T91" s="42" t="e">
        <f t="shared" si="18"/>
        <v>#DIV/0!</v>
      </c>
      <c r="U91" s="42" t="e">
        <f t="shared" si="18"/>
        <v>#DIV/0!</v>
      </c>
      <c r="V91" s="42" t="e">
        <f t="shared" si="18"/>
        <v>#DIV/0!</v>
      </c>
      <c r="W91" s="42" t="e">
        <f t="shared" si="18"/>
        <v>#DIV/0!</v>
      </c>
      <c r="X91" s="42" t="e">
        <f t="shared" si="18"/>
        <v>#DIV/0!</v>
      </c>
      <c r="Y91" s="42">
        <f t="shared" si="18"/>
        <v>0.53942652329749108</v>
      </c>
      <c r="Z91" s="36">
        <v>1</v>
      </c>
    </row>
    <row r="92" spans="1:26" s="11" customFormat="1" x14ac:dyDescent="0.25">
      <c r="A92" s="36">
        <v>205</v>
      </c>
      <c r="B92" s="36">
        <v>7</v>
      </c>
      <c r="C92" s="36" t="s">
        <v>104</v>
      </c>
      <c r="D92" s="37" t="s">
        <v>105</v>
      </c>
      <c r="E92" s="37" t="s">
        <v>43</v>
      </c>
      <c r="F92" s="37" t="s">
        <v>102</v>
      </c>
      <c r="G92" s="36" t="s">
        <v>57</v>
      </c>
      <c r="H92" s="38"/>
      <c r="I92" s="39"/>
      <c r="J92" s="40"/>
      <c r="K92" s="40"/>
      <c r="L92" s="41"/>
      <c r="M92" s="42">
        <f t="shared" si="1"/>
        <v>1</v>
      </c>
      <c r="N92" s="42">
        <f t="shared" si="1"/>
        <v>0.99744245524296671</v>
      </c>
      <c r="O92" s="42" t="e">
        <f t="shared" ref="O92:Y92" si="19">(O20-O56)/O20</f>
        <v>#DIV/0!</v>
      </c>
      <c r="P92" s="42">
        <f t="shared" si="19"/>
        <v>1</v>
      </c>
      <c r="Q92" s="42" t="e">
        <f t="shared" si="19"/>
        <v>#DIV/0!</v>
      </c>
      <c r="R92" s="42" t="e">
        <f t="shared" si="19"/>
        <v>#DIV/0!</v>
      </c>
      <c r="S92" s="42">
        <f t="shared" si="19"/>
        <v>1</v>
      </c>
      <c r="T92" s="42" t="e">
        <f t="shared" si="19"/>
        <v>#DIV/0!</v>
      </c>
      <c r="U92" s="42" t="e">
        <f t="shared" si="19"/>
        <v>#DIV/0!</v>
      </c>
      <c r="V92" s="42" t="e">
        <f t="shared" si="19"/>
        <v>#DIV/0!</v>
      </c>
      <c r="W92" s="42" t="e">
        <f t="shared" si="19"/>
        <v>#DIV/0!</v>
      </c>
      <c r="X92" s="42" t="e">
        <f t="shared" si="19"/>
        <v>#DIV/0!</v>
      </c>
      <c r="Y92" s="42">
        <f t="shared" si="19"/>
        <v>0.99767981438515085</v>
      </c>
      <c r="Z92" s="36">
        <v>19</v>
      </c>
    </row>
    <row r="93" spans="1:26" s="11" customFormat="1" x14ac:dyDescent="0.25">
      <c r="A93" s="36">
        <v>207</v>
      </c>
      <c r="B93" s="36">
        <v>7</v>
      </c>
      <c r="C93" s="36" t="s">
        <v>104</v>
      </c>
      <c r="D93" s="37" t="s">
        <v>105</v>
      </c>
      <c r="E93" s="37" t="s">
        <v>43</v>
      </c>
      <c r="F93" s="37" t="s">
        <v>102</v>
      </c>
      <c r="G93" s="36" t="s">
        <v>57</v>
      </c>
      <c r="H93" s="38"/>
      <c r="I93" s="39"/>
      <c r="J93" s="40"/>
      <c r="K93" s="40"/>
      <c r="L93" s="41"/>
      <c r="M93" s="42">
        <f t="shared" si="1"/>
        <v>1</v>
      </c>
      <c r="N93" s="42">
        <f t="shared" si="1"/>
        <v>0.8</v>
      </c>
      <c r="O93" s="42" t="e">
        <f t="shared" ref="O93:Y93" si="20">(O21-O57)/O21</f>
        <v>#DIV/0!</v>
      </c>
      <c r="P93" s="42">
        <f t="shared" si="20"/>
        <v>0.6</v>
      </c>
      <c r="Q93" s="42" t="e">
        <f t="shared" si="20"/>
        <v>#DIV/0!</v>
      </c>
      <c r="R93" s="42" t="e">
        <f t="shared" si="20"/>
        <v>#DIV/0!</v>
      </c>
      <c r="S93" s="42" t="e">
        <f t="shared" si="20"/>
        <v>#DIV/0!</v>
      </c>
      <c r="T93" s="42" t="e">
        <f t="shared" si="20"/>
        <v>#DIV/0!</v>
      </c>
      <c r="U93" s="42" t="e">
        <f t="shared" si="20"/>
        <v>#DIV/0!</v>
      </c>
      <c r="V93" s="42" t="e">
        <f t="shared" si="20"/>
        <v>#DIV/0!</v>
      </c>
      <c r="W93" s="42" t="e">
        <f t="shared" si="20"/>
        <v>#DIV/0!</v>
      </c>
      <c r="X93" s="42" t="e">
        <f t="shared" si="20"/>
        <v>#DIV/0!</v>
      </c>
      <c r="Y93" s="42">
        <f t="shared" si="20"/>
        <v>0.73913043478260865</v>
      </c>
      <c r="Z93" s="36">
        <v>4</v>
      </c>
    </row>
    <row r="94" spans="1:26" s="11" customFormat="1" x14ac:dyDescent="0.25">
      <c r="A94" s="36">
        <v>306</v>
      </c>
      <c r="B94" s="36">
        <v>7</v>
      </c>
      <c r="C94" s="36" t="s">
        <v>104</v>
      </c>
      <c r="D94" s="37" t="s">
        <v>105</v>
      </c>
      <c r="E94" s="37" t="s">
        <v>43</v>
      </c>
      <c r="F94" s="37" t="s">
        <v>102</v>
      </c>
      <c r="G94" s="36" t="s">
        <v>57</v>
      </c>
      <c r="H94" s="38"/>
      <c r="I94" s="39"/>
      <c r="J94" s="40"/>
      <c r="K94" s="40"/>
      <c r="L94" s="41"/>
      <c r="M94" s="42" t="e">
        <f t="shared" si="1"/>
        <v>#DIV/0!</v>
      </c>
      <c r="N94" s="42">
        <f t="shared" si="1"/>
        <v>0.91428571428571426</v>
      </c>
      <c r="O94" s="42">
        <f t="shared" ref="O94:Y94" si="21">(O22-O58)/O22</f>
        <v>1</v>
      </c>
      <c r="P94" s="42">
        <f t="shared" si="21"/>
        <v>0.8</v>
      </c>
      <c r="Q94" s="42" t="e">
        <f t="shared" si="21"/>
        <v>#DIV/0!</v>
      </c>
      <c r="R94" s="42" t="e">
        <f t="shared" si="21"/>
        <v>#DIV/0!</v>
      </c>
      <c r="S94" s="42" t="e">
        <f t="shared" si="21"/>
        <v>#DIV/0!</v>
      </c>
      <c r="T94" s="42" t="e">
        <f t="shared" si="21"/>
        <v>#DIV/0!</v>
      </c>
      <c r="U94" s="42" t="e">
        <f t="shared" si="21"/>
        <v>#DIV/0!</v>
      </c>
      <c r="V94" s="42" t="e">
        <f t="shared" si="21"/>
        <v>#DIV/0!</v>
      </c>
      <c r="W94" s="42" t="e">
        <f t="shared" si="21"/>
        <v>#DIV/0!</v>
      </c>
      <c r="X94" s="42" t="e">
        <f t="shared" si="21"/>
        <v>#DIV/0!</v>
      </c>
      <c r="Y94" s="42">
        <f t="shared" si="21"/>
        <v>0.88461538461538458</v>
      </c>
      <c r="Z94" s="36">
        <v>26</v>
      </c>
    </row>
    <row r="95" spans="1:26" s="11" customFormat="1" x14ac:dyDescent="0.25">
      <c r="A95" s="36">
        <v>108</v>
      </c>
      <c r="B95" s="36">
        <v>8</v>
      </c>
      <c r="C95" s="36" t="s">
        <v>104</v>
      </c>
      <c r="D95" s="37" t="s">
        <v>105</v>
      </c>
      <c r="E95" s="37" t="s">
        <v>43</v>
      </c>
      <c r="F95" s="37" t="s">
        <v>102</v>
      </c>
      <c r="G95" s="36" t="s">
        <v>56</v>
      </c>
      <c r="H95" s="38"/>
      <c r="I95" s="39"/>
      <c r="J95" s="40"/>
      <c r="K95" s="40"/>
      <c r="L95" s="41"/>
      <c r="M95" s="42">
        <f t="shared" si="1"/>
        <v>1</v>
      </c>
      <c r="N95" s="42">
        <f t="shared" si="1"/>
        <v>0.99877300613496933</v>
      </c>
      <c r="O95" s="42" t="e">
        <f t="shared" ref="O95:Y95" si="22">(O23-O59)/O23</f>
        <v>#DIV/0!</v>
      </c>
      <c r="P95" s="42">
        <f t="shared" si="22"/>
        <v>1</v>
      </c>
      <c r="Q95" s="42" t="e">
        <f t="shared" si="22"/>
        <v>#DIV/0!</v>
      </c>
      <c r="R95" s="42" t="e">
        <f t="shared" si="22"/>
        <v>#DIV/0!</v>
      </c>
      <c r="S95" s="42" t="e">
        <f t="shared" si="22"/>
        <v>#DIV/0!</v>
      </c>
      <c r="T95" s="42" t="e">
        <f t="shared" si="22"/>
        <v>#DIV/0!</v>
      </c>
      <c r="U95" s="42" t="e">
        <f t="shared" si="22"/>
        <v>#DIV/0!</v>
      </c>
      <c r="V95" s="42" t="e">
        <f t="shared" si="22"/>
        <v>#DIV/0!</v>
      </c>
      <c r="W95" s="42" t="e">
        <f t="shared" si="22"/>
        <v>#DIV/0!</v>
      </c>
      <c r="X95" s="42" t="e">
        <f t="shared" si="22"/>
        <v>#DIV/0!</v>
      </c>
      <c r="Y95" s="42">
        <f t="shared" si="22"/>
        <v>0.99882629107981225</v>
      </c>
      <c r="Z95" s="36">
        <v>5</v>
      </c>
    </row>
    <row r="96" spans="1:26" s="11" customFormat="1" x14ac:dyDescent="0.25">
      <c r="A96" s="36">
        <v>204</v>
      </c>
      <c r="B96" s="36">
        <v>8</v>
      </c>
      <c r="C96" s="36" t="s">
        <v>104</v>
      </c>
      <c r="D96" s="37" t="s">
        <v>105</v>
      </c>
      <c r="E96" s="37" t="s">
        <v>43</v>
      </c>
      <c r="F96" s="37" t="s">
        <v>102</v>
      </c>
      <c r="G96" s="36" t="s">
        <v>56</v>
      </c>
      <c r="H96" s="38"/>
      <c r="I96" s="39"/>
      <c r="J96" s="40"/>
      <c r="K96" s="40"/>
      <c r="L96" s="41"/>
      <c r="M96" s="42">
        <f t="shared" si="1"/>
        <v>0.95</v>
      </c>
      <c r="N96" s="42">
        <f t="shared" si="1"/>
        <v>0.97337278106508873</v>
      </c>
      <c r="O96" s="42" t="e">
        <f t="shared" ref="O96:Y96" si="23">(O24-O60)/O24</f>
        <v>#DIV/0!</v>
      </c>
      <c r="P96" s="42" t="e">
        <f t="shared" si="23"/>
        <v>#DIV/0!</v>
      </c>
      <c r="Q96" s="42" t="e">
        <f t="shared" si="23"/>
        <v>#DIV/0!</v>
      </c>
      <c r="R96" s="42">
        <f t="shared" si="23"/>
        <v>1</v>
      </c>
      <c r="S96" s="42" t="e">
        <f t="shared" si="23"/>
        <v>#DIV/0!</v>
      </c>
      <c r="T96" s="42" t="e">
        <f t="shared" si="23"/>
        <v>#DIV/0!</v>
      </c>
      <c r="U96" s="42" t="e">
        <f t="shared" si="23"/>
        <v>#DIV/0!</v>
      </c>
      <c r="V96" s="42" t="e">
        <f t="shared" si="23"/>
        <v>#DIV/0!</v>
      </c>
      <c r="W96" s="42" t="e">
        <f t="shared" si="23"/>
        <v>#DIV/0!</v>
      </c>
      <c r="X96" s="42" t="e">
        <f t="shared" si="23"/>
        <v>#DIV/0!</v>
      </c>
      <c r="Y96" s="42">
        <f t="shared" si="23"/>
        <v>0.97127937336814618</v>
      </c>
      <c r="Z96" s="36">
        <v>7</v>
      </c>
    </row>
    <row r="97" spans="1:26" s="11" customFormat="1" x14ac:dyDescent="0.25">
      <c r="A97" s="36">
        <v>309</v>
      </c>
      <c r="B97" s="36">
        <v>8</v>
      </c>
      <c r="C97" s="36" t="s">
        <v>104</v>
      </c>
      <c r="D97" s="37" t="s">
        <v>105</v>
      </c>
      <c r="E97" s="37" t="s">
        <v>43</v>
      </c>
      <c r="F97" s="37" t="s">
        <v>102</v>
      </c>
      <c r="G97" s="36" t="s">
        <v>56</v>
      </c>
      <c r="H97" s="38"/>
      <c r="I97" s="39"/>
      <c r="J97" s="40"/>
      <c r="K97" s="40"/>
      <c r="L97" s="41"/>
      <c r="M97" s="42" t="e">
        <f t="shared" si="1"/>
        <v>#DIV/0!</v>
      </c>
      <c r="N97" s="42">
        <f t="shared" si="1"/>
        <v>0.70129870129870131</v>
      </c>
      <c r="O97" s="42">
        <f t="shared" ref="O97:Y97" si="24">(O25-O61)/O25</f>
        <v>0</v>
      </c>
      <c r="P97" s="42">
        <f t="shared" si="24"/>
        <v>0</v>
      </c>
      <c r="Q97" s="42" t="e">
        <f t="shared" si="24"/>
        <v>#DIV/0!</v>
      </c>
      <c r="R97" s="42">
        <f t="shared" si="24"/>
        <v>1</v>
      </c>
      <c r="S97" s="42" t="e">
        <f t="shared" si="24"/>
        <v>#DIV/0!</v>
      </c>
      <c r="T97" s="42" t="e">
        <f t="shared" si="24"/>
        <v>#DIV/0!</v>
      </c>
      <c r="U97" s="42" t="e">
        <f t="shared" si="24"/>
        <v>#DIV/0!</v>
      </c>
      <c r="V97" s="42" t="e">
        <f t="shared" si="24"/>
        <v>#DIV/0!</v>
      </c>
      <c r="W97" s="42" t="e">
        <f t="shared" si="24"/>
        <v>#DIV/0!</v>
      </c>
      <c r="X97" s="42" t="e">
        <f t="shared" si="24"/>
        <v>#DIV/0!</v>
      </c>
      <c r="Y97" s="42">
        <f t="shared" si="24"/>
        <v>0.65432098765432101</v>
      </c>
      <c r="Z97" s="36">
        <v>4</v>
      </c>
    </row>
    <row r="98" spans="1:26" s="11" customFormat="1" x14ac:dyDescent="0.25">
      <c r="A98" s="36">
        <v>109</v>
      </c>
      <c r="B98" s="36">
        <v>9</v>
      </c>
      <c r="C98" s="36" t="s">
        <v>104</v>
      </c>
      <c r="D98" s="37" t="s">
        <v>105</v>
      </c>
      <c r="E98" s="37" t="s">
        <v>42</v>
      </c>
      <c r="F98" s="37" t="s">
        <v>102</v>
      </c>
      <c r="G98" s="37" t="s">
        <v>57</v>
      </c>
      <c r="H98" s="38"/>
      <c r="I98" s="39">
        <v>1</v>
      </c>
      <c r="J98" s="40">
        <v>0.35</v>
      </c>
      <c r="K98" s="40">
        <v>0.25</v>
      </c>
      <c r="L98" s="41">
        <v>0.28999999999999998</v>
      </c>
      <c r="M98" s="42">
        <f t="shared" si="1"/>
        <v>0.66666666666666663</v>
      </c>
      <c r="N98" s="42">
        <f t="shared" si="1"/>
        <v>0.85754189944134074</v>
      </c>
      <c r="O98" s="42">
        <f t="shared" ref="O98:Y98" si="25">(O26-O62)/O26</f>
        <v>0</v>
      </c>
      <c r="P98" s="42" t="e">
        <f t="shared" si="25"/>
        <v>#DIV/0!</v>
      </c>
      <c r="Q98" s="42" t="e">
        <f t="shared" si="25"/>
        <v>#DIV/0!</v>
      </c>
      <c r="R98" s="42" t="e">
        <f t="shared" si="25"/>
        <v>#DIV/0!</v>
      </c>
      <c r="S98" s="42" t="e">
        <f t="shared" si="25"/>
        <v>#DIV/0!</v>
      </c>
      <c r="T98" s="42" t="e">
        <f t="shared" si="25"/>
        <v>#DIV/0!</v>
      </c>
      <c r="U98" s="42" t="e">
        <f t="shared" si="25"/>
        <v>#DIV/0!</v>
      </c>
      <c r="V98" s="42" t="e">
        <f t="shared" si="25"/>
        <v>#DIV/0!</v>
      </c>
      <c r="W98" s="42" t="e">
        <f t="shared" si="25"/>
        <v>#DIV/0!</v>
      </c>
      <c r="X98" s="42" t="e">
        <f t="shared" si="25"/>
        <v>#DIV/0!</v>
      </c>
      <c r="Y98" s="42">
        <f t="shared" si="25"/>
        <v>0.83791208791208793</v>
      </c>
      <c r="Z98" s="36">
        <v>9</v>
      </c>
    </row>
    <row r="99" spans="1:26" s="11" customFormat="1" x14ac:dyDescent="0.25">
      <c r="A99" s="36">
        <v>302</v>
      </c>
      <c r="B99" s="36">
        <v>9</v>
      </c>
      <c r="C99" s="36" t="s">
        <v>104</v>
      </c>
      <c r="D99" s="37" t="s">
        <v>105</v>
      </c>
      <c r="E99" s="37" t="s">
        <v>42</v>
      </c>
      <c r="F99" s="37" t="s">
        <v>102</v>
      </c>
      <c r="G99" s="36" t="s">
        <v>56</v>
      </c>
      <c r="H99" s="38"/>
      <c r="I99" s="39">
        <v>1</v>
      </c>
      <c r="J99" s="40">
        <v>0.32</v>
      </c>
      <c r="K99" s="40">
        <v>0.18</v>
      </c>
      <c r="L99" s="41">
        <v>0.44</v>
      </c>
      <c r="M99" s="42" t="e">
        <f t="shared" si="1"/>
        <v>#DIV/0!</v>
      </c>
      <c r="N99" s="42">
        <f t="shared" si="1"/>
        <v>0.37827715355805241</v>
      </c>
      <c r="O99" s="42" t="e">
        <f t="shared" ref="O99:Y99" si="26">(O27-O63)/O27</f>
        <v>#DIV/0!</v>
      </c>
      <c r="P99" s="42">
        <f t="shared" si="26"/>
        <v>0.6</v>
      </c>
      <c r="Q99" s="42" t="e">
        <f t="shared" si="26"/>
        <v>#DIV/0!</v>
      </c>
      <c r="R99" s="42" t="e">
        <f t="shared" si="26"/>
        <v>#DIV/0!</v>
      </c>
      <c r="S99" s="42" t="e">
        <f t="shared" si="26"/>
        <v>#DIV/0!</v>
      </c>
      <c r="T99" s="42" t="e">
        <f t="shared" si="26"/>
        <v>#DIV/0!</v>
      </c>
      <c r="U99" s="42" t="e">
        <f t="shared" si="26"/>
        <v>#DIV/0!</v>
      </c>
      <c r="V99" s="42" t="e">
        <f t="shared" si="26"/>
        <v>#DIV/0!</v>
      </c>
      <c r="W99" s="42" t="e">
        <f t="shared" si="26"/>
        <v>#DIV/0!</v>
      </c>
      <c r="X99" s="42" t="e">
        <f t="shared" si="26"/>
        <v>#DIV/0!</v>
      </c>
      <c r="Y99" s="42">
        <f t="shared" si="26"/>
        <v>0.37226277372262773</v>
      </c>
      <c r="Z99" s="36">
        <v>3</v>
      </c>
    </row>
    <row r="100" spans="1:26" s="11" customFormat="1" x14ac:dyDescent="0.25">
      <c r="A100" s="36">
        <v>307</v>
      </c>
      <c r="B100" s="36">
        <v>9</v>
      </c>
      <c r="C100" s="36" t="s">
        <v>104</v>
      </c>
      <c r="D100" s="37" t="s">
        <v>105</v>
      </c>
      <c r="E100" s="37" t="s">
        <v>42</v>
      </c>
      <c r="F100" s="37" t="s">
        <v>102</v>
      </c>
      <c r="G100" s="36" t="s">
        <v>56</v>
      </c>
      <c r="H100" s="38"/>
      <c r="I100" s="39">
        <v>1</v>
      </c>
      <c r="J100" s="40">
        <v>0.34</v>
      </c>
      <c r="K100" s="40">
        <v>0.08</v>
      </c>
      <c r="L100" s="41">
        <v>0.77</v>
      </c>
      <c r="M100" s="42">
        <f t="shared" si="1"/>
        <v>0</v>
      </c>
      <c r="N100" s="42">
        <f t="shared" si="1"/>
        <v>0.5</v>
      </c>
      <c r="O100" s="42">
        <f t="shared" ref="O100:Y100" si="27">(O28-O64)/O28</f>
        <v>1</v>
      </c>
      <c r="P100" s="42">
        <f t="shared" si="27"/>
        <v>0</v>
      </c>
      <c r="Q100" s="42" t="e">
        <f t="shared" si="27"/>
        <v>#DIV/0!</v>
      </c>
      <c r="R100" s="42">
        <f t="shared" si="27"/>
        <v>1</v>
      </c>
      <c r="S100" s="42" t="e">
        <f t="shared" si="27"/>
        <v>#DIV/0!</v>
      </c>
      <c r="T100" s="42" t="e">
        <f t="shared" si="27"/>
        <v>#DIV/0!</v>
      </c>
      <c r="U100" s="42" t="e">
        <f t="shared" si="27"/>
        <v>#DIV/0!</v>
      </c>
      <c r="V100" s="42" t="e">
        <f t="shared" si="27"/>
        <v>#DIV/0!</v>
      </c>
      <c r="W100" s="42" t="e">
        <f t="shared" si="27"/>
        <v>#DIV/0!</v>
      </c>
      <c r="X100" s="42" t="e">
        <f t="shared" si="27"/>
        <v>#DIV/0!</v>
      </c>
      <c r="Y100" s="42">
        <f t="shared" si="27"/>
        <v>0.22222222222222221</v>
      </c>
      <c r="Z100" s="36">
        <v>24</v>
      </c>
    </row>
    <row r="101" spans="1:26" s="11" customFormat="1" x14ac:dyDescent="0.25">
      <c r="A101" s="36">
        <v>212</v>
      </c>
      <c r="B101" s="36">
        <v>10</v>
      </c>
      <c r="C101" s="36" t="s">
        <v>104</v>
      </c>
      <c r="D101" s="37" t="s">
        <v>105</v>
      </c>
      <c r="E101" s="37" t="s">
        <v>42</v>
      </c>
      <c r="F101" s="37" t="s">
        <v>102</v>
      </c>
      <c r="G101" s="36" t="s">
        <v>57</v>
      </c>
      <c r="H101" s="38"/>
      <c r="I101" s="39">
        <v>5</v>
      </c>
      <c r="J101" s="40">
        <v>0.31</v>
      </c>
      <c r="K101" s="40">
        <v>0.13</v>
      </c>
      <c r="L101" s="41">
        <v>0.57999999999999996</v>
      </c>
      <c r="M101" s="42">
        <f t="shared" si="1"/>
        <v>1</v>
      </c>
      <c r="N101" s="42">
        <f t="shared" si="1"/>
        <v>0.68333333333333335</v>
      </c>
      <c r="O101" s="42">
        <f t="shared" ref="O101:Y101" si="28">(O29-O65)/O29</f>
        <v>1</v>
      </c>
      <c r="P101" s="42" t="e">
        <f t="shared" si="28"/>
        <v>#DIV/0!</v>
      </c>
      <c r="Q101" s="42" t="e">
        <f t="shared" si="28"/>
        <v>#DIV/0!</v>
      </c>
      <c r="R101" s="42" t="e">
        <f t="shared" si="28"/>
        <v>#DIV/0!</v>
      </c>
      <c r="S101" s="42" t="e">
        <f t="shared" si="28"/>
        <v>#DIV/0!</v>
      </c>
      <c r="T101" s="42" t="e">
        <f t="shared" si="28"/>
        <v>#DIV/0!</v>
      </c>
      <c r="U101" s="42" t="e">
        <f t="shared" si="28"/>
        <v>#DIV/0!</v>
      </c>
      <c r="V101" s="42" t="e">
        <f t="shared" si="28"/>
        <v>#DIV/0!</v>
      </c>
      <c r="W101" s="42" t="e">
        <f t="shared" si="28"/>
        <v>#DIV/0!</v>
      </c>
      <c r="X101" s="42" t="e">
        <f t="shared" si="28"/>
        <v>#DIV/0!</v>
      </c>
      <c r="Y101" s="42">
        <f t="shared" si="28"/>
        <v>0.68656716417910446</v>
      </c>
      <c r="Z101" s="36">
        <v>16</v>
      </c>
    </row>
    <row r="102" spans="1:26" s="11" customFormat="1" x14ac:dyDescent="0.25">
      <c r="A102" s="36">
        <v>308</v>
      </c>
      <c r="B102" s="36">
        <v>10</v>
      </c>
      <c r="C102" s="36" t="s">
        <v>104</v>
      </c>
      <c r="D102" s="37" t="s">
        <v>105</v>
      </c>
      <c r="E102" s="37" t="s">
        <v>42</v>
      </c>
      <c r="F102" s="37" t="s">
        <v>102</v>
      </c>
      <c r="G102" s="36" t="s">
        <v>57</v>
      </c>
      <c r="H102" s="38"/>
      <c r="I102" s="39">
        <v>5</v>
      </c>
      <c r="J102" s="40">
        <v>0.33</v>
      </c>
      <c r="K102" s="40">
        <v>0.09</v>
      </c>
      <c r="L102" s="41">
        <v>0.72</v>
      </c>
      <c r="M102" s="42" t="e">
        <f t="shared" si="1"/>
        <v>#DIV/0!</v>
      </c>
      <c r="N102" s="42">
        <f t="shared" si="1"/>
        <v>-1</v>
      </c>
      <c r="O102" s="42" t="e">
        <f t="shared" ref="O102:Y102" si="29">(O30-O66)/O30</f>
        <v>#DIV/0!</v>
      </c>
      <c r="P102" s="42" t="e">
        <f t="shared" si="29"/>
        <v>#DIV/0!</v>
      </c>
      <c r="Q102" s="42" t="e">
        <f t="shared" si="29"/>
        <v>#DIV/0!</v>
      </c>
      <c r="R102" s="42">
        <f t="shared" si="29"/>
        <v>1</v>
      </c>
      <c r="S102" s="42" t="e">
        <f t="shared" si="29"/>
        <v>#DIV/0!</v>
      </c>
      <c r="T102" s="42" t="e">
        <f t="shared" si="29"/>
        <v>#DIV/0!</v>
      </c>
      <c r="U102" s="42" t="e">
        <f t="shared" si="29"/>
        <v>#DIV/0!</v>
      </c>
      <c r="V102" s="42" t="e">
        <f t="shared" si="29"/>
        <v>#DIV/0!</v>
      </c>
      <c r="W102" s="42" t="e">
        <f t="shared" si="29"/>
        <v>#DIV/0!</v>
      </c>
      <c r="X102" s="42" t="e">
        <f t="shared" si="29"/>
        <v>#DIV/0!</v>
      </c>
      <c r="Y102" s="42">
        <f t="shared" si="29"/>
        <v>-0.5714285714285714</v>
      </c>
      <c r="Z102" s="36">
        <v>14</v>
      </c>
    </row>
    <row r="103" spans="1:26" s="11" customFormat="1" x14ac:dyDescent="0.25">
      <c r="A103" s="43">
        <v>312</v>
      </c>
      <c r="B103" s="43">
        <v>10</v>
      </c>
      <c r="C103" s="36" t="s">
        <v>104</v>
      </c>
      <c r="D103" s="37" t="s">
        <v>105</v>
      </c>
      <c r="E103" s="37" t="s">
        <v>42</v>
      </c>
      <c r="F103" s="37" t="s">
        <v>102</v>
      </c>
      <c r="G103" s="43" t="s">
        <v>57</v>
      </c>
      <c r="H103" s="44"/>
      <c r="I103" s="45">
        <v>5</v>
      </c>
      <c r="J103" s="46">
        <v>0.33</v>
      </c>
      <c r="K103" s="46">
        <v>0.17</v>
      </c>
      <c r="L103" s="47">
        <v>0.5</v>
      </c>
      <c r="M103" s="42">
        <f t="shared" si="1"/>
        <v>1</v>
      </c>
      <c r="N103" s="42">
        <f t="shared" si="1"/>
        <v>0.46666666666666667</v>
      </c>
      <c r="O103" s="42" t="e">
        <f t="shared" ref="O103:Y103" si="30">(O31-O67)/O31</f>
        <v>#DIV/0!</v>
      </c>
      <c r="P103" s="42" t="e">
        <f t="shared" si="30"/>
        <v>#DIV/0!</v>
      </c>
      <c r="Q103" s="42" t="e">
        <f t="shared" si="30"/>
        <v>#DIV/0!</v>
      </c>
      <c r="R103" s="42">
        <f t="shared" si="30"/>
        <v>1</v>
      </c>
      <c r="S103" s="42" t="e">
        <f t="shared" si="30"/>
        <v>#DIV/0!</v>
      </c>
      <c r="T103" s="42" t="e">
        <f t="shared" si="30"/>
        <v>#DIV/0!</v>
      </c>
      <c r="U103" s="42" t="e">
        <f t="shared" si="30"/>
        <v>#DIV/0!</v>
      </c>
      <c r="V103" s="42" t="e">
        <f t="shared" si="30"/>
        <v>#DIV/0!</v>
      </c>
      <c r="W103" s="42" t="e">
        <f t="shared" si="30"/>
        <v>#DIV/0!</v>
      </c>
      <c r="X103" s="42" t="e">
        <f t="shared" si="30"/>
        <v>#DIV/0!</v>
      </c>
      <c r="Y103" s="42">
        <f t="shared" si="30"/>
        <v>0.5</v>
      </c>
      <c r="Z103" s="43">
        <v>16</v>
      </c>
    </row>
    <row r="104" spans="1:26" s="11" customFormat="1" x14ac:dyDescent="0.25">
      <c r="A104" s="36">
        <v>111</v>
      </c>
      <c r="B104" s="36">
        <v>11</v>
      </c>
      <c r="C104" s="36" t="s">
        <v>104</v>
      </c>
      <c r="D104" s="37" t="s">
        <v>105</v>
      </c>
      <c r="E104" s="37" t="s">
        <v>42</v>
      </c>
      <c r="F104" s="37" t="s">
        <v>102</v>
      </c>
      <c r="G104" s="36" t="s">
        <v>56</v>
      </c>
      <c r="H104" s="38">
        <v>11.5</v>
      </c>
      <c r="I104" s="39">
        <v>1</v>
      </c>
      <c r="J104" s="40">
        <v>0.35</v>
      </c>
      <c r="K104" s="40">
        <v>0.15</v>
      </c>
      <c r="L104" s="41">
        <v>0.57999999999999996</v>
      </c>
      <c r="M104" s="42">
        <f t="shared" si="1"/>
        <v>0.5714285714285714</v>
      </c>
      <c r="N104" s="42">
        <f t="shared" si="1"/>
        <v>0.32258064516129031</v>
      </c>
      <c r="O104" s="42" t="e">
        <f t="shared" ref="O104:Y104" si="31">(O32-O68)/O32</f>
        <v>#DIV/0!</v>
      </c>
      <c r="P104" s="42">
        <f t="shared" si="31"/>
        <v>0.53333333333333333</v>
      </c>
      <c r="Q104" s="42" t="e">
        <f t="shared" si="31"/>
        <v>#DIV/0!</v>
      </c>
      <c r="R104" s="42" t="e">
        <f t="shared" si="31"/>
        <v>#DIV/0!</v>
      </c>
      <c r="S104" s="42" t="e">
        <f t="shared" si="31"/>
        <v>#DIV/0!</v>
      </c>
      <c r="T104" s="42" t="e">
        <f t="shared" si="31"/>
        <v>#DIV/0!</v>
      </c>
      <c r="U104" s="42" t="e">
        <f t="shared" si="31"/>
        <v>#DIV/0!</v>
      </c>
      <c r="V104" s="42" t="e">
        <f t="shared" si="31"/>
        <v>#DIV/0!</v>
      </c>
      <c r="W104" s="42" t="e">
        <f t="shared" si="31"/>
        <v>#DIV/0!</v>
      </c>
      <c r="X104" s="42" t="e">
        <f t="shared" si="31"/>
        <v>#DIV/0!</v>
      </c>
      <c r="Y104" s="42">
        <f t="shared" si="31"/>
        <v>0.44927536231884058</v>
      </c>
      <c r="Z104" s="36">
        <v>7</v>
      </c>
    </row>
    <row r="105" spans="1:26" s="11" customFormat="1" x14ac:dyDescent="0.25">
      <c r="A105" s="36">
        <v>305</v>
      </c>
      <c r="B105" s="36">
        <v>11</v>
      </c>
      <c r="C105" s="36" t="s">
        <v>104</v>
      </c>
      <c r="D105" s="37" t="s">
        <v>105</v>
      </c>
      <c r="E105" s="37" t="s">
        <v>42</v>
      </c>
      <c r="F105" s="37" t="s">
        <v>102</v>
      </c>
      <c r="G105" s="36" t="s">
        <v>56</v>
      </c>
      <c r="H105" s="38">
        <v>11.5</v>
      </c>
      <c r="I105" s="39">
        <v>1</v>
      </c>
      <c r="J105" s="40">
        <v>0.35</v>
      </c>
      <c r="K105" s="40">
        <v>0.15</v>
      </c>
      <c r="L105" s="41">
        <v>0.57999999999999996</v>
      </c>
      <c r="M105" s="42">
        <f t="shared" si="1"/>
        <v>0</v>
      </c>
      <c r="N105" s="42">
        <f t="shared" si="1"/>
        <v>0.66666666666666663</v>
      </c>
      <c r="O105" s="42" t="e">
        <f t="shared" ref="O105:Y105" si="32">(O33-O69)/O33</f>
        <v>#DIV/0!</v>
      </c>
      <c r="P105" s="42">
        <f t="shared" si="32"/>
        <v>0.5</v>
      </c>
      <c r="Q105" s="42" t="e">
        <f t="shared" si="32"/>
        <v>#DIV/0!</v>
      </c>
      <c r="R105" s="42" t="e">
        <f t="shared" si="32"/>
        <v>#DIV/0!</v>
      </c>
      <c r="S105" s="42" t="e">
        <f t="shared" si="32"/>
        <v>#DIV/0!</v>
      </c>
      <c r="T105" s="42" t="e">
        <f t="shared" si="32"/>
        <v>#DIV/0!</v>
      </c>
      <c r="U105" s="42" t="e">
        <f t="shared" si="32"/>
        <v>#DIV/0!</v>
      </c>
      <c r="V105" s="42" t="e">
        <f t="shared" si="32"/>
        <v>#DIV/0!</v>
      </c>
      <c r="W105" s="42" t="e">
        <f t="shared" si="32"/>
        <v>#DIV/0!</v>
      </c>
      <c r="X105" s="42" t="e">
        <f t="shared" si="32"/>
        <v>#DIV/0!</v>
      </c>
      <c r="Y105" s="42">
        <f t="shared" si="32"/>
        <v>0.34615384615384615</v>
      </c>
      <c r="Z105" s="36">
        <v>23</v>
      </c>
    </row>
    <row r="106" spans="1:26" s="11" customFormat="1" x14ac:dyDescent="0.25">
      <c r="A106" s="36">
        <v>206</v>
      </c>
      <c r="B106" s="36">
        <v>12</v>
      </c>
      <c r="C106" s="36" t="s">
        <v>104</v>
      </c>
      <c r="D106" s="37" t="s">
        <v>105</v>
      </c>
      <c r="E106" s="37" t="s">
        <v>43</v>
      </c>
      <c r="F106" s="37" t="s">
        <v>102</v>
      </c>
      <c r="G106" s="36" t="s">
        <v>56</v>
      </c>
      <c r="H106" s="38"/>
      <c r="I106" s="39"/>
      <c r="J106" s="40"/>
      <c r="K106" s="40"/>
      <c r="L106" s="41"/>
      <c r="M106" s="42">
        <f t="shared" si="1"/>
        <v>1</v>
      </c>
      <c r="N106" s="42">
        <f t="shared" si="1"/>
        <v>0.99096385542168675</v>
      </c>
      <c r="O106" s="42" t="e">
        <f t="shared" ref="O106:Y106" si="33">(O34-O70)/O34</f>
        <v>#DIV/0!</v>
      </c>
      <c r="P106" s="42">
        <f t="shared" si="33"/>
        <v>1</v>
      </c>
      <c r="Q106" s="42" t="e">
        <f t="shared" si="33"/>
        <v>#DIV/0!</v>
      </c>
      <c r="R106" s="42" t="e">
        <f t="shared" si="33"/>
        <v>#DIV/0!</v>
      </c>
      <c r="S106" s="42" t="e">
        <f t="shared" si="33"/>
        <v>#DIV/0!</v>
      </c>
      <c r="T106" s="42" t="e">
        <f t="shared" si="33"/>
        <v>#DIV/0!</v>
      </c>
      <c r="U106" s="42" t="e">
        <f t="shared" si="33"/>
        <v>#DIV/0!</v>
      </c>
      <c r="V106" s="42" t="e">
        <f t="shared" si="33"/>
        <v>#DIV/0!</v>
      </c>
      <c r="W106" s="42" t="e">
        <f t="shared" si="33"/>
        <v>#DIV/0!</v>
      </c>
      <c r="X106" s="42" t="e">
        <f t="shared" si="33"/>
        <v>#DIV/0!</v>
      </c>
      <c r="Y106" s="42">
        <f t="shared" si="33"/>
        <v>0.99120234604105573</v>
      </c>
      <c r="Z106" s="36">
        <v>13</v>
      </c>
    </row>
    <row r="107" spans="1:26" s="11" customFormat="1" x14ac:dyDescent="0.25">
      <c r="A107" s="36">
        <v>301</v>
      </c>
      <c r="B107" s="36">
        <v>12</v>
      </c>
      <c r="C107" s="36" t="s">
        <v>104</v>
      </c>
      <c r="D107" s="37" t="s">
        <v>105</v>
      </c>
      <c r="E107" s="37" t="s">
        <v>43</v>
      </c>
      <c r="F107" s="37" t="s">
        <v>102</v>
      </c>
      <c r="G107" s="36" t="s">
        <v>56</v>
      </c>
      <c r="H107" s="38"/>
      <c r="I107" s="39"/>
      <c r="J107" s="40"/>
      <c r="K107" s="40"/>
      <c r="L107" s="41"/>
      <c r="M107" s="42" t="e">
        <f t="shared" si="1"/>
        <v>#DIV/0!</v>
      </c>
      <c r="N107" s="42">
        <f t="shared" si="1"/>
        <v>0.72093023255813948</v>
      </c>
      <c r="O107" s="42" t="e">
        <f t="shared" ref="O107:Y107" si="34">(O35-O71)/O35</f>
        <v>#DIV/0!</v>
      </c>
      <c r="P107" s="42">
        <f t="shared" si="34"/>
        <v>0</v>
      </c>
      <c r="Q107" s="42" t="e">
        <f t="shared" si="34"/>
        <v>#DIV/0!</v>
      </c>
      <c r="R107" s="42">
        <f t="shared" si="34"/>
        <v>1</v>
      </c>
      <c r="S107" s="42" t="e">
        <f t="shared" si="34"/>
        <v>#DIV/0!</v>
      </c>
      <c r="T107" s="42" t="e">
        <f t="shared" si="34"/>
        <v>#DIV/0!</v>
      </c>
      <c r="U107" s="42" t="e">
        <f t="shared" si="34"/>
        <v>#DIV/0!</v>
      </c>
      <c r="V107" s="42" t="e">
        <f t="shared" si="34"/>
        <v>#DIV/0!</v>
      </c>
      <c r="W107" s="42" t="e">
        <f t="shared" si="34"/>
        <v>#DIV/0!</v>
      </c>
      <c r="X107" s="42" t="e">
        <f t="shared" si="34"/>
        <v>#DIV/0!</v>
      </c>
      <c r="Y107" s="42">
        <f t="shared" si="34"/>
        <v>0.69536423841059603</v>
      </c>
      <c r="Z107" s="36">
        <v>7</v>
      </c>
    </row>
    <row r="108" spans="1:26" s="11" customFormat="1" x14ac:dyDescent="0.25">
      <c r="A108" s="36">
        <v>311</v>
      </c>
      <c r="B108" s="36">
        <v>12</v>
      </c>
      <c r="C108" s="36" t="s">
        <v>104</v>
      </c>
      <c r="D108" s="37" t="s">
        <v>105</v>
      </c>
      <c r="E108" s="37" t="s">
        <v>43</v>
      </c>
      <c r="F108" s="37" t="s">
        <v>102</v>
      </c>
      <c r="G108" s="36" t="s">
        <v>56</v>
      </c>
      <c r="H108" s="38"/>
      <c r="I108" s="39"/>
      <c r="J108" s="40"/>
      <c r="K108" s="40"/>
      <c r="L108" s="41"/>
      <c r="M108" s="42">
        <f t="shared" si="1"/>
        <v>1</v>
      </c>
      <c r="N108" s="42">
        <f t="shared" si="1"/>
        <v>0.90697674418604646</v>
      </c>
      <c r="O108" s="42">
        <f t="shared" ref="O108:Y108" si="35">(O36-O72)/O36</f>
        <v>1</v>
      </c>
      <c r="P108" s="42" t="e">
        <f t="shared" si="35"/>
        <v>#DIV/0!</v>
      </c>
      <c r="Q108" s="42" t="e">
        <f t="shared" si="35"/>
        <v>#DIV/0!</v>
      </c>
      <c r="R108" s="42" t="e">
        <f t="shared" si="35"/>
        <v>#DIV/0!</v>
      </c>
      <c r="S108" s="42" t="e">
        <f t="shared" si="35"/>
        <v>#DIV/0!</v>
      </c>
      <c r="T108" s="42" t="e">
        <f t="shared" si="35"/>
        <v>#DIV/0!</v>
      </c>
      <c r="U108" s="42" t="e">
        <f t="shared" si="35"/>
        <v>#DIV/0!</v>
      </c>
      <c r="V108" s="42" t="e">
        <f t="shared" si="35"/>
        <v>#DIV/0!</v>
      </c>
      <c r="W108" s="42" t="e">
        <f t="shared" si="35"/>
        <v>#DIV/0!</v>
      </c>
      <c r="X108" s="42" t="e">
        <f t="shared" si="35"/>
        <v>#DIV/0!</v>
      </c>
      <c r="Y108" s="42">
        <f t="shared" si="35"/>
        <v>0.88888888888888884</v>
      </c>
      <c r="Z108" s="36">
        <v>12</v>
      </c>
    </row>
    <row r="109" spans="1:26" s="11" customFormat="1" x14ac:dyDescent="0.25">
      <c r="A109" s="48">
        <v>201</v>
      </c>
      <c r="B109" s="48" t="s">
        <v>87</v>
      </c>
      <c r="C109" s="48" t="s">
        <v>104</v>
      </c>
      <c r="D109" s="49" t="s">
        <v>105</v>
      </c>
      <c r="E109" s="49" t="s">
        <v>42</v>
      </c>
      <c r="F109" s="49" t="s">
        <v>102</v>
      </c>
      <c r="G109" s="49" t="s">
        <v>56</v>
      </c>
      <c r="H109" s="50"/>
      <c r="I109" s="51">
        <v>5</v>
      </c>
      <c r="J109" s="52">
        <v>0.32</v>
      </c>
      <c r="K109" s="52">
        <v>0.1</v>
      </c>
      <c r="L109" s="53">
        <v>0.68</v>
      </c>
      <c r="M109" s="54">
        <f t="shared" si="1"/>
        <v>1</v>
      </c>
      <c r="N109" s="54">
        <f t="shared" si="1"/>
        <v>1</v>
      </c>
      <c r="O109" s="54">
        <f t="shared" ref="O109:Y109" si="36">(O37-O73)/O37</f>
        <v>1</v>
      </c>
      <c r="P109" s="54">
        <f t="shared" si="36"/>
        <v>1</v>
      </c>
      <c r="Q109" s="54" t="e">
        <f t="shared" si="36"/>
        <v>#DIV/0!</v>
      </c>
      <c r="R109" s="54" t="e">
        <f t="shared" si="36"/>
        <v>#DIV/0!</v>
      </c>
      <c r="S109" s="54" t="e">
        <f t="shared" si="36"/>
        <v>#DIV/0!</v>
      </c>
      <c r="T109" s="54">
        <f t="shared" si="36"/>
        <v>1</v>
      </c>
      <c r="U109" s="54" t="e">
        <f t="shared" si="36"/>
        <v>#DIV/0!</v>
      </c>
      <c r="V109" s="54" t="e">
        <f t="shared" si="36"/>
        <v>#DIV/0!</v>
      </c>
      <c r="W109" s="54" t="e">
        <f t="shared" si="36"/>
        <v>#DIV/0!</v>
      </c>
      <c r="X109" s="54" t="e">
        <f t="shared" si="36"/>
        <v>#DIV/0!</v>
      </c>
      <c r="Y109" s="54">
        <f t="shared" si="36"/>
        <v>1</v>
      </c>
      <c r="Z109" s="48">
        <v>4</v>
      </c>
    </row>
    <row r="110" spans="1:26" s="11" customFormat="1" x14ac:dyDescent="0.25">
      <c r="A110" s="16"/>
      <c r="B110" s="16"/>
      <c r="C110" s="16"/>
      <c r="D110" s="34"/>
      <c r="E110" s="34"/>
      <c r="F110" s="34"/>
      <c r="G110" s="34"/>
      <c r="H110" s="25"/>
      <c r="I110" s="17"/>
      <c r="J110" s="18"/>
      <c r="K110" s="18"/>
      <c r="L110" s="19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16"/>
      <c r="Y110" s="16"/>
      <c r="Z110" s="16"/>
    </row>
    <row r="111" spans="1:26" x14ac:dyDescent="0.25">
      <c r="A111" t="s">
        <v>85</v>
      </c>
    </row>
    <row r="112" spans="1:26" x14ac:dyDescent="0.25">
      <c r="A112" t="s">
        <v>88</v>
      </c>
    </row>
    <row r="114" spans="1:1" x14ac:dyDescent="0.25">
      <c r="A114" t="s">
        <v>103</v>
      </c>
    </row>
    <row r="116" spans="1:1" x14ac:dyDescent="0.25">
      <c r="A116" t="s">
        <v>106</v>
      </c>
    </row>
  </sheetData>
  <autoFilter ref="A1:Z112" xr:uid="{9D7FC8D4-D8F4-4922-A173-EBD7517C41A2}"/>
  <sortState xmlns:xlrd2="http://schemas.microsoft.com/office/spreadsheetml/2017/richdata2" ref="A2:Z73">
    <sortCondition ref="C2:C73"/>
    <sortCondition ref="B2:B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22BB-BDBC-42BF-B712-2DBFD11BFFF8}">
  <dimension ref="A1:F18"/>
  <sheetViews>
    <sheetView workbookViewId="0">
      <selection activeCell="D10" sqref="D10"/>
    </sheetView>
  </sheetViews>
  <sheetFormatPr defaultRowHeight="15" x14ac:dyDescent="0.25"/>
  <cols>
    <col min="2" max="2" width="51.140625" bestFit="1" customWidth="1"/>
    <col min="3" max="3" width="13.5703125" bestFit="1" customWidth="1"/>
    <col min="4" max="4" width="26" bestFit="1" customWidth="1"/>
    <col min="6" max="6" width="36.7109375" bestFit="1" customWidth="1"/>
  </cols>
  <sheetData>
    <row r="1" spans="1:6" x14ac:dyDescent="0.25">
      <c r="A1" t="s">
        <v>89</v>
      </c>
    </row>
    <row r="3" spans="1:6" ht="23.25" x14ac:dyDescent="0.35">
      <c r="D3" s="32" t="s">
        <v>98</v>
      </c>
    </row>
    <row r="5" spans="1:6" x14ac:dyDescent="0.25">
      <c r="A5" s="29" t="s">
        <v>90</v>
      </c>
      <c r="D5" s="31" t="s">
        <v>94</v>
      </c>
      <c r="F5" s="30" t="s">
        <v>61</v>
      </c>
    </row>
    <row r="6" spans="1:6" x14ac:dyDescent="0.25">
      <c r="A6" t="s">
        <v>92</v>
      </c>
      <c r="D6" t="s">
        <v>97</v>
      </c>
      <c r="F6" t="s">
        <v>83</v>
      </c>
    </row>
    <row r="7" spans="1:6" x14ac:dyDescent="0.25">
      <c r="A7" t="s">
        <v>91</v>
      </c>
      <c r="D7" t="s">
        <v>96</v>
      </c>
      <c r="F7" t="s">
        <v>84</v>
      </c>
    </row>
    <row r="8" spans="1:6" x14ac:dyDescent="0.25">
      <c r="B8" t="s">
        <v>18</v>
      </c>
      <c r="D8" t="s">
        <v>95</v>
      </c>
    </row>
    <row r="9" spans="1:6" x14ac:dyDescent="0.25">
      <c r="B9" t="s">
        <v>19</v>
      </c>
      <c r="D9" t="s">
        <v>99</v>
      </c>
    </row>
    <row r="10" spans="1:6" x14ac:dyDescent="0.25">
      <c r="B10" t="s">
        <v>20</v>
      </c>
    </row>
    <row r="11" spans="1:6" x14ac:dyDescent="0.25">
      <c r="B11" t="s">
        <v>21</v>
      </c>
    </row>
    <row r="12" spans="1:6" x14ac:dyDescent="0.25">
      <c r="B12" t="s">
        <v>22</v>
      </c>
    </row>
    <row r="13" spans="1:6" x14ac:dyDescent="0.25">
      <c r="B13" t="s">
        <v>23</v>
      </c>
    </row>
    <row r="14" spans="1:6" x14ac:dyDescent="0.25">
      <c r="B14" t="s">
        <v>24</v>
      </c>
    </row>
    <row r="15" spans="1:6" x14ac:dyDescent="0.25">
      <c r="B15" t="s">
        <v>27</v>
      </c>
    </row>
    <row r="17" spans="1:1" x14ac:dyDescent="0.25">
      <c r="A17" t="s">
        <v>93</v>
      </c>
    </row>
    <row r="18" spans="1:1" x14ac:dyDescent="0.25">
      <c r="A1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Weed Counts</vt:lpstr>
      <vt:lpstr>Total Weed Density by Specie</vt:lpstr>
      <vt:lpstr>Interpreting the 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Vagedes, Rose V</dc:creator>
  <cp:lastModifiedBy>Young, Bryan G</cp:lastModifiedBy>
  <dcterms:created xsi:type="dcterms:W3CDTF">2022-06-16T19:13:53Z</dcterms:created>
  <dcterms:modified xsi:type="dcterms:W3CDTF">2022-07-12T23:31:09Z</dcterms:modified>
</cp:coreProperties>
</file>